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drawings/drawing3.xml" ContentType="application/vnd.openxmlformats-officedocument.drawing+xml"/>
  <Override PartName="/xl/tables/table3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3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tables/table40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4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tables/table4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tables/table4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tables/table44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tables/table4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tables/table46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tables/table47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wlar\OneDrive\Desktop\YAGA\Gambling\"/>
    </mc:Choice>
  </mc:AlternateContent>
  <xr:revisionPtr revIDLastSave="0" documentId="13_ncr:1_{7C972695-BFD7-4F62-BBCE-52AB85EE7D81}" xr6:coauthVersionLast="47" xr6:coauthVersionMax="47" xr10:uidLastSave="{00000000-0000-0000-0000-000000000000}"/>
  <bookViews>
    <workbookView xWindow="38290" yWindow="-100" windowWidth="38620" windowHeight="21100" activeTab="7" xr2:uid="{031A4EE5-755D-45FC-802D-DCA70B7B3407}"/>
  </bookViews>
  <sheets>
    <sheet name="BDAYS" sheetId="47" r:id="rId1"/>
    <sheet name="SB" sheetId="50" r:id="rId2"/>
    <sheet name="CHAMPS" sheetId="51" r:id="rId3"/>
    <sheet name="Weekly Tracker" sheetId="48" r:id="rId4"/>
    <sheet name="Chart2" sheetId="45" r:id="rId5"/>
    <sheet name="test" sheetId="39" r:id="rId6"/>
    <sheet name="2425" sheetId="38" r:id="rId7"/>
    <sheet name="2025" sheetId="3" r:id="rId8"/>
    <sheet name="2024 fSZN" sheetId="18" r:id="rId9"/>
    <sheet name="2025QB" sheetId="33" r:id="rId10"/>
    <sheet name="2425QB" sheetId="40" r:id="rId11"/>
    <sheet name="2025RB" sheetId="34" r:id="rId12"/>
    <sheet name="2425RB" sheetId="41" r:id="rId13"/>
    <sheet name="2025WR" sheetId="35" r:id="rId14"/>
    <sheet name="2425WR" sheetId="42" r:id="rId15"/>
    <sheet name="2025TE" sheetId="36" r:id="rId16"/>
    <sheet name="2425TE" sheetId="43" r:id="rId17"/>
    <sheet name="QB" sheetId="24" r:id="rId18"/>
    <sheet name="RB" sheetId="25" r:id="rId19"/>
    <sheet name="WR" sheetId="23" r:id="rId20"/>
    <sheet name="TE" sheetId="26" r:id="rId21"/>
    <sheet name="Data" sheetId="1" r:id="rId22"/>
    <sheet name="2025 WR DD" sheetId="2" r:id="rId23"/>
    <sheet name="2024 WR DD fZSN" sheetId="19" r:id="rId24"/>
    <sheet name="Depth Charts" sheetId="20" r:id="rId25"/>
    <sheet name="Position Log" sheetId="27" r:id="rId26"/>
  </sheets>
  <calcPr calcId="191029"/>
  <pivotCaches>
    <pivotCache cacheId="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8" i="3"/>
  <c r="E8" i="3"/>
  <c r="R25" i="48"/>
  <c r="AI64" i="1"/>
  <c r="AJ64" i="1"/>
  <c r="AI592" i="1"/>
  <c r="AJ592" i="1"/>
  <c r="AI482" i="1"/>
  <c r="AJ482" i="1"/>
  <c r="AI438" i="1"/>
  <c r="AJ438" i="1"/>
  <c r="AI460" i="1"/>
  <c r="AJ460" i="1"/>
  <c r="AI372" i="1"/>
  <c r="AJ372" i="1"/>
  <c r="AI262" i="1"/>
  <c r="AJ262" i="1"/>
  <c r="AI218" i="1"/>
  <c r="AJ218" i="1"/>
  <c r="AI130" i="1"/>
  <c r="AJ130" i="1"/>
  <c r="AI240" i="1"/>
  <c r="AJ240" i="1"/>
  <c r="AI306" i="1"/>
  <c r="AJ306" i="1"/>
  <c r="AI284" i="1"/>
  <c r="AJ284" i="1"/>
  <c r="AI196" i="1"/>
  <c r="AJ196" i="1"/>
  <c r="AI174" i="1"/>
  <c r="AJ174" i="1"/>
  <c r="AI152" i="1"/>
  <c r="AJ152" i="1"/>
  <c r="AI86" i="1"/>
  <c r="AJ86" i="1"/>
  <c r="AI548" i="1"/>
  <c r="AJ548" i="1"/>
  <c r="AI526" i="1"/>
  <c r="AJ526" i="1"/>
  <c r="AI504" i="1"/>
  <c r="AJ504" i="1"/>
  <c r="AI42" i="1"/>
  <c r="AJ42" i="1"/>
  <c r="AI20" i="1"/>
  <c r="AJ20" i="1"/>
  <c r="AI394" i="1"/>
  <c r="AJ394" i="1"/>
  <c r="AI416" i="1"/>
  <c r="AJ416" i="1"/>
  <c r="AI350" i="1"/>
  <c r="AJ350" i="1"/>
  <c r="AI328" i="1"/>
  <c r="AJ328" i="1"/>
  <c r="AI680" i="1"/>
  <c r="AJ680" i="1"/>
  <c r="AI570" i="1"/>
  <c r="AJ570" i="1"/>
  <c r="AI702" i="1"/>
  <c r="AJ702" i="1"/>
  <c r="AI636" i="1"/>
  <c r="AJ636" i="1"/>
  <c r="AI614" i="1"/>
  <c r="AJ614" i="1"/>
  <c r="AI658" i="1"/>
  <c r="AJ658" i="1"/>
  <c r="AI108" i="1"/>
  <c r="AJ108" i="1"/>
  <c r="C4" i="3"/>
  <c r="AI393" i="1"/>
  <c r="AJ393" i="1"/>
  <c r="P43" i="1"/>
  <c r="AV4" i="3" s="1"/>
  <c r="AI4" i="38" s="1"/>
  <c r="AI41" i="1"/>
  <c r="AJ41" i="1"/>
  <c r="AI635" i="1"/>
  <c r="AJ635" i="1"/>
  <c r="AI129" i="1"/>
  <c r="AJ129" i="1"/>
  <c r="AI85" i="1"/>
  <c r="AJ85" i="1"/>
  <c r="AI569" i="1"/>
  <c r="AJ569" i="1"/>
  <c r="AI525" i="1"/>
  <c r="AJ525" i="1"/>
  <c r="AI415" i="1"/>
  <c r="AJ415" i="1"/>
  <c r="AI613" i="1"/>
  <c r="AJ613" i="1"/>
  <c r="AI107" i="1"/>
  <c r="AJ107" i="1"/>
  <c r="AI327" i="1"/>
  <c r="AJ327" i="1"/>
  <c r="AI305" i="1"/>
  <c r="AJ305" i="1"/>
  <c r="AI547" i="1"/>
  <c r="AJ547" i="1"/>
  <c r="AI481" i="1"/>
  <c r="AJ481" i="1"/>
  <c r="AI437" i="1"/>
  <c r="AJ437" i="1"/>
  <c r="AI657" i="1"/>
  <c r="AJ657" i="1"/>
  <c r="AI679" i="1"/>
  <c r="AJ679" i="1"/>
  <c r="AI503" i="1"/>
  <c r="AJ503" i="1"/>
  <c r="AI151" i="1"/>
  <c r="AJ151" i="1"/>
  <c r="AI19" i="1"/>
  <c r="AJ19" i="1"/>
  <c r="AI591" i="1"/>
  <c r="AJ591" i="1"/>
  <c r="AI173" i="1"/>
  <c r="AJ173" i="1"/>
  <c r="AI63" i="1"/>
  <c r="AJ63" i="1"/>
  <c r="AI261" i="1"/>
  <c r="AJ261" i="1"/>
  <c r="AI371" i="1"/>
  <c r="AJ371" i="1"/>
  <c r="AI283" i="1"/>
  <c r="AJ283" i="1"/>
  <c r="AI349" i="1"/>
  <c r="AJ349" i="1"/>
  <c r="AI217" i="1"/>
  <c r="AJ217" i="1"/>
  <c r="AI239" i="1"/>
  <c r="AJ239" i="1"/>
  <c r="AI459" i="1"/>
  <c r="AJ459" i="1"/>
  <c r="AI701" i="1"/>
  <c r="AJ701" i="1"/>
  <c r="AI195" i="1"/>
  <c r="AJ195" i="1"/>
  <c r="AI304" i="1"/>
  <c r="AJ304" i="1"/>
  <c r="AI634" i="1"/>
  <c r="AJ634" i="1"/>
  <c r="AI216" i="1"/>
  <c r="AJ216" i="1"/>
  <c r="P329" i="1"/>
  <c r="AV17" i="3" s="1"/>
  <c r="AI17" i="38" s="1"/>
  <c r="AI326" i="1"/>
  <c r="AJ326" i="1"/>
  <c r="AI260" i="1"/>
  <c r="AJ260" i="1"/>
  <c r="AI128" i="1"/>
  <c r="AJ128" i="1"/>
  <c r="AI172" i="1"/>
  <c r="AJ172" i="1"/>
  <c r="AI84" i="1"/>
  <c r="AJ84" i="1"/>
  <c r="M21" i="1"/>
  <c r="AL3" i="3" s="1"/>
  <c r="Y3" i="38" s="1"/>
  <c r="AI40" i="1"/>
  <c r="AI43" i="1" s="1"/>
  <c r="AJ40" i="1"/>
  <c r="AI18" i="1"/>
  <c r="AJ18" i="1"/>
  <c r="AI62" i="1"/>
  <c r="AJ62" i="1"/>
  <c r="AI480" i="1"/>
  <c r="AJ480" i="1"/>
  <c r="AI282" i="1"/>
  <c r="AJ282" i="1"/>
  <c r="AI414" i="1"/>
  <c r="AJ414" i="1"/>
  <c r="AI590" i="1"/>
  <c r="AJ590" i="1"/>
  <c r="AI238" i="1"/>
  <c r="AJ238" i="1"/>
  <c r="AI106" i="1"/>
  <c r="AJ106" i="1"/>
  <c r="AI656" i="1"/>
  <c r="AJ656" i="1"/>
  <c r="AI546" i="1"/>
  <c r="AJ546" i="1"/>
  <c r="AI502" i="1"/>
  <c r="AJ502" i="1"/>
  <c r="AI524" i="1"/>
  <c r="AJ524" i="1"/>
  <c r="AI458" i="1"/>
  <c r="AJ458" i="1"/>
  <c r="AI436" i="1"/>
  <c r="AJ436" i="1"/>
  <c r="AI150" i="1"/>
  <c r="AJ150" i="1"/>
  <c r="AI194" i="1"/>
  <c r="AJ194" i="1"/>
  <c r="R373" i="1"/>
  <c r="AM54" i="3" s="1"/>
  <c r="Z54" i="38" s="1"/>
  <c r="AI370" i="1"/>
  <c r="AJ370" i="1"/>
  <c r="O351" i="1"/>
  <c r="AU18" i="3" s="1"/>
  <c r="AH18" i="38" s="1"/>
  <c r="AI348" i="1"/>
  <c r="AJ348" i="1"/>
  <c r="AI678" i="1"/>
  <c r="AJ678" i="1"/>
  <c r="AI700" i="1"/>
  <c r="AJ700" i="1"/>
  <c r="AI568" i="1"/>
  <c r="AJ568" i="1"/>
  <c r="AI392" i="1"/>
  <c r="AJ392" i="1"/>
  <c r="AI612" i="1"/>
  <c r="AJ612" i="1"/>
  <c r="M25" i="48"/>
  <c r="H25" i="48"/>
  <c r="C25" i="48"/>
  <c r="AI589" i="1"/>
  <c r="AJ589" i="1"/>
  <c r="AI435" i="1"/>
  <c r="AJ435" i="1"/>
  <c r="AI523" i="1"/>
  <c r="AJ523" i="1"/>
  <c r="AI699" i="1"/>
  <c r="AJ699" i="1"/>
  <c r="AI677" i="1"/>
  <c r="AJ677" i="1"/>
  <c r="AI633" i="1"/>
  <c r="AJ633" i="1"/>
  <c r="AI611" i="1"/>
  <c r="AJ611" i="1"/>
  <c r="AI303" i="1"/>
  <c r="AJ303" i="1"/>
  <c r="AI193" i="1"/>
  <c r="AJ193" i="1"/>
  <c r="AI457" i="1"/>
  <c r="AJ457" i="1"/>
  <c r="AI501" i="1"/>
  <c r="AJ501" i="1"/>
  <c r="AI105" i="1"/>
  <c r="AJ105" i="1"/>
  <c r="AI237" i="1"/>
  <c r="AJ237" i="1"/>
  <c r="AI391" i="1"/>
  <c r="AI395" i="1" s="1"/>
  <c r="AJ391" i="1"/>
  <c r="AI413" i="1"/>
  <c r="AJ413" i="1"/>
  <c r="AI567" i="1"/>
  <c r="AJ567" i="1"/>
  <c r="AI545" i="1"/>
  <c r="AJ545" i="1"/>
  <c r="AI325" i="1"/>
  <c r="AJ325" i="1"/>
  <c r="AI259" i="1"/>
  <c r="AJ259" i="1"/>
  <c r="AI215" i="1"/>
  <c r="AJ215" i="1"/>
  <c r="AI281" i="1"/>
  <c r="AJ281" i="1"/>
  <c r="AI17" i="1"/>
  <c r="AJ17" i="1"/>
  <c r="AI83" i="1"/>
  <c r="AJ83" i="1"/>
  <c r="AI479" i="1"/>
  <c r="AJ479" i="1"/>
  <c r="AI369" i="1"/>
  <c r="AJ369" i="1"/>
  <c r="AI347" i="1"/>
  <c r="AJ347" i="1"/>
  <c r="AI61" i="1"/>
  <c r="AJ61" i="1"/>
  <c r="AI149" i="1"/>
  <c r="AJ149" i="1"/>
  <c r="AI171" i="1"/>
  <c r="AJ171" i="1"/>
  <c r="AI127" i="1"/>
  <c r="AJ127" i="1"/>
  <c r="AI39" i="1"/>
  <c r="AJ39" i="1"/>
  <c r="AI655" i="1"/>
  <c r="AJ655" i="1"/>
  <c r="G208" i="47"/>
  <c r="G33" i="47"/>
  <c r="G71" i="47"/>
  <c r="G244" i="47"/>
  <c r="G420" i="47"/>
  <c r="G321" i="47"/>
  <c r="G355" i="47"/>
  <c r="G171" i="47"/>
  <c r="G384" i="47"/>
  <c r="G410" i="47"/>
  <c r="G174" i="47"/>
  <c r="G202" i="47"/>
  <c r="G213" i="47"/>
  <c r="G287" i="47"/>
  <c r="G126" i="47"/>
  <c r="G426" i="47"/>
  <c r="G149" i="47"/>
  <c r="G138" i="47"/>
  <c r="G80" i="47"/>
  <c r="G412" i="47"/>
  <c r="G431" i="47"/>
  <c r="G311" i="47"/>
  <c r="G304" i="47"/>
  <c r="G106" i="47"/>
  <c r="G391" i="47"/>
  <c r="G243" i="47"/>
  <c r="G260" i="47"/>
  <c r="G73" i="47"/>
  <c r="G27" i="47"/>
  <c r="G205" i="47"/>
  <c r="G387" i="47"/>
  <c r="G397" i="47"/>
  <c r="G419" i="47"/>
  <c r="G249" i="47"/>
  <c r="G269" i="47"/>
  <c r="G383" i="47"/>
  <c r="G92" i="47"/>
  <c r="G293" i="47"/>
  <c r="G57" i="47"/>
  <c r="G302" i="47"/>
  <c r="G272" i="47"/>
  <c r="G38" i="47"/>
  <c r="G442" i="47"/>
  <c r="G235" i="47"/>
  <c r="G34" i="47"/>
  <c r="G441" i="47"/>
  <c r="G76" i="47"/>
  <c r="G411" i="47"/>
  <c r="G447" i="47"/>
  <c r="G228" i="47"/>
  <c r="G122" i="47"/>
  <c r="G274" i="47"/>
  <c r="G276" i="47"/>
  <c r="G344" i="47"/>
  <c r="G47" i="47"/>
  <c r="G329" i="47"/>
  <c r="G430" i="47"/>
  <c r="G446" i="47"/>
  <c r="G265" i="47"/>
  <c r="G415" i="47"/>
  <c r="G204" i="47"/>
  <c r="G309" i="47"/>
  <c r="G131" i="47"/>
  <c r="G172" i="47"/>
  <c r="G307" i="47"/>
  <c r="G56" i="47"/>
  <c r="G179" i="47"/>
  <c r="G61" i="47"/>
  <c r="G372" i="47"/>
  <c r="G104" i="47"/>
  <c r="G392" i="47"/>
  <c r="G318" i="47"/>
  <c r="G162" i="47"/>
  <c r="G301" i="47"/>
  <c r="G257" i="47"/>
  <c r="G371" i="47"/>
  <c r="G177" i="47"/>
  <c r="G267" i="47"/>
  <c r="G158" i="47"/>
  <c r="G161" i="47"/>
  <c r="G90" i="47"/>
  <c r="G5" i="47"/>
  <c r="G123" i="47"/>
  <c r="G296" i="47"/>
  <c r="G404" i="47"/>
  <c r="G238" i="47"/>
  <c r="G17" i="47"/>
  <c r="G187" i="47"/>
  <c r="G271" i="47"/>
  <c r="G365" i="47"/>
  <c r="G247" i="47"/>
  <c r="G186" i="47"/>
  <c r="G315" i="47"/>
  <c r="G224" i="47"/>
  <c r="G377" i="47"/>
  <c r="G137" i="47"/>
  <c r="G63" i="47"/>
  <c r="G67" i="47"/>
  <c r="G352" i="47"/>
  <c r="G427" i="47"/>
  <c r="G210" i="47"/>
  <c r="G300" i="47"/>
  <c r="G393" i="47"/>
  <c r="G155" i="47"/>
  <c r="G46" i="47"/>
  <c r="G192" i="47"/>
  <c r="G230" i="47"/>
  <c r="G43" i="47"/>
  <c r="G68" i="47"/>
  <c r="G341" i="47"/>
  <c r="G357" i="47"/>
  <c r="G102" i="47"/>
  <c r="G209" i="47"/>
  <c r="G21" i="47"/>
  <c r="G15" i="47"/>
  <c r="G141" i="47"/>
  <c r="G308" i="47"/>
  <c r="G347" i="47"/>
  <c r="G240" i="47"/>
  <c r="G343" i="47"/>
  <c r="G305" i="47"/>
  <c r="G362" i="47"/>
  <c r="G399" i="47"/>
  <c r="G103" i="47"/>
  <c r="G295" i="47"/>
  <c r="G87" i="47"/>
  <c r="G332" i="47"/>
  <c r="G286" i="47"/>
  <c r="G322" i="47"/>
  <c r="G18" i="47"/>
  <c r="G16" i="47"/>
  <c r="G129" i="47"/>
  <c r="G166" i="47"/>
  <c r="G169" i="47"/>
  <c r="G156" i="47"/>
  <c r="G163" i="47"/>
  <c r="G297" i="47"/>
  <c r="G79" i="47"/>
  <c r="G445" i="47"/>
  <c r="G413" i="47"/>
  <c r="G246" i="47"/>
  <c r="G376" i="47"/>
  <c r="G53" i="47"/>
  <c r="G147" i="47"/>
  <c r="G124" i="47"/>
  <c r="G59" i="47"/>
  <c r="G259" i="47"/>
  <c r="G326" i="47"/>
  <c r="G44" i="47"/>
  <c r="G130" i="47"/>
  <c r="G133" i="47"/>
  <c r="G217" i="47"/>
  <c r="G191" i="47"/>
  <c r="G278" i="47"/>
  <c r="G398" i="47"/>
  <c r="G268" i="47"/>
  <c r="G416" i="47"/>
  <c r="G361" i="47"/>
  <c r="G55" i="47"/>
  <c r="G145" i="47"/>
  <c r="G83" i="47"/>
  <c r="G42" i="47"/>
  <c r="G334" i="47"/>
  <c r="G232" i="47"/>
  <c r="G200" i="47"/>
  <c r="G211" i="47"/>
  <c r="G54" i="47"/>
  <c r="G60" i="47"/>
  <c r="G368" i="47"/>
  <c r="G140" i="47"/>
  <c r="G264" i="47"/>
  <c r="G331" i="47"/>
  <c r="G336" i="47"/>
  <c r="G152" i="47"/>
  <c r="G351" i="47"/>
  <c r="G98" i="47"/>
  <c r="G23" i="47"/>
  <c r="G176" i="47"/>
  <c r="G382" i="47"/>
  <c r="G164" i="47"/>
  <c r="G423" i="47"/>
  <c r="G438" i="47"/>
  <c r="G291" i="47"/>
  <c r="G374" i="47"/>
  <c r="G175" i="47"/>
  <c r="G333" i="47"/>
  <c r="G199" i="47"/>
  <c r="G381" i="47"/>
  <c r="G195" i="47"/>
  <c r="G37" i="47"/>
  <c r="G14" i="47"/>
  <c r="G437" i="47"/>
  <c r="G345" i="47"/>
  <c r="G180" i="47"/>
  <c r="G113" i="47"/>
  <c r="G185" i="47"/>
  <c r="G128" i="47"/>
  <c r="G135" i="47"/>
  <c r="G340" i="47"/>
  <c r="G201" i="47"/>
  <c r="G439" i="47"/>
  <c r="G8" i="47"/>
  <c r="G236" i="47"/>
  <c r="G26" i="47"/>
  <c r="G30" i="47"/>
  <c r="G234" i="47"/>
  <c r="G97" i="47"/>
  <c r="G52" i="47"/>
  <c r="G170" i="47"/>
  <c r="G75" i="47"/>
  <c r="G354" i="47"/>
  <c r="G111" i="47"/>
  <c r="G282" i="47"/>
  <c r="G402" i="47"/>
  <c r="G285" i="47"/>
  <c r="G125" i="47"/>
  <c r="G422" i="47"/>
  <c r="G440" i="47"/>
  <c r="G350" i="47"/>
  <c r="G401" i="47"/>
  <c r="G58" i="47"/>
  <c r="G40" i="47"/>
  <c r="G196" i="47"/>
  <c r="G51" i="47"/>
  <c r="G151" i="47"/>
  <c r="G74" i="47"/>
  <c r="G428" i="47"/>
  <c r="G183" i="47"/>
  <c r="G157" i="47"/>
  <c r="G227" i="47"/>
  <c r="G306" i="47"/>
  <c r="G226" i="47"/>
  <c r="G146" i="47"/>
  <c r="G418" i="47"/>
  <c r="G349" i="47"/>
  <c r="G273" i="47"/>
  <c r="G380" i="47"/>
  <c r="G369" i="47"/>
  <c r="G105" i="47"/>
  <c r="G39" i="47"/>
  <c r="G108" i="47"/>
  <c r="G379" i="47"/>
  <c r="G328" i="47"/>
  <c r="G233" i="47"/>
  <c r="G251" i="47"/>
  <c r="G248" i="47"/>
  <c r="G444" i="47"/>
  <c r="G62" i="47"/>
  <c r="G188" i="47"/>
  <c r="G190" i="47"/>
  <c r="G112" i="47"/>
  <c r="G280" i="47"/>
  <c r="G45" i="47"/>
  <c r="G150" i="47"/>
  <c r="G41" i="47"/>
  <c r="G207" i="47"/>
  <c r="G378" i="47"/>
  <c r="G346" i="47"/>
  <c r="G290" i="47"/>
  <c r="G284" i="47"/>
  <c r="G348" i="47"/>
  <c r="G281" i="47"/>
  <c r="G10" i="47"/>
  <c r="G9" i="47"/>
  <c r="G218" i="47"/>
  <c r="G116" i="47"/>
  <c r="G100" i="47"/>
  <c r="G338" i="47"/>
  <c r="G254" i="47"/>
  <c r="G198" i="47"/>
  <c r="G327" i="47"/>
  <c r="G178" i="47"/>
  <c r="G148" i="47"/>
  <c r="G256" i="47"/>
  <c r="G405" i="47"/>
  <c r="G325" i="47"/>
  <c r="G337" i="47"/>
  <c r="G394" i="47"/>
  <c r="G159" i="47"/>
  <c r="G24" i="47"/>
  <c r="G91" i="47"/>
  <c r="G370" i="47"/>
  <c r="G219" i="47"/>
  <c r="G294" i="47"/>
  <c r="G11" i="47"/>
  <c r="G421" i="47"/>
  <c r="G50" i="47"/>
  <c r="G25" i="47"/>
  <c r="G221" i="47"/>
  <c r="G443" i="47"/>
  <c r="G316" i="47"/>
  <c r="G252" i="47"/>
  <c r="G373" i="47"/>
  <c r="G255" i="47"/>
  <c r="G223" i="47"/>
  <c r="G261" i="47"/>
  <c r="G110" i="47"/>
  <c r="G7" i="47"/>
  <c r="G375" i="47"/>
  <c r="G299" i="47"/>
  <c r="G407" i="47"/>
  <c r="G64" i="47"/>
  <c r="G134" i="47"/>
  <c r="G88" i="47"/>
  <c r="G434" i="47"/>
  <c r="G13" i="47"/>
  <c r="G144" i="47"/>
  <c r="G242" i="47"/>
  <c r="G3" i="47"/>
  <c r="G270" i="47"/>
  <c r="G167" i="47"/>
  <c r="G93" i="47"/>
  <c r="G417" i="47"/>
  <c r="G49" i="47"/>
  <c r="G324" i="47"/>
  <c r="G101" i="47"/>
  <c r="G66" i="47"/>
  <c r="G389" i="47"/>
  <c r="G118" i="47"/>
  <c r="G143" i="47"/>
  <c r="G72" i="47"/>
  <c r="G203" i="47"/>
  <c r="G109" i="47"/>
  <c r="G279" i="47"/>
  <c r="G250" i="47"/>
  <c r="G4" i="47"/>
  <c r="G317" i="47"/>
  <c r="G212" i="47"/>
  <c r="G94" i="47"/>
  <c r="G142" i="47"/>
  <c r="G292" i="47"/>
  <c r="G283" i="47"/>
  <c r="G275" i="47"/>
  <c r="G154" i="47"/>
  <c r="G385" i="47"/>
  <c r="G253" i="47"/>
  <c r="G258" i="47"/>
  <c r="G189" i="47"/>
  <c r="G84" i="47"/>
  <c r="G263" i="47"/>
  <c r="G173" i="47"/>
  <c r="G6" i="47"/>
  <c r="G197" i="47"/>
  <c r="G229" i="47"/>
  <c r="G77" i="47"/>
  <c r="G310" i="47"/>
  <c r="G403" i="47"/>
  <c r="G406" i="47"/>
  <c r="G22" i="47"/>
  <c r="G165" i="47"/>
  <c r="G288" i="47"/>
  <c r="G335" i="47"/>
  <c r="G182" i="47"/>
  <c r="G82" i="47"/>
  <c r="G231" i="47"/>
  <c r="G366" i="47"/>
  <c r="G19" i="47"/>
  <c r="G69" i="47"/>
  <c r="G245" i="47"/>
  <c r="G400" i="47"/>
  <c r="G48" i="47"/>
  <c r="G314" i="47"/>
  <c r="G448" i="47"/>
  <c r="G216" i="47"/>
  <c r="G313" i="47"/>
  <c r="G127" i="47"/>
  <c r="G29" i="47"/>
  <c r="G390" i="47"/>
  <c r="G121" i="47"/>
  <c r="G237" i="47"/>
  <c r="G356" i="47"/>
  <c r="G81" i="47"/>
  <c r="G424" i="47"/>
  <c r="G193" i="47"/>
  <c r="G303" i="47"/>
  <c r="G136" i="47"/>
  <c r="G408" i="47"/>
  <c r="G120" i="47"/>
  <c r="G388" i="47"/>
  <c r="G65" i="47"/>
  <c r="G35" i="47"/>
  <c r="G364" i="47"/>
  <c r="G239" i="47"/>
  <c r="G119" i="47"/>
  <c r="G266" i="47"/>
  <c r="G89" i="47"/>
  <c r="G396" i="47"/>
  <c r="G409" i="47"/>
  <c r="G360" i="47"/>
  <c r="G153" i="47"/>
  <c r="G117" i="47"/>
  <c r="G215" i="47"/>
  <c r="G36" i="47"/>
  <c r="G214" i="47"/>
  <c r="G358" i="47"/>
  <c r="G241" i="47"/>
  <c r="G414" i="47"/>
  <c r="G86" i="47"/>
  <c r="G225" i="47"/>
  <c r="G433" i="47"/>
  <c r="G312" i="47"/>
  <c r="G436" i="47"/>
  <c r="G139" i="47"/>
  <c r="G181" i="47"/>
  <c r="G220" i="47"/>
  <c r="G342" i="47"/>
  <c r="G70" i="47"/>
  <c r="G262" i="47"/>
  <c r="G330" i="47"/>
  <c r="G363" i="47"/>
  <c r="G107" i="47"/>
  <c r="G206" i="47"/>
  <c r="G320" i="47"/>
  <c r="G222" i="47"/>
  <c r="G432" i="47"/>
  <c r="G429" i="47"/>
  <c r="G277" i="47"/>
  <c r="G12" i="47"/>
  <c r="G359" i="47"/>
  <c r="G96" i="47"/>
  <c r="G85" i="47"/>
  <c r="G31" i="47"/>
  <c r="G395" i="47"/>
  <c r="G132" i="47"/>
  <c r="G168" i="47"/>
  <c r="G95" i="47"/>
  <c r="G323" i="47"/>
  <c r="G194" i="47"/>
  <c r="G425" i="47"/>
  <c r="G114" i="47"/>
  <c r="G367" i="47"/>
  <c r="G353" i="47"/>
  <c r="G319" i="47"/>
  <c r="G160" i="47"/>
  <c r="G32" i="47"/>
  <c r="G99" i="47"/>
  <c r="G339" i="47"/>
  <c r="G386" i="47"/>
  <c r="G184" i="47"/>
  <c r="G20" i="47"/>
  <c r="G115" i="47"/>
  <c r="G78" i="47"/>
  <c r="G298" i="47"/>
  <c r="G289" i="47"/>
  <c r="G435" i="47"/>
  <c r="G28" i="47"/>
  <c r="AI368" i="1"/>
  <c r="AJ368" i="1"/>
  <c r="AI566" i="1"/>
  <c r="AJ566" i="1"/>
  <c r="AI258" i="1"/>
  <c r="AJ258" i="1"/>
  <c r="AI126" i="1"/>
  <c r="AJ126" i="1"/>
  <c r="AI214" i="1"/>
  <c r="AJ214" i="1"/>
  <c r="AI412" i="1"/>
  <c r="AJ412" i="1"/>
  <c r="AI390" i="1"/>
  <c r="AJ390" i="1"/>
  <c r="AI16" i="1"/>
  <c r="AJ16" i="1"/>
  <c r="AI280" i="1"/>
  <c r="AJ280" i="1"/>
  <c r="AI346" i="1"/>
  <c r="AJ346" i="1"/>
  <c r="AI324" i="1"/>
  <c r="AJ324" i="1"/>
  <c r="AI302" i="1"/>
  <c r="AJ302" i="1"/>
  <c r="AI60" i="1"/>
  <c r="AJ60" i="1"/>
  <c r="AI588" i="1"/>
  <c r="AJ588" i="1"/>
  <c r="AI434" i="1"/>
  <c r="AJ434" i="1"/>
  <c r="AI544" i="1"/>
  <c r="AJ544" i="1"/>
  <c r="AI500" i="1"/>
  <c r="AJ500" i="1"/>
  <c r="AI654" i="1"/>
  <c r="AJ654" i="1"/>
  <c r="AI698" i="1"/>
  <c r="AJ698" i="1"/>
  <c r="AI456" i="1"/>
  <c r="AJ456" i="1"/>
  <c r="AI82" i="1"/>
  <c r="AJ82" i="1"/>
  <c r="AI148" i="1"/>
  <c r="AJ148" i="1"/>
  <c r="AI170" i="1"/>
  <c r="AJ170" i="1"/>
  <c r="AI676" i="1"/>
  <c r="AJ676" i="1"/>
  <c r="AI610" i="1"/>
  <c r="AJ610" i="1"/>
  <c r="AI38" i="1"/>
  <c r="AJ38" i="1"/>
  <c r="AI236" i="1"/>
  <c r="AJ236" i="1"/>
  <c r="AI192" i="1"/>
  <c r="AJ192" i="1"/>
  <c r="AI521" i="1"/>
  <c r="AJ521" i="1"/>
  <c r="AI477" i="1"/>
  <c r="AJ477" i="1"/>
  <c r="AI389" i="1"/>
  <c r="AJ389" i="1"/>
  <c r="AI411" i="1"/>
  <c r="AJ411" i="1"/>
  <c r="AI367" i="1"/>
  <c r="AJ367" i="1"/>
  <c r="AI103" i="1"/>
  <c r="AJ103" i="1"/>
  <c r="AI301" i="1"/>
  <c r="AJ301" i="1"/>
  <c r="AI279" i="1"/>
  <c r="AJ279" i="1"/>
  <c r="AI433" i="1"/>
  <c r="AJ433" i="1"/>
  <c r="AI499" i="1"/>
  <c r="AJ499" i="1"/>
  <c r="AI587" i="1"/>
  <c r="AJ587" i="1"/>
  <c r="AI81" i="1"/>
  <c r="AJ81" i="1"/>
  <c r="AI213" i="1"/>
  <c r="AJ213" i="1"/>
  <c r="AI609" i="1"/>
  <c r="AJ609" i="1"/>
  <c r="AI455" i="1"/>
  <c r="AJ455" i="1"/>
  <c r="AI543" i="1"/>
  <c r="AJ543" i="1"/>
  <c r="AI37" i="1"/>
  <c r="AJ37" i="1"/>
  <c r="AI15" i="1"/>
  <c r="AJ15" i="1"/>
  <c r="AI653" i="1"/>
  <c r="AJ653" i="1"/>
  <c r="AI697" i="1"/>
  <c r="AJ697" i="1"/>
  <c r="AI675" i="1"/>
  <c r="AJ675" i="1"/>
  <c r="AI323" i="1"/>
  <c r="AJ323" i="1"/>
  <c r="AI169" i="1"/>
  <c r="AJ169" i="1"/>
  <c r="AI631" i="1"/>
  <c r="AJ631" i="1"/>
  <c r="AI565" i="1"/>
  <c r="AJ565" i="1"/>
  <c r="AI125" i="1"/>
  <c r="AJ125" i="1"/>
  <c r="AI59" i="1"/>
  <c r="AJ59" i="1"/>
  <c r="AI147" i="1"/>
  <c r="AJ147" i="1"/>
  <c r="AI191" i="1"/>
  <c r="AJ191" i="1"/>
  <c r="AI345" i="1"/>
  <c r="AJ345" i="1"/>
  <c r="AI257" i="1"/>
  <c r="AJ257" i="1"/>
  <c r="AI235" i="1"/>
  <c r="AJ235" i="1"/>
  <c r="B39" i="3"/>
  <c r="C5" i="3"/>
  <c r="B40" i="3" s="1"/>
  <c r="C7" i="3"/>
  <c r="B42" i="3" s="1"/>
  <c r="C9" i="3"/>
  <c r="B44" i="3" s="1"/>
  <c r="C10" i="3"/>
  <c r="B45" i="3" s="1"/>
  <c r="C11" i="3"/>
  <c r="B46" i="3" s="1"/>
  <c r="C12" i="3"/>
  <c r="B47" i="3" s="1"/>
  <c r="C13" i="3"/>
  <c r="B48" i="3" s="1"/>
  <c r="C14" i="3"/>
  <c r="B49" i="3" s="1"/>
  <c r="C15" i="3"/>
  <c r="C16" i="3"/>
  <c r="B51" i="3" s="1"/>
  <c r="C17" i="3"/>
  <c r="B52" i="3" s="1"/>
  <c r="C18" i="3"/>
  <c r="B53" i="3" s="1"/>
  <c r="C19" i="3"/>
  <c r="B54" i="3" s="1"/>
  <c r="C20" i="3"/>
  <c r="B55" i="3" s="1"/>
  <c r="C21" i="3"/>
  <c r="B56" i="3" s="1"/>
  <c r="C22" i="3"/>
  <c r="B57" i="3" s="1"/>
  <c r="C23" i="3"/>
  <c r="B58" i="3" s="1"/>
  <c r="C24" i="3"/>
  <c r="B59" i="3" s="1"/>
  <c r="C25" i="3"/>
  <c r="B60" i="3" s="1"/>
  <c r="C26" i="3"/>
  <c r="B61" i="3" s="1"/>
  <c r="C27" i="3"/>
  <c r="B62" i="3" s="1"/>
  <c r="C28" i="3"/>
  <c r="B63" i="3" s="1"/>
  <c r="C29" i="3"/>
  <c r="B64" i="3" s="1"/>
  <c r="C30" i="3"/>
  <c r="B65" i="3" s="1"/>
  <c r="C31" i="3"/>
  <c r="B66" i="3" s="1"/>
  <c r="C32" i="3"/>
  <c r="B67" i="3" s="1"/>
  <c r="C33" i="3"/>
  <c r="B68" i="3" s="1"/>
  <c r="C34" i="3"/>
  <c r="B69" i="3" s="1"/>
  <c r="C3" i="3"/>
  <c r="B38" i="3" s="1"/>
  <c r="E4" i="3"/>
  <c r="F63" i="36" s="1"/>
  <c r="E5" i="3"/>
  <c r="E6" i="3"/>
  <c r="F9" i="24" s="1"/>
  <c r="J9" i="24" s="1" a="1"/>
  <c r="J9" i="24" s="1"/>
  <c r="E7" i="3"/>
  <c r="E9" i="3"/>
  <c r="E10" i="3"/>
  <c r="E11" i="3"/>
  <c r="E12" i="3"/>
  <c r="E13" i="3"/>
  <c r="E14" i="3"/>
  <c r="F66" i="40" s="1"/>
  <c r="E15" i="3"/>
  <c r="E16" i="3"/>
  <c r="E17" i="3"/>
  <c r="E18" i="3"/>
  <c r="F194" i="42" s="1"/>
  <c r="E19" i="3"/>
  <c r="F62" i="42" s="1"/>
  <c r="E20" i="3"/>
  <c r="E21" i="3"/>
  <c r="E22" i="3"/>
  <c r="E23" i="3"/>
  <c r="E24" i="3"/>
  <c r="E25" i="3"/>
  <c r="E26" i="3"/>
  <c r="E27" i="3"/>
  <c r="E28" i="3"/>
  <c r="F51" i="42" s="1"/>
  <c r="E29" i="3"/>
  <c r="E30" i="3"/>
  <c r="F90" i="43" s="1"/>
  <c r="E31" i="3"/>
  <c r="E32" i="3"/>
  <c r="F58" i="43" s="1"/>
  <c r="E33" i="3"/>
  <c r="E34" i="3"/>
  <c r="E3" i="3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38" i="38"/>
  <c r="AI630" i="1"/>
  <c r="AJ630" i="1"/>
  <c r="AI102" i="1"/>
  <c r="AJ102" i="1"/>
  <c r="AI344" i="1"/>
  <c r="AJ344" i="1"/>
  <c r="AI300" i="1"/>
  <c r="AJ300" i="1"/>
  <c r="AI454" i="1"/>
  <c r="AJ454" i="1"/>
  <c r="AI256" i="1"/>
  <c r="AJ256" i="1"/>
  <c r="AI234" i="1"/>
  <c r="AJ234" i="1"/>
  <c r="AI520" i="1"/>
  <c r="AJ520" i="1"/>
  <c r="AI498" i="1"/>
  <c r="AJ498" i="1"/>
  <c r="AI36" i="1"/>
  <c r="AJ36" i="1"/>
  <c r="AI14" i="1"/>
  <c r="AJ14" i="1"/>
  <c r="AJ322" i="1"/>
  <c r="AI322" i="1"/>
  <c r="AI58" i="1"/>
  <c r="AJ58" i="1"/>
  <c r="AI542" i="1"/>
  <c r="AJ542" i="1"/>
  <c r="AI564" i="1"/>
  <c r="AJ564" i="1"/>
  <c r="AI190" i="1"/>
  <c r="AJ190" i="1"/>
  <c r="AI168" i="1"/>
  <c r="AJ168" i="1"/>
  <c r="AI410" i="1"/>
  <c r="AJ410" i="1"/>
  <c r="AI388" i="1"/>
  <c r="AJ388" i="1"/>
  <c r="AI652" i="1"/>
  <c r="AJ652" i="1"/>
  <c r="AI608" i="1"/>
  <c r="AJ608" i="1"/>
  <c r="AI674" i="1"/>
  <c r="AJ674" i="1"/>
  <c r="AI146" i="1"/>
  <c r="AJ146" i="1"/>
  <c r="AI476" i="1"/>
  <c r="AJ476" i="1"/>
  <c r="AI586" i="1"/>
  <c r="AJ586" i="1"/>
  <c r="AI124" i="1"/>
  <c r="AJ124" i="1"/>
  <c r="AI278" i="1"/>
  <c r="AJ278" i="1"/>
  <c r="AI80" i="1"/>
  <c r="AJ80" i="1"/>
  <c r="AI189" i="1"/>
  <c r="AJ189" i="1"/>
  <c r="AI409" i="1"/>
  <c r="AJ409" i="1"/>
  <c r="AI563" i="1"/>
  <c r="AJ563" i="1"/>
  <c r="AI365" i="1"/>
  <c r="AJ365" i="1"/>
  <c r="AI321" i="1"/>
  <c r="AJ321" i="1"/>
  <c r="AI233" i="1"/>
  <c r="AJ233" i="1"/>
  <c r="AI255" i="1"/>
  <c r="AJ255" i="1"/>
  <c r="AI519" i="1"/>
  <c r="AJ519" i="1"/>
  <c r="AI387" i="1"/>
  <c r="AJ387" i="1"/>
  <c r="AI607" i="1"/>
  <c r="AJ607" i="1"/>
  <c r="AI585" i="1"/>
  <c r="AJ585" i="1"/>
  <c r="AI145" i="1"/>
  <c r="AJ145" i="1"/>
  <c r="AI123" i="1"/>
  <c r="AJ123" i="1"/>
  <c r="AI453" i="1"/>
  <c r="AJ453" i="1"/>
  <c r="AI343" i="1"/>
  <c r="AJ343" i="1"/>
  <c r="AI211" i="1"/>
  <c r="AJ211" i="1"/>
  <c r="AI167" i="1"/>
  <c r="AJ167" i="1"/>
  <c r="AI57" i="1"/>
  <c r="AJ57" i="1"/>
  <c r="AI79" i="1"/>
  <c r="AJ79" i="1"/>
  <c r="AI651" i="1"/>
  <c r="AJ651" i="1"/>
  <c r="AI629" i="1"/>
  <c r="AJ629" i="1"/>
  <c r="AI13" i="1"/>
  <c r="AJ13" i="1"/>
  <c r="AI35" i="1"/>
  <c r="AJ35" i="1"/>
  <c r="AI101" i="1"/>
  <c r="AJ101" i="1"/>
  <c r="AI277" i="1"/>
  <c r="AJ277" i="1"/>
  <c r="AI673" i="1"/>
  <c r="AJ673" i="1"/>
  <c r="AI695" i="1"/>
  <c r="AJ695" i="1"/>
  <c r="AI431" i="1"/>
  <c r="AJ431" i="1"/>
  <c r="AI475" i="1"/>
  <c r="AJ475" i="1"/>
  <c r="AI541" i="1"/>
  <c r="AJ541" i="1"/>
  <c r="AI254" i="1"/>
  <c r="AJ254" i="1"/>
  <c r="AI562" i="1"/>
  <c r="AJ562" i="1"/>
  <c r="AI430" i="1"/>
  <c r="AJ430" i="1"/>
  <c r="AI78" i="1"/>
  <c r="AJ78" i="1"/>
  <c r="AI166" i="1"/>
  <c r="AJ166" i="1"/>
  <c r="AI540" i="1"/>
  <c r="AJ540" i="1"/>
  <c r="AI408" i="1"/>
  <c r="AJ408" i="1"/>
  <c r="AI210" i="1"/>
  <c r="AJ210" i="1"/>
  <c r="AI56" i="1"/>
  <c r="AJ56" i="1"/>
  <c r="AI100" i="1"/>
  <c r="AJ100" i="1"/>
  <c r="AI452" i="1"/>
  <c r="AJ452" i="1"/>
  <c r="AI496" i="1"/>
  <c r="AJ496" i="1"/>
  <c r="AI518" i="1"/>
  <c r="AJ518" i="1"/>
  <c r="AI122" i="1"/>
  <c r="AJ122" i="1"/>
  <c r="AI320" i="1"/>
  <c r="AJ320" i="1"/>
  <c r="AI276" i="1"/>
  <c r="AJ276" i="1"/>
  <c r="AI298" i="1"/>
  <c r="AJ298" i="1"/>
  <c r="AI34" i="1"/>
  <c r="AJ34" i="1"/>
  <c r="AI12" i="1"/>
  <c r="AJ12" i="1"/>
  <c r="AI606" i="1"/>
  <c r="AJ606" i="1"/>
  <c r="AI474" i="1"/>
  <c r="AJ474" i="1"/>
  <c r="AI650" i="1"/>
  <c r="AJ650" i="1"/>
  <c r="AI628" i="1"/>
  <c r="AJ628" i="1"/>
  <c r="AI386" i="1"/>
  <c r="AJ386" i="1"/>
  <c r="AI584" i="1"/>
  <c r="AJ584" i="1"/>
  <c r="AI364" i="1"/>
  <c r="AJ364" i="1"/>
  <c r="AI232" i="1"/>
  <c r="AJ232" i="1"/>
  <c r="AI694" i="1"/>
  <c r="AJ694" i="1"/>
  <c r="AI187" i="1"/>
  <c r="AJ187" i="1"/>
  <c r="AI11" i="1"/>
  <c r="AJ11" i="1"/>
  <c r="AI495" i="1"/>
  <c r="AJ495" i="1"/>
  <c r="AI385" i="1"/>
  <c r="AJ385" i="1"/>
  <c r="AI407" i="1"/>
  <c r="AJ407" i="1"/>
  <c r="AI319" i="1"/>
  <c r="AJ319" i="1"/>
  <c r="AI451" i="1"/>
  <c r="AJ451" i="1"/>
  <c r="AI231" i="1"/>
  <c r="AJ231" i="1"/>
  <c r="AI33" i="1"/>
  <c r="AJ33" i="1"/>
  <c r="AI473" i="1"/>
  <c r="AJ473" i="1"/>
  <c r="AI429" i="1"/>
  <c r="AJ429" i="1"/>
  <c r="AI55" i="1"/>
  <c r="AJ55" i="1"/>
  <c r="AI143" i="1"/>
  <c r="AJ143" i="1"/>
  <c r="AI121" i="1"/>
  <c r="AJ121" i="1"/>
  <c r="AI253" i="1"/>
  <c r="AJ253" i="1"/>
  <c r="AI99" i="1"/>
  <c r="AJ99" i="1"/>
  <c r="AI341" i="1"/>
  <c r="AJ341" i="1"/>
  <c r="AI77" i="1"/>
  <c r="AJ77" i="1"/>
  <c r="AI209" i="1"/>
  <c r="AJ209" i="1"/>
  <c r="AI275" i="1"/>
  <c r="AJ275" i="1"/>
  <c r="AI297" i="1"/>
  <c r="AJ297" i="1"/>
  <c r="AI583" i="1"/>
  <c r="AJ583" i="1"/>
  <c r="AI627" i="1"/>
  <c r="AJ627" i="1"/>
  <c r="AI517" i="1"/>
  <c r="AJ517" i="1"/>
  <c r="AI363" i="1"/>
  <c r="AJ363" i="1"/>
  <c r="AI671" i="1"/>
  <c r="AJ671" i="1"/>
  <c r="AI605" i="1"/>
  <c r="AJ605" i="1"/>
  <c r="AI693" i="1"/>
  <c r="AJ693" i="1"/>
  <c r="AI340" i="1"/>
  <c r="AJ340" i="1"/>
  <c r="AI692" i="1"/>
  <c r="AJ692" i="1"/>
  <c r="AI582" i="1"/>
  <c r="AJ582" i="1"/>
  <c r="AI538" i="1"/>
  <c r="AJ538" i="1"/>
  <c r="AI560" i="1"/>
  <c r="AJ560" i="1"/>
  <c r="AI516" i="1"/>
  <c r="AJ516" i="1"/>
  <c r="AI472" i="1"/>
  <c r="AJ472" i="1"/>
  <c r="AI252" i="1"/>
  <c r="AJ252" i="1"/>
  <c r="AI164" i="1"/>
  <c r="AJ164" i="1"/>
  <c r="AI142" i="1"/>
  <c r="AJ142" i="1"/>
  <c r="AI98" i="1"/>
  <c r="AJ98" i="1"/>
  <c r="AI97" i="1"/>
  <c r="AJ97" i="1"/>
  <c r="AI76" i="1"/>
  <c r="AJ76" i="1"/>
  <c r="AI208" i="1"/>
  <c r="AJ208" i="1"/>
  <c r="AI186" i="1"/>
  <c r="AJ186" i="1"/>
  <c r="AI296" i="1"/>
  <c r="AJ296" i="1"/>
  <c r="AI494" i="1"/>
  <c r="AJ494" i="1"/>
  <c r="AI670" i="1"/>
  <c r="AJ670" i="1"/>
  <c r="AI648" i="1"/>
  <c r="AJ648" i="1"/>
  <c r="AI626" i="1"/>
  <c r="AJ626" i="1"/>
  <c r="AI274" i="1"/>
  <c r="AJ274" i="1"/>
  <c r="AI120" i="1"/>
  <c r="AJ120" i="1"/>
  <c r="AI54" i="1"/>
  <c r="AJ54" i="1"/>
  <c r="AI32" i="1"/>
  <c r="AJ32" i="1"/>
  <c r="AI428" i="1"/>
  <c r="AJ428" i="1"/>
  <c r="AI362" i="1"/>
  <c r="AJ362" i="1"/>
  <c r="AI450" i="1"/>
  <c r="AJ450" i="1"/>
  <c r="E288" i="39" a="1"/>
  <c r="E288" i="39" s="1"/>
  <c r="F288" i="39"/>
  <c r="S288" i="39" s="1" a="1"/>
  <c r="S288" i="39" s="1"/>
  <c r="G288" i="39" a="1"/>
  <c r="G288" i="39" s="1"/>
  <c r="H288" i="39" a="1"/>
  <c r="H288" i="39" s="1"/>
  <c r="I288" i="39" a="1"/>
  <c r="I288" i="39" s="1"/>
  <c r="O288" i="39"/>
  <c r="P288" i="39"/>
  <c r="Q288" i="39"/>
  <c r="E570" i="39" a="1"/>
  <c r="E570" i="39" s="1"/>
  <c r="E330" i="39" a="1"/>
  <c r="E330" i="39" s="1"/>
  <c r="F330" i="39"/>
  <c r="G330" i="39" a="1"/>
  <c r="G330" i="39" s="1"/>
  <c r="H330" i="39" a="1"/>
  <c r="H330" i="39" s="1"/>
  <c r="I330" i="39" a="1"/>
  <c r="I330" i="39" s="1"/>
  <c r="O330" i="39"/>
  <c r="P330" i="39"/>
  <c r="Q330" i="39"/>
  <c r="E81" i="33" a="1"/>
  <c r="E81" i="33" s="1"/>
  <c r="AI603" i="1"/>
  <c r="AJ603" i="1"/>
  <c r="AI273" i="1"/>
  <c r="AJ273" i="1"/>
  <c r="E159" i="39" a="1"/>
  <c r="E159" i="39" s="1"/>
  <c r="E468" i="39" a="1"/>
  <c r="E468" i="39" s="1"/>
  <c r="E154" i="39" a="1"/>
  <c r="E154" i="39" s="1"/>
  <c r="E400" i="39" a="1"/>
  <c r="E400" i="39" s="1"/>
  <c r="E345" i="39" a="1"/>
  <c r="E345" i="39" s="1"/>
  <c r="E34" i="39" a="1"/>
  <c r="E34" i="39" s="1"/>
  <c r="E391" i="39" a="1"/>
  <c r="E391" i="39" s="1"/>
  <c r="E341" i="39" a="1"/>
  <c r="E341" i="39" s="1"/>
  <c r="E329" i="39" a="1"/>
  <c r="E329" i="39" s="1"/>
  <c r="E544" i="39" a="1"/>
  <c r="E544" i="39" s="1"/>
  <c r="E380" i="39" a="1"/>
  <c r="E380" i="39" s="1"/>
  <c r="E97" i="39" a="1"/>
  <c r="E97" i="39" s="1"/>
  <c r="E114" i="39" a="1"/>
  <c r="E114" i="39" s="1"/>
  <c r="E131" i="39" a="1"/>
  <c r="E131" i="39" s="1"/>
  <c r="E299" i="39" a="1"/>
  <c r="E299" i="39" s="1"/>
  <c r="E6" i="39" a="1"/>
  <c r="E6" i="39" s="1"/>
  <c r="E429" i="39" a="1"/>
  <c r="E429" i="39" s="1"/>
  <c r="E369" i="39" a="1"/>
  <c r="E369" i="39" s="1"/>
  <c r="E374" i="39" a="1"/>
  <c r="E374" i="39" s="1"/>
  <c r="E365" i="39" a="1"/>
  <c r="E365" i="39" s="1"/>
  <c r="E465" i="39" a="1"/>
  <c r="E465" i="39" s="1"/>
  <c r="E519" i="39" a="1"/>
  <c r="E519" i="39" s="1"/>
  <c r="E217" i="39" a="1"/>
  <c r="E217" i="39" s="1"/>
  <c r="E561" i="39" a="1"/>
  <c r="E561" i="39" s="1"/>
  <c r="E82" i="39" a="1"/>
  <c r="E82" i="39" s="1"/>
  <c r="E11" i="39" a="1"/>
  <c r="E11" i="39" s="1"/>
  <c r="E124" i="39" a="1"/>
  <c r="E124" i="39" s="1"/>
  <c r="E409" i="39" a="1"/>
  <c r="E409" i="39" s="1"/>
  <c r="E433" i="39" a="1"/>
  <c r="E433" i="39" s="1"/>
  <c r="E106" i="39" a="1"/>
  <c r="E106" i="39" s="1"/>
  <c r="E333" i="39" a="1"/>
  <c r="E333" i="39" s="1"/>
  <c r="E38" i="39" a="1"/>
  <c r="E38" i="39" s="1"/>
  <c r="E558" i="39" a="1"/>
  <c r="E558" i="39" s="1"/>
  <c r="E504" i="39" a="1"/>
  <c r="E504" i="39" s="1"/>
  <c r="E311" i="39" a="1"/>
  <c r="E311" i="39" s="1"/>
  <c r="E442" i="39" a="1"/>
  <c r="E442" i="39" s="1"/>
  <c r="E191" i="39" a="1"/>
  <c r="E191" i="39" s="1"/>
  <c r="E523" i="39" a="1"/>
  <c r="E523" i="39" s="1"/>
  <c r="E254" i="39" a="1"/>
  <c r="E254" i="39" s="1"/>
  <c r="E567" i="39" a="1"/>
  <c r="E567" i="39" s="1"/>
  <c r="E143" i="39" a="1"/>
  <c r="E143" i="39" s="1"/>
  <c r="E182" i="39" a="1"/>
  <c r="E182" i="39" s="1"/>
  <c r="E171" i="39" a="1"/>
  <c r="E171" i="39" s="1"/>
  <c r="E300" i="39" a="1"/>
  <c r="E300" i="39" s="1"/>
  <c r="E290" i="39" a="1"/>
  <c r="E290" i="39" s="1"/>
  <c r="E118" i="39" a="1"/>
  <c r="E118" i="39" s="1"/>
  <c r="E426" i="39" a="1"/>
  <c r="E426" i="39" s="1"/>
  <c r="E255" i="39" a="1"/>
  <c r="E255" i="39" s="1"/>
  <c r="E425" i="39" a="1"/>
  <c r="E425" i="39" s="1"/>
  <c r="E132" i="39" a="1"/>
  <c r="E132" i="39" s="1"/>
  <c r="E155" i="39" a="1"/>
  <c r="E155" i="39" s="1"/>
  <c r="E162" i="39" a="1"/>
  <c r="E162" i="39" s="1"/>
  <c r="E31" i="39" a="1"/>
  <c r="E31" i="39" s="1"/>
  <c r="E40" i="39" a="1"/>
  <c r="E40" i="39" s="1"/>
  <c r="E84" i="39" a="1"/>
  <c r="E84" i="39" s="1"/>
  <c r="E277" i="39" a="1"/>
  <c r="E277" i="39" s="1"/>
  <c r="E187" i="39" a="1"/>
  <c r="E187" i="39" s="1"/>
  <c r="E557" i="39" a="1"/>
  <c r="E557" i="39" s="1"/>
  <c r="E460" i="39" a="1"/>
  <c r="E460" i="39" s="1"/>
  <c r="E128" i="39" a="1"/>
  <c r="E128" i="39" s="1"/>
  <c r="E48" i="39" a="1"/>
  <c r="E48" i="39" s="1"/>
  <c r="E4" i="39" a="1"/>
  <c r="E4" i="39" s="1"/>
  <c r="E208" i="39" a="1"/>
  <c r="E208" i="39" s="1"/>
  <c r="E553" i="39" a="1"/>
  <c r="E553" i="39" s="1"/>
  <c r="E491" i="39" a="1"/>
  <c r="E491" i="39" s="1"/>
  <c r="E347" i="39" a="1"/>
  <c r="E347" i="39" s="1"/>
  <c r="E243" i="39" a="1"/>
  <c r="E243" i="39" s="1"/>
  <c r="E169" i="39" a="1"/>
  <c r="E169" i="39" s="1"/>
  <c r="E25" i="39" a="1"/>
  <c r="E25" i="39" s="1"/>
  <c r="E489" i="39" a="1"/>
  <c r="E489" i="39" s="1"/>
  <c r="E147" i="39" a="1"/>
  <c r="E147" i="39" s="1"/>
  <c r="E17" i="39" a="1"/>
  <c r="E17" i="39" s="1"/>
  <c r="E16" i="39" a="1"/>
  <c r="E16" i="39" s="1"/>
  <c r="E205" i="39" a="1"/>
  <c r="E205" i="39" s="1"/>
  <c r="E194" i="39" a="1"/>
  <c r="E194" i="39" s="1"/>
  <c r="E233" i="39" a="1"/>
  <c r="E233" i="39" s="1"/>
  <c r="E362" i="39" a="1"/>
  <c r="E362" i="39" s="1"/>
  <c r="E283" i="39" a="1"/>
  <c r="E283" i="39" s="1"/>
  <c r="E547" i="39" a="1"/>
  <c r="E547" i="39" s="1"/>
  <c r="E201" i="39" a="1"/>
  <c r="E201" i="39" s="1"/>
  <c r="E464" i="39" a="1"/>
  <c r="E464" i="39" s="1"/>
  <c r="E554" i="39" a="1"/>
  <c r="E554" i="39" s="1"/>
  <c r="E94" i="39" a="1"/>
  <c r="E94" i="39" s="1"/>
  <c r="E197" i="39" a="1"/>
  <c r="E197" i="39" s="1"/>
  <c r="E89" i="39" a="1"/>
  <c r="E89" i="39" s="1"/>
  <c r="E241" i="39" a="1"/>
  <c r="E241" i="39" s="1"/>
  <c r="E370" i="39" a="1"/>
  <c r="E370" i="39" s="1"/>
  <c r="E488" i="39" a="1"/>
  <c r="E488" i="39" s="1"/>
  <c r="E271" i="39" a="1"/>
  <c r="E271" i="39" s="1"/>
  <c r="E123" i="39" a="1"/>
  <c r="E123" i="39" s="1"/>
  <c r="E251" i="39" a="1"/>
  <c r="E251" i="39" s="1"/>
  <c r="E303" i="39" a="1"/>
  <c r="E303" i="39" s="1"/>
  <c r="E83" i="39" a="1"/>
  <c r="E83" i="39" s="1"/>
  <c r="E135" i="39" a="1"/>
  <c r="E135" i="39" s="1"/>
  <c r="E153" i="39" a="1"/>
  <c r="E153" i="39" s="1"/>
  <c r="E93" i="39" a="1"/>
  <c r="E93" i="39" s="1"/>
  <c r="E496" i="39" a="1"/>
  <c r="E496" i="39" s="1"/>
  <c r="E136" i="39" a="1"/>
  <c r="E136" i="39" s="1"/>
  <c r="E459" i="39" a="1"/>
  <c r="E459" i="39" s="1"/>
  <c r="E507" i="39" a="1"/>
  <c r="E507" i="39" s="1"/>
  <c r="E397" i="39" a="1"/>
  <c r="E397" i="39" s="1"/>
  <c r="E137" i="39" a="1"/>
  <c r="E137" i="39" s="1"/>
  <c r="E177" i="39" a="1"/>
  <c r="E177" i="39" s="1"/>
  <c r="E405" i="39" a="1"/>
  <c r="E405" i="39" s="1"/>
  <c r="E307" i="39" a="1"/>
  <c r="E307" i="39" s="1"/>
  <c r="E517" i="39" a="1"/>
  <c r="E517" i="39" s="1"/>
  <c r="E282" i="39" a="1"/>
  <c r="E282" i="39" s="1"/>
  <c r="E419" i="39" a="1"/>
  <c r="E419" i="39" s="1"/>
  <c r="E437" i="39" a="1"/>
  <c r="E437" i="39" s="1"/>
  <c r="E453" i="39" a="1"/>
  <c r="E453" i="39" s="1"/>
  <c r="E516" i="39" a="1"/>
  <c r="E516" i="39" s="1"/>
  <c r="E66" i="39" a="1"/>
  <c r="E66" i="39" s="1"/>
  <c r="E548" i="39" a="1"/>
  <c r="E548" i="39" s="1"/>
  <c r="E78" i="39" a="1"/>
  <c r="E78" i="39" s="1"/>
  <c r="E81" i="39" a="1"/>
  <c r="E81" i="39" s="1"/>
  <c r="E436" i="39" a="1"/>
  <c r="E436" i="39" s="1"/>
  <c r="E218" i="39" a="1"/>
  <c r="E218" i="39" s="1"/>
  <c r="E50" i="39" a="1"/>
  <c r="E50" i="39" s="1"/>
  <c r="E364" i="39" a="1"/>
  <c r="E364" i="39" s="1"/>
  <c r="E545" i="39" a="1"/>
  <c r="E545" i="39" s="1"/>
  <c r="E223" i="39" a="1"/>
  <c r="E223" i="39" s="1"/>
  <c r="E529" i="39" a="1"/>
  <c r="E529" i="39" s="1"/>
  <c r="E394" i="39" a="1"/>
  <c r="E394" i="39" s="1"/>
  <c r="E420" i="39" a="1"/>
  <c r="E420" i="39" s="1"/>
  <c r="E73" i="39" a="1"/>
  <c r="E73" i="39" s="1"/>
  <c r="E134" i="39" a="1"/>
  <c r="E134" i="39" s="1"/>
  <c r="E202" i="39" a="1"/>
  <c r="E202" i="39" s="1"/>
  <c r="E337" i="39" a="1"/>
  <c r="E337" i="39" s="1"/>
  <c r="E296" i="39" a="1"/>
  <c r="E296" i="39" s="1"/>
  <c r="E304" i="39" a="1"/>
  <c r="E304" i="39" s="1"/>
  <c r="E508" i="39" a="1"/>
  <c r="E508" i="39" s="1"/>
  <c r="E342" i="39" a="1"/>
  <c r="E342" i="39" s="1"/>
  <c r="E109" i="39" a="1"/>
  <c r="E109" i="39" s="1"/>
  <c r="E495" i="39" a="1"/>
  <c r="E495" i="39" s="1"/>
  <c r="E351" i="39" a="1"/>
  <c r="E351" i="39" s="1"/>
  <c r="E119" i="39" a="1"/>
  <c r="E119" i="39" s="1"/>
  <c r="E293" i="39" a="1"/>
  <c r="E293" i="39" s="1"/>
  <c r="E278" i="39" a="1"/>
  <c r="E278" i="39" s="1"/>
  <c r="E456" i="39" a="1"/>
  <c r="E456" i="39" s="1"/>
  <c r="E451" i="39" a="1"/>
  <c r="E451" i="39" s="1"/>
  <c r="E527" i="39" a="1"/>
  <c r="E527" i="39" s="1"/>
  <c r="E373" i="39" a="1"/>
  <c r="E373" i="39" s="1"/>
  <c r="E203" i="39" a="1"/>
  <c r="E203" i="39" s="1"/>
  <c r="E229" i="39" a="1"/>
  <c r="E229" i="39" s="1"/>
  <c r="E286" i="39" a="1"/>
  <c r="E286" i="39" s="1"/>
  <c r="E258" i="39" a="1"/>
  <c r="E258" i="39" s="1"/>
  <c r="E390" i="39" a="1"/>
  <c r="E390" i="39" s="1"/>
  <c r="E51" i="39" a="1"/>
  <c r="E51" i="39" s="1"/>
  <c r="E74" i="39" a="1"/>
  <c r="E74" i="39" s="1"/>
  <c r="E257" i="39" a="1"/>
  <c r="E257" i="39" s="1"/>
  <c r="E386" i="39" a="1"/>
  <c r="E386" i="39" s="1"/>
  <c r="E363" i="39" a="1"/>
  <c r="E363" i="39" s="1"/>
  <c r="E387" i="39" a="1"/>
  <c r="E387" i="39" s="1"/>
  <c r="E477" i="39" a="1"/>
  <c r="E477" i="39" s="1"/>
  <c r="E248" i="39" a="1"/>
  <c r="E248" i="39" s="1"/>
  <c r="E467" i="39" a="1"/>
  <c r="E467" i="39" s="1"/>
  <c r="E56" i="39" a="1"/>
  <c r="E56" i="39" s="1"/>
  <c r="E432" i="39" a="1"/>
  <c r="E432" i="39" s="1"/>
  <c r="E98" i="39" a="1"/>
  <c r="E98" i="39" s="1"/>
  <c r="E190" i="39" a="1"/>
  <c r="E190" i="39" s="1"/>
  <c r="E198" i="39" a="1"/>
  <c r="E198" i="39" s="1"/>
  <c r="E413" i="39" a="1"/>
  <c r="E413" i="39" s="1"/>
  <c r="E320" i="39" a="1"/>
  <c r="E320" i="39" s="1"/>
  <c r="E294" i="39" a="1"/>
  <c r="E294" i="39" s="1"/>
  <c r="E379" i="39" a="1"/>
  <c r="E379" i="39" s="1"/>
  <c r="E450" i="39" a="1"/>
  <c r="E450" i="39" s="1"/>
  <c r="E357" i="39" a="1"/>
  <c r="E357" i="39" s="1"/>
  <c r="E161" i="39" a="1"/>
  <c r="E161" i="39" s="1"/>
  <c r="E428" i="39" a="1"/>
  <c r="E428" i="39" s="1"/>
  <c r="E550" i="39" a="1"/>
  <c r="E550" i="39" s="1"/>
  <c r="E490" i="39" a="1"/>
  <c r="E490" i="39" s="1"/>
  <c r="E447" i="39" a="1"/>
  <c r="E447" i="39" s="1"/>
  <c r="E55" i="39" a="1"/>
  <c r="E55" i="39" s="1"/>
  <c r="E541" i="39" a="1"/>
  <c r="E541" i="39" s="1"/>
  <c r="E537" i="39" a="1"/>
  <c r="E537" i="39" s="1"/>
  <c r="E32" i="39" a="1"/>
  <c r="E32" i="39" s="1"/>
  <c r="E418" i="39" a="1"/>
  <c r="E418" i="39" s="1"/>
  <c r="E454" i="39" a="1"/>
  <c r="E454" i="39" s="1"/>
  <c r="E212" i="39" a="1"/>
  <c r="E212" i="39" s="1"/>
  <c r="E355" i="39" a="1"/>
  <c r="E355" i="39" s="1"/>
  <c r="E15" i="39" a="1"/>
  <c r="E15" i="39" s="1"/>
  <c r="E266" i="39" a="1"/>
  <c r="E266" i="39" s="1"/>
  <c r="E565" i="39" a="1"/>
  <c r="E565" i="39" s="1"/>
  <c r="E334" i="39" a="1"/>
  <c r="E334" i="39" s="1"/>
  <c r="E439" i="39" a="1"/>
  <c r="E439" i="39" s="1"/>
  <c r="E267" i="39" a="1"/>
  <c r="E267" i="39" s="1"/>
  <c r="E472" i="39" a="1"/>
  <c r="E472" i="39" s="1"/>
  <c r="E289" i="39" a="1"/>
  <c r="E289" i="39" s="1"/>
  <c r="E327" i="39" a="1"/>
  <c r="E327" i="39" s="1"/>
  <c r="E476" i="39" a="1"/>
  <c r="E476" i="39" s="1"/>
  <c r="E270" i="39" a="1"/>
  <c r="E270" i="39" s="1"/>
  <c r="E156" i="39" a="1"/>
  <c r="E156" i="39" s="1"/>
  <c r="E28" i="39" a="1"/>
  <c r="E28" i="39" s="1"/>
  <c r="E120" i="39" a="1"/>
  <c r="E120" i="39" s="1"/>
  <c r="E471" i="39" a="1"/>
  <c r="E471" i="39" s="1"/>
  <c r="E510" i="39" a="1"/>
  <c r="E510" i="39" s="1"/>
  <c r="E20" i="39" a="1"/>
  <c r="E20" i="39" s="1"/>
  <c r="E285" i="39" a="1"/>
  <c r="E285" i="39" s="1"/>
  <c r="E150" i="39" a="1"/>
  <c r="E150" i="39" s="1"/>
  <c r="E274" i="39" a="1"/>
  <c r="E274" i="39" s="1"/>
  <c r="E528" i="39" a="1"/>
  <c r="E528" i="39" s="1"/>
  <c r="E531" i="39" a="1"/>
  <c r="E531" i="39" s="1"/>
  <c r="E317" i="39" a="1"/>
  <c r="E317" i="39" s="1"/>
  <c r="E181" i="39" a="1"/>
  <c r="E181" i="39" s="1"/>
  <c r="E417" i="39" a="1"/>
  <c r="E417" i="39" s="1"/>
  <c r="E562" i="39" a="1"/>
  <c r="E562" i="39" s="1"/>
  <c r="E260" i="39" a="1"/>
  <c r="E260" i="39" s="1"/>
  <c r="E275" i="39" a="1"/>
  <c r="E275" i="39" s="1"/>
  <c r="E165" i="39" a="1"/>
  <c r="E165" i="39" s="1"/>
  <c r="E381" i="39" a="1"/>
  <c r="E381" i="39" s="1"/>
  <c r="E500" i="39" a="1"/>
  <c r="E500" i="39" s="1"/>
  <c r="E113" i="39" a="1"/>
  <c r="E113" i="39" s="1"/>
  <c r="E252" i="39" a="1"/>
  <c r="E252" i="39" s="1"/>
  <c r="E310" i="39" a="1"/>
  <c r="E310" i="39" s="1"/>
  <c r="E234" i="39" a="1"/>
  <c r="E234" i="39" s="1"/>
  <c r="E193" i="39" a="1"/>
  <c r="E193" i="39" s="1"/>
  <c r="E325" i="39" a="1"/>
  <c r="E325" i="39" s="1"/>
  <c r="E188" i="39" a="1"/>
  <c r="E188" i="39" s="1"/>
  <c r="E249" i="39" a="1"/>
  <c r="E249" i="39" s="1"/>
  <c r="E540" i="39" a="1"/>
  <c r="E540" i="39" s="1"/>
  <c r="E480" i="39" a="1"/>
  <c r="E480" i="39" s="1"/>
  <c r="E111" i="39" a="1"/>
  <c r="E111" i="39" s="1"/>
  <c r="E295" i="39" a="1"/>
  <c r="E295" i="39" s="1"/>
  <c r="E328" i="39" a="1"/>
  <c r="E328" i="39" s="1"/>
  <c r="E262" i="39" a="1"/>
  <c r="E262" i="39" s="1"/>
  <c r="E524" i="39" a="1"/>
  <c r="E524" i="39" s="1"/>
  <c r="E352" i="39" a="1"/>
  <c r="E352" i="39" s="1"/>
  <c r="E213" i="39" a="1"/>
  <c r="E213" i="39" s="1"/>
  <c r="E33" i="39" a="1"/>
  <c r="E33" i="39" s="1"/>
  <c r="E170" i="39" a="1"/>
  <c r="E170" i="39" s="1"/>
  <c r="E313" i="39" a="1"/>
  <c r="E313" i="39" s="1"/>
  <c r="E157" i="39" a="1"/>
  <c r="E157" i="39" s="1"/>
  <c r="E27" i="39" a="1"/>
  <c r="E27" i="39" s="1"/>
  <c r="E172" i="39" a="1"/>
  <c r="E172" i="39" s="1"/>
  <c r="E455" i="39" a="1"/>
  <c r="E455" i="39" s="1"/>
  <c r="E166" i="39" a="1"/>
  <c r="E166" i="39" s="1"/>
  <c r="E263" i="39" a="1"/>
  <c r="E263" i="39" s="1"/>
  <c r="E224" i="39" a="1"/>
  <c r="E224" i="39" s="1"/>
  <c r="E65" i="39" a="1"/>
  <c r="E65" i="39" s="1"/>
  <c r="E64" i="39" a="1"/>
  <c r="E64" i="39" s="1"/>
  <c r="E359" i="39" a="1"/>
  <c r="E359" i="39" s="1"/>
  <c r="E378" i="39" a="1"/>
  <c r="E378" i="39" s="1"/>
  <c r="E149" i="39" a="1"/>
  <c r="E149" i="39" s="1"/>
  <c r="E438" i="39" a="1"/>
  <c r="E438" i="39" s="1"/>
  <c r="E481" i="39" a="1"/>
  <c r="E481" i="39" s="1"/>
  <c r="E186" i="39" a="1"/>
  <c r="E186" i="39" s="1"/>
  <c r="E244" i="39" a="1"/>
  <c r="E244" i="39" s="1"/>
  <c r="E102" i="39" a="1"/>
  <c r="E102" i="39" s="1"/>
  <c r="E185" i="39" a="1"/>
  <c r="E185" i="39" s="1"/>
  <c r="E70" i="39" a="1"/>
  <c r="E70" i="39" s="1"/>
  <c r="E145" i="39" a="1"/>
  <c r="E145" i="39" s="1"/>
  <c r="E77" i="39" a="1"/>
  <c r="E77" i="39" s="1"/>
  <c r="E485" i="39" a="1"/>
  <c r="E485" i="39" s="1"/>
  <c r="E398" i="39" a="1"/>
  <c r="E398" i="39" s="1"/>
  <c r="E117" i="39" a="1"/>
  <c r="E117" i="39" s="1"/>
  <c r="E178" i="39" a="1"/>
  <c r="E178" i="39" s="1"/>
  <c r="E406" i="39" a="1"/>
  <c r="E406" i="39" s="1"/>
  <c r="E238" i="39" a="1"/>
  <c r="E238" i="39" s="1"/>
  <c r="E259" i="39" a="1"/>
  <c r="E259" i="39" s="1"/>
  <c r="E14" i="39" a="1"/>
  <c r="E14" i="39" s="1"/>
  <c r="E101" i="39" a="1"/>
  <c r="E101" i="39" s="1"/>
  <c r="E175" i="39" a="1"/>
  <c r="E175" i="39" s="1"/>
  <c r="E242" i="39" a="1"/>
  <c r="E242" i="39" s="1"/>
  <c r="E566" i="39" a="1"/>
  <c r="E566" i="39" s="1"/>
  <c r="E67" i="39" a="1"/>
  <c r="E67" i="39" s="1"/>
  <c r="E410" i="39" a="1"/>
  <c r="E410" i="39" s="1"/>
  <c r="E90" i="39" a="1"/>
  <c r="E90" i="39" s="1"/>
  <c r="E421" i="39" a="1"/>
  <c r="E421" i="39" s="1"/>
  <c r="E414" i="39" a="1"/>
  <c r="E414" i="39" s="1"/>
  <c r="E21" i="39" a="1"/>
  <c r="E21" i="39" s="1"/>
  <c r="E501" i="39" a="1"/>
  <c r="E501" i="39" s="1"/>
  <c r="E71" i="39" a="1"/>
  <c r="E71" i="39" s="1"/>
  <c r="E520" i="39" a="1"/>
  <c r="E520" i="39" s="1"/>
  <c r="E221" i="39" a="1"/>
  <c r="E221" i="39" s="1"/>
  <c r="E7" i="39" a="1"/>
  <c r="E7" i="39" s="1"/>
  <c r="E509" i="39" a="1"/>
  <c r="E509" i="39" s="1"/>
  <c r="E58" i="39" a="1"/>
  <c r="E58" i="39" s="1"/>
  <c r="E377" i="39" a="1"/>
  <c r="E377" i="39" s="1"/>
  <c r="E174" i="39" a="1"/>
  <c r="E174" i="39" s="1"/>
  <c r="E530" i="39" a="1"/>
  <c r="E530" i="39" s="1"/>
  <c r="E411" i="39" a="1"/>
  <c r="E411" i="39" s="1"/>
  <c r="E321" i="39" a="1"/>
  <c r="E321" i="39" s="1"/>
  <c r="E158" i="39" a="1"/>
  <c r="E158" i="39" s="1"/>
  <c r="E338" i="39" a="1"/>
  <c r="E338" i="39" s="1"/>
  <c r="E473" i="39" a="1"/>
  <c r="E473" i="39" s="1"/>
  <c r="E237" i="39" a="1"/>
  <c r="E237" i="39" s="1"/>
  <c r="E382" i="39" a="1"/>
  <c r="E382" i="39" s="1"/>
  <c r="E127" i="39" a="1"/>
  <c r="E127" i="39" s="1"/>
  <c r="E401" i="39" a="1"/>
  <c r="E401" i="39" s="1"/>
  <c r="E3" i="39" a="1"/>
  <c r="E3" i="39" s="1"/>
  <c r="E49" i="39" a="1"/>
  <c r="E49" i="39" s="1"/>
  <c r="E506" i="39" a="1"/>
  <c r="E506" i="39" s="1"/>
  <c r="E474" i="39" a="1"/>
  <c r="E474" i="39" s="1"/>
  <c r="E360" i="39" a="1"/>
  <c r="E360" i="39" s="1"/>
  <c r="E446" i="39" a="1"/>
  <c r="E446" i="39" s="1"/>
  <c r="E209" i="39" a="1"/>
  <c r="E209" i="39" s="1"/>
  <c r="E5" i="39" a="1"/>
  <c r="E5" i="39" s="1"/>
  <c r="E8" i="39" a="1"/>
  <c r="E8" i="39" s="1"/>
  <c r="E9" i="39" a="1"/>
  <c r="E9" i="39" s="1"/>
  <c r="E12" i="39" a="1"/>
  <c r="E12" i="39" s="1"/>
  <c r="E13" i="39" a="1"/>
  <c r="E13" i="39" s="1"/>
  <c r="E18" i="39" a="1"/>
  <c r="E18" i="39" s="1"/>
  <c r="E19" i="39" a="1"/>
  <c r="E19" i="39" s="1"/>
  <c r="E22" i="39" a="1"/>
  <c r="E22" i="39" s="1"/>
  <c r="E23" i="39" a="1"/>
  <c r="E23" i="39" s="1"/>
  <c r="E26" i="39" a="1"/>
  <c r="E26" i="39" s="1"/>
  <c r="E29" i="39" a="1"/>
  <c r="E29" i="39" s="1"/>
  <c r="E30" i="39" a="1"/>
  <c r="E30" i="39" s="1"/>
  <c r="E348" i="39" a="1"/>
  <c r="E348" i="39" s="1"/>
  <c r="E35" i="39" a="1"/>
  <c r="E35" i="39" s="1"/>
  <c r="E36" i="39" a="1"/>
  <c r="E36" i="39" s="1"/>
  <c r="E110" i="39" a="1"/>
  <c r="E110" i="39" s="1"/>
  <c r="E39" i="39" a="1"/>
  <c r="E39" i="39" s="1"/>
  <c r="E346" i="39" a="1"/>
  <c r="E346" i="39" s="1"/>
  <c r="E41" i="39" a="1"/>
  <c r="E41" i="39" s="1"/>
  <c r="E42" i="39" a="1"/>
  <c r="E42" i="39" s="1"/>
  <c r="E43" i="39" a="1"/>
  <c r="E43" i="39" s="1"/>
  <c r="E44" i="39" a="1"/>
  <c r="E44" i="39" s="1"/>
  <c r="E45" i="39" a="1"/>
  <c r="E45" i="39" s="1"/>
  <c r="E46" i="39" a="1"/>
  <c r="E46" i="39" s="1"/>
  <c r="E47" i="39" a="1"/>
  <c r="E47" i="39" s="1"/>
  <c r="E24" i="39" a="1"/>
  <c r="E24" i="39" s="1"/>
  <c r="E306" i="39" a="1"/>
  <c r="E306" i="39" s="1"/>
  <c r="E536" i="39" a="1"/>
  <c r="E536" i="39" s="1"/>
  <c r="E222" i="39" a="1"/>
  <c r="E222" i="39" s="1"/>
  <c r="E52" i="39" a="1"/>
  <c r="E52" i="39" s="1"/>
  <c r="E53" i="39" a="1"/>
  <c r="E53" i="39" s="1"/>
  <c r="E54" i="39" a="1"/>
  <c r="E54" i="39" s="1"/>
  <c r="E324" i="39" a="1"/>
  <c r="E324" i="39" s="1"/>
  <c r="E57" i="39" a="1"/>
  <c r="E57" i="39" s="1"/>
  <c r="E276" i="39" a="1"/>
  <c r="E276" i="39" s="1"/>
  <c r="E59" i="39" a="1"/>
  <c r="E59" i="39" s="1"/>
  <c r="E60" i="39" a="1"/>
  <c r="E60" i="39" s="1"/>
  <c r="E568" i="39" a="1"/>
  <c r="E568" i="39" s="1"/>
  <c r="E62" i="39" a="1"/>
  <c r="E62" i="39" s="1"/>
  <c r="E63" i="39" a="1"/>
  <c r="E63" i="39" s="1"/>
  <c r="E505" i="39" a="1"/>
  <c r="E505" i="39" s="1"/>
  <c r="E142" i="39" a="1"/>
  <c r="E142" i="39" s="1"/>
  <c r="E103" i="39" a="1"/>
  <c r="E103" i="39" s="1"/>
  <c r="E316" i="39" a="1"/>
  <c r="E316" i="39" s="1"/>
  <c r="E68" i="39" a="1"/>
  <c r="E68" i="39" s="1"/>
  <c r="E69" i="39" a="1"/>
  <c r="E69" i="39" s="1"/>
  <c r="E72" i="39" a="1"/>
  <c r="E72" i="39" s="1"/>
  <c r="E75" i="39" a="1"/>
  <c r="E75" i="39" s="1"/>
  <c r="E76" i="39" a="1"/>
  <c r="E76" i="39" s="1"/>
  <c r="E79" i="39" a="1"/>
  <c r="E79" i="39" s="1"/>
  <c r="E80" i="39" a="1"/>
  <c r="E80" i="39" s="1"/>
  <c r="E85" i="39" a="1"/>
  <c r="E85" i="39" s="1"/>
  <c r="E86" i="39" a="1"/>
  <c r="E86" i="39" s="1"/>
  <c r="E87" i="39" a="1"/>
  <c r="E87" i="39" s="1"/>
  <c r="E88" i="39" a="1"/>
  <c r="E88" i="39" s="1"/>
  <c r="E91" i="39" a="1"/>
  <c r="E91" i="39" s="1"/>
  <c r="E92" i="39" a="1"/>
  <c r="E92" i="39" s="1"/>
  <c r="E95" i="39" a="1"/>
  <c r="E95" i="39" s="1"/>
  <c r="E96" i="39" a="1"/>
  <c r="E96" i="39" s="1"/>
  <c r="E99" i="39" a="1"/>
  <c r="E99" i="39" s="1"/>
  <c r="E104" i="39" a="1"/>
  <c r="E104" i="39" s="1"/>
  <c r="E105" i="39" a="1"/>
  <c r="E105" i="39" s="1"/>
  <c r="E108" i="39" a="1"/>
  <c r="E108" i="39" s="1"/>
  <c r="E112" i="39" a="1"/>
  <c r="E112" i="39" s="1"/>
  <c r="E115" i="39" a="1"/>
  <c r="E115" i="39" s="1"/>
  <c r="E116" i="39" a="1"/>
  <c r="E116" i="39" s="1"/>
  <c r="E121" i="39" a="1"/>
  <c r="E121" i="39" s="1"/>
  <c r="E122" i="39" a="1"/>
  <c r="E122" i="39" s="1"/>
  <c r="E204" i="39" a="1"/>
  <c r="E204" i="39" s="1"/>
  <c r="E125" i="39" a="1"/>
  <c r="E125" i="39" s="1"/>
  <c r="E126" i="39" a="1"/>
  <c r="E126" i="39" s="1"/>
  <c r="E129" i="39" a="1"/>
  <c r="E129" i="39" s="1"/>
  <c r="E130" i="39" a="1"/>
  <c r="E130" i="39" s="1"/>
  <c r="E133" i="39" a="1"/>
  <c r="E133" i="39" s="1"/>
  <c r="E138" i="39" a="1"/>
  <c r="E138" i="39" s="1"/>
  <c r="E139" i="39" a="1"/>
  <c r="E139" i="39" s="1"/>
  <c r="E140" i="39" a="1"/>
  <c r="E140" i="39" s="1"/>
  <c r="E141" i="39" a="1"/>
  <c r="E141" i="39" s="1"/>
  <c r="E144" i="39" a="1"/>
  <c r="E144" i="39" s="1"/>
  <c r="E146" i="39" a="1"/>
  <c r="E146" i="39" s="1"/>
  <c r="E148" i="39" a="1"/>
  <c r="E148" i="39" s="1"/>
  <c r="E151" i="39" a="1"/>
  <c r="E151" i="39" s="1"/>
  <c r="E152" i="39" a="1"/>
  <c r="E152" i="39" s="1"/>
  <c r="E107" i="39" a="1"/>
  <c r="E107" i="39" s="1"/>
  <c r="E160" i="39" a="1"/>
  <c r="E160" i="39" s="1"/>
  <c r="E163" i="39" a="1"/>
  <c r="E163" i="39" s="1"/>
  <c r="E164" i="39" a="1"/>
  <c r="E164" i="39" s="1"/>
  <c r="E167" i="39" a="1"/>
  <c r="E167" i="39" s="1"/>
  <c r="E168" i="39" a="1"/>
  <c r="E168" i="39" s="1"/>
  <c r="E173" i="39" a="1"/>
  <c r="E173" i="39" s="1"/>
  <c r="E176" i="39" a="1"/>
  <c r="E176" i="39" s="1"/>
  <c r="E179" i="39" a="1"/>
  <c r="E179" i="39" s="1"/>
  <c r="E180" i="39" a="1"/>
  <c r="E180" i="39" s="1"/>
  <c r="E183" i="39" a="1"/>
  <c r="E183" i="39" s="1"/>
  <c r="E184" i="39" a="1"/>
  <c r="E184" i="39" s="1"/>
  <c r="E189" i="39" a="1"/>
  <c r="E189" i="39" s="1"/>
  <c r="E192" i="39" a="1"/>
  <c r="E192" i="39" s="1"/>
  <c r="E195" i="39" a="1"/>
  <c r="E195" i="39" s="1"/>
  <c r="E196" i="39" a="1"/>
  <c r="E196" i="39" s="1"/>
  <c r="E199" i="39" a="1"/>
  <c r="E199" i="39" s="1"/>
  <c r="E200" i="39" a="1"/>
  <c r="E200" i="39" s="1"/>
  <c r="E206" i="39" a="1"/>
  <c r="E206" i="39" s="1"/>
  <c r="E484" i="39" a="1"/>
  <c r="E484" i="39" s="1"/>
  <c r="E207" i="39" a="1"/>
  <c r="E207" i="39" s="1"/>
  <c r="E210" i="39" a="1"/>
  <c r="E210" i="39" s="1"/>
  <c r="E211" i="39" a="1"/>
  <c r="E211" i="39" s="1"/>
  <c r="E214" i="39" a="1"/>
  <c r="E214" i="39" s="1"/>
  <c r="E215" i="39" a="1"/>
  <c r="E215" i="39" s="1"/>
  <c r="E216" i="39" a="1"/>
  <c r="E216" i="39" s="1"/>
  <c r="E219" i="39" a="1"/>
  <c r="E219" i="39" s="1"/>
  <c r="E220" i="39" a="1"/>
  <c r="E220" i="39" s="1"/>
  <c r="E225" i="39" a="1"/>
  <c r="E225" i="39" s="1"/>
  <c r="E226" i="39" a="1"/>
  <c r="E226" i="39" s="1"/>
  <c r="E227" i="39" a="1"/>
  <c r="E227" i="39" s="1"/>
  <c r="E228" i="39" a="1"/>
  <c r="E228" i="39" s="1"/>
  <c r="E231" i="39" a="1"/>
  <c r="E231" i="39" s="1"/>
  <c r="E232" i="39" a="1"/>
  <c r="E232" i="39" s="1"/>
  <c r="E235" i="39" a="1"/>
  <c r="E235" i="39" s="1"/>
  <c r="E236" i="39" a="1"/>
  <c r="E236" i="39" s="1"/>
  <c r="E239" i="39" a="1"/>
  <c r="E239" i="39" s="1"/>
  <c r="E240" i="39" a="1"/>
  <c r="E240" i="39" s="1"/>
  <c r="E245" i="39" a="1"/>
  <c r="E245" i="39" s="1"/>
  <c r="E246" i="39" a="1"/>
  <c r="E246" i="39" s="1"/>
  <c r="E247" i="39" a="1"/>
  <c r="E247" i="39" s="1"/>
  <c r="E250" i="39" a="1"/>
  <c r="E250" i="39" s="1"/>
  <c r="E253" i="39" a="1"/>
  <c r="E253" i="39" s="1"/>
  <c r="E449" i="39" a="1"/>
  <c r="E449" i="39" s="1"/>
  <c r="E256" i="39" a="1"/>
  <c r="E256" i="39" s="1"/>
  <c r="E261" i="39" a="1"/>
  <c r="E261" i="39" s="1"/>
  <c r="E399" i="39" a="1"/>
  <c r="E399" i="39" s="1"/>
  <c r="E265" i="39" a="1"/>
  <c r="E265" i="39" s="1"/>
  <c r="E269" i="39" a="1"/>
  <c r="E269" i="39" s="1"/>
  <c r="E268" i="39" a="1"/>
  <c r="E268" i="39" s="1"/>
  <c r="E272" i="39" a="1"/>
  <c r="E272" i="39" s="1"/>
  <c r="E273" i="39" a="1"/>
  <c r="E273" i="39" s="1"/>
  <c r="E279" i="39" a="1"/>
  <c r="E279" i="39" s="1"/>
  <c r="E280" i="39" a="1"/>
  <c r="E280" i="39" s="1"/>
  <c r="E281" i="39" a="1"/>
  <c r="E281" i="39" s="1"/>
  <c r="E100" i="39" a="1"/>
  <c r="E100" i="39" s="1"/>
  <c r="E284" i="39" a="1"/>
  <c r="E284" i="39" s="1"/>
  <c r="E287" i="39" a="1"/>
  <c r="E287" i="39" s="1"/>
  <c r="E291" i="39" a="1"/>
  <c r="E291" i="39" s="1"/>
  <c r="E292" i="39" a="1"/>
  <c r="E292" i="39" s="1"/>
  <c r="E297" i="39" a="1"/>
  <c r="E297" i="39" s="1"/>
  <c r="E298" i="39" a="1"/>
  <c r="E298" i="39" s="1"/>
  <c r="E301" i="39" a="1"/>
  <c r="E301" i="39" s="1"/>
  <c r="E302" i="39" a="1"/>
  <c r="E302" i="39" s="1"/>
  <c r="E305" i="39" a="1"/>
  <c r="E305" i="39" s="1"/>
  <c r="E308" i="39" a="1"/>
  <c r="E308" i="39" s="1"/>
  <c r="E309" i="39" a="1"/>
  <c r="E309" i="39" s="1"/>
  <c r="E314" i="39" a="1"/>
  <c r="E314" i="39" s="1"/>
  <c r="E315" i="39" a="1"/>
  <c r="E315" i="39" s="1"/>
  <c r="E318" i="39" a="1"/>
  <c r="E318" i="39" s="1"/>
  <c r="E319" i="39" a="1"/>
  <c r="E319" i="39" s="1"/>
  <c r="E322" i="39" a="1"/>
  <c r="E322" i="39" s="1"/>
  <c r="E323" i="39" a="1"/>
  <c r="E323" i="39" s="1"/>
  <c r="E326" i="39" a="1"/>
  <c r="E326" i="39" s="1"/>
  <c r="E331" i="39" a="1"/>
  <c r="E331" i="39" s="1"/>
  <c r="E332" i="39" a="1"/>
  <c r="E332" i="39" s="1"/>
  <c r="E335" i="39" a="1"/>
  <c r="E335" i="39" s="1"/>
  <c r="E336" i="39" a="1"/>
  <c r="E336" i="39" s="1"/>
  <c r="E339" i="39" a="1"/>
  <c r="E339" i="39" s="1"/>
  <c r="E340" i="39" a="1"/>
  <c r="E340" i="39" s="1"/>
  <c r="E343" i="39" a="1"/>
  <c r="E343" i="39" s="1"/>
  <c r="E344" i="39" a="1"/>
  <c r="E344" i="39" s="1"/>
  <c r="E349" i="39" a="1"/>
  <c r="E349" i="39" s="1"/>
  <c r="E350" i="39" a="1"/>
  <c r="E350" i="39" s="1"/>
  <c r="E353" i="39" a="1"/>
  <c r="E353" i="39" s="1"/>
  <c r="E354" i="39" a="1"/>
  <c r="E354" i="39" s="1"/>
  <c r="E358" i="39" a="1"/>
  <c r="E358" i="39" s="1"/>
  <c r="E356" i="39" a="1"/>
  <c r="E356" i="39" s="1"/>
  <c r="E361" i="39" a="1"/>
  <c r="E361" i="39" s="1"/>
  <c r="E366" i="39" a="1"/>
  <c r="E366" i="39" s="1"/>
  <c r="E367" i="39" a="1"/>
  <c r="E367" i="39" s="1"/>
  <c r="E368" i="39" a="1"/>
  <c r="E368" i="39" s="1"/>
  <c r="E371" i="39" a="1"/>
  <c r="E371" i="39" s="1"/>
  <c r="E372" i="39" a="1"/>
  <c r="E372" i="39" s="1"/>
  <c r="E375" i="39" a="1"/>
  <c r="E375" i="39" s="1"/>
  <c r="E376" i="39" a="1"/>
  <c r="E376" i="39" s="1"/>
  <c r="E383" i="39" a="1"/>
  <c r="E383" i="39" s="1"/>
  <c r="E384" i="39" a="1"/>
  <c r="E384" i="39" s="1"/>
  <c r="E385" i="39" a="1"/>
  <c r="E385" i="39" s="1"/>
  <c r="E388" i="39" a="1"/>
  <c r="E388" i="39" s="1"/>
  <c r="E389" i="39" a="1"/>
  <c r="E389" i="39" s="1"/>
  <c r="E392" i="39" a="1"/>
  <c r="E392" i="39" s="1"/>
  <c r="E393" i="39" a="1"/>
  <c r="E393" i="39" s="1"/>
  <c r="E395" i="39" a="1"/>
  <c r="E395" i="39" s="1"/>
  <c r="E396" i="39" a="1"/>
  <c r="E396" i="39" s="1"/>
  <c r="E402" i="39" a="1"/>
  <c r="E402" i="39" s="1"/>
  <c r="E403" i="39" a="1"/>
  <c r="E403" i="39" s="1"/>
  <c r="E404" i="39" a="1"/>
  <c r="E404" i="39" s="1"/>
  <c r="E407" i="39" a="1"/>
  <c r="E407" i="39" s="1"/>
  <c r="E408" i="39" a="1"/>
  <c r="E408" i="39" s="1"/>
  <c r="E10" i="39" a="1"/>
  <c r="E10" i="39" s="1"/>
  <c r="E412" i="39" a="1"/>
  <c r="E412" i="39" s="1"/>
  <c r="E415" i="39" a="1"/>
  <c r="E415" i="39" s="1"/>
  <c r="E416" i="39" a="1"/>
  <c r="E416" i="39" s="1"/>
  <c r="E422" i="39" a="1"/>
  <c r="E422" i="39" s="1"/>
  <c r="E423" i="39" a="1"/>
  <c r="E423" i="39" s="1"/>
  <c r="E424" i="39" a="1"/>
  <c r="E424" i="39" s="1"/>
  <c r="E37" i="39" a="1"/>
  <c r="E37" i="39" s="1"/>
  <c r="E427" i="39" a="1"/>
  <c r="E427" i="39" s="1"/>
  <c r="E430" i="39" a="1"/>
  <c r="E430" i="39" s="1"/>
  <c r="E431" i="39" a="1"/>
  <c r="E431" i="39" s="1"/>
  <c r="E434" i="39" a="1"/>
  <c r="E434" i="39" s="1"/>
  <c r="E435" i="39" a="1"/>
  <c r="E435" i="39" s="1"/>
  <c r="E440" i="39" a="1"/>
  <c r="E440" i="39" s="1"/>
  <c r="E441" i="39" a="1"/>
  <c r="E441" i="39" s="1"/>
  <c r="E444" i="39" a="1"/>
  <c r="E444" i="39" s="1"/>
  <c r="E445" i="39" a="1"/>
  <c r="E445" i="39" s="1"/>
  <c r="E448" i="39" a="1"/>
  <c r="E448" i="39" s="1"/>
  <c r="E452" i="39" a="1"/>
  <c r="E452" i="39" s="1"/>
  <c r="E457" i="39" a="1"/>
  <c r="E457" i="39" s="1"/>
  <c r="E458" i="39" a="1"/>
  <c r="E458" i="39" s="1"/>
  <c r="E461" i="39" a="1"/>
  <c r="E461" i="39" s="1"/>
  <c r="E462" i="39" a="1"/>
  <c r="E462" i="39" s="1"/>
  <c r="E463" i="39" a="1"/>
  <c r="E463" i="39" s="1"/>
  <c r="E466" i="39" a="1"/>
  <c r="E466" i="39" s="1"/>
  <c r="E469" i="39" a="1"/>
  <c r="E469" i="39" s="1"/>
  <c r="E470" i="39" a="1"/>
  <c r="E470" i="39" s="1"/>
  <c r="E475" i="39" a="1"/>
  <c r="E475" i="39" s="1"/>
  <c r="E478" i="39" a="1"/>
  <c r="E478" i="39" s="1"/>
  <c r="E479" i="39" a="1"/>
  <c r="E479" i="39" s="1"/>
  <c r="E482" i="39" a="1"/>
  <c r="E482" i="39" s="1"/>
  <c r="E483" i="39" a="1"/>
  <c r="E483" i="39" s="1"/>
  <c r="E486" i="39" a="1"/>
  <c r="E486" i="39" s="1"/>
  <c r="E487" i="39" a="1"/>
  <c r="E487" i="39" s="1"/>
  <c r="E492" i="39" a="1"/>
  <c r="E492" i="39" s="1"/>
  <c r="E493" i="39" a="1"/>
  <c r="E493" i="39" s="1"/>
  <c r="E494" i="39" a="1"/>
  <c r="E494" i="39" s="1"/>
  <c r="E497" i="39" a="1"/>
  <c r="E497" i="39" s="1"/>
  <c r="E498" i="39" a="1"/>
  <c r="E498" i="39" s="1"/>
  <c r="E499" i="39" a="1"/>
  <c r="E499" i="39" s="1"/>
  <c r="E502" i="39" a="1"/>
  <c r="E502" i="39" s="1"/>
  <c r="E503" i="39" a="1"/>
  <c r="E503" i="39" s="1"/>
  <c r="E443" i="39" a="1"/>
  <c r="E443" i="39" s="1"/>
  <c r="E511" i="39" a="1"/>
  <c r="E511" i="39" s="1"/>
  <c r="E512" i="39" a="1"/>
  <c r="E512" i="39" s="1"/>
  <c r="E513" i="39" a="1"/>
  <c r="E513" i="39" s="1"/>
  <c r="E514" i="39" a="1"/>
  <c r="E514" i="39" s="1"/>
  <c r="E515" i="39" a="1"/>
  <c r="E515" i="39" s="1"/>
  <c r="E518" i="39" a="1"/>
  <c r="E518" i="39" s="1"/>
  <c r="E521" i="39" a="1"/>
  <c r="E521" i="39" s="1"/>
  <c r="E522" i="39" a="1"/>
  <c r="E522" i="39" s="1"/>
  <c r="E525" i="39" a="1"/>
  <c r="E525" i="39" s="1"/>
  <c r="E526" i="39" a="1"/>
  <c r="E526" i="39" s="1"/>
  <c r="E532" i="39" a="1"/>
  <c r="E532" i="39" s="1"/>
  <c r="E533" i="39" a="1"/>
  <c r="E533" i="39" s="1"/>
  <c r="E534" i="39" a="1"/>
  <c r="E534" i="39" s="1"/>
  <c r="E535" i="39" a="1"/>
  <c r="E535" i="39" s="1"/>
  <c r="E61" i="39" a="1"/>
  <c r="E61" i="39" s="1"/>
  <c r="E538" i="39" a="1"/>
  <c r="E538" i="39" s="1"/>
  <c r="E539" i="39" a="1"/>
  <c r="E539" i="39" s="1"/>
  <c r="E542" i="39" a="1"/>
  <c r="E542" i="39" s="1"/>
  <c r="E543" i="39" a="1"/>
  <c r="E543" i="39" s="1"/>
  <c r="E546" i="39" a="1"/>
  <c r="E546" i="39" s="1"/>
  <c r="E312" i="39" a="1"/>
  <c r="E312" i="39" s="1"/>
  <c r="E551" i="39" a="1"/>
  <c r="E551" i="39" s="1"/>
  <c r="E552" i="39" a="1"/>
  <c r="E552" i="39" s="1"/>
  <c r="E555" i="39" a="1"/>
  <c r="E555" i="39" s="1"/>
  <c r="E556" i="39" a="1"/>
  <c r="E556" i="39" s="1"/>
  <c r="E559" i="39" a="1"/>
  <c r="E559" i="39" s="1"/>
  <c r="E560" i="39" a="1"/>
  <c r="E560" i="39" s="1"/>
  <c r="E563" i="39" a="1"/>
  <c r="E563" i="39" s="1"/>
  <c r="E564" i="39" a="1"/>
  <c r="E564" i="39" s="1"/>
  <c r="E569" i="39" a="1"/>
  <c r="E569" i="39" s="1"/>
  <c r="E264" i="39" a="1"/>
  <c r="E264" i="39" s="1"/>
  <c r="E549" i="39" a="1"/>
  <c r="E549" i="39" s="1"/>
  <c r="E230" i="39" a="1"/>
  <c r="E230" i="39" s="1"/>
  <c r="E56" i="40" a="1"/>
  <c r="E56" i="40" s="1"/>
  <c r="E80" i="40" a="1"/>
  <c r="E80" i="40" s="1"/>
  <c r="E81" i="40" a="1"/>
  <c r="E81" i="40" s="1"/>
  <c r="E13" i="40" a="1"/>
  <c r="E13" i="40" s="1"/>
  <c r="E86" i="40" a="1"/>
  <c r="E86" i="40" s="1"/>
  <c r="E62" i="40" a="1"/>
  <c r="E62" i="40" s="1"/>
  <c r="E49" i="40" a="1"/>
  <c r="E49" i="40" s="1"/>
  <c r="E40" i="40" a="1"/>
  <c r="E40" i="40" s="1"/>
  <c r="E24" i="40" a="1"/>
  <c r="E24" i="40" s="1"/>
  <c r="E25" i="40" a="1"/>
  <c r="E25" i="40" s="1"/>
  <c r="E69" i="40" a="1"/>
  <c r="E69" i="40" s="1"/>
  <c r="E76" i="40" a="1"/>
  <c r="E76" i="40" s="1"/>
  <c r="E77" i="40" a="1"/>
  <c r="E77" i="40" s="1"/>
  <c r="E78" i="40" a="1"/>
  <c r="E78" i="40" s="1"/>
  <c r="E66" i="40" a="1"/>
  <c r="E66" i="40" s="1"/>
  <c r="E54" i="40" a="1"/>
  <c r="E54" i="40" s="1"/>
  <c r="E55" i="40" a="1"/>
  <c r="E55" i="40" s="1"/>
  <c r="E20" i="40" a="1"/>
  <c r="E20" i="40" s="1"/>
  <c r="E19" i="40" a="1"/>
  <c r="E19" i="40" s="1"/>
  <c r="E16" i="40" a="1"/>
  <c r="E16" i="40" s="1"/>
  <c r="E46" i="40" a="1"/>
  <c r="E46" i="40" s="1"/>
  <c r="E47" i="40" a="1"/>
  <c r="E47" i="40" s="1"/>
  <c r="E53" i="40" a="1"/>
  <c r="E53" i="40" s="1"/>
  <c r="E2" i="40" a="1"/>
  <c r="E2" i="40" s="1"/>
  <c r="E27" i="40" a="1"/>
  <c r="E27" i="40" s="1"/>
  <c r="E33" i="40" a="1"/>
  <c r="E33" i="40" s="1"/>
  <c r="E18" i="40" a="1"/>
  <c r="E18" i="40" s="1"/>
  <c r="E70" i="40" a="1"/>
  <c r="E70" i="40" s="1"/>
  <c r="E71" i="40" a="1"/>
  <c r="E71" i="40" s="1"/>
  <c r="E17" i="40" a="1"/>
  <c r="E17" i="40" s="1"/>
  <c r="E31" i="40" a="1"/>
  <c r="E31" i="40" s="1"/>
  <c r="E26" i="40" a="1"/>
  <c r="E26" i="40" s="1"/>
  <c r="E41" i="40" a="1"/>
  <c r="E41" i="40" s="1"/>
  <c r="E34" i="40" a="1"/>
  <c r="E34" i="40" s="1"/>
  <c r="E32" i="40" a="1"/>
  <c r="E32" i="40" s="1"/>
  <c r="E12" i="40" a="1"/>
  <c r="E12" i="40" s="1"/>
  <c r="E48" i="40" a="1"/>
  <c r="E48" i="40" s="1"/>
  <c r="E45" i="40" a="1"/>
  <c r="E45" i="40" s="1"/>
  <c r="E21" i="40" a="1"/>
  <c r="E21" i="40" s="1"/>
  <c r="E63" i="40" a="1"/>
  <c r="E63" i="40" s="1"/>
  <c r="E64" i="40" a="1"/>
  <c r="E64" i="40" s="1"/>
  <c r="E65" i="40" a="1"/>
  <c r="E65" i="40" s="1"/>
  <c r="E75" i="40" a="1"/>
  <c r="E75" i="40" s="1"/>
  <c r="E29" i="40" a="1"/>
  <c r="E29" i="40" s="1"/>
  <c r="E30" i="40" a="1"/>
  <c r="E30" i="40" s="1"/>
  <c r="E5" i="40" a="1"/>
  <c r="E5" i="40" s="1"/>
  <c r="E23" i="40" a="1"/>
  <c r="E23" i="40" s="1"/>
  <c r="E6" i="40" a="1"/>
  <c r="E6" i="40" s="1"/>
  <c r="E60" i="40" a="1"/>
  <c r="E60" i="40" s="1"/>
  <c r="E61" i="40" a="1"/>
  <c r="E61" i="40" s="1"/>
  <c r="E36" i="40" a="1"/>
  <c r="E36" i="40" s="1"/>
  <c r="E79" i="40" a="1"/>
  <c r="E79" i="40" s="1"/>
  <c r="E83" i="40" a="1"/>
  <c r="E83" i="40" s="1"/>
  <c r="E84" i="40" a="1"/>
  <c r="E84" i="40" s="1"/>
  <c r="E11" i="40" a="1"/>
  <c r="E11" i="40" s="1"/>
  <c r="E59" i="40" a="1"/>
  <c r="E59" i="40" s="1"/>
  <c r="E51" i="40" a="1"/>
  <c r="E51" i="40" s="1"/>
  <c r="E52" i="40" a="1"/>
  <c r="E52" i="40" s="1"/>
  <c r="E8" i="40" a="1"/>
  <c r="E8" i="40" s="1"/>
  <c r="E9" i="40" a="1"/>
  <c r="E9" i="40" s="1"/>
  <c r="E10" i="40" a="1"/>
  <c r="E10" i="40" s="1"/>
  <c r="E43" i="40" a="1"/>
  <c r="E43" i="40" s="1"/>
  <c r="E44" i="40" a="1"/>
  <c r="E44" i="40" s="1"/>
  <c r="E82" i="40" a="1"/>
  <c r="E82" i="40" s="1"/>
  <c r="E14" i="40" a="1"/>
  <c r="E14" i="40" s="1"/>
  <c r="E15" i="40" a="1"/>
  <c r="E15" i="40" s="1"/>
  <c r="E85" i="40" a="1"/>
  <c r="E85" i="40" s="1"/>
  <c r="E57" i="40" a="1"/>
  <c r="E57" i="40" s="1"/>
  <c r="E58" i="40" a="1"/>
  <c r="E58" i="40" s="1"/>
  <c r="E35" i="40" a="1"/>
  <c r="E35" i="40" s="1"/>
  <c r="E3" i="40" a="1"/>
  <c r="E3" i="40" s="1"/>
  <c r="E37" i="40" a="1"/>
  <c r="E37" i="40" s="1"/>
  <c r="E67" i="40" a="1"/>
  <c r="E67" i="40" s="1"/>
  <c r="E68" i="40" a="1"/>
  <c r="E68" i="40" s="1"/>
  <c r="E50" i="40" a="1"/>
  <c r="E50" i="40" s="1"/>
  <c r="E38" i="40" a="1"/>
  <c r="E38" i="40" s="1"/>
  <c r="E39" i="40" a="1"/>
  <c r="E39" i="40" s="1"/>
  <c r="E28" i="40" a="1"/>
  <c r="E28" i="40" s="1"/>
  <c r="E73" i="40" a="1"/>
  <c r="E73" i="40" s="1"/>
  <c r="E74" i="40" a="1"/>
  <c r="E74" i="40" s="1"/>
  <c r="E72" i="40" a="1"/>
  <c r="E72" i="40" s="1"/>
  <c r="E7" i="40" a="1"/>
  <c r="E7" i="40" s="1"/>
  <c r="E22" i="40" a="1"/>
  <c r="E22" i="40" s="1"/>
  <c r="E42" i="40" a="1"/>
  <c r="E42" i="40" s="1"/>
  <c r="E4" i="40" a="1"/>
  <c r="E4" i="40" s="1"/>
  <c r="E100" i="36" a="1"/>
  <c r="E100" i="36" s="1"/>
  <c r="E103" i="36" a="1"/>
  <c r="E103" i="36" s="1"/>
  <c r="E49" i="36" a="1"/>
  <c r="E49" i="36" s="1"/>
  <c r="E83" i="36" a="1"/>
  <c r="E83" i="36" s="1"/>
  <c r="E56" i="36" a="1"/>
  <c r="E56" i="36" s="1"/>
  <c r="E29" i="36" a="1"/>
  <c r="E29" i="36" s="1"/>
  <c r="E39" i="36" a="1"/>
  <c r="E39" i="36" s="1"/>
  <c r="E28" i="36" a="1"/>
  <c r="E28" i="36" s="1"/>
  <c r="E34" i="36" a="1"/>
  <c r="E34" i="36" s="1"/>
  <c r="E81" i="36" a="1"/>
  <c r="E81" i="36" s="1"/>
  <c r="E65" i="36" a="1"/>
  <c r="E65" i="36" s="1"/>
  <c r="E5" i="36" a="1"/>
  <c r="E5" i="36" s="1"/>
  <c r="E50" i="36" a="1"/>
  <c r="E50" i="36" s="1"/>
  <c r="E71" i="36" a="1"/>
  <c r="E71" i="36" s="1"/>
  <c r="E37" i="36" a="1"/>
  <c r="E37" i="36" s="1"/>
  <c r="E75" i="36" a="1"/>
  <c r="E75" i="36" s="1"/>
  <c r="E62" i="36" a="1"/>
  <c r="E62" i="36" s="1"/>
  <c r="E7" i="36" a="1"/>
  <c r="E7" i="36" s="1"/>
  <c r="E59" i="36" a="1"/>
  <c r="E59" i="36" s="1"/>
  <c r="E73" i="36" a="1"/>
  <c r="E73" i="36" s="1"/>
  <c r="E70" i="36" a="1"/>
  <c r="E70" i="36" s="1"/>
  <c r="E10" i="36" a="1"/>
  <c r="E10" i="36" s="1"/>
  <c r="E80" i="36" a="1"/>
  <c r="E80" i="36" s="1"/>
  <c r="E30" i="36" a="1"/>
  <c r="E30" i="36" s="1"/>
  <c r="E12" i="36" a="1"/>
  <c r="E12" i="36" s="1"/>
  <c r="E99" i="36" a="1"/>
  <c r="E99" i="36" s="1"/>
  <c r="E102" i="36" a="1"/>
  <c r="E102" i="36" s="1"/>
  <c r="E84" i="36" a="1"/>
  <c r="E84" i="36" s="1"/>
  <c r="E72" i="36" a="1"/>
  <c r="E72" i="36" s="1"/>
  <c r="E82" i="36" a="1"/>
  <c r="E82" i="36" s="1"/>
  <c r="E26" i="36" a="1"/>
  <c r="E26" i="36" s="1"/>
  <c r="E48" i="36" a="1"/>
  <c r="E48" i="36" s="1"/>
  <c r="E4" i="36" a="1"/>
  <c r="E4" i="36" s="1"/>
  <c r="E25" i="36" a="1"/>
  <c r="E25" i="36" s="1"/>
  <c r="E18" i="36" a="1"/>
  <c r="E18" i="36" s="1"/>
  <c r="E23" i="36" a="1"/>
  <c r="E23" i="36" s="1"/>
  <c r="E6" i="36" a="1"/>
  <c r="E6" i="36" s="1"/>
  <c r="E2" i="36" a="1"/>
  <c r="E2" i="36" s="1"/>
  <c r="E47" i="36" a="1"/>
  <c r="E47" i="36" s="1"/>
  <c r="E66" i="36" a="1"/>
  <c r="E66" i="36" s="1"/>
  <c r="E31" i="36" a="1"/>
  <c r="E31" i="36" s="1"/>
  <c r="E19" i="36" a="1"/>
  <c r="E19" i="36" s="1"/>
  <c r="E24" i="36" a="1"/>
  <c r="E24" i="36" s="1"/>
  <c r="E53" i="36" a="1"/>
  <c r="E53" i="36" s="1"/>
  <c r="E11" i="36" a="1"/>
  <c r="E11" i="36" s="1"/>
  <c r="E57" i="36" a="1"/>
  <c r="E57" i="36" s="1"/>
  <c r="E9" i="36" a="1"/>
  <c r="E9" i="36" s="1"/>
  <c r="E33" i="36" a="1"/>
  <c r="E33" i="36" s="1"/>
  <c r="E13" i="36" a="1"/>
  <c r="E13" i="36" s="1"/>
  <c r="E58" i="36" a="1"/>
  <c r="E58" i="36" s="1"/>
  <c r="E89" i="36" a="1"/>
  <c r="E89" i="36" s="1"/>
  <c r="E112" i="36" a="1"/>
  <c r="E112" i="36" s="1"/>
  <c r="E27" i="36" a="1"/>
  <c r="E27" i="36" s="1"/>
  <c r="E63" i="36" a="1"/>
  <c r="E63" i="36" s="1"/>
  <c r="E76" i="36" a="1"/>
  <c r="E76" i="36" s="1"/>
  <c r="E108" i="36" a="1"/>
  <c r="E108" i="36" s="1"/>
  <c r="E110" i="36" a="1"/>
  <c r="E110" i="36" s="1"/>
  <c r="E113" i="36" a="1"/>
  <c r="E113" i="36" s="1"/>
  <c r="E51" i="36" a="1"/>
  <c r="E51" i="36" s="1"/>
  <c r="E35" i="36" a="1"/>
  <c r="E35" i="36" s="1"/>
  <c r="E60" i="36" a="1"/>
  <c r="E60" i="36" s="1"/>
  <c r="E74" i="36" a="1"/>
  <c r="E74" i="36" s="1"/>
  <c r="E96" i="36" a="1"/>
  <c r="E96" i="36" s="1"/>
  <c r="E101" i="36" a="1"/>
  <c r="E101" i="36" s="1"/>
  <c r="E94" i="36" a="1"/>
  <c r="E94" i="36" s="1"/>
  <c r="E68" i="36" a="1"/>
  <c r="E68" i="36" s="1"/>
  <c r="E79" i="36" a="1"/>
  <c r="E79" i="36" s="1"/>
  <c r="E87" i="36" a="1"/>
  <c r="E87" i="36" s="1"/>
  <c r="E52" i="36" a="1"/>
  <c r="E52" i="36" s="1"/>
  <c r="E67" i="36" a="1"/>
  <c r="E67" i="36" s="1"/>
  <c r="E78" i="36" a="1"/>
  <c r="E78" i="36" s="1"/>
  <c r="E85" i="36" a="1"/>
  <c r="E85" i="36" s="1"/>
  <c r="E98" i="36" a="1"/>
  <c r="E98" i="36" s="1"/>
  <c r="E105" i="36" a="1"/>
  <c r="E105" i="36" s="1"/>
  <c r="E55" i="36" a="1"/>
  <c r="E55" i="36" s="1"/>
  <c r="E93" i="36" a="1"/>
  <c r="E93" i="36" s="1"/>
  <c r="E38" i="36" a="1"/>
  <c r="E38" i="36" s="1"/>
  <c r="E69" i="36" a="1"/>
  <c r="E69" i="36" s="1"/>
  <c r="E40" i="36" a="1"/>
  <c r="E40" i="36" s="1"/>
  <c r="E54" i="36" a="1"/>
  <c r="E54" i="36" s="1"/>
  <c r="E90" i="36" a="1"/>
  <c r="E90" i="36" s="1"/>
  <c r="E64" i="36" a="1"/>
  <c r="E64" i="36" s="1"/>
  <c r="E77" i="36" a="1"/>
  <c r="E77" i="36" s="1"/>
  <c r="E46" i="36" a="1"/>
  <c r="E46" i="36" s="1"/>
  <c r="E16" i="36" a="1"/>
  <c r="E16" i="36" s="1"/>
  <c r="E43" i="36" a="1"/>
  <c r="E43" i="36" s="1"/>
  <c r="E21" i="36" a="1"/>
  <c r="E21" i="36" s="1"/>
  <c r="E15" i="36" a="1"/>
  <c r="E15" i="36" s="1"/>
  <c r="E20" i="36" a="1"/>
  <c r="E20" i="36" s="1"/>
  <c r="E3" i="36" a="1"/>
  <c r="E3" i="36" s="1"/>
  <c r="E8" i="36" a="1"/>
  <c r="E8" i="36" s="1"/>
  <c r="E109" i="36" a="1"/>
  <c r="E109" i="36" s="1"/>
  <c r="E111" i="36" a="1"/>
  <c r="E111" i="36" s="1"/>
  <c r="E44" i="36" a="1"/>
  <c r="E44" i="36" s="1"/>
  <c r="E104" i="36" a="1"/>
  <c r="E104" i="36" s="1"/>
  <c r="E92" i="36" a="1"/>
  <c r="E92" i="36" s="1"/>
  <c r="E116" i="36" a="1"/>
  <c r="E116" i="36" s="1"/>
  <c r="E117" i="36" a="1"/>
  <c r="E117" i="36" s="1"/>
  <c r="E115" i="36" a="1"/>
  <c r="E115" i="36" s="1"/>
  <c r="E88" i="36" a="1"/>
  <c r="E88" i="36" s="1"/>
  <c r="E95" i="36" a="1"/>
  <c r="E95" i="36" s="1"/>
  <c r="E91" i="36" a="1"/>
  <c r="E91" i="36" s="1"/>
  <c r="E41" i="36" a="1"/>
  <c r="E41" i="36" s="1"/>
  <c r="E107" i="36" a="1"/>
  <c r="E107" i="36" s="1"/>
  <c r="E61" i="36" a="1"/>
  <c r="E61" i="36" s="1"/>
  <c r="E45" i="36" a="1"/>
  <c r="E45" i="36" s="1"/>
  <c r="E17" i="36" a="1"/>
  <c r="E17" i="36" s="1"/>
  <c r="E22" i="36" a="1"/>
  <c r="E22" i="36" s="1"/>
  <c r="E42" i="36" a="1"/>
  <c r="E42" i="36" s="1"/>
  <c r="E36" i="36" a="1"/>
  <c r="E36" i="36" s="1"/>
  <c r="E86" i="36" a="1"/>
  <c r="E86" i="36" s="1"/>
  <c r="E14" i="36" a="1"/>
  <c r="E14" i="36" s="1"/>
  <c r="E114" i="36" a="1"/>
  <c r="E114" i="36" s="1"/>
  <c r="E106" i="36" a="1"/>
  <c r="E106" i="36" s="1"/>
  <c r="E97" i="36" a="1"/>
  <c r="E97" i="36" s="1"/>
  <c r="E32" i="36" a="1"/>
  <c r="E32" i="36" s="1"/>
  <c r="E156" i="35" a="1"/>
  <c r="E156" i="35" s="1"/>
  <c r="E148" i="35" a="1"/>
  <c r="E148" i="35" s="1"/>
  <c r="E5" i="35" a="1"/>
  <c r="E5" i="35" s="1"/>
  <c r="E63" i="35" a="1"/>
  <c r="E63" i="35" s="1"/>
  <c r="E46" i="35" a="1"/>
  <c r="E46" i="35" s="1"/>
  <c r="E176" i="35" a="1"/>
  <c r="E176" i="35" s="1"/>
  <c r="E177" i="35" a="1"/>
  <c r="E177" i="35" s="1"/>
  <c r="E178" i="35" a="1"/>
  <c r="E178" i="35" s="1"/>
  <c r="E119" i="35" a="1"/>
  <c r="E119" i="35" s="1"/>
  <c r="E192" i="35" a="1"/>
  <c r="E192" i="35" s="1"/>
  <c r="E196" i="35" a="1"/>
  <c r="E196" i="35" s="1"/>
  <c r="E197" i="35" a="1"/>
  <c r="E197" i="35" s="1"/>
  <c r="E172" i="35" a="1"/>
  <c r="E172" i="35" s="1"/>
  <c r="E14" i="35" a="1"/>
  <c r="E14" i="35" s="1"/>
  <c r="E125" i="35" a="1"/>
  <c r="E125" i="35" s="1"/>
  <c r="E126" i="35" a="1"/>
  <c r="E126" i="35" s="1"/>
  <c r="E32" i="35" a="1"/>
  <c r="E32" i="35" s="1"/>
  <c r="E127" i="35" a="1"/>
  <c r="E127" i="35" s="1"/>
  <c r="E118" i="35" a="1"/>
  <c r="E118" i="35" s="1"/>
  <c r="E86" i="35" a="1"/>
  <c r="E86" i="35" s="1"/>
  <c r="E87" i="35" a="1"/>
  <c r="E87" i="35" s="1"/>
  <c r="E88" i="35" a="1"/>
  <c r="E88" i="35" s="1"/>
  <c r="E117" i="35" a="1"/>
  <c r="E117" i="35" s="1"/>
  <c r="E4" i="35" a="1"/>
  <c r="E4" i="35" s="1"/>
  <c r="E104" i="35" a="1"/>
  <c r="E104" i="35" s="1"/>
  <c r="E189" i="35" a="1"/>
  <c r="E189" i="35" s="1"/>
  <c r="E159" i="35" a="1"/>
  <c r="E159" i="35" s="1"/>
  <c r="E160" i="35" a="1"/>
  <c r="E160" i="35" s="1"/>
  <c r="E151" i="35" a="1"/>
  <c r="E151" i="35" s="1"/>
  <c r="E43" i="35" a="1"/>
  <c r="E43" i="35" s="1"/>
  <c r="E191" i="35" a="1"/>
  <c r="E191" i="35" s="1"/>
  <c r="E137" i="35" a="1"/>
  <c r="E137" i="35" s="1"/>
  <c r="E70" i="35" a="1"/>
  <c r="E70" i="35" s="1"/>
  <c r="E147" i="35" a="1"/>
  <c r="E147" i="35" s="1"/>
  <c r="E149" i="35" a="1"/>
  <c r="E149" i="35" s="1"/>
  <c r="E150" i="35" a="1"/>
  <c r="E150" i="35" s="1"/>
  <c r="E152" i="35" a="1"/>
  <c r="E152" i="35" s="1"/>
  <c r="E193" i="35" a="1"/>
  <c r="E193" i="35" s="1"/>
  <c r="E209" i="35" a="1"/>
  <c r="E209" i="35" s="1"/>
  <c r="E85" i="35" a="1"/>
  <c r="E85" i="35" s="1"/>
  <c r="E120" i="35" a="1"/>
  <c r="E120" i="35" s="1"/>
  <c r="E11" i="35" a="1"/>
  <c r="E11" i="35" s="1"/>
  <c r="E121" i="35" a="1"/>
  <c r="E121" i="35" s="1"/>
  <c r="E139" i="35" a="1"/>
  <c r="E139" i="35" s="1"/>
  <c r="E52" i="35" a="1"/>
  <c r="E52" i="35" s="1"/>
  <c r="E33" i="35" a="1"/>
  <c r="E33" i="35" s="1"/>
  <c r="E55" i="35" a="1"/>
  <c r="E55" i="35" s="1"/>
  <c r="E56" i="35" a="1"/>
  <c r="E56" i="35" s="1"/>
  <c r="E198" i="35" a="1"/>
  <c r="E198" i="35" s="1"/>
  <c r="E83" i="35" a="1"/>
  <c r="E83" i="35" s="1"/>
  <c r="E58" i="35" a="1"/>
  <c r="E58" i="35" s="1"/>
  <c r="E59" i="35" a="1"/>
  <c r="E59" i="35" s="1"/>
  <c r="E60" i="35" a="1"/>
  <c r="E60" i="35" s="1"/>
  <c r="E61" i="35" a="1"/>
  <c r="E61" i="35" s="1"/>
  <c r="E113" i="35" a="1"/>
  <c r="E113" i="35" s="1"/>
  <c r="E74" i="35" a="1"/>
  <c r="E74" i="35" s="1"/>
  <c r="E72" i="35" a="1"/>
  <c r="E72" i="35" s="1"/>
  <c r="E73" i="35" a="1"/>
  <c r="E73" i="35" s="1"/>
  <c r="E75" i="35" a="1"/>
  <c r="E75" i="35" s="1"/>
  <c r="E18" i="35" a="1"/>
  <c r="E18" i="35" s="1"/>
  <c r="E153" i="35" a="1"/>
  <c r="E153" i="35" s="1"/>
  <c r="E54" i="35" a="1"/>
  <c r="E54" i="35" s="1"/>
  <c r="E129" i="35" a="1"/>
  <c r="E129" i="35" s="1"/>
  <c r="E114" i="35" a="1"/>
  <c r="E114" i="35" s="1"/>
  <c r="E35" i="35" a="1"/>
  <c r="E35" i="35" s="1"/>
  <c r="E36" i="35" a="1"/>
  <c r="E36" i="35" s="1"/>
  <c r="E37" i="35" a="1"/>
  <c r="E37" i="35" s="1"/>
  <c r="E179" i="35" a="1"/>
  <c r="E179" i="35" s="1"/>
  <c r="E131" i="35" a="1"/>
  <c r="E131" i="35" s="1"/>
  <c r="E6" i="35" a="1"/>
  <c r="E6" i="35" s="1"/>
  <c r="E7" i="35" a="1"/>
  <c r="E7" i="35" s="1"/>
  <c r="E8" i="35" a="1"/>
  <c r="E8" i="35" s="1"/>
  <c r="E9" i="35" a="1"/>
  <c r="E9" i="35" s="1"/>
  <c r="E194" i="35" a="1"/>
  <c r="E194" i="35" s="1"/>
  <c r="E31" i="35" a="1"/>
  <c r="E31" i="35" s="1"/>
  <c r="E115" i="35" a="1"/>
  <c r="E115" i="35" s="1"/>
  <c r="E116" i="35" a="1"/>
  <c r="E116" i="35" s="1"/>
  <c r="E200" i="35" a="1"/>
  <c r="E200" i="35" s="1"/>
  <c r="E79" i="35" a="1"/>
  <c r="E79" i="35" s="1"/>
  <c r="E80" i="35" a="1"/>
  <c r="E80" i="35" s="1"/>
  <c r="E81" i="35" a="1"/>
  <c r="E81" i="35" s="1"/>
  <c r="E82" i="35" a="1"/>
  <c r="E82" i="35" s="1"/>
  <c r="E208" i="35" a="1"/>
  <c r="E208" i="35" s="1"/>
  <c r="E38" i="35" a="1"/>
  <c r="E38" i="35" s="1"/>
  <c r="E142" i="35" a="1"/>
  <c r="E142" i="35" s="1"/>
  <c r="E22" i="35" a="1"/>
  <c r="E22" i="35" s="1"/>
  <c r="E173" i="35" a="1"/>
  <c r="E173" i="35" s="1"/>
  <c r="E138" i="35" a="1"/>
  <c r="E138" i="35" s="1"/>
  <c r="E145" i="35" a="1"/>
  <c r="E145" i="35" s="1"/>
  <c r="E136" i="35" a="1"/>
  <c r="E136" i="35" s="1"/>
  <c r="E21" i="35" a="1"/>
  <c r="E21" i="35" s="1"/>
  <c r="E102" i="35" a="1"/>
  <c r="E102" i="35" s="1"/>
  <c r="E42" i="35" a="1"/>
  <c r="E42" i="35" s="1"/>
  <c r="E123" i="35" a="1"/>
  <c r="E123" i="35" s="1"/>
  <c r="E17" i="35" a="1"/>
  <c r="E17" i="35" s="1"/>
  <c r="E57" i="35" a="1"/>
  <c r="E57" i="35" s="1"/>
  <c r="E2" i="35" a="1"/>
  <c r="E2" i="35" s="1"/>
  <c r="E78" i="35" a="1"/>
  <c r="E78" i="35" s="1"/>
  <c r="E174" i="35" a="1"/>
  <c r="E174" i="35" s="1"/>
  <c r="E23" i="35" a="1"/>
  <c r="E23" i="35" s="1"/>
  <c r="E77" i="35" a="1"/>
  <c r="E77" i="35" s="1"/>
  <c r="E199" i="35" a="1"/>
  <c r="E199" i="35" s="1"/>
  <c r="E187" i="35" a="1"/>
  <c r="E187" i="35" s="1"/>
  <c r="E190" i="35" a="1"/>
  <c r="E190" i="35" s="1"/>
  <c r="E67" i="35" a="1"/>
  <c r="E67" i="35" s="1"/>
  <c r="E143" i="35" a="1"/>
  <c r="E143" i="35" s="1"/>
  <c r="E144" i="35" a="1"/>
  <c r="E144" i="35" s="1"/>
  <c r="E34" i="35" a="1"/>
  <c r="E34" i="35" s="1"/>
  <c r="E41" i="35" a="1"/>
  <c r="E41" i="35" s="1"/>
  <c r="E183" i="35" a="1"/>
  <c r="E183" i="35" s="1"/>
  <c r="E97" i="35" a="1"/>
  <c r="E97" i="35" s="1"/>
  <c r="E98" i="35" a="1"/>
  <c r="E98" i="35" s="1"/>
  <c r="E99" i="35" a="1"/>
  <c r="E99" i="35" s="1"/>
  <c r="E100" i="35" a="1"/>
  <c r="E100" i="35" s="1"/>
  <c r="E101" i="35" a="1"/>
  <c r="E101" i="35" s="1"/>
  <c r="E96" i="35" a="1"/>
  <c r="E96" i="35" s="1"/>
  <c r="E12" i="35" a="1"/>
  <c r="E12" i="35" s="1"/>
  <c r="E13" i="35" a="1"/>
  <c r="E13" i="35" s="1"/>
  <c r="E158" i="35" a="1"/>
  <c r="E158" i="35" s="1"/>
  <c r="E40" i="35" a="1"/>
  <c r="E40" i="35" s="1"/>
  <c r="E103" i="35" a="1"/>
  <c r="E103" i="35" s="1"/>
  <c r="E64" i="35" a="1"/>
  <c r="E64" i="35" s="1"/>
  <c r="E65" i="35" a="1"/>
  <c r="E65" i="35" s="1"/>
  <c r="E66" i="35" a="1"/>
  <c r="E66" i="35" s="1"/>
  <c r="E69" i="35" a="1"/>
  <c r="E69" i="35" s="1"/>
  <c r="E163" i="35" a="1"/>
  <c r="E163" i="35" s="1"/>
  <c r="E10" i="35" a="1"/>
  <c r="E10" i="35" s="1"/>
  <c r="E39" i="35" a="1"/>
  <c r="E39" i="35" s="1"/>
  <c r="E47" i="35" a="1"/>
  <c r="E47" i="35" s="1"/>
  <c r="E166" i="35" a="1"/>
  <c r="E166" i="35" s="1"/>
  <c r="E93" i="35" a="1"/>
  <c r="E93" i="35" s="1"/>
  <c r="E19" i="35" a="1"/>
  <c r="E19" i="35" s="1"/>
  <c r="E20" i="35" a="1"/>
  <c r="E20" i="35" s="1"/>
  <c r="E50" i="35" a="1"/>
  <c r="E50" i="35" s="1"/>
  <c r="E171" i="35" a="1"/>
  <c r="E171" i="35" s="1"/>
  <c r="E132" i="35" a="1"/>
  <c r="E132" i="35" s="1"/>
  <c r="E105" i="35" a="1"/>
  <c r="E105" i="35" s="1"/>
  <c r="E106" i="35" a="1"/>
  <c r="E106" i="35" s="1"/>
  <c r="E107" i="35" a="1"/>
  <c r="E107" i="35" s="1"/>
  <c r="E108" i="35" a="1"/>
  <c r="E108" i="35" s="1"/>
  <c r="E109" i="35" a="1"/>
  <c r="E109" i="35" s="1"/>
  <c r="E141" i="35" a="1"/>
  <c r="E141" i="35" s="1"/>
  <c r="E182" i="35" a="1"/>
  <c r="E182" i="35" s="1"/>
  <c r="E184" i="35" a="1"/>
  <c r="E184" i="35" s="1"/>
  <c r="E185" i="35" a="1"/>
  <c r="E185" i="35" s="1"/>
  <c r="E124" i="35" a="1"/>
  <c r="E124" i="35" s="1"/>
  <c r="E122" i="35" a="1"/>
  <c r="E122" i="35" s="1"/>
  <c r="E71" i="35" a="1"/>
  <c r="E71" i="35" s="1"/>
  <c r="E135" i="35" a="1"/>
  <c r="E135" i="35" s="1"/>
  <c r="E128" i="35" a="1"/>
  <c r="E128" i="35" s="1"/>
  <c r="E48" i="35" a="1"/>
  <c r="E48" i="35" s="1"/>
  <c r="E49" i="35" a="1"/>
  <c r="E49" i="35" s="1"/>
  <c r="E206" i="35" a="1"/>
  <c r="E206" i="35" s="1"/>
  <c r="E167" i="35" a="1"/>
  <c r="E167" i="35" s="1"/>
  <c r="E68" i="35" a="1"/>
  <c r="E68" i="35" s="1"/>
  <c r="E181" i="35" a="1"/>
  <c r="E181" i="35" s="1"/>
  <c r="E162" i="35" a="1"/>
  <c r="E162" i="35" s="1"/>
  <c r="E155" i="35" a="1"/>
  <c r="E155" i="35" s="1"/>
  <c r="E30" i="35" a="1"/>
  <c r="E30" i="35" s="1"/>
  <c r="E89" i="35" a="1"/>
  <c r="E89" i="35" s="1"/>
  <c r="E202" i="35" a="1"/>
  <c r="E202" i="35" s="1"/>
  <c r="E203" i="35" a="1"/>
  <c r="E203" i="35" s="1"/>
  <c r="E204" i="35" a="1"/>
  <c r="E204" i="35" s="1"/>
  <c r="E180" i="35" a="1"/>
  <c r="E180" i="35" s="1"/>
  <c r="E84" i="35" a="1"/>
  <c r="E84" i="35" s="1"/>
  <c r="E94" i="35" a="1"/>
  <c r="E94" i="35" s="1"/>
  <c r="E76" i="35" a="1"/>
  <c r="E76" i="35" s="1"/>
  <c r="E28" i="35" a="1"/>
  <c r="E28" i="35" s="1"/>
  <c r="E24" i="35" a="1"/>
  <c r="E24" i="35" s="1"/>
  <c r="E53" i="35" a="1"/>
  <c r="E53" i="35" s="1"/>
  <c r="E168" i="35" a="1"/>
  <c r="E168" i="35" s="1"/>
  <c r="E169" i="35" a="1"/>
  <c r="E169" i="35" s="1"/>
  <c r="E170" i="35" a="1"/>
  <c r="E170" i="35" s="1"/>
  <c r="E95" i="35" a="1"/>
  <c r="E95" i="35" s="1"/>
  <c r="E16" i="35" a="1"/>
  <c r="E16" i="35" s="1"/>
  <c r="E211" i="35" a="1"/>
  <c r="E211" i="35" s="1"/>
  <c r="E212" i="35" a="1"/>
  <c r="E212" i="35" s="1"/>
  <c r="E213" i="35" a="1"/>
  <c r="E213" i="35" s="1"/>
  <c r="E214" i="35" a="1"/>
  <c r="E214" i="35" s="1"/>
  <c r="E112" i="35" a="1"/>
  <c r="E112" i="35" s="1"/>
  <c r="E3" i="35" a="1"/>
  <c r="E3" i="35" s="1"/>
  <c r="E62" i="35" a="1"/>
  <c r="E62" i="35" s="1"/>
  <c r="E146" i="35" a="1"/>
  <c r="E146" i="35" s="1"/>
  <c r="E140" i="35" a="1"/>
  <c r="E140" i="35" s="1"/>
  <c r="E15" i="35" a="1"/>
  <c r="E15" i="35" s="1"/>
  <c r="E161" i="35" a="1"/>
  <c r="E161" i="35" s="1"/>
  <c r="E90" i="35" a="1"/>
  <c r="E90" i="35" s="1"/>
  <c r="E91" i="35" a="1"/>
  <c r="E91" i="35" s="1"/>
  <c r="E92" i="35" a="1"/>
  <c r="E92" i="35" s="1"/>
  <c r="E133" i="35" a="1"/>
  <c r="E133" i="35" s="1"/>
  <c r="E134" i="35" a="1"/>
  <c r="E134" i="35" s="1"/>
  <c r="E195" i="35" a="1"/>
  <c r="E195" i="35" s="1"/>
  <c r="E111" i="35" a="1"/>
  <c r="E111" i="35" s="1"/>
  <c r="E130" i="35" a="1"/>
  <c r="E130" i="35" s="1"/>
  <c r="E44" i="35" a="1"/>
  <c r="E44" i="35" s="1"/>
  <c r="E45" i="35" a="1"/>
  <c r="E45" i="35" s="1"/>
  <c r="E188" i="35" a="1"/>
  <c r="E188" i="35" s="1"/>
  <c r="E154" i="35" a="1"/>
  <c r="E154" i="35" s="1"/>
  <c r="E29" i="35" a="1"/>
  <c r="E29" i="35" s="1"/>
  <c r="E201" i="35" a="1"/>
  <c r="E201" i="35" s="1"/>
  <c r="E157" i="35" a="1"/>
  <c r="E157" i="35" s="1"/>
  <c r="E205" i="35" a="1"/>
  <c r="E205" i="35" s="1"/>
  <c r="E186" i="35" a="1"/>
  <c r="E186" i="35" s="1"/>
  <c r="E207" i="35" a="1"/>
  <c r="E207" i="35" s="1"/>
  <c r="E110" i="35" a="1"/>
  <c r="E110" i="35" s="1"/>
  <c r="E210" i="35" a="1"/>
  <c r="E210" i="35" s="1"/>
  <c r="E175" i="35" a="1"/>
  <c r="E175" i="35" s="1"/>
  <c r="E25" i="35" a="1"/>
  <c r="E25" i="35" s="1"/>
  <c r="E164" i="35" a="1"/>
  <c r="E164" i="35" s="1"/>
  <c r="E26" i="35" a="1"/>
  <c r="E26" i="35" s="1"/>
  <c r="E165" i="35" a="1"/>
  <c r="E165" i="35" s="1"/>
  <c r="E27" i="35" a="1"/>
  <c r="E27" i="35" s="1"/>
  <c r="E51" i="35" a="1"/>
  <c r="E51" i="35" s="1"/>
  <c r="E27" i="34" a="1"/>
  <c r="E27" i="34" s="1"/>
  <c r="E19" i="34" a="1"/>
  <c r="E19" i="34" s="1"/>
  <c r="E61" i="34" a="1"/>
  <c r="E61" i="34" s="1"/>
  <c r="E56" i="34" a="1"/>
  <c r="E56" i="34" s="1"/>
  <c r="E57" i="34" a="1"/>
  <c r="E57" i="34" s="1"/>
  <c r="E46" i="34" a="1"/>
  <c r="E46" i="34" s="1"/>
  <c r="E24" i="34" a="1"/>
  <c r="E24" i="34" s="1"/>
  <c r="E47" i="34" a="1"/>
  <c r="E47" i="34" s="1"/>
  <c r="E48" i="34" a="1"/>
  <c r="E48" i="34" s="1"/>
  <c r="E11" i="34" a="1"/>
  <c r="E11" i="34" s="1"/>
  <c r="E50" i="34" a="1"/>
  <c r="E50" i="34" s="1"/>
  <c r="E124" i="34" a="1"/>
  <c r="E124" i="34" s="1"/>
  <c r="E125" i="34" a="1"/>
  <c r="E125" i="34" s="1"/>
  <c r="E26" i="34" a="1"/>
  <c r="E26" i="34" s="1"/>
  <c r="E30" i="34" a="1"/>
  <c r="E30" i="34" s="1"/>
  <c r="E22" i="34" a="1"/>
  <c r="E22" i="34" s="1"/>
  <c r="E14" i="34" a="1"/>
  <c r="E14" i="34" s="1"/>
  <c r="E13" i="34" a="1"/>
  <c r="E13" i="34" s="1"/>
  <c r="E12" i="34" a="1"/>
  <c r="E12" i="34" s="1"/>
  <c r="E45" i="34" a="1"/>
  <c r="E45" i="34" s="1"/>
  <c r="E20" i="34" a="1"/>
  <c r="E20" i="34" s="1"/>
  <c r="E21" i="34" a="1"/>
  <c r="E21" i="34" s="1"/>
  <c r="E66" i="34" a="1"/>
  <c r="E66" i="34" s="1"/>
  <c r="E15" i="34" a="1"/>
  <c r="E15" i="34" s="1"/>
  <c r="E64" i="34" a="1"/>
  <c r="E64" i="34" s="1"/>
  <c r="E35" i="34" a="1"/>
  <c r="E35" i="34" s="1"/>
  <c r="E36" i="34" a="1"/>
  <c r="E36" i="34" s="1"/>
  <c r="E52" i="34" a="1"/>
  <c r="E52" i="34" s="1"/>
  <c r="E51" i="34" a="1"/>
  <c r="E51" i="34" s="1"/>
  <c r="E39" i="34" a="1"/>
  <c r="E39" i="34" s="1"/>
  <c r="E23" i="34" a="1"/>
  <c r="E23" i="34" s="1"/>
  <c r="E2" i="34" a="1"/>
  <c r="E2" i="34" s="1"/>
  <c r="E59" i="34" a="1"/>
  <c r="E59" i="34" s="1"/>
  <c r="E60" i="34" a="1"/>
  <c r="E60" i="34" s="1"/>
  <c r="E7" i="34" a="1"/>
  <c r="E7" i="34" s="1"/>
  <c r="E18" i="34" a="1"/>
  <c r="E18" i="34" s="1"/>
  <c r="E8" i="34" a="1"/>
  <c r="E8" i="34" s="1"/>
  <c r="E9" i="34" a="1"/>
  <c r="E9" i="34" s="1"/>
  <c r="E10" i="34" a="1"/>
  <c r="E10" i="34" s="1"/>
  <c r="E49" i="34" a="1"/>
  <c r="E49" i="34" s="1"/>
  <c r="E55" i="34" a="1"/>
  <c r="E55" i="34" s="1"/>
  <c r="E89" i="34" a="1"/>
  <c r="E89" i="34" s="1"/>
  <c r="E90" i="34" a="1"/>
  <c r="E90" i="34" s="1"/>
  <c r="E25" i="34" a="1"/>
  <c r="E25" i="34" s="1"/>
  <c r="E6" i="34" a="1"/>
  <c r="E6" i="34" s="1"/>
  <c r="E37" i="34" a="1"/>
  <c r="E37" i="34" s="1"/>
  <c r="E34" i="34" a="1"/>
  <c r="E34" i="34" s="1"/>
  <c r="E29" i="34" a="1"/>
  <c r="E29" i="34" s="1"/>
  <c r="E65" i="34" a="1"/>
  <c r="E65" i="34" s="1"/>
  <c r="E28" i="34" a="1"/>
  <c r="E28" i="34" s="1"/>
  <c r="E40" i="34" a="1"/>
  <c r="E40" i="34" s="1"/>
  <c r="E41" i="34" a="1"/>
  <c r="E41" i="34" s="1"/>
  <c r="E31" i="34" a="1"/>
  <c r="E31" i="34" s="1"/>
  <c r="E58" i="34" a="1"/>
  <c r="E58" i="34" s="1"/>
  <c r="E70" i="34" a="1"/>
  <c r="E70" i="34" s="1"/>
  <c r="E71" i="34" a="1"/>
  <c r="E71" i="34" s="1"/>
  <c r="E38" i="34" a="1"/>
  <c r="E38" i="34" s="1"/>
  <c r="E42" i="34" a="1"/>
  <c r="E42" i="34" s="1"/>
  <c r="E107" i="34" a="1"/>
  <c r="E107" i="34" s="1"/>
  <c r="E80" i="34" a="1"/>
  <c r="E80" i="34" s="1"/>
  <c r="E81" i="34" a="1"/>
  <c r="E81" i="34" s="1"/>
  <c r="E91" i="34" a="1"/>
  <c r="E91" i="34" s="1"/>
  <c r="E84" i="34" a="1"/>
  <c r="E84" i="34" s="1"/>
  <c r="E85" i="34" a="1"/>
  <c r="E85" i="34" s="1"/>
  <c r="E78" i="34" a="1"/>
  <c r="E78" i="34" s="1"/>
  <c r="E88" i="34" a="1"/>
  <c r="E88" i="34" s="1"/>
  <c r="E99" i="34" a="1"/>
  <c r="E99" i="34" s="1"/>
  <c r="E92" i="34" a="1"/>
  <c r="E92" i="34" s="1"/>
  <c r="E67" i="34" a="1"/>
  <c r="E67" i="34" s="1"/>
  <c r="E68" i="34" a="1"/>
  <c r="E68" i="34" s="1"/>
  <c r="E32" i="34" a="1"/>
  <c r="E32" i="34" s="1"/>
  <c r="E33" i="34" a="1"/>
  <c r="E33" i="34" s="1"/>
  <c r="E100" i="34" a="1"/>
  <c r="E100" i="34" s="1"/>
  <c r="E105" i="34" a="1"/>
  <c r="E105" i="34" s="1"/>
  <c r="E112" i="34" a="1"/>
  <c r="E112" i="34" s="1"/>
  <c r="E102" i="34" a="1"/>
  <c r="E102" i="34" s="1"/>
  <c r="E103" i="34" a="1"/>
  <c r="E103" i="34" s="1"/>
  <c r="E96" i="34" a="1"/>
  <c r="E96" i="34" s="1"/>
  <c r="E16" i="34" a="1"/>
  <c r="E16" i="34" s="1"/>
  <c r="E17" i="34" a="1"/>
  <c r="E17" i="34" s="1"/>
  <c r="E123" i="34" a="1"/>
  <c r="E123" i="34" s="1"/>
  <c r="E83" i="34" a="1"/>
  <c r="E83" i="34" s="1"/>
  <c r="E117" i="34" a="1"/>
  <c r="E117" i="34" s="1"/>
  <c r="E118" i="34" a="1"/>
  <c r="E118" i="34" s="1"/>
  <c r="E73" i="34" a="1"/>
  <c r="E73" i="34" s="1"/>
  <c r="E76" i="34" a="1"/>
  <c r="E76" i="34" s="1"/>
  <c r="E77" i="34" a="1"/>
  <c r="E77" i="34" s="1"/>
  <c r="E74" i="34" a="1"/>
  <c r="E74" i="34" s="1"/>
  <c r="E98" i="34" a="1"/>
  <c r="E98" i="34" s="1"/>
  <c r="E97" i="34" a="1"/>
  <c r="E97" i="34" s="1"/>
  <c r="E95" i="34" a="1"/>
  <c r="E95" i="34" s="1"/>
  <c r="E94" i="34" a="1"/>
  <c r="E94" i="34" s="1"/>
  <c r="E113" i="34" a="1"/>
  <c r="E113" i="34" s="1"/>
  <c r="E114" i="34" a="1"/>
  <c r="E114" i="34" s="1"/>
  <c r="E111" i="34" a="1"/>
  <c r="E111" i="34" s="1"/>
  <c r="E43" i="34" a="1"/>
  <c r="E43" i="34" s="1"/>
  <c r="E44" i="34" a="1"/>
  <c r="E44" i="34" s="1"/>
  <c r="E62" i="34" a="1"/>
  <c r="E62" i="34" s="1"/>
  <c r="E63" i="34" a="1"/>
  <c r="E63" i="34" s="1"/>
  <c r="E79" i="34" a="1"/>
  <c r="E79" i="34" s="1"/>
  <c r="E119" i="34" a="1"/>
  <c r="E119" i="34" s="1"/>
  <c r="E120" i="34" a="1"/>
  <c r="E120" i="34" s="1"/>
  <c r="E86" i="34" a="1"/>
  <c r="E86" i="34" s="1"/>
  <c r="E53" i="34" a="1"/>
  <c r="E53" i="34" s="1"/>
  <c r="E54" i="34" a="1"/>
  <c r="E54" i="34" s="1"/>
  <c r="E72" i="34" a="1"/>
  <c r="E72" i="34" s="1"/>
  <c r="E69" i="34" a="1"/>
  <c r="E69" i="34" s="1"/>
  <c r="E115" i="34" a="1"/>
  <c r="E115" i="34" s="1"/>
  <c r="E82" i="34" a="1"/>
  <c r="E82" i="34" s="1"/>
  <c r="E109" i="34" a="1"/>
  <c r="E109" i="34" s="1"/>
  <c r="E110" i="34" a="1"/>
  <c r="E110" i="34" s="1"/>
  <c r="E101" i="34" a="1"/>
  <c r="E101" i="34" s="1"/>
  <c r="E121" i="34" a="1"/>
  <c r="E121" i="34" s="1"/>
  <c r="E122" i="34" a="1"/>
  <c r="E122" i="34" s="1"/>
  <c r="E108" i="34" a="1"/>
  <c r="E108" i="34" s="1"/>
  <c r="E106" i="34" a="1"/>
  <c r="E106" i="34" s="1"/>
  <c r="E75" i="34" a="1"/>
  <c r="E75" i="34" s="1"/>
  <c r="E3" i="34" a="1"/>
  <c r="E3" i="34" s="1"/>
  <c r="E4" i="34" a="1"/>
  <c r="E4" i="34" s="1"/>
  <c r="E5" i="34" a="1"/>
  <c r="E5" i="34" s="1"/>
  <c r="E104" i="34" a="1"/>
  <c r="E104" i="34" s="1"/>
  <c r="E116" i="34" a="1"/>
  <c r="E116" i="34" s="1"/>
  <c r="E87" i="34" a="1"/>
  <c r="E87" i="34" s="1"/>
  <c r="E93" i="34" a="1"/>
  <c r="E93" i="34" s="1"/>
  <c r="E85" i="33" a="1"/>
  <c r="E85" i="33" s="1"/>
  <c r="E86" i="33" a="1"/>
  <c r="E86" i="33" s="1"/>
  <c r="E4" i="33" a="1"/>
  <c r="E4" i="33" s="1"/>
  <c r="E43" i="33" a="1"/>
  <c r="E43" i="33" s="1"/>
  <c r="E44" i="33" a="1"/>
  <c r="E44" i="33" s="1"/>
  <c r="E13" i="33" a="1"/>
  <c r="E13" i="33" s="1"/>
  <c r="E20" i="33" a="1"/>
  <c r="E20" i="33" s="1"/>
  <c r="E21" i="33" a="1"/>
  <c r="E21" i="33" s="1"/>
  <c r="E22" i="33" a="1"/>
  <c r="E22" i="33" s="1"/>
  <c r="E17" i="33" a="1"/>
  <c r="E17" i="33" s="1"/>
  <c r="E18" i="33" a="1"/>
  <c r="E18" i="33" s="1"/>
  <c r="E27" i="33" a="1"/>
  <c r="E27" i="33" s="1"/>
  <c r="E36" i="33" a="1"/>
  <c r="E36" i="33" s="1"/>
  <c r="E14" i="33" a="1"/>
  <c r="E14" i="33" s="1"/>
  <c r="E15" i="33" a="1"/>
  <c r="E15" i="33" s="1"/>
  <c r="E72" i="33" a="1"/>
  <c r="E72" i="33" s="1"/>
  <c r="E2" i="33" a="1"/>
  <c r="E2" i="33" s="1"/>
  <c r="E80" i="33" a="1"/>
  <c r="E80" i="33" s="1"/>
  <c r="E25" i="33" a="1"/>
  <c r="E25" i="33" s="1"/>
  <c r="E38" i="33" a="1"/>
  <c r="E38" i="33" s="1"/>
  <c r="E84" i="33" a="1"/>
  <c r="E84" i="33" s="1"/>
  <c r="E69" i="33" a="1"/>
  <c r="E69" i="33" s="1"/>
  <c r="E70" i="33" a="1"/>
  <c r="E70" i="33" s="1"/>
  <c r="E71" i="33" a="1"/>
  <c r="E71" i="33" s="1"/>
  <c r="E19" i="33" a="1"/>
  <c r="E19" i="33" s="1"/>
  <c r="E58" i="33" a="1"/>
  <c r="E58" i="33" s="1"/>
  <c r="E59" i="33" a="1"/>
  <c r="E59" i="33" s="1"/>
  <c r="E23" i="33" a="1"/>
  <c r="E23" i="33" s="1"/>
  <c r="E9" i="33" a="1"/>
  <c r="E9" i="33" s="1"/>
  <c r="E31" i="33" a="1"/>
  <c r="E31" i="33" s="1"/>
  <c r="E32" i="33" a="1"/>
  <c r="E32" i="33" s="1"/>
  <c r="E65" i="33" a="1"/>
  <c r="E65" i="33" s="1"/>
  <c r="E16" i="33" a="1"/>
  <c r="E16" i="33" s="1"/>
  <c r="E33" i="33" a="1"/>
  <c r="E33" i="33" s="1"/>
  <c r="E46" i="33" a="1"/>
  <c r="E46" i="33" s="1"/>
  <c r="E47" i="33" a="1"/>
  <c r="E47" i="33" s="1"/>
  <c r="E52" i="33" a="1"/>
  <c r="E52" i="33" s="1"/>
  <c r="E53" i="33" a="1"/>
  <c r="E53" i="33" s="1"/>
  <c r="E29" i="33" a="1"/>
  <c r="E29" i="33" s="1"/>
  <c r="E57" i="33" a="1"/>
  <c r="E57" i="33" s="1"/>
  <c r="E11" i="33" a="1"/>
  <c r="E11" i="33" s="1"/>
  <c r="E82" i="33" a="1"/>
  <c r="E82" i="33" s="1"/>
  <c r="E83" i="33" a="1"/>
  <c r="E83" i="33" s="1"/>
  <c r="E39" i="33" a="1"/>
  <c r="E39" i="33" s="1"/>
  <c r="E30" i="33" a="1"/>
  <c r="E30" i="33" s="1"/>
  <c r="E12" i="33" a="1"/>
  <c r="E12" i="33" s="1"/>
  <c r="E75" i="33" a="1"/>
  <c r="E75" i="33" s="1"/>
  <c r="E41" i="33" a="1"/>
  <c r="E41" i="33" s="1"/>
  <c r="E79" i="33" a="1"/>
  <c r="E79" i="33" s="1"/>
  <c r="E26" i="33" a="1"/>
  <c r="E26" i="33" s="1"/>
  <c r="E34" i="33" a="1"/>
  <c r="E34" i="33" s="1"/>
  <c r="E35" i="33" a="1"/>
  <c r="E35" i="33" s="1"/>
  <c r="E37" i="33" a="1"/>
  <c r="E37" i="33" s="1"/>
  <c r="E63" i="33" a="1"/>
  <c r="E63" i="33" s="1"/>
  <c r="E5" i="33" a="1"/>
  <c r="E5" i="33" s="1"/>
  <c r="E6" i="33" a="1"/>
  <c r="E6" i="33" s="1"/>
  <c r="E24" i="33" a="1"/>
  <c r="E24" i="33" s="1"/>
  <c r="E51" i="33" a="1"/>
  <c r="E51" i="33" s="1"/>
  <c r="E76" i="33" a="1"/>
  <c r="E76" i="33" s="1"/>
  <c r="E77" i="33" a="1"/>
  <c r="E77" i="33" s="1"/>
  <c r="E78" i="33" a="1"/>
  <c r="E78" i="33" s="1"/>
  <c r="E40" i="33" a="1"/>
  <c r="E40" i="33" s="1"/>
  <c r="E64" i="33" a="1"/>
  <c r="E64" i="33" s="1"/>
  <c r="E3" i="33" a="1"/>
  <c r="E3" i="33" s="1"/>
  <c r="E45" i="33" a="1"/>
  <c r="E45" i="33" s="1"/>
  <c r="E68" i="33" a="1"/>
  <c r="E68" i="33" s="1"/>
  <c r="E55" i="33" a="1"/>
  <c r="E55" i="33" s="1"/>
  <c r="E56" i="33" a="1"/>
  <c r="E56" i="33" s="1"/>
  <c r="E42" i="33" a="1"/>
  <c r="E42" i="33" s="1"/>
  <c r="E49" i="33" a="1"/>
  <c r="E49" i="33" s="1"/>
  <c r="E50" i="33" a="1"/>
  <c r="E50" i="33" s="1"/>
  <c r="E66" i="33" a="1"/>
  <c r="E66" i="33" s="1"/>
  <c r="E67" i="33" a="1"/>
  <c r="E67" i="33" s="1"/>
  <c r="E7" i="33" a="1"/>
  <c r="E7" i="33" s="1"/>
  <c r="E61" i="33" a="1"/>
  <c r="E61" i="33" s="1"/>
  <c r="E62" i="33" a="1"/>
  <c r="E62" i="33" s="1"/>
  <c r="E73" i="33" a="1"/>
  <c r="E73" i="33" s="1"/>
  <c r="E74" i="33" a="1"/>
  <c r="E74" i="33" s="1"/>
  <c r="E60" i="33" a="1"/>
  <c r="E60" i="33" s="1"/>
  <c r="E8" i="33" a="1"/>
  <c r="E8" i="33" s="1"/>
  <c r="E10" i="33" a="1"/>
  <c r="E10" i="33" s="1"/>
  <c r="E48" i="33" a="1"/>
  <c r="E48" i="33" s="1"/>
  <c r="E54" i="33" a="1"/>
  <c r="E54" i="33" s="1"/>
  <c r="E28" i="33" a="1"/>
  <c r="E28" i="33" s="1"/>
  <c r="E51" i="43" a="1"/>
  <c r="E51" i="43" s="1"/>
  <c r="E52" i="43" a="1"/>
  <c r="E52" i="43" s="1"/>
  <c r="E53" i="43" a="1"/>
  <c r="E53" i="43" s="1"/>
  <c r="E31" i="43" a="1"/>
  <c r="E31" i="43" s="1"/>
  <c r="E69" i="43" a="1"/>
  <c r="E69" i="43" s="1"/>
  <c r="E70" i="43" a="1"/>
  <c r="E70" i="43" s="1"/>
  <c r="E71" i="43" a="1"/>
  <c r="E71" i="43" s="1"/>
  <c r="E68" i="43" a="1"/>
  <c r="E68" i="43" s="1"/>
  <c r="E3" i="43" a="1"/>
  <c r="E3" i="43" s="1"/>
  <c r="E4" i="43" a="1"/>
  <c r="E4" i="43" s="1"/>
  <c r="E93" i="43" a="1"/>
  <c r="E93" i="43" s="1"/>
  <c r="E84" i="43" a="1"/>
  <c r="E84" i="43" s="1"/>
  <c r="E85" i="43" a="1"/>
  <c r="E85" i="43" s="1"/>
  <c r="E83" i="43" a="1"/>
  <c r="E83" i="43" s="1"/>
  <c r="E43" i="43" a="1"/>
  <c r="E43" i="43" s="1"/>
  <c r="E44" i="43" a="1"/>
  <c r="E44" i="43" s="1"/>
  <c r="E45" i="43" a="1"/>
  <c r="E45" i="43" s="1"/>
  <c r="E79" i="43" a="1"/>
  <c r="E79" i="43" s="1"/>
  <c r="E29" i="43" a="1"/>
  <c r="E29" i="43" s="1"/>
  <c r="E30" i="43" a="1"/>
  <c r="E30" i="43" s="1"/>
  <c r="E64" i="43" a="1"/>
  <c r="E64" i="43" s="1"/>
  <c r="E18" i="43" a="1"/>
  <c r="E18" i="43" s="1"/>
  <c r="E19" i="43" a="1"/>
  <c r="E19" i="43" s="1"/>
  <c r="E20" i="43" a="1"/>
  <c r="E20" i="43" s="1"/>
  <c r="E17" i="43" a="1"/>
  <c r="E17" i="43" s="1"/>
  <c r="E62" i="43" a="1"/>
  <c r="E62" i="43" s="1"/>
  <c r="E63" i="43" a="1"/>
  <c r="E63" i="43" s="1"/>
  <c r="E72" i="43" a="1"/>
  <c r="E72" i="43" s="1"/>
  <c r="E10" i="43" a="1"/>
  <c r="E10" i="43" s="1"/>
  <c r="E11" i="43" a="1"/>
  <c r="E11" i="43" s="1"/>
  <c r="E12" i="43" a="1"/>
  <c r="E12" i="43" s="1"/>
  <c r="E54" i="43" a="1"/>
  <c r="E54" i="43" s="1"/>
  <c r="E105" i="43" a="1"/>
  <c r="E105" i="43" s="1"/>
  <c r="E106" i="43" a="1"/>
  <c r="E106" i="43" s="1"/>
  <c r="E107" i="43" a="1"/>
  <c r="E107" i="43" s="1"/>
  <c r="E46" i="43" a="1"/>
  <c r="E46" i="43" s="1"/>
  <c r="E6" i="43" a="1"/>
  <c r="E6" i="43" s="1"/>
  <c r="E7" i="43" a="1"/>
  <c r="E7" i="43" s="1"/>
  <c r="E8" i="43" a="1"/>
  <c r="E8" i="43" s="1"/>
  <c r="E28" i="43" a="1"/>
  <c r="E28" i="43" s="1"/>
  <c r="E22" i="43" a="1"/>
  <c r="E22" i="43" s="1"/>
  <c r="E23" i="43" a="1"/>
  <c r="E23" i="43" s="1"/>
  <c r="E24" i="43" a="1"/>
  <c r="E24" i="43" s="1"/>
  <c r="E86" i="43" a="1"/>
  <c r="E86" i="43" s="1"/>
  <c r="E35" i="43" a="1"/>
  <c r="E35" i="43" s="1"/>
  <c r="E36" i="43" a="1"/>
  <c r="E36" i="43" s="1"/>
  <c r="E37" i="43" a="1"/>
  <c r="E37" i="43" s="1"/>
  <c r="E25" i="43" a="1"/>
  <c r="E25" i="43" s="1"/>
  <c r="E73" i="43" a="1"/>
  <c r="E73" i="43" s="1"/>
  <c r="E74" i="43" a="1"/>
  <c r="E74" i="43" s="1"/>
  <c r="E75" i="43" a="1"/>
  <c r="E75" i="43" s="1"/>
  <c r="E89" i="43" a="1"/>
  <c r="E89" i="43" s="1"/>
  <c r="E77" i="43" a="1"/>
  <c r="E77" i="43" s="1"/>
  <c r="E78" i="43" a="1"/>
  <c r="E78" i="43" s="1"/>
  <c r="E34" i="43" a="1"/>
  <c r="E34" i="43" s="1"/>
  <c r="E14" i="43" a="1"/>
  <c r="E14" i="43" s="1"/>
  <c r="E15" i="43" a="1"/>
  <c r="E15" i="43" s="1"/>
  <c r="E16" i="43" a="1"/>
  <c r="E16" i="43" s="1"/>
  <c r="E9" i="43" a="1"/>
  <c r="E9" i="43" s="1"/>
  <c r="E94" i="43" a="1"/>
  <c r="E94" i="43" s="1"/>
  <c r="E95" i="43" a="1"/>
  <c r="E95" i="43" s="1"/>
  <c r="E96" i="43" a="1"/>
  <c r="E96" i="43" s="1"/>
  <c r="E76" i="43" a="1"/>
  <c r="E76" i="43" s="1"/>
  <c r="E47" i="43" a="1"/>
  <c r="E47" i="43" s="1"/>
  <c r="E48" i="43" a="1"/>
  <c r="E48" i="43" s="1"/>
  <c r="E49" i="43" a="1"/>
  <c r="E49" i="43" s="1"/>
  <c r="E57" i="43" a="1"/>
  <c r="E57" i="43" s="1"/>
  <c r="E98" i="43" a="1"/>
  <c r="E98" i="43" s="1"/>
  <c r="E99" i="43" a="1"/>
  <c r="E99" i="43" s="1"/>
  <c r="E50" i="43" a="1"/>
  <c r="E50" i="43" s="1"/>
  <c r="E65" i="43" a="1"/>
  <c r="E65" i="43" s="1"/>
  <c r="E66" i="43" a="1"/>
  <c r="E66" i="43" s="1"/>
  <c r="E67" i="43" a="1"/>
  <c r="E67" i="43" s="1"/>
  <c r="E108" i="43" a="1"/>
  <c r="E108" i="43" s="1"/>
  <c r="E87" i="43" a="1"/>
  <c r="E87" i="43" s="1"/>
  <c r="E88" i="43" a="1"/>
  <c r="E88" i="43" s="1"/>
  <c r="E100" i="43" a="1"/>
  <c r="E100" i="43" s="1"/>
  <c r="E117" i="43" a="1"/>
  <c r="E117" i="43" s="1"/>
  <c r="E2" i="43" a="1"/>
  <c r="E2" i="43" s="1"/>
  <c r="E39" i="43" a="1"/>
  <c r="E39" i="43" s="1"/>
  <c r="E40" i="43" a="1"/>
  <c r="E40" i="43" s="1"/>
  <c r="E41" i="43" a="1"/>
  <c r="E41" i="43" s="1"/>
  <c r="E104" i="43" a="1"/>
  <c r="E104" i="43" s="1"/>
  <c r="E113" i="43" a="1"/>
  <c r="E113" i="43" s="1"/>
  <c r="E114" i="43" a="1"/>
  <c r="E114" i="43" s="1"/>
  <c r="E115" i="43" a="1"/>
  <c r="E115" i="43" s="1"/>
  <c r="E13" i="43" a="1"/>
  <c r="E13" i="43" s="1"/>
  <c r="E80" i="43" a="1"/>
  <c r="E80" i="43" s="1"/>
  <c r="E81" i="43" a="1"/>
  <c r="E81" i="43" s="1"/>
  <c r="E82" i="43" a="1"/>
  <c r="E82" i="43" s="1"/>
  <c r="E5" i="43" a="1"/>
  <c r="E5" i="43" s="1"/>
  <c r="E26" i="43" a="1"/>
  <c r="E26" i="43" s="1"/>
  <c r="E27" i="43" a="1"/>
  <c r="E27" i="43" s="1"/>
  <c r="E21" i="43" a="1"/>
  <c r="E21" i="43" s="1"/>
  <c r="E101" i="43" a="1"/>
  <c r="E101" i="43" s="1"/>
  <c r="E102" i="43" a="1"/>
  <c r="E102" i="43" s="1"/>
  <c r="E103" i="43" a="1"/>
  <c r="E103" i="43" s="1"/>
  <c r="E38" i="43" a="1"/>
  <c r="E38" i="43" s="1"/>
  <c r="E90" i="43" a="1"/>
  <c r="E90" i="43" s="1"/>
  <c r="E91" i="43" a="1"/>
  <c r="E91" i="43" s="1"/>
  <c r="E92" i="43" a="1"/>
  <c r="E92" i="43" s="1"/>
  <c r="E116" i="43" a="1"/>
  <c r="E116" i="43" s="1"/>
  <c r="E55" i="43" a="1"/>
  <c r="E55" i="43" s="1"/>
  <c r="E56" i="43" a="1"/>
  <c r="E56" i="43" s="1"/>
  <c r="E42" i="43" a="1"/>
  <c r="E42" i="43" s="1"/>
  <c r="E58" i="43" a="1"/>
  <c r="E58" i="43" s="1"/>
  <c r="E59" i="43" a="1"/>
  <c r="E59" i="43" s="1"/>
  <c r="E60" i="43" a="1"/>
  <c r="E60" i="43" s="1"/>
  <c r="E112" i="43" a="1"/>
  <c r="E112" i="43" s="1"/>
  <c r="E32" i="43" a="1"/>
  <c r="E32" i="43" s="1"/>
  <c r="E33" i="43" a="1"/>
  <c r="E33" i="43" s="1"/>
  <c r="E97" i="43" a="1"/>
  <c r="E97" i="43" s="1"/>
  <c r="E109" i="43" a="1"/>
  <c r="E109" i="43" s="1"/>
  <c r="E110" i="43" a="1"/>
  <c r="E110" i="43" s="1"/>
  <c r="E111" i="43" a="1"/>
  <c r="E111" i="43" s="1"/>
  <c r="E61" i="43" a="1"/>
  <c r="E61" i="43" s="1"/>
  <c r="E156" i="42" a="1"/>
  <c r="E156" i="42" s="1"/>
  <c r="E190" i="42" a="1"/>
  <c r="E190" i="42" s="1"/>
  <c r="E198" i="42" a="1"/>
  <c r="E198" i="42" s="1"/>
  <c r="E199" i="42" a="1"/>
  <c r="E199" i="42" s="1"/>
  <c r="E5" i="42" a="1"/>
  <c r="E5" i="42" s="1"/>
  <c r="E84" i="42" a="1"/>
  <c r="E84" i="42" s="1"/>
  <c r="E157" i="42" a="1"/>
  <c r="E157" i="42" s="1"/>
  <c r="E52" i="42" a="1"/>
  <c r="E52" i="42" s="1"/>
  <c r="E62" i="42" a="1"/>
  <c r="E62" i="42" s="1"/>
  <c r="E206" i="42" a="1"/>
  <c r="E206" i="42" s="1"/>
  <c r="E197" i="42" a="1"/>
  <c r="E197" i="42" s="1"/>
  <c r="E69" i="42" a="1"/>
  <c r="E69" i="42" s="1"/>
  <c r="E163" i="42" a="1"/>
  <c r="E163" i="42" s="1"/>
  <c r="E107" i="42" a="1"/>
  <c r="E107" i="42" s="1"/>
  <c r="E95" i="42" a="1"/>
  <c r="E95" i="42" s="1"/>
  <c r="E42" i="42" a="1"/>
  <c r="E42" i="42" s="1"/>
  <c r="E22" i="42" a="1"/>
  <c r="E22" i="42" s="1"/>
  <c r="E11" i="42" a="1"/>
  <c r="E11" i="42" s="1"/>
  <c r="E179" i="42" a="1"/>
  <c r="E179" i="42" s="1"/>
  <c r="E185" i="42" a="1"/>
  <c r="E185" i="42" s="1"/>
  <c r="E188" i="42" a="1"/>
  <c r="E188" i="42" s="1"/>
  <c r="E193" i="42" a="1"/>
  <c r="E193" i="42" s="1"/>
  <c r="E121" i="42" a="1"/>
  <c r="E121" i="42" s="1"/>
  <c r="E135" i="42" a="1"/>
  <c r="E135" i="42" s="1"/>
  <c r="E2" i="42" a="1"/>
  <c r="E2" i="42" s="1"/>
  <c r="E101" i="42" a="1"/>
  <c r="E101" i="42" s="1"/>
  <c r="E196" i="42" a="1"/>
  <c r="E196" i="42" s="1"/>
  <c r="E176" i="42" a="1"/>
  <c r="E176" i="42" s="1"/>
  <c r="E182" i="42" a="1"/>
  <c r="E182" i="42" s="1"/>
  <c r="E16" i="42" a="1"/>
  <c r="E16" i="42" s="1"/>
  <c r="E7" i="42" a="1"/>
  <c r="E7" i="42" s="1"/>
  <c r="E192" i="42" a="1"/>
  <c r="E192" i="42" s="1"/>
  <c r="E30" i="42" a="1"/>
  <c r="E30" i="42" s="1"/>
  <c r="E35" i="42" a="1"/>
  <c r="E35" i="42" s="1"/>
  <c r="E38" i="42" a="1"/>
  <c r="E38" i="42" s="1"/>
  <c r="E158" i="42" a="1"/>
  <c r="E158" i="42" s="1"/>
  <c r="E63" i="42" a="1"/>
  <c r="E63" i="42" s="1"/>
  <c r="E175" i="42" a="1"/>
  <c r="E175" i="42" s="1"/>
  <c r="E114" i="42" a="1"/>
  <c r="E114" i="42" s="1"/>
  <c r="E128" i="42" a="1"/>
  <c r="E128" i="42" s="1"/>
  <c r="E140" i="42" a="1"/>
  <c r="E140" i="42" s="1"/>
  <c r="E148" i="42" a="1"/>
  <c r="E148" i="42" s="1"/>
  <c r="E151" i="42" a="1"/>
  <c r="E151" i="42" s="1"/>
  <c r="E15" i="42" a="1"/>
  <c r="E15" i="42" s="1"/>
  <c r="E117" i="42" a="1"/>
  <c r="E117" i="42" s="1"/>
  <c r="E131" i="42" a="1"/>
  <c r="E131" i="42" s="1"/>
  <c r="E143" i="42" a="1"/>
  <c r="E143" i="42" s="1"/>
  <c r="E149" i="42" a="1"/>
  <c r="E149" i="42" s="1"/>
  <c r="E61" i="42" a="1"/>
  <c r="E61" i="42" s="1"/>
  <c r="E90" i="42" a="1"/>
  <c r="E90" i="42" s="1"/>
  <c r="E83" i="42" a="1"/>
  <c r="E83" i="42" s="1"/>
  <c r="E118" i="42" a="1"/>
  <c r="E118" i="42" s="1"/>
  <c r="E132" i="42" a="1"/>
  <c r="E132" i="42" s="1"/>
  <c r="E144" i="42" a="1"/>
  <c r="E144" i="42" s="1"/>
  <c r="E102" i="42" a="1"/>
  <c r="E102" i="42" s="1"/>
  <c r="E169" i="42" a="1"/>
  <c r="E169" i="42" s="1"/>
  <c r="E8" i="42" a="1"/>
  <c r="E8" i="42" s="1"/>
  <c r="E31" i="42" a="1"/>
  <c r="E31" i="42" s="1"/>
  <c r="E40" i="42" a="1"/>
  <c r="E40" i="42" s="1"/>
  <c r="E94" i="42" a="1"/>
  <c r="E94" i="42" s="1"/>
  <c r="E105" i="42" a="1"/>
  <c r="E105" i="42" s="1"/>
  <c r="E46" i="42" a="1"/>
  <c r="E46" i="42" s="1"/>
  <c r="E89" i="42" a="1"/>
  <c r="E89" i="42" s="1"/>
  <c r="E154" i="42" a="1"/>
  <c r="E154" i="42" s="1"/>
  <c r="E152" i="42" a="1"/>
  <c r="E152" i="42" s="1"/>
  <c r="E20" i="42" a="1"/>
  <c r="E20" i="42" s="1"/>
  <c r="E86" i="42" a="1"/>
  <c r="E86" i="42" s="1"/>
  <c r="E13" i="42" a="1"/>
  <c r="E13" i="42" s="1"/>
  <c r="E200" i="42" a="1"/>
  <c r="E200" i="42" s="1"/>
  <c r="E180" i="42" a="1"/>
  <c r="E180" i="42" s="1"/>
  <c r="E24" i="42" a="1"/>
  <c r="E24" i="42" s="1"/>
  <c r="E21" i="42" a="1"/>
  <c r="E21" i="42" s="1"/>
  <c r="E41" i="42" a="1"/>
  <c r="E41" i="42" s="1"/>
  <c r="E56" i="42" a="1"/>
  <c r="E56" i="42" s="1"/>
  <c r="E53" i="42" a="1"/>
  <c r="E53" i="42" s="1"/>
  <c r="E81" i="42" a="1"/>
  <c r="E81" i="42" s="1"/>
  <c r="E110" i="42" a="1"/>
  <c r="E110" i="42" s="1"/>
  <c r="E124" i="42" a="1"/>
  <c r="E124" i="42" s="1"/>
  <c r="E137" i="42" a="1"/>
  <c r="E137" i="42" s="1"/>
  <c r="E145" i="42" a="1"/>
  <c r="E145" i="42" s="1"/>
  <c r="E76" i="42" a="1"/>
  <c r="E76" i="42" s="1"/>
  <c r="E115" i="42" a="1"/>
  <c r="E115" i="42" s="1"/>
  <c r="E129" i="42" a="1"/>
  <c r="E129" i="42" s="1"/>
  <c r="E141" i="42" a="1"/>
  <c r="E141" i="42" s="1"/>
  <c r="E164" i="42" a="1"/>
  <c r="E164" i="42" s="1"/>
  <c r="E111" i="42" a="1"/>
  <c r="E111" i="42" s="1"/>
  <c r="E125" i="42" a="1"/>
  <c r="E125" i="42" s="1"/>
  <c r="E138" i="42" a="1"/>
  <c r="E138" i="42" s="1"/>
  <c r="E146" i="42" a="1"/>
  <c r="E146" i="42" s="1"/>
  <c r="E103" i="42" a="1"/>
  <c r="E103" i="42" s="1"/>
  <c r="E194" i="42" a="1"/>
  <c r="E194" i="42" s="1"/>
  <c r="E26" i="42" a="1"/>
  <c r="E26" i="42" s="1"/>
  <c r="E32" i="42" a="1"/>
  <c r="E32" i="42" s="1"/>
  <c r="E36" i="42" a="1"/>
  <c r="E36" i="42" s="1"/>
  <c r="E39" i="42" a="1"/>
  <c r="E39" i="42" s="1"/>
  <c r="E44" i="42" a="1"/>
  <c r="E44" i="42" s="1"/>
  <c r="E203" i="42" a="1"/>
  <c r="E203" i="42" s="1"/>
  <c r="E119" i="42" a="1"/>
  <c r="E119" i="42" s="1"/>
  <c r="E133" i="42" a="1"/>
  <c r="E133" i="42" s="1"/>
  <c r="E59" i="42" a="1"/>
  <c r="E59" i="42" s="1"/>
  <c r="E85" i="42" a="1"/>
  <c r="E85" i="42" s="1"/>
  <c r="E160" i="42" a="1"/>
  <c r="E160" i="42" s="1"/>
  <c r="E54" i="42" a="1"/>
  <c r="E54" i="42" s="1"/>
  <c r="E106" i="42" a="1"/>
  <c r="E106" i="42" s="1"/>
  <c r="E12" i="42" a="1"/>
  <c r="E12" i="42" s="1"/>
  <c r="E189" i="42" a="1"/>
  <c r="E189" i="42" s="1"/>
  <c r="E120" i="42" a="1"/>
  <c r="E120" i="42" s="1"/>
  <c r="E134" i="42" a="1"/>
  <c r="E134" i="42" s="1"/>
  <c r="E4" i="42" a="1"/>
  <c r="E4" i="42" s="1"/>
  <c r="E168" i="42" a="1"/>
  <c r="E168" i="42" s="1"/>
  <c r="E82" i="42" a="1"/>
  <c r="E82" i="42" s="1"/>
  <c r="E98" i="42" a="1"/>
  <c r="E98" i="42" s="1"/>
  <c r="E19" i="42" a="1"/>
  <c r="E19" i="42" s="1"/>
  <c r="E162" i="42" a="1"/>
  <c r="E162" i="42" s="1"/>
  <c r="E87" i="42" a="1"/>
  <c r="E87" i="42" s="1"/>
  <c r="E70" i="42" a="1"/>
  <c r="E70" i="42" s="1"/>
  <c r="E47" i="42" a="1"/>
  <c r="E47" i="42" s="1"/>
  <c r="E93" i="42" a="1"/>
  <c r="E93" i="42" s="1"/>
  <c r="E171" i="42" a="1"/>
  <c r="E171" i="42" s="1"/>
  <c r="E108" i="42" a="1"/>
  <c r="E108" i="42" s="1"/>
  <c r="E122" i="42" a="1"/>
  <c r="E122" i="42" s="1"/>
  <c r="E77" i="42" a="1"/>
  <c r="E77" i="42" s="1"/>
  <c r="E109" i="42" a="1"/>
  <c r="E109" i="42" s="1"/>
  <c r="E123" i="42" a="1"/>
  <c r="E123" i="42" s="1"/>
  <c r="E136" i="42" a="1"/>
  <c r="E136" i="42" s="1"/>
  <c r="E166" i="42" a="1"/>
  <c r="E166" i="42" s="1"/>
  <c r="E159" i="42" a="1"/>
  <c r="E159" i="42" s="1"/>
  <c r="E48" i="42" a="1"/>
  <c r="E48" i="42" s="1"/>
  <c r="E50" i="42" a="1"/>
  <c r="E50" i="42" s="1"/>
  <c r="E104" i="42" a="1"/>
  <c r="E104" i="42" s="1"/>
  <c r="E161" i="42" a="1"/>
  <c r="E161" i="42" s="1"/>
  <c r="E112" i="42" a="1"/>
  <c r="E112" i="42" s="1"/>
  <c r="E126" i="42" a="1"/>
  <c r="E126" i="42" s="1"/>
  <c r="E139" i="42" a="1"/>
  <c r="E139" i="42" s="1"/>
  <c r="E147" i="42" a="1"/>
  <c r="E147" i="42" s="1"/>
  <c r="E150" i="42" a="1"/>
  <c r="E150" i="42" s="1"/>
  <c r="E14" i="42" a="1"/>
  <c r="E14" i="42" s="1"/>
  <c r="E68" i="42" a="1"/>
  <c r="E68" i="42" s="1"/>
  <c r="E167" i="42" a="1"/>
  <c r="E167" i="42" s="1"/>
  <c r="E6" i="42" a="1"/>
  <c r="E6" i="42" s="1"/>
  <c r="E25" i="42" a="1"/>
  <c r="E25" i="42" s="1"/>
  <c r="E173" i="42" a="1"/>
  <c r="E173" i="42" s="1"/>
  <c r="E181" i="42" a="1"/>
  <c r="E181" i="42" s="1"/>
  <c r="E186" i="42" a="1"/>
  <c r="E186" i="42" s="1"/>
  <c r="E72" i="42" a="1"/>
  <c r="E72" i="42" s="1"/>
  <c r="E27" i="42" a="1"/>
  <c r="E27" i="42" s="1"/>
  <c r="E33" i="42" a="1"/>
  <c r="E33" i="42" s="1"/>
  <c r="E60" i="42" a="1"/>
  <c r="E60" i="42" s="1"/>
  <c r="E73" i="42" a="1"/>
  <c r="E73" i="42" s="1"/>
  <c r="E177" i="42" a="1"/>
  <c r="E177" i="42" s="1"/>
  <c r="E183" i="42" a="1"/>
  <c r="E183" i="42" s="1"/>
  <c r="E187" i="42" a="1"/>
  <c r="E187" i="42" s="1"/>
  <c r="E74" i="42" a="1"/>
  <c r="E74" i="42" s="1"/>
  <c r="E29" i="42" a="1"/>
  <c r="E29" i="42" s="1"/>
  <c r="E165" i="42" a="1"/>
  <c r="E165" i="42" s="1"/>
  <c r="E170" i="42" a="1"/>
  <c r="E170" i="42" s="1"/>
  <c r="E172" i="42" a="1"/>
  <c r="E172" i="42" s="1"/>
  <c r="E66" i="42" a="1"/>
  <c r="E66" i="42" s="1"/>
  <c r="E67" i="42" a="1"/>
  <c r="E67" i="42" s="1"/>
  <c r="E17" i="42" a="1"/>
  <c r="E17" i="42" s="1"/>
  <c r="E43" i="42" a="1"/>
  <c r="E43" i="42" s="1"/>
  <c r="E23" i="42" a="1"/>
  <c r="E23" i="42" s="1"/>
  <c r="E45" i="42" a="1"/>
  <c r="E45" i="42" s="1"/>
  <c r="E99" i="42" a="1"/>
  <c r="E99" i="42" s="1"/>
  <c r="E57" i="42" a="1"/>
  <c r="E57" i="42" s="1"/>
  <c r="E78" i="42" a="1"/>
  <c r="E78" i="42" s="1"/>
  <c r="E65" i="42" a="1"/>
  <c r="E65" i="42" s="1"/>
  <c r="E96" i="42" a="1"/>
  <c r="E96" i="42" s="1"/>
  <c r="E205" i="42" a="1"/>
  <c r="E205" i="42" s="1"/>
  <c r="E208" i="42" a="1"/>
  <c r="E208" i="42" s="1"/>
  <c r="E210" i="42" a="1"/>
  <c r="E210" i="42" s="1"/>
  <c r="E212" i="42" a="1"/>
  <c r="E212" i="42" s="1"/>
  <c r="E71" i="42" a="1"/>
  <c r="E71" i="42" s="1"/>
  <c r="E75" i="42" a="1"/>
  <c r="E75" i="42" s="1"/>
  <c r="E209" i="42" a="1"/>
  <c r="E209" i="42" s="1"/>
  <c r="E211" i="42" a="1"/>
  <c r="E211" i="42" s="1"/>
  <c r="E213" i="42" a="1"/>
  <c r="E213" i="42" s="1"/>
  <c r="E214" i="42" a="1"/>
  <c r="E214" i="42" s="1"/>
  <c r="E100" i="42" a="1"/>
  <c r="E100" i="42" s="1"/>
  <c r="E174" i="42" a="1"/>
  <c r="E174" i="42" s="1"/>
  <c r="E49" i="42" a="1"/>
  <c r="E49" i="42" s="1"/>
  <c r="E51" i="42" a="1"/>
  <c r="E51" i="42" s="1"/>
  <c r="E3" i="42" a="1"/>
  <c r="E3" i="42" s="1"/>
  <c r="E58" i="42" a="1"/>
  <c r="E58" i="42" s="1"/>
  <c r="E97" i="42" a="1"/>
  <c r="E97" i="42" s="1"/>
  <c r="E91" i="42" a="1"/>
  <c r="E91" i="42" s="1"/>
  <c r="E9" i="42" a="1"/>
  <c r="E9" i="42" s="1"/>
  <c r="E79" i="42" a="1"/>
  <c r="E79" i="42" s="1"/>
  <c r="E64" i="42" a="1"/>
  <c r="E64" i="42" s="1"/>
  <c r="E55" i="42" a="1"/>
  <c r="E55" i="42" s="1"/>
  <c r="E195" i="42" a="1"/>
  <c r="E195" i="42" s="1"/>
  <c r="E113" i="42" a="1"/>
  <c r="E113" i="42" s="1"/>
  <c r="E127" i="42" a="1"/>
  <c r="E127" i="42" s="1"/>
  <c r="E155" i="42" a="1"/>
  <c r="E155" i="42" s="1"/>
  <c r="E18" i="42" a="1"/>
  <c r="E18" i="42" s="1"/>
  <c r="E80" i="42" a="1"/>
  <c r="E80" i="42" s="1"/>
  <c r="E116" i="42" a="1"/>
  <c r="E116" i="42" s="1"/>
  <c r="E130" i="42" a="1"/>
  <c r="E130" i="42" s="1"/>
  <c r="E142" i="42" a="1"/>
  <c r="E142" i="42" s="1"/>
  <c r="E201" i="42" a="1"/>
  <c r="E201" i="42" s="1"/>
  <c r="E202" i="42" a="1"/>
  <c r="E202" i="42" s="1"/>
  <c r="E204" i="42" a="1"/>
  <c r="E204" i="42" s="1"/>
  <c r="E207" i="42" a="1"/>
  <c r="E207" i="42" s="1"/>
  <c r="E28" i="42" a="1"/>
  <c r="E28" i="42" s="1"/>
  <c r="E34" i="42" a="1"/>
  <c r="E34" i="42" s="1"/>
  <c r="E37" i="42" a="1"/>
  <c r="E37" i="42" s="1"/>
  <c r="E92" i="42" a="1"/>
  <c r="E92" i="42" s="1"/>
  <c r="E88" i="42" a="1"/>
  <c r="E88" i="42" s="1"/>
  <c r="E153" i="42" a="1"/>
  <c r="E153" i="42" s="1"/>
  <c r="E191" i="42" a="1"/>
  <c r="E191" i="42" s="1"/>
  <c r="E178" i="42" a="1"/>
  <c r="E178" i="42" s="1"/>
  <c r="E184" i="42" a="1"/>
  <c r="E184" i="42" s="1"/>
  <c r="E10" i="42" a="1"/>
  <c r="E10" i="42" s="1"/>
  <c r="E77" i="41" a="1"/>
  <c r="E77" i="41" s="1"/>
  <c r="E78" i="41" a="1"/>
  <c r="E78" i="41" s="1"/>
  <c r="E79" i="41" a="1"/>
  <c r="E79" i="41" s="1"/>
  <c r="E29" i="41" a="1"/>
  <c r="E29" i="41" s="1"/>
  <c r="E3" i="41" a="1"/>
  <c r="E3" i="41" s="1"/>
  <c r="E4" i="41" a="1"/>
  <c r="E4" i="41" s="1"/>
  <c r="E5" i="41" a="1"/>
  <c r="E5" i="41" s="1"/>
  <c r="E83" i="41" a="1"/>
  <c r="E83" i="41" s="1"/>
  <c r="E92" i="41" a="1"/>
  <c r="E92" i="41" s="1"/>
  <c r="E93" i="41" a="1"/>
  <c r="E93" i="41" s="1"/>
  <c r="E94" i="41" a="1"/>
  <c r="E94" i="41" s="1"/>
  <c r="E33" i="41" a="1"/>
  <c r="E33" i="41" s="1"/>
  <c r="E58" i="41" a="1"/>
  <c r="E58" i="41" s="1"/>
  <c r="E59" i="41" a="1"/>
  <c r="E59" i="41" s="1"/>
  <c r="E60" i="41" a="1"/>
  <c r="E60" i="41" s="1"/>
  <c r="E87" i="41" a="1"/>
  <c r="E87" i="41" s="1"/>
  <c r="E34" i="41" a="1"/>
  <c r="E34" i="41" s="1"/>
  <c r="E35" i="41" a="1"/>
  <c r="E35" i="41" s="1"/>
  <c r="E73" i="41" a="1"/>
  <c r="E73" i="41" s="1"/>
  <c r="E111" i="41" a="1"/>
  <c r="E111" i="41" s="1"/>
  <c r="E112" i="41" a="1"/>
  <c r="E112" i="41" s="1"/>
  <c r="E113" i="41" a="1"/>
  <c r="E113" i="41" s="1"/>
  <c r="E17" i="41" a="1"/>
  <c r="E17" i="41" s="1"/>
  <c r="E62" i="41" a="1"/>
  <c r="E62" i="41" s="1"/>
  <c r="E63" i="41" a="1"/>
  <c r="E63" i="41" s="1"/>
  <c r="E64" i="41" a="1"/>
  <c r="E64" i="41" s="1"/>
  <c r="E36" i="41" a="1"/>
  <c r="E36" i="41" s="1"/>
  <c r="E96" i="41" a="1"/>
  <c r="E96" i="41" s="1"/>
  <c r="E97" i="41" a="1"/>
  <c r="E97" i="41" s="1"/>
  <c r="E98" i="41" a="1"/>
  <c r="E98" i="41" s="1"/>
  <c r="E49" i="41" a="1"/>
  <c r="E49" i="41" s="1"/>
  <c r="E30" i="41" a="1"/>
  <c r="E30" i="41" s="1"/>
  <c r="E31" i="41" a="1"/>
  <c r="E31" i="41" s="1"/>
  <c r="E32" i="41" a="1"/>
  <c r="E32" i="41" s="1"/>
  <c r="E118" i="41" a="1"/>
  <c r="E118" i="41" s="1"/>
  <c r="E88" i="41" a="1"/>
  <c r="E88" i="41" s="1"/>
  <c r="E89" i="41" a="1"/>
  <c r="E89" i="41" s="1"/>
  <c r="E90" i="41" a="1"/>
  <c r="E90" i="41" s="1"/>
  <c r="E14" i="41" a="1"/>
  <c r="E14" i="41" s="1"/>
  <c r="E115" i="41" a="1"/>
  <c r="E115" i="41" s="1"/>
  <c r="E116" i="41" a="1"/>
  <c r="E116" i="41" s="1"/>
  <c r="E117" i="41" a="1"/>
  <c r="E117" i="41" s="1"/>
  <c r="E2" i="41" a="1"/>
  <c r="E2" i="41" s="1"/>
  <c r="E22" i="41" a="1"/>
  <c r="E22" i="41" s="1"/>
  <c r="E23" i="41" a="1"/>
  <c r="E23" i="41" s="1"/>
  <c r="E24" i="41" a="1"/>
  <c r="E24" i="41" s="1"/>
  <c r="E122" i="41" a="1"/>
  <c r="E122" i="41" s="1"/>
  <c r="E84" i="41" a="1"/>
  <c r="E84" i="41" s="1"/>
  <c r="E85" i="41" a="1"/>
  <c r="E85" i="41" s="1"/>
  <c r="E86" i="41" a="1"/>
  <c r="E86" i="41" s="1"/>
  <c r="E69" i="41" a="1"/>
  <c r="E69" i="41" s="1"/>
  <c r="E37" i="41" a="1"/>
  <c r="E37" i="41" s="1"/>
  <c r="E38" i="41" a="1"/>
  <c r="E38" i="41" s="1"/>
  <c r="E39" i="41" a="1"/>
  <c r="E39" i="41" s="1"/>
  <c r="E65" i="41" a="1"/>
  <c r="E65" i="41" s="1"/>
  <c r="E100" i="41" a="1"/>
  <c r="E100" i="41" s="1"/>
  <c r="E101" i="41" a="1"/>
  <c r="E101" i="41" s="1"/>
  <c r="E102" i="41" a="1"/>
  <c r="E102" i="41" s="1"/>
  <c r="E57" i="41" a="1"/>
  <c r="E57" i="41" s="1"/>
  <c r="E54" i="41" a="1"/>
  <c r="E54" i="41" s="1"/>
  <c r="E55" i="41" a="1"/>
  <c r="E55" i="41" s="1"/>
  <c r="E56" i="41" a="1"/>
  <c r="E56" i="41" s="1"/>
  <c r="E76" i="41" a="1"/>
  <c r="E76" i="41" s="1"/>
  <c r="E7" i="41" a="1"/>
  <c r="E7" i="41" s="1"/>
  <c r="E8" i="41" a="1"/>
  <c r="E8" i="41" s="1"/>
  <c r="E9" i="41" a="1"/>
  <c r="E9" i="41" s="1"/>
  <c r="E10" i="41" a="1"/>
  <c r="E10" i="41" s="1"/>
  <c r="E103" i="41" a="1"/>
  <c r="E103" i="41" s="1"/>
  <c r="E104" i="41" a="1"/>
  <c r="E104" i="41" s="1"/>
  <c r="E105" i="41" a="1"/>
  <c r="E105" i="41" s="1"/>
  <c r="E99" i="41" a="1"/>
  <c r="E99" i="41" s="1"/>
  <c r="E107" i="41" a="1"/>
  <c r="E107" i="41" s="1"/>
  <c r="E108" i="41" a="1"/>
  <c r="E108" i="41" s="1"/>
  <c r="E109" i="41" a="1"/>
  <c r="E109" i="41" s="1"/>
  <c r="E106" i="41" a="1"/>
  <c r="E106" i="41" s="1"/>
  <c r="E18" i="41" a="1"/>
  <c r="E18" i="41" s="1"/>
  <c r="E19" i="41" a="1"/>
  <c r="E19" i="41" s="1"/>
  <c r="E20" i="41" a="1"/>
  <c r="E20" i="41" s="1"/>
  <c r="E44" i="41" a="1"/>
  <c r="E44" i="41" s="1"/>
  <c r="E15" i="41" a="1"/>
  <c r="E15" i="41" s="1"/>
  <c r="E16" i="41" a="1"/>
  <c r="E16" i="41" s="1"/>
  <c r="E40" i="41" a="1"/>
  <c r="E40" i="41" s="1"/>
  <c r="E26" i="41" a="1"/>
  <c r="E26" i="41" s="1"/>
  <c r="E27" i="41" a="1"/>
  <c r="E27" i="41" s="1"/>
  <c r="E28" i="41" a="1"/>
  <c r="E28" i="41" s="1"/>
  <c r="E95" i="41" a="1"/>
  <c r="E95" i="41" s="1"/>
  <c r="E50" i="41" a="1"/>
  <c r="E50" i="41" s="1"/>
  <c r="E51" i="41" a="1"/>
  <c r="E51" i="41" s="1"/>
  <c r="E52" i="41" a="1"/>
  <c r="E52" i="41" s="1"/>
  <c r="E11" i="41" a="1"/>
  <c r="E11" i="41" s="1"/>
  <c r="E119" i="41" a="1"/>
  <c r="E119" i="41" s="1"/>
  <c r="E120" i="41" a="1"/>
  <c r="E120" i="41" s="1"/>
  <c r="E121" i="41" a="1"/>
  <c r="E121" i="41" s="1"/>
  <c r="E6" i="41" a="1"/>
  <c r="E6" i="41" s="1"/>
  <c r="E41" i="41" a="1"/>
  <c r="E41" i="41" s="1"/>
  <c r="E42" i="41" a="1"/>
  <c r="E42" i="41" s="1"/>
  <c r="E43" i="41" a="1"/>
  <c r="E43" i="41" s="1"/>
  <c r="E80" i="41" a="1"/>
  <c r="E80" i="41" s="1"/>
  <c r="E12" i="41" a="1"/>
  <c r="E12" i="41" s="1"/>
  <c r="E13" i="41" a="1"/>
  <c r="E13" i="41" s="1"/>
  <c r="E25" i="41" a="1"/>
  <c r="E25" i="41" s="1"/>
  <c r="E45" i="41" a="1"/>
  <c r="E45" i="41" s="1"/>
  <c r="E46" i="41" a="1"/>
  <c r="E46" i="41" s="1"/>
  <c r="E47" i="41" a="1"/>
  <c r="E47" i="41" s="1"/>
  <c r="E48" i="41" a="1"/>
  <c r="E48" i="41" s="1"/>
  <c r="E110" i="41" a="1"/>
  <c r="E110" i="41" s="1"/>
  <c r="E81" i="41" a="1"/>
  <c r="E81" i="41" s="1"/>
  <c r="E82" i="41" a="1"/>
  <c r="E82" i="41" s="1"/>
  <c r="E91" i="41" a="1"/>
  <c r="E91" i="41" s="1"/>
  <c r="E123" i="41" a="1"/>
  <c r="E123" i="41" s="1"/>
  <c r="E124" i="41" a="1"/>
  <c r="E124" i="41" s="1"/>
  <c r="E125" i="41" a="1"/>
  <c r="E125" i="41" s="1"/>
  <c r="E21" i="41" a="1"/>
  <c r="E21" i="41" s="1"/>
  <c r="E66" i="41" a="1"/>
  <c r="E66" i="41" s="1"/>
  <c r="E67" i="41" a="1"/>
  <c r="E67" i="41" s="1"/>
  <c r="E68" i="41" a="1"/>
  <c r="E68" i="41" s="1"/>
  <c r="E114" i="41" a="1"/>
  <c r="E114" i="41" s="1"/>
  <c r="E70" i="41" a="1"/>
  <c r="E70" i="41" s="1"/>
  <c r="E71" i="41" a="1"/>
  <c r="E71" i="41" s="1"/>
  <c r="E72" i="41" a="1"/>
  <c r="E72" i="41" s="1"/>
  <c r="E53" i="41" a="1"/>
  <c r="E53" i="41" s="1"/>
  <c r="E74" i="41" a="1"/>
  <c r="E74" i="41" s="1"/>
  <c r="E75" i="41" a="1"/>
  <c r="E75" i="41" s="1"/>
  <c r="E61" i="41" a="1"/>
  <c r="E61" i="41" s="1"/>
  <c r="AI229" i="1"/>
  <c r="AJ229" i="1"/>
  <c r="AI647" i="1"/>
  <c r="AJ647" i="1"/>
  <c r="AI559" i="1"/>
  <c r="AJ559" i="1"/>
  <c r="AI449" i="1"/>
  <c r="AJ449" i="1"/>
  <c r="AI405" i="1"/>
  <c r="AJ405" i="1"/>
  <c r="AI339" i="1"/>
  <c r="AJ339" i="1"/>
  <c r="AI163" i="1"/>
  <c r="AJ163" i="1"/>
  <c r="AI427" i="1"/>
  <c r="AJ427" i="1"/>
  <c r="AI493" i="1"/>
  <c r="AJ493" i="1"/>
  <c r="AI119" i="1"/>
  <c r="AJ119" i="1"/>
  <c r="AI537" i="1"/>
  <c r="AJ537" i="1"/>
  <c r="AI515" i="1"/>
  <c r="AJ515" i="1"/>
  <c r="AI207" i="1"/>
  <c r="AJ207" i="1"/>
  <c r="AJ185" i="1"/>
  <c r="AI185" i="1"/>
  <c r="AI471" i="1"/>
  <c r="AJ471" i="1"/>
  <c r="AI669" i="1"/>
  <c r="AJ669" i="1"/>
  <c r="AI691" i="1"/>
  <c r="AJ691" i="1"/>
  <c r="AI625" i="1"/>
  <c r="AJ625" i="1"/>
  <c r="AI31" i="1"/>
  <c r="AJ31" i="1"/>
  <c r="AI9" i="1"/>
  <c r="AJ9" i="1"/>
  <c r="AI251" i="1"/>
  <c r="AJ251" i="1"/>
  <c r="AI295" i="1"/>
  <c r="AJ295" i="1"/>
  <c r="AI361" i="1"/>
  <c r="AJ361" i="1"/>
  <c r="AI383" i="1"/>
  <c r="AJ383" i="1"/>
  <c r="AI317" i="1"/>
  <c r="AJ317" i="1"/>
  <c r="AI581" i="1"/>
  <c r="AJ581" i="1"/>
  <c r="AI141" i="1"/>
  <c r="AJ141" i="1"/>
  <c r="F229" i="39"/>
  <c r="J229" i="39" s="1" a="1"/>
  <c r="J229" i="39" s="1"/>
  <c r="F254" i="39"/>
  <c r="J254" i="39" s="1" a="1"/>
  <c r="J254" i="39" s="1"/>
  <c r="F567" i="39"/>
  <c r="F496" i="39"/>
  <c r="L496" i="39" s="1" a="1"/>
  <c r="L496" i="39" s="1"/>
  <c r="F504" i="39"/>
  <c r="M504" i="39" s="1" a="1"/>
  <c r="M504" i="39" s="1"/>
  <c r="F169" i="39"/>
  <c r="J169" i="39" s="1" a="1"/>
  <c r="J169" i="39" s="1"/>
  <c r="F136" i="39"/>
  <c r="L136" i="39" s="1" a="1"/>
  <c r="L136" i="39" s="1"/>
  <c r="F175" i="39"/>
  <c r="M175" i="39" s="1" a="1"/>
  <c r="M175" i="39" s="1"/>
  <c r="F299" i="39"/>
  <c r="J299" i="39" s="1" a="1"/>
  <c r="J299" i="39" s="1"/>
  <c r="F300" i="39"/>
  <c r="K300" i="39" s="1" a="1"/>
  <c r="K300" i="39" s="1"/>
  <c r="F540" i="39"/>
  <c r="J540" i="39" s="1" a="1"/>
  <c r="J540" i="39" s="1"/>
  <c r="F467" i="39"/>
  <c r="F306" i="39"/>
  <c r="J306" i="39" s="1" a="1"/>
  <c r="J306" i="39" s="1"/>
  <c r="F565" i="39"/>
  <c r="L565" i="39" s="1" a="1"/>
  <c r="L565" i="39" s="1"/>
  <c r="F187" i="39"/>
  <c r="L187" i="39" s="1" a="1"/>
  <c r="L187" i="39" s="1"/>
  <c r="F480" i="39"/>
  <c r="J480" i="39" s="1" a="1"/>
  <c r="J480" i="39" s="1"/>
  <c r="F536" i="39"/>
  <c r="K536" i="39" s="1" a="1"/>
  <c r="K536" i="39" s="1"/>
  <c r="F334" i="39"/>
  <c r="R334" i="39" s="1" a="1"/>
  <c r="R334" i="39" s="1"/>
  <c r="F230" i="39"/>
  <c r="J230" i="39" s="1" a="1"/>
  <c r="J230" i="39" s="1"/>
  <c r="F295" i="39"/>
  <c r="J295" i="39" s="1" a="1"/>
  <c r="J295" i="39" s="1"/>
  <c r="F544" i="39"/>
  <c r="J544" i="39" s="1" a="1"/>
  <c r="J544" i="39" s="1"/>
  <c r="F222" i="39"/>
  <c r="K222" i="39" s="1" a="1"/>
  <c r="K222" i="39" s="1"/>
  <c r="F324" i="39"/>
  <c r="J324" i="39" s="1" a="1"/>
  <c r="J324" i="39" s="1"/>
  <c r="F345" i="39"/>
  <c r="F529" i="39"/>
  <c r="J529" i="39" s="1" a="1"/>
  <c r="J529" i="39" s="1"/>
  <c r="F561" i="39"/>
  <c r="K561" i="39" s="1" a="1"/>
  <c r="K561" i="39" s="1"/>
  <c r="F276" i="39"/>
  <c r="J276" i="39" s="1" a="1"/>
  <c r="J276" i="39" s="1"/>
  <c r="F489" i="39"/>
  <c r="J489" i="39" s="1" a="1"/>
  <c r="J489" i="39" s="1"/>
  <c r="F242" i="39"/>
  <c r="K242" i="39" s="1" a="1"/>
  <c r="K242" i="39" s="1"/>
  <c r="F311" i="39"/>
  <c r="J311" i="39" s="1" a="1"/>
  <c r="J311" i="39" s="1"/>
  <c r="F328" i="39"/>
  <c r="K328" i="39" s="1" a="1"/>
  <c r="K328" i="39" s="1"/>
  <c r="G229" i="39" a="1"/>
  <c r="G229" i="39" s="1"/>
  <c r="G254" i="39" a="1"/>
  <c r="G254" i="39" s="1"/>
  <c r="G567" i="39" a="1"/>
  <c r="G567" i="39" s="1"/>
  <c r="G496" i="39" a="1"/>
  <c r="G496" i="39" s="1"/>
  <c r="G504" i="39" a="1"/>
  <c r="G504" i="39" s="1"/>
  <c r="G169" i="39" a="1"/>
  <c r="G169" i="39" s="1"/>
  <c r="G136" i="39" a="1"/>
  <c r="G136" i="39" s="1"/>
  <c r="G175" i="39" a="1"/>
  <c r="G175" i="39" s="1"/>
  <c r="G299" i="39" a="1"/>
  <c r="G299" i="39" s="1"/>
  <c r="G300" i="39" a="1"/>
  <c r="G300" i="39" s="1"/>
  <c r="G540" i="39" a="1"/>
  <c r="G540" i="39" s="1"/>
  <c r="G467" i="39" a="1"/>
  <c r="G467" i="39" s="1"/>
  <c r="G306" i="39" a="1"/>
  <c r="G306" i="39" s="1"/>
  <c r="G565" i="39" a="1"/>
  <c r="G565" i="39" s="1"/>
  <c r="G187" i="39" a="1"/>
  <c r="G187" i="39" s="1"/>
  <c r="G480" i="39" a="1"/>
  <c r="G480" i="39" s="1"/>
  <c r="G536" i="39" a="1"/>
  <c r="G536" i="39" s="1"/>
  <c r="G334" i="39" a="1"/>
  <c r="G334" i="39" s="1"/>
  <c r="G230" i="39" a="1"/>
  <c r="G230" i="39" s="1"/>
  <c r="G295" i="39" a="1"/>
  <c r="G295" i="39" s="1"/>
  <c r="G544" i="39" a="1"/>
  <c r="G544" i="39" s="1"/>
  <c r="G222" i="39" a="1"/>
  <c r="G222" i="39" s="1"/>
  <c r="G324" i="39" a="1"/>
  <c r="G324" i="39" s="1"/>
  <c r="G345" i="39" a="1"/>
  <c r="G345" i="39" s="1"/>
  <c r="G529" i="39" a="1"/>
  <c r="G529" i="39" s="1"/>
  <c r="G561" i="39" a="1"/>
  <c r="G561" i="39" s="1"/>
  <c r="G276" i="39" a="1"/>
  <c r="G276" i="39" s="1"/>
  <c r="G489" i="39" a="1"/>
  <c r="G489" i="39" s="1"/>
  <c r="G242" i="39" a="1"/>
  <c r="G242" i="39" s="1"/>
  <c r="G311" i="39" a="1"/>
  <c r="G311" i="39" s="1"/>
  <c r="G328" i="39" a="1"/>
  <c r="G328" i="39" s="1"/>
  <c r="H229" i="39" a="1"/>
  <c r="H229" i="39" s="1"/>
  <c r="H254" i="39" a="1"/>
  <c r="H254" i="39" s="1"/>
  <c r="H567" i="39" a="1"/>
  <c r="H567" i="39" s="1"/>
  <c r="H496" i="39" a="1"/>
  <c r="H496" i="39" s="1"/>
  <c r="H504" i="39" a="1"/>
  <c r="H504" i="39" s="1"/>
  <c r="H169" i="39" a="1"/>
  <c r="H169" i="39" s="1"/>
  <c r="H136" i="39" a="1"/>
  <c r="H136" i="39" s="1"/>
  <c r="H175" i="39" a="1"/>
  <c r="H175" i="39" s="1"/>
  <c r="H299" i="39" a="1"/>
  <c r="H299" i="39" s="1"/>
  <c r="H300" i="39" a="1"/>
  <c r="H300" i="39" s="1"/>
  <c r="H540" i="39" a="1"/>
  <c r="H540" i="39" s="1"/>
  <c r="H467" i="39" a="1"/>
  <c r="H467" i="39" s="1"/>
  <c r="H306" i="39" a="1"/>
  <c r="H306" i="39" s="1"/>
  <c r="H565" i="39" a="1"/>
  <c r="H565" i="39" s="1"/>
  <c r="H187" i="39" a="1"/>
  <c r="H187" i="39" s="1"/>
  <c r="H480" i="39" a="1"/>
  <c r="H480" i="39" s="1"/>
  <c r="H536" i="39" a="1"/>
  <c r="H536" i="39" s="1"/>
  <c r="H334" i="39" a="1"/>
  <c r="H334" i="39" s="1"/>
  <c r="H230" i="39" a="1"/>
  <c r="H230" i="39" s="1"/>
  <c r="H295" i="39" a="1"/>
  <c r="H295" i="39" s="1"/>
  <c r="H544" i="39" a="1"/>
  <c r="H544" i="39" s="1"/>
  <c r="H222" i="39" a="1"/>
  <c r="H222" i="39" s="1"/>
  <c r="H324" i="39" a="1"/>
  <c r="H324" i="39" s="1"/>
  <c r="H345" i="39" a="1"/>
  <c r="H345" i="39" s="1"/>
  <c r="H529" i="39" a="1"/>
  <c r="H529" i="39" s="1"/>
  <c r="H561" i="39" a="1"/>
  <c r="H561" i="39" s="1"/>
  <c r="H276" i="39" a="1"/>
  <c r="H276" i="39" s="1"/>
  <c r="H489" i="39" a="1"/>
  <c r="H489" i="39" s="1"/>
  <c r="H242" i="39" a="1"/>
  <c r="H242" i="39" s="1"/>
  <c r="H311" i="39" a="1"/>
  <c r="H311" i="39" s="1"/>
  <c r="H328" i="39" a="1"/>
  <c r="H328" i="39" s="1"/>
  <c r="I229" i="39" a="1"/>
  <c r="I229" i="39" s="1"/>
  <c r="I254" i="39" a="1"/>
  <c r="I254" i="39" s="1"/>
  <c r="I567" i="39" a="1"/>
  <c r="I567" i="39" s="1"/>
  <c r="I496" i="39" a="1"/>
  <c r="I496" i="39" s="1"/>
  <c r="I504" i="39" a="1"/>
  <c r="I504" i="39" s="1"/>
  <c r="I169" i="39" a="1"/>
  <c r="I169" i="39" s="1"/>
  <c r="I136" i="39" a="1"/>
  <c r="I136" i="39" s="1"/>
  <c r="I175" i="39" a="1"/>
  <c r="I175" i="39" s="1"/>
  <c r="I299" i="39" a="1"/>
  <c r="I299" i="39" s="1"/>
  <c r="I300" i="39" a="1"/>
  <c r="I300" i="39" s="1"/>
  <c r="I540" i="39" a="1"/>
  <c r="I540" i="39" s="1"/>
  <c r="I467" i="39" a="1"/>
  <c r="I467" i="39" s="1"/>
  <c r="I306" i="39" a="1"/>
  <c r="I306" i="39" s="1"/>
  <c r="I565" i="39" a="1"/>
  <c r="I565" i="39" s="1"/>
  <c r="I187" i="39" a="1"/>
  <c r="I187" i="39" s="1"/>
  <c r="I480" i="39" a="1"/>
  <c r="I480" i="39" s="1"/>
  <c r="I536" i="39" a="1"/>
  <c r="I536" i="39" s="1"/>
  <c r="I334" i="39" a="1"/>
  <c r="I334" i="39" s="1"/>
  <c r="I230" i="39" a="1"/>
  <c r="I230" i="39" s="1"/>
  <c r="I295" i="39" a="1"/>
  <c r="I295" i="39" s="1"/>
  <c r="I544" i="39" a="1"/>
  <c r="I544" i="39" s="1"/>
  <c r="I222" i="39" a="1"/>
  <c r="I222" i="39" s="1"/>
  <c r="I324" i="39" a="1"/>
  <c r="I324" i="39" s="1"/>
  <c r="I345" i="39" a="1"/>
  <c r="I345" i="39" s="1"/>
  <c r="I529" i="39" a="1"/>
  <c r="I529" i="39" s="1"/>
  <c r="I561" i="39" a="1"/>
  <c r="I561" i="39" s="1"/>
  <c r="I276" i="39" a="1"/>
  <c r="I276" i="39" s="1"/>
  <c r="I489" i="39" a="1"/>
  <c r="I489" i="39" s="1"/>
  <c r="I242" i="39" a="1"/>
  <c r="I242" i="39" s="1"/>
  <c r="I311" i="39" a="1"/>
  <c r="I311" i="39" s="1"/>
  <c r="I328" i="39" a="1"/>
  <c r="I328" i="39" s="1"/>
  <c r="O229" i="39"/>
  <c r="O254" i="39"/>
  <c r="O567" i="39"/>
  <c r="O496" i="39"/>
  <c r="O504" i="39"/>
  <c r="O169" i="39"/>
  <c r="O136" i="39"/>
  <c r="O175" i="39"/>
  <c r="O299" i="39"/>
  <c r="O300" i="39"/>
  <c r="O540" i="39"/>
  <c r="O467" i="39"/>
  <c r="O306" i="39"/>
  <c r="O565" i="39"/>
  <c r="O187" i="39"/>
  <c r="O480" i="39"/>
  <c r="O536" i="39"/>
  <c r="O334" i="39"/>
  <c r="O230" i="39"/>
  <c r="O295" i="39"/>
  <c r="O544" i="39"/>
  <c r="O222" i="39"/>
  <c r="O324" i="39"/>
  <c r="O345" i="39"/>
  <c r="O529" i="39"/>
  <c r="O561" i="39"/>
  <c r="O276" i="39"/>
  <c r="O489" i="39"/>
  <c r="O242" i="39"/>
  <c r="O311" i="39"/>
  <c r="O328" i="39"/>
  <c r="P229" i="39"/>
  <c r="P254" i="39"/>
  <c r="P567" i="39"/>
  <c r="P496" i="39"/>
  <c r="P504" i="39"/>
  <c r="P169" i="39"/>
  <c r="P136" i="39"/>
  <c r="P175" i="39"/>
  <c r="P299" i="39"/>
  <c r="P300" i="39"/>
  <c r="P540" i="39"/>
  <c r="P467" i="39"/>
  <c r="P306" i="39"/>
  <c r="P565" i="39"/>
  <c r="P187" i="39"/>
  <c r="P480" i="39"/>
  <c r="P536" i="39"/>
  <c r="P334" i="39"/>
  <c r="P230" i="39"/>
  <c r="P295" i="39"/>
  <c r="P544" i="39"/>
  <c r="P222" i="39"/>
  <c r="P324" i="39"/>
  <c r="P345" i="39"/>
  <c r="P529" i="39"/>
  <c r="P561" i="39"/>
  <c r="P276" i="39"/>
  <c r="P489" i="39"/>
  <c r="P242" i="39"/>
  <c r="P311" i="39"/>
  <c r="P328" i="39"/>
  <c r="Q229" i="39"/>
  <c r="Q254" i="39"/>
  <c r="Q567" i="39"/>
  <c r="Q496" i="39"/>
  <c r="Q504" i="39"/>
  <c r="Q169" i="39"/>
  <c r="Q136" i="39"/>
  <c r="Q175" i="39"/>
  <c r="Q299" i="39"/>
  <c r="Q300" i="39"/>
  <c r="Q540" i="39"/>
  <c r="Q467" i="39"/>
  <c r="Q306" i="39"/>
  <c r="Q565" i="39"/>
  <c r="Q187" i="39"/>
  <c r="Q480" i="39"/>
  <c r="Q536" i="39"/>
  <c r="Q334" i="39"/>
  <c r="Q230" i="39"/>
  <c r="Q295" i="39"/>
  <c r="Q544" i="39"/>
  <c r="Q222" i="39"/>
  <c r="Q324" i="39"/>
  <c r="Q345" i="39"/>
  <c r="Q529" i="39"/>
  <c r="Q561" i="39"/>
  <c r="Q276" i="39"/>
  <c r="Q489" i="39"/>
  <c r="Q242" i="39"/>
  <c r="Q311" i="39"/>
  <c r="Q328" i="39"/>
  <c r="F248" i="39"/>
  <c r="M248" i="39" s="1" a="1"/>
  <c r="M248" i="39" s="1"/>
  <c r="G248" i="39" a="1"/>
  <c r="G248" i="39" s="1"/>
  <c r="H248" i="39" a="1"/>
  <c r="H248" i="39" s="1"/>
  <c r="I248" i="39" a="1"/>
  <c r="I248" i="39" s="1"/>
  <c r="O248" i="39"/>
  <c r="P248" i="39"/>
  <c r="Q248" i="39"/>
  <c r="AI338" i="1"/>
  <c r="AJ338" i="1"/>
  <c r="AI250" i="1"/>
  <c r="AJ250" i="1"/>
  <c r="AI228" i="1"/>
  <c r="AJ228" i="1"/>
  <c r="AI140" i="1"/>
  <c r="AJ140" i="1"/>
  <c r="AI74" i="1"/>
  <c r="AJ74" i="1"/>
  <c r="AI30" i="1"/>
  <c r="AJ30" i="1"/>
  <c r="AI118" i="1"/>
  <c r="AJ118" i="1"/>
  <c r="AI690" i="1"/>
  <c r="AJ690" i="1"/>
  <c r="AI624" i="1"/>
  <c r="AJ624" i="1"/>
  <c r="AI646" i="1"/>
  <c r="AJ646" i="1"/>
  <c r="AI668" i="1"/>
  <c r="AJ668" i="1"/>
  <c r="AI404" i="1"/>
  <c r="AJ404" i="1"/>
  <c r="AI492" i="1"/>
  <c r="AJ492" i="1"/>
  <c r="AI470" i="1"/>
  <c r="AJ470" i="1"/>
  <c r="AI382" i="1"/>
  <c r="AJ382" i="1"/>
  <c r="AI52" i="1"/>
  <c r="AJ52" i="1"/>
  <c r="AI316" i="1"/>
  <c r="AJ316" i="1"/>
  <c r="AI602" i="1"/>
  <c r="AJ602" i="1"/>
  <c r="AI580" i="1"/>
  <c r="AJ580" i="1"/>
  <c r="AI162" i="1"/>
  <c r="AJ162" i="1"/>
  <c r="AI96" i="1"/>
  <c r="AJ96" i="1"/>
  <c r="AI184" i="1"/>
  <c r="AJ184" i="1"/>
  <c r="AI206" i="1"/>
  <c r="AJ206" i="1"/>
  <c r="AI536" i="1"/>
  <c r="AJ536" i="1"/>
  <c r="AI558" i="1"/>
  <c r="AJ558" i="1"/>
  <c r="AI514" i="1"/>
  <c r="AJ514" i="1"/>
  <c r="AI426" i="1"/>
  <c r="AJ426" i="1"/>
  <c r="AI360" i="1"/>
  <c r="AJ360" i="1"/>
  <c r="AI294" i="1"/>
  <c r="AJ294" i="1"/>
  <c r="AI8" i="1"/>
  <c r="AJ8" i="1"/>
  <c r="AI337" i="1"/>
  <c r="AJ337" i="1"/>
  <c r="AI315" i="1"/>
  <c r="AJ315" i="1"/>
  <c r="H5" i="39" a="1"/>
  <c r="H5" i="39" s="1"/>
  <c r="H49" i="39" a="1"/>
  <c r="H49" i="39" s="1"/>
  <c r="H7" i="39" a="1"/>
  <c r="H7" i="39" s="1"/>
  <c r="H8" i="39" a="1"/>
  <c r="H8" i="39" s="1"/>
  <c r="H9" i="39" a="1"/>
  <c r="H9" i="39" s="1"/>
  <c r="H82" i="39" a="1"/>
  <c r="H82" i="39" s="1"/>
  <c r="H11" i="39" a="1"/>
  <c r="H11" i="39" s="1"/>
  <c r="H12" i="39" a="1"/>
  <c r="H12" i="39" s="1"/>
  <c r="H13" i="39" a="1"/>
  <c r="H13" i="39" s="1"/>
  <c r="H51" i="39" a="1"/>
  <c r="H51" i="39" s="1"/>
  <c r="H153" i="39" a="1"/>
  <c r="H153" i="39" s="1"/>
  <c r="H263" i="39" a="1"/>
  <c r="H263" i="39" s="1"/>
  <c r="H289" i="39" a="1"/>
  <c r="H289" i="39" s="1"/>
  <c r="H18" i="39" a="1"/>
  <c r="H18" i="39" s="1"/>
  <c r="H19" i="39" a="1"/>
  <c r="H19" i="39" s="1"/>
  <c r="H22" i="39" a="1"/>
  <c r="H22" i="39" s="1"/>
  <c r="H23" i="39" a="1"/>
  <c r="H23" i="39" s="1"/>
  <c r="H17" i="39" a="1"/>
  <c r="H17" i="39" s="1"/>
  <c r="H25" i="39" a="1"/>
  <c r="H25" i="39" s="1"/>
  <c r="H26" i="39" a="1"/>
  <c r="H26" i="39" s="1"/>
  <c r="H181" i="39" a="1"/>
  <c r="H181" i="39" s="1"/>
  <c r="H28" i="39" a="1"/>
  <c r="H28" i="39" s="1"/>
  <c r="H29" i="39" a="1"/>
  <c r="H29" i="39" s="1"/>
  <c r="H30" i="39" a="1"/>
  <c r="H30" i="39" s="1"/>
  <c r="H102" i="39" a="1"/>
  <c r="H102" i="39" s="1"/>
  <c r="H93" i="39" a="1"/>
  <c r="H93" i="39" s="1"/>
  <c r="H241" i="39" a="1"/>
  <c r="H241" i="39" s="1"/>
  <c r="H348" i="39" a="1"/>
  <c r="H348" i="39" s="1"/>
  <c r="H35" i="39" a="1"/>
  <c r="H35" i="39" s="1"/>
  <c r="H36" i="39" a="1"/>
  <c r="H36" i="39" s="1"/>
  <c r="H39" i="39" a="1"/>
  <c r="H39" i="39" s="1"/>
  <c r="H50" i="39" a="1"/>
  <c r="H50" i="39" s="1"/>
  <c r="H41" i="39" a="1"/>
  <c r="H41" i="39" s="1"/>
  <c r="H42" i="39" a="1"/>
  <c r="H42" i="39" s="1"/>
  <c r="H43" i="39" a="1"/>
  <c r="H43" i="39" s="1"/>
  <c r="H44" i="39" a="1"/>
  <c r="H44" i="39" s="1"/>
  <c r="H56" i="39" a="1"/>
  <c r="H56" i="39" s="1"/>
  <c r="H46" i="39" a="1"/>
  <c r="H46" i="39" s="1"/>
  <c r="H47" i="39" a="1"/>
  <c r="H47" i="39" s="1"/>
  <c r="H120" i="39" a="1"/>
  <c r="H120" i="39" s="1"/>
  <c r="H172" i="39" a="1"/>
  <c r="H172" i="39" s="1"/>
  <c r="H221" i="39" a="1"/>
  <c r="H221" i="39" s="1"/>
  <c r="H264" i="39" a="1"/>
  <c r="H264" i="39" s="1"/>
  <c r="H52" i="39" a="1"/>
  <c r="H52" i="39" s="1"/>
  <c r="H53" i="39" a="1"/>
  <c r="H53" i="39" s="1"/>
  <c r="H54" i="39" a="1"/>
  <c r="H54" i="39" s="1"/>
  <c r="H57" i="39" a="1"/>
  <c r="H57" i="39" s="1"/>
  <c r="H364" i="39" a="1"/>
  <c r="H364" i="39" s="1"/>
  <c r="H59" i="39" a="1"/>
  <c r="H59" i="39" s="1"/>
  <c r="H60" i="39" a="1"/>
  <c r="H60" i="39" s="1"/>
  <c r="H432" i="39" a="1"/>
  <c r="H432" i="39" s="1"/>
  <c r="H62" i="39" a="1"/>
  <c r="H62" i="39" s="1"/>
  <c r="H63" i="39" a="1"/>
  <c r="H63" i="39" s="1"/>
  <c r="H471" i="39" a="1"/>
  <c r="H471" i="39" s="1"/>
  <c r="H455" i="39" a="1"/>
  <c r="H455" i="39" s="1"/>
  <c r="H509" i="39" a="1"/>
  <c r="H509" i="39" s="1"/>
  <c r="H549" i="39" a="1"/>
  <c r="H549" i="39" s="1"/>
  <c r="H68" i="39" a="1"/>
  <c r="H68" i="39" s="1"/>
  <c r="H69" i="39" a="1"/>
  <c r="H69" i="39" s="1"/>
  <c r="H72" i="39" a="1"/>
  <c r="H72" i="39" s="1"/>
  <c r="H74" i="39" a="1"/>
  <c r="H74" i="39" s="1"/>
  <c r="H373" i="39" a="1"/>
  <c r="H373" i="39" s="1"/>
  <c r="H75" i="39" a="1"/>
  <c r="H75" i="39" s="1"/>
  <c r="H76" i="39" a="1"/>
  <c r="H76" i="39" s="1"/>
  <c r="H394" i="39" a="1"/>
  <c r="H394" i="39" s="1"/>
  <c r="H78" i="39" a="1"/>
  <c r="H78" i="39" s="1"/>
  <c r="H79" i="39" a="1"/>
  <c r="H79" i="39" s="1"/>
  <c r="H80" i="39" a="1"/>
  <c r="H80" i="39" s="1"/>
  <c r="H377" i="39" a="1"/>
  <c r="H377" i="39" s="1"/>
  <c r="H446" i="39" a="1"/>
  <c r="H446" i="39" s="1"/>
  <c r="H517" i="39" a="1"/>
  <c r="H517" i="39" s="1"/>
  <c r="H508" i="39" a="1"/>
  <c r="H508" i="39" s="1"/>
  <c r="H85" i="39" a="1"/>
  <c r="H85" i="39" s="1"/>
  <c r="H86" i="39" a="1"/>
  <c r="H86" i="39" s="1"/>
  <c r="H87" i="39" a="1"/>
  <c r="H87" i="39" s="1"/>
  <c r="H88" i="39" a="1"/>
  <c r="H88" i="39" s="1"/>
  <c r="H91" i="39" a="1"/>
  <c r="H91" i="39" s="1"/>
  <c r="H92" i="39" a="1"/>
  <c r="H92" i="39" s="1"/>
  <c r="H370" i="39" a="1"/>
  <c r="H370" i="39" s="1"/>
  <c r="H94" i="39" a="1"/>
  <c r="H94" i="39" s="1"/>
  <c r="H95" i="39" a="1"/>
  <c r="H95" i="39" s="1"/>
  <c r="H96" i="39" a="1"/>
  <c r="H96" i="39" s="1"/>
  <c r="H98" i="39" a="1"/>
  <c r="H98" i="39" s="1"/>
  <c r="H386" i="39" a="1"/>
  <c r="H386" i="39" s="1"/>
  <c r="H99" i="39" a="1"/>
  <c r="H99" i="39" s="1"/>
  <c r="H381" i="39" a="1"/>
  <c r="H381" i="39" s="1"/>
  <c r="H442" i="39" a="1"/>
  <c r="H442" i="39" s="1"/>
  <c r="H523" i="39" a="1"/>
  <c r="H523" i="39" s="1"/>
  <c r="H510" i="39" a="1"/>
  <c r="H510" i="39" s="1"/>
  <c r="H104" i="39" a="1"/>
  <c r="H104" i="39" s="1"/>
  <c r="H105" i="39" a="1"/>
  <c r="H105" i="39" s="1"/>
  <c r="H108" i="39" a="1"/>
  <c r="H108" i="39" s="1"/>
  <c r="H27" i="39" a="1"/>
  <c r="H27" i="39" s="1"/>
  <c r="H111" i="39" a="1"/>
  <c r="H111" i="39" s="1"/>
  <c r="H112" i="39" a="1"/>
  <c r="H112" i="39" s="1"/>
  <c r="H97" i="39" a="1"/>
  <c r="H97" i="39" s="1"/>
  <c r="H114" i="39" a="1"/>
  <c r="H114" i="39" s="1"/>
  <c r="H115" i="39" a="1"/>
  <c r="H115" i="39" s="1"/>
  <c r="H116" i="39" a="1"/>
  <c r="H116" i="39" s="1"/>
  <c r="H81" i="39" a="1"/>
  <c r="H81" i="39" s="1"/>
  <c r="H134" i="39" a="1"/>
  <c r="H134" i="39" s="1"/>
  <c r="H197" i="39" a="1"/>
  <c r="H197" i="39" s="1"/>
  <c r="H249" i="39" a="1"/>
  <c r="H249" i="39" s="1"/>
  <c r="H121" i="39" a="1"/>
  <c r="H121" i="39" s="1"/>
  <c r="H122" i="39" a="1"/>
  <c r="H122" i="39" s="1"/>
  <c r="H125" i="39" a="1"/>
  <c r="H125" i="39" s="1"/>
  <c r="H126" i="39" a="1"/>
  <c r="H126" i="39" s="1"/>
  <c r="H4" i="39" a="1"/>
  <c r="H4" i="39" s="1"/>
  <c r="H128" i="39" a="1"/>
  <c r="H128" i="39" s="1"/>
  <c r="H129" i="39" a="1"/>
  <c r="H129" i="39" s="1"/>
  <c r="H130" i="39" a="1"/>
  <c r="H130" i="39" s="1"/>
  <c r="H31" i="39" a="1"/>
  <c r="H31" i="39" s="1"/>
  <c r="H132" i="39" a="1"/>
  <c r="H132" i="39" s="1"/>
  <c r="H133" i="39" a="1"/>
  <c r="H133" i="39" s="1"/>
  <c r="H123" i="39" a="1"/>
  <c r="H123" i="39" s="1"/>
  <c r="H174" i="39" a="1"/>
  <c r="H174" i="39" s="1"/>
  <c r="H188" i="39" a="1"/>
  <c r="H188" i="39" s="1"/>
  <c r="H337" i="39" a="1"/>
  <c r="H337" i="39" s="1"/>
  <c r="H138" i="39" a="1"/>
  <c r="H138" i="39" s="1"/>
  <c r="H139" i="39" a="1"/>
  <c r="H139" i="39" s="1"/>
  <c r="H140" i="39" a="1"/>
  <c r="H140" i="39" s="1"/>
  <c r="H141" i="39" a="1"/>
  <c r="H141" i="39" s="1"/>
  <c r="H144" i="39" a="1"/>
  <c r="H144" i="39" s="1"/>
  <c r="H16" i="39" a="1"/>
  <c r="H16" i="39" s="1"/>
  <c r="H147" i="39" a="1"/>
  <c r="H147" i="39" s="1"/>
  <c r="H146" i="39" a="1"/>
  <c r="H146" i="39" s="1"/>
  <c r="H148" i="39" a="1"/>
  <c r="H148" i="39" s="1"/>
  <c r="H165" i="39" a="1"/>
  <c r="H165" i="39" s="1"/>
  <c r="H150" i="39" a="1"/>
  <c r="H150" i="39" s="1"/>
  <c r="H151" i="39" a="1"/>
  <c r="H151" i="39" s="1"/>
  <c r="H152" i="39" a="1"/>
  <c r="H152" i="39" s="1"/>
  <c r="H66" i="39" a="1"/>
  <c r="H66" i="39" s="1"/>
  <c r="H293" i="39" a="1"/>
  <c r="H293" i="39" s="1"/>
  <c r="H266" i="39" a="1"/>
  <c r="H266" i="39" s="1"/>
  <c r="H157" i="39" a="1"/>
  <c r="H157" i="39" s="1"/>
  <c r="H107" i="39" a="1"/>
  <c r="H107" i="39" s="1"/>
  <c r="H160" i="39" a="1"/>
  <c r="H160" i="39" s="1"/>
  <c r="H40" i="39" a="1"/>
  <c r="H40" i="39" s="1"/>
  <c r="H162" i="39" a="1"/>
  <c r="H162" i="39" s="1"/>
  <c r="H163" i="39" a="1"/>
  <c r="H163" i="39" s="1"/>
  <c r="H164" i="39" a="1"/>
  <c r="H164" i="39" s="1"/>
  <c r="H185" i="39" a="1"/>
  <c r="H185" i="39" s="1"/>
  <c r="H166" i="39" a="1"/>
  <c r="H166" i="39" s="1"/>
  <c r="H167" i="39" a="1"/>
  <c r="H167" i="39" s="1"/>
  <c r="H168" i="39" a="1"/>
  <c r="H168" i="39" s="1"/>
  <c r="H117" i="39" a="1"/>
  <c r="H117" i="39" s="1"/>
  <c r="H154" i="39" a="1"/>
  <c r="H154" i="39" s="1"/>
  <c r="H251" i="39" a="1"/>
  <c r="H251" i="39" s="1"/>
  <c r="H333" i="39" a="1"/>
  <c r="H333" i="39" s="1"/>
  <c r="H173" i="39" a="1"/>
  <c r="H173" i="39" s="1"/>
  <c r="H176" i="39" a="1"/>
  <c r="H176" i="39" s="1"/>
  <c r="H21" i="39" a="1"/>
  <c r="H21" i="39" s="1"/>
  <c r="H178" i="39" a="1"/>
  <c r="H178" i="39" s="1"/>
  <c r="H179" i="39" a="1"/>
  <c r="H179" i="39" s="1"/>
  <c r="H180" i="39" a="1"/>
  <c r="H180" i="39" s="1"/>
  <c r="H118" i="39" a="1"/>
  <c r="H118" i="39" s="1"/>
  <c r="H182" i="39" a="1"/>
  <c r="H182" i="39" s="1"/>
  <c r="H183" i="39" a="1"/>
  <c r="H183" i="39" s="1"/>
  <c r="H184" i="39" a="1"/>
  <c r="H184" i="39" s="1"/>
  <c r="H48" i="39" a="1"/>
  <c r="H48" i="39" s="1"/>
  <c r="H186" i="39" a="1"/>
  <c r="H186" i="39" s="1"/>
  <c r="H243" i="39" a="1"/>
  <c r="H243" i="39" s="1"/>
  <c r="H303" i="39" a="1"/>
  <c r="H303" i="39" s="1"/>
  <c r="H189" i="39" a="1"/>
  <c r="H189" i="39" s="1"/>
  <c r="H192" i="39" a="1"/>
  <c r="H192" i="39" s="1"/>
  <c r="H362" i="39" a="1"/>
  <c r="H362" i="39" s="1"/>
  <c r="H194" i="39" a="1"/>
  <c r="H194" i="39" s="1"/>
  <c r="H195" i="39" a="1"/>
  <c r="H195" i="39" s="1"/>
  <c r="H196" i="39" a="1"/>
  <c r="H196" i="39" s="1"/>
  <c r="H428" i="39" a="1"/>
  <c r="H428" i="39" s="1"/>
  <c r="H198" i="39" a="1"/>
  <c r="H198" i="39" s="1"/>
  <c r="H199" i="39" a="1"/>
  <c r="H199" i="39" s="1"/>
  <c r="H200" i="39" a="1"/>
  <c r="H200" i="39" s="1"/>
  <c r="H379" i="39" a="1"/>
  <c r="H379" i="39" s="1"/>
  <c r="H459" i="39" a="1"/>
  <c r="H459" i="39" s="1"/>
  <c r="H550" i="39" a="1"/>
  <c r="H550" i="39" s="1"/>
  <c r="H205" i="39" a="1"/>
  <c r="H205" i="39" s="1"/>
  <c r="H206" i="39" a="1"/>
  <c r="H206" i="39" s="1"/>
  <c r="H484" i="39" a="1"/>
  <c r="H484" i="39" s="1"/>
  <c r="H207" i="39" a="1"/>
  <c r="H207" i="39" s="1"/>
  <c r="H210" i="39" a="1"/>
  <c r="H210" i="39" s="1"/>
  <c r="H211" i="39" a="1"/>
  <c r="H211" i="39" s="1"/>
  <c r="H359" i="39" a="1"/>
  <c r="H359" i="39" s="1"/>
  <c r="H213" i="39" a="1"/>
  <c r="H213" i="39" s="1"/>
  <c r="H214" i="39" a="1"/>
  <c r="H214" i="39" s="1"/>
  <c r="H215" i="39" a="1"/>
  <c r="H215" i="39" s="1"/>
  <c r="H216" i="39" a="1"/>
  <c r="H216" i="39" s="1"/>
  <c r="H420" i="39" a="1"/>
  <c r="H420" i="39" s="1"/>
  <c r="H218" i="39" a="1"/>
  <c r="H218" i="39" s="1"/>
  <c r="H219" i="39" a="1"/>
  <c r="H219" i="39" s="1"/>
  <c r="H220" i="39" a="1"/>
  <c r="H220" i="39" s="1"/>
  <c r="H405" i="39" a="1"/>
  <c r="H405" i="39" s="1"/>
  <c r="H418" i="39" a="1"/>
  <c r="H418" i="39" s="1"/>
  <c r="H516" i="39" a="1"/>
  <c r="H516" i="39" s="1"/>
  <c r="H547" i="39" a="1"/>
  <c r="H547" i="39" s="1"/>
  <c r="H225" i="39" a="1"/>
  <c r="H225" i="39" s="1"/>
  <c r="H226" i="39" a="1"/>
  <c r="H226" i="39" s="1"/>
  <c r="H227" i="39" a="1"/>
  <c r="H227" i="39" s="1"/>
  <c r="H228" i="39" a="1"/>
  <c r="H228" i="39" s="1"/>
  <c r="H231" i="39" a="1"/>
  <c r="H231" i="39" s="1"/>
  <c r="H232" i="39" a="1"/>
  <c r="H232" i="39" s="1"/>
  <c r="H33" i="39" a="1"/>
  <c r="H33" i="39" s="1"/>
  <c r="H234" i="39" a="1"/>
  <c r="H234" i="39" s="1"/>
  <c r="H235" i="39" a="1"/>
  <c r="H235" i="39" s="1"/>
  <c r="H236" i="39" a="1"/>
  <c r="H236" i="39" s="1"/>
  <c r="H71" i="39" a="1"/>
  <c r="H71" i="39" s="1"/>
  <c r="H238" i="39" a="1"/>
  <c r="H238" i="39" s="1"/>
  <c r="H239" i="39" a="1"/>
  <c r="H239" i="39" s="1"/>
  <c r="H240" i="39" a="1"/>
  <c r="H240" i="39" s="1"/>
  <c r="H155" i="39" a="1"/>
  <c r="H155" i="39" s="1"/>
  <c r="H110" i="39" a="1"/>
  <c r="H110" i="39" s="1"/>
  <c r="H244" i="39" a="1"/>
  <c r="H244" i="39" s="1"/>
  <c r="H316" i="39" a="1"/>
  <c r="H316" i="39" s="1"/>
  <c r="H245" i="39" a="1"/>
  <c r="H245" i="39" s="1"/>
  <c r="H246" i="39" a="1"/>
  <c r="H246" i="39" s="1"/>
  <c r="H247" i="39" a="1"/>
  <c r="H247" i="39" s="1"/>
  <c r="H250" i="39" a="1"/>
  <c r="H250" i="39" s="1"/>
  <c r="H352" i="39" a="1"/>
  <c r="H352" i="39" s="1"/>
  <c r="H252" i="39" a="1"/>
  <c r="H252" i="39" s="1"/>
  <c r="H253" i="39" a="1"/>
  <c r="H253" i="39" s="1"/>
  <c r="H449" i="39" a="1"/>
  <c r="H449" i="39" s="1"/>
  <c r="H425" i="39" a="1"/>
  <c r="H425" i="39" s="1"/>
  <c r="H255" i="39" a="1"/>
  <c r="H255" i="39" s="1"/>
  <c r="H256" i="39" a="1"/>
  <c r="H256" i="39" s="1"/>
  <c r="H436" i="39" a="1"/>
  <c r="H436" i="39" s="1"/>
  <c r="H258" i="39" a="1"/>
  <c r="H258" i="39" s="1"/>
  <c r="H568" i="39" a="1"/>
  <c r="H568" i="39" s="1"/>
  <c r="H527" i="39" a="1"/>
  <c r="H527" i="39" s="1"/>
  <c r="H261" i="39" a="1"/>
  <c r="H261" i="39" s="1"/>
  <c r="H399" i="39" a="1"/>
  <c r="H399" i="39" s="1"/>
  <c r="H265" i="39" a="1"/>
  <c r="H265" i="39" s="1"/>
  <c r="H20" i="39" a="1"/>
  <c r="H20" i="39" s="1"/>
  <c r="H267" i="39" a="1"/>
  <c r="H267" i="39" s="1"/>
  <c r="H269" i="39" a="1"/>
  <c r="H269" i="39" s="1"/>
  <c r="H268" i="39" a="1"/>
  <c r="H268" i="39" s="1"/>
  <c r="H83" i="39" a="1"/>
  <c r="H83" i="39" s="1"/>
  <c r="H271" i="39" a="1"/>
  <c r="H271" i="39" s="1"/>
  <c r="H272" i="39" a="1"/>
  <c r="H272" i="39" s="1"/>
  <c r="H273" i="39" a="1"/>
  <c r="H273" i="39" s="1"/>
  <c r="H158" i="39" a="1"/>
  <c r="H158" i="39" s="1"/>
  <c r="H190" i="39" a="1"/>
  <c r="H190" i="39" s="1"/>
  <c r="H341" i="39" a="1"/>
  <c r="H341" i="39" s="1"/>
  <c r="H278" i="39" a="1"/>
  <c r="H278" i="39" s="1"/>
  <c r="H279" i="39" a="1"/>
  <c r="H279" i="39" s="1"/>
  <c r="H280" i="39" a="1"/>
  <c r="H280" i="39" s="1"/>
  <c r="H281" i="39" a="1"/>
  <c r="H281" i="39" s="1"/>
  <c r="H100" i="39" a="1"/>
  <c r="H100" i="39" s="1"/>
  <c r="H284" i="39" a="1"/>
  <c r="H284" i="39" s="1"/>
  <c r="H363" i="39" a="1"/>
  <c r="H363" i="39" s="1"/>
  <c r="H286" i="39" a="1"/>
  <c r="H286" i="39" s="1"/>
  <c r="H287" i="39" a="1"/>
  <c r="H287" i="39" s="1"/>
  <c r="H426" i="39" a="1"/>
  <c r="H426" i="39" s="1"/>
  <c r="H290" i="39" a="1"/>
  <c r="H290" i="39" s="1"/>
  <c r="H291" i="39" a="1"/>
  <c r="H291" i="39" s="1"/>
  <c r="H292" i="39" a="1"/>
  <c r="H292" i="39" s="1"/>
  <c r="H401" i="39" a="1"/>
  <c r="H401" i="39" s="1"/>
  <c r="H409" i="39" a="1"/>
  <c r="H409" i="39" s="1"/>
  <c r="H519" i="39" a="1"/>
  <c r="H519" i="39" s="1"/>
  <c r="H553" i="39" a="1"/>
  <c r="H553" i="39" s="1"/>
  <c r="H297" i="39" a="1"/>
  <c r="H297" i="39" s="1"/>
  <c r="H298" i="39" a="1"/>
  <c r="H298" i="39" s="1"/>
  <c r="H301" i="39" a="1"/>
  <c r="H301" i="39" s="1"/>
  <c r="H302" i="39" a="1"/>
  <c r="H302" i="39" s="1"/>
  <c r="H351" i="39" a="1"/>
  <c r="H351" i="39" s="1"/>
  <c r="H304" i="39" a="1"/>
  <c r="H304" i="39" s="1"/>
  <c r="H305" i="39" a="1"/>
  <c r="H305" i="39" s="1"/>
  <c r="H419" i="39" a="1"/>
  <c r="H419" i="39" s="1"/>
  <c r="H307" i="39" a="1"/>
  <c r="H307" i="39" s="1"/>
  <c r="H308" i="39" a="1"/>
  <c r="H308" i="39" s="1"/>
  <c r="H309" i="39" a="1"/>
  <c r="H309" i="39" s="1"/>
  <c r="H380" i="39" a="1"/>
  <c r="H380" i="39" s="1"/>
  <c r="H453" i="39" a="1"/>
  <c r="H453" i="39" s="1"/>
  <c r="H473" i="39" a="1"/>
  <c r="H473" i="39" s="1"/>
  <c r="H557" i="39" a="1"/>
  <c r="H557" i="39" s="1"/>
  <c r="H314" i="39" a="1"/>
  <c r="H314" i="39" s="1"/>
  <c r="H315" i="39" a="1"/>
  <c r="H315" i="39" s="1"/>
  <c r="H318" i="39" a="1"/>
  <c r="H318" i="39" s="1"/>
  <c r="H319" i="39" a="1"/>
  <c r="H319" i="39" s="1"/>
  <c r="H45" i="39" a="1"/>
  <c r="H45" i="39" s="1"/>
  <c r="H321" i="39" a="1"/>
  <c r="H321" i="39" s="1"/>
  <c r="H322" i="39" a="1"/>
  <c r="H322" i="39" s="1"/>
  <c r="H323" i="39" a="1"/>
  <c r="H323" i="39" s="1"/>
  <c r="H170" i="39" a="1"/>
  <c r="H170" i="39" s="1"/>
  <c r="H325" i="39" a="1"/>
  <c r="H325" i="39" s="1"/>
  <c r="H326" i="39" a="1"/>
  <c r="H326" i="39" s="1"/>
  <c r="H101" i="39" a="1"/>
  <c r="H101" i="39" s="1"/>
  <c r="H208" i="39" a="1"/>
  <c r="H208" i="39" s="1"/>
  <c r="H233" i="39" a="1"/>
  <c r="H233" i="39" s="1"/>
  <c r="H310" i="39" a="1"/>
  <c r="H310" i="39" s="1"/>
  <c r="H331" i="39" a="1"/>
  <c r="H331" i="39" s="1"/>
  <c r="H332" i="39" a="1"/>
  <c r="H332" i="39" s="1"/>
  <c r="H335" i="39" a="1"/>
  <c r="H335" i="39" s="1"/>
  <c r="H336" i="39" a="1"/>
  <c r="H336" i="39" s="1"/>
  <c r="H24" i="39" a="1"/>
  <c r="H24" i="39" s="1"/>
  <c r="H338" i="39" a="1"/>
  <c r="H338" i="39" s="1"/>
  <c r="H339" i="39" a="1"/>
  <c r="H339" i="39" s="1"/>
  <c r="H340" i="39" a="1"/>
  <c r="H340" i="39" s="1"/>
  <c r="H119" i="39" a="1"/>
  <c r="H119" i="39" s="1"/>
  <c r="H342" i="39" a="1"/>
  <c r="H342" i="39" s="1"/>
  <c r="H343" i="39" a="1"/>
  <c r="H343" i="39" s="1"/>
  <c r="H344" i="39" a="1"/>
  <c r="H344" i="39" s="1"/>
  <c r="H89" i="39" a="1"/>
  <c r="H89" i="39" s="1"/>
  <c r="H90" i="39" a="1"/>
  <c r="H90" i="39" s="1"/>
  <c r="H270" i="39" a="1"/>
  <c r="H270" i="39" s="1"/>
  <c r="H320" i="39" a="1"/>
  <c r="H320" i="39" s="1"/>
  <c r="H349" i="39" a="1"/>
  <c r="H349" i="39" s="1"/>
  <c r="H350" i="39" a="1"/>
  <c r="H350" i="39" s="1"/>
  <c r="H353" i="39" a="1"/>
  <c r="H353" i="39" s="1"/>
  <c r="H354" i="39" a="1"/>
  <c r="H354" i="39" s="1"/>
  <c r="H32" i="39" a="1"/>
  <c r="H32" i="39" s="1"/>
  <c r="H357" i="39" a="1"/>
  <c r="H357" i="39" s="1"/>
  <c r="H358" i="39" a="1"/>
  <c r="H358" i="39" s="1"/>
  <c r="H356" i="39" a="1"/>
  <c r="H356" i="39" s="1"/>
  <c r="H142" i="39" a="1"/>
  <c r="H142" i="39" s="1"/>
  <c r="H360" i="39" a="1"/>
  <c r="H360" i="39" s="1"/>
  <c r="H361" i="39" a="1"/>
  <c r="H361" i="39" s="1"/>
  <c r="H84" i="39" a="1"/>
  <c r="H84" i="39" s="1"/>
  <c r="H145" i="39" a="1"/>
  <c r="H145" i="39" s="1"/>
  <c r="H209" i="39" a="1"/>
  <c r="H209" i="39" s="1"/>
  <c r="H262" i="39" a="1"/>
  <c r="H262" i="39" s="1"/>
  <c r="H366" i="39" a="1"/>
  <c r="H366" i="39" s="1"/>
  <c r="H367" i="39" a="1"/>
  <c r="H367" i="39" s="1"/>
  <c r="H368" i="39" a="1"/>
  <c r="H368" i="39" s="1"/>
  <c r="H371" i="39" a="1"/>
  <c r="H371" i="39" s="1"/>
  <c r="H372" i="39" a="1"/>
  <c r="H372" i="39" s="1"/>
  <c r="H369" i="39" a="1"/>
  <c r="H369" i="39" s="1"/>
  <c r="H374" i="39" a="1"/>
  <c r="H374" i="39" s="1"/>
  <c r="H375" i="39" a="1"/>
  <c r="H375" i="39" s="1"/>
  <c r="H376" i="39" a="1"/>
  <c r="H376" i="39" s="1"/>
  <c r="H398" i="39" a="1"/>
  <c r="H398" i="39" s="1"/>
  <c r="H378" i="39" a="1"/>
  <c r="H378" i="39" s="1"/>
  <c r="H437" i="39" a="1"/>
  <c r="H437" i="39" s="1"/>
  <c r="H417" i="39" a="1"/>
  <c r="H417" i="39" s="1"/>
  <c r="H472" i="39" a="1"/>
  <c r="H472" i="39" s="1"/>
  <c r="H566" i="39" a="1"/>
  <c r="H566" i="39" s="1"/>
  <c r="H383" i="39" a="1"/>
  <c r="H383" i="39" s="1"/>
  <c r="H384" i="39" a="1"/>
  <c r="H384" i="39" s="1"/>
  <c r="H385" i="39" a="1"/>
  <c r="H385" i="39" s="1"/>
  <c r="H388" i="39" a="1"/>
  <c r="H388" i="39" s="1"/>
  <c r="H389" i="39" a="1"/>
  <c r="H389" i="39" s="1"/>
  <c r="H34" i="39" a="1"/>
  <c r="H34" i="39" s="1"/>
  <c r="H391" i="39" a="1"/>
  <c r="H391" i="39" s="1"/>
  <c r="H392" i="39" a="1"/>
  <c r="H392" i="39" s="1"/>
  <c r="H393" i="39" a="1"/>
  <c r="H393" i="39" s="1"/>
  <c r="H177" i="39" a="1"/>
  <c r="H177" i="39" s="1"/>
  <c r="H397" i="39" a="1"/>
  <c r="H397" i="39" s="1"/>
  <c r="H395" i="39" a="1"/>
  <c r="H395" i="39" s="1"/>
  <c r="H396" i="39" a="1"/>
  <c r="H396" i="39" s="1"/>
  <c r="H55" i="39" a="1"/>
  <c r="H55" i="39" s="1"/>
  <c r="H70" i="39" a="1"/>
  <c r="H70" i="39" s="1"/>
  <c r="H260" i="39" a="1"/>
  <c r="H260" i="39" s="1"/>
  <c r="H296" i="39" a="1"/>
  <c r="H296" i="39" s="1"/>
  <c r="H402" i="39" a="1"/>
  <c r="H402" i="39" s="1"/>
  <c r="H403" i="39" a="1"/>
  <c r="H403" i="39" s="1"/>
  <c r="H404" i="39" a="1"/>
  <c r="H404" i="39" s="1"/>
  <c r="H407" i="39" a="1"/>
  <c r="H407" i="39" s="1"/>
  <c r="H408" i="39" a="1"/>
  <c r="H408" i="39" s="1"/>
  <c r="H411" i="39" a="1"/>
  <c r="H411" i="39" s="1"/>
  <c r="H410" i="39" a="1"/>
  <c r="H410" i="39" s="1"/>
  <c r="H10" i="39" a="1"/>
  <c r="H10" i="39" s="1"/>
  <c r="H412" i="39" a="1"/>
  <c r="H412" i="39" s="1"/>
  <c r="H127" i="39" a="1"/>
  <c r="H127" i="39" s="1"/>
  <c r="H414" i="39" a="1"/>
  <c r="H414" i="39" s="1"/>
  <c r="H415" i="39" a="1"/>
  <c r="H415" i="39" s="1"/>
  <c r="H416" i="39" a="1"/>
  <c r="H416" i="39" s="1"/>
  <c r="H103" i="39" a="1"/>
  <c r="H103" i="39" s="1"/>
  <c r="H202" i="39" a="1"/>
  <c r="H202" i="39" s="1"/>
  <c r="H283" i="39" a="1"/>
  <c r="H283" i="39" s="1"/>
  <c r="H421" i="39" a="1"/>
  <c r="H421" i="39" s="1"/>
  <c r="H422" i="39" a="1"/>
  <c r="H422" i="39" s="1"/>
  <c r="H423" i="39" a="1"/>
  <c r="H423" i="39" s="1"/>
  <c r="H424" i="39" a="1"/>
  <c r="H424" i="39" s="1"/>
  <c r="H37" i="39" a="1"/>
  <c r="H37" i="39" s="1"/>
  <c r="H427" i="39" a="1"/>
  <c r="H427" i="39" s="1"/>
  <c r="H6" i="39" a="1"/>
  <c r="H6" i="39" s="1"/>
  <c r="H429" i="39" a="1"/>
  <c r="H429" i="39" s="1"/>
  <c r="H430" i="39" a="1"/>
  <c r="H430" i="39" s="1"/>
  <c r="H431" i="39" a="1"/>
  <c r="H431" i="39" s="1"/>
  <c r="H124" i="39" a="1"/>
  <c r="H124" i="39" s="1"/>
  <c r="H433" i="39" a="1"/>
  <c r="H433" i="39" s="1"/>
  <c r="H434" i="39" a="1"/>
  <c r="H434" i="39" s="1"/>
  <c r="H435" i="39" a="1"/>
  <c r="H435" i="39" s="1"/>
  <c r="H143" i="39" a="1"/>
  <c r="H143" i="39" s="1"/>
  <c r="H77" i="39" a="1"/>
  <c r="H77" i="39" s="1"/>
  <c r="H275" i="39" a="1"/>
  <c r="H275" i="39" s="1"/>
  <c r="H346" i="39" a="1"/>
  <c r="H346" i="39" s="1"/>
  <c r="H440" i="39" a="1"/>
  <c r="H440" i="39" s="1"/>
  <c r="H441" i="39" a="1"/>
  <c r="H441" i="39" s="1"/>
  <c r="H444" i="39" a="1"/>
  <c r="H444" i="39" s="1"/>
  <c r="H445" i="39" a="1"/>
  <c r="H445" i="39" s="1"/>
  <c r="H355" i="39" a="1"/>
  <c r="H355" i="39" s="1"/>
  <c r="H447" i="39" a="1"/>
  <c r="H447" i="39" s="1"/>
  <c r="H448" i="39" a="1"/>
  <c r="H448" i="39" s="1"/>
  <c r="H390" i="39" a="1"/>
  <c r="H390" i="39" s="1"/>
  <c r="H451" i="39" a="1"/>
  <c r="H451" i="39" s="1"/>
  <c r="H452" i="39" a="1"/>
  <c r="H452" i="39" s="1"/>
  <c r="H438" i="39" a="1"/>
  <c r="H438" i="39" s="1"/>
  <c r="H387" i="39" a="1"/>
  <c r="H387" i="39" s="1"/>
  <c r="H495" i="39" a="1"/>
  <c r="H495" i="39" s="1"/>
  <c r="H530" i="39" a="1"/>
  <c r="H530" i="39" s="1"/>
  <c r="H457" i="39" a="1"/>
  <c r="H457" i="39" s="1"/>
  <c r="H458" i="39" a="1"/>
  <c r="H458" i="39" s="1"/>
  <c r="H461" i="39" a="1"/>
  <c r="H461" i="39" s="1"/>
  <c r="H462" i="39" a="1"/>
  <c r="H462" i="39" s="1"/>
  <c r="H463" i="39" a="1"/>
  <c r="H463" i="39" s="1"/>
  <c r="H365" i="39" a="1"/>
  <c r="H365" i="39" s="1"/>
  <c r="H465" i="39" a="1"/>
  <c r="H465" i="39" s="1"/>
  <c r="H466" i="39" a="1"/>
  <c r="H466" i="39" s="1"/>
  <c r="H468" i="39" a="1"/>
  <c r="H468" i="39" s="1"/>
  <c r="H400" i="39" a="1"/>
  <c r="H400" i="39" s="1"/>
  <c r="H469" i="39" a="1"/>
  <c r="H469" i="39" s="1"/>
  <c r="H470" i="39" a="1"/>
  <c r="H470" i="39" s="1"/>
  <c r="H439" i="39" a="1"/>
  <c r="H439" i="39" s="1"/>
  <c r="H406" i="39" a="1"/>
  <c r="H406" i="39" s="1"/>
  <c r="H488" i="39" a="1"/>
  <c r="H488" i="39" s="1"/>
  <c r="H548" i="39" a="1"/>
  <c r="H548" i="39" s="1"/>
  <c r="H475" i="39" a="1"/>
  <c r="H475" i="39" s="1"/>
  <c r="H478" i="39" a="1"/>
  <c r="H478" i="39" s="1"/>
  <c r="H479" i="39" a="1"/>
  <c r="H479" i="39" s="1"/>
  <c r="H14" i="39" a="1"/>
  <c r="H14" i="39" s="1"/>
  <c r="H481" i="39" a="1"/>
  <c r="H481" i="39" s="1"/>
  <c r="H482" i="39" a="1"/>
  <c r="H482" i="39" s="1"/>
  <c r="H483" i="39" a="1"/>
  <c r="H483" i="39" s="1"/>
  <c r="H67" i="39" a="1"/>
  <c r="H67" i="39" s="1"/>
  <c r="H485" i="39" a="1"/>
  <c r="H485" i="39" s="1"/>
  <c r="H486" i="39" a="1"/>
  <c r="H486" i="39" s="1"/>
  <c r="H487" i="39" a="1"/>
  <c r="H487" i="39" s="1"/>
  <c r="H149" i="39" a="1"/>
  <c r="H149" i="39" s="1"/>
  <c r="H65" i="39" a="1"/>
  <c r="H65" i="39" s="1"/>
  <c r="H257" i="39" a="1"/>
  <c r="H257" i="39" s="1"/>
  <c r="H277" i="39" a="1"/>
  <c r="H277" i="39" s="1"/>
  <c r="H492" i="39" a="1"/>
  <c r="H492" i="39" s="1"/>
  <c r="H493" i="39" a="1"/>
  <c r="H493" i="39" s="1"/>
  <c r="H494" i="39" a="1"/>
  <c r="H494" i="39" s="1"/>
  <c r="H497" i="39" a="1"/>
  <c r="H497" i="39" s="1"/>
  <c r="H498" i="39" a="1"/>
  <c r="H498" i="39" s="1"/>
  <c r="H499" i="39" a="1"/>
  <c r="H499" i="39" s="1"/>
  <c r="H382" i="39" a="1"/>
  <c r="H382" i="39" s="1"/>
  <c r="H501" i="39" a="1"/>
  <c r="H501" i="39" s="1"/>
  <c r="H502" i="39" a="1"/>
  <c r="H502" i="39" s="1"/>
  <c r="H503" i="39" a="1"/>
  <c r="H503" i="39" s="1"/>
  <c r="H505" i="39" a="1"/>
  <c r="H505" i="39" s="1"/>
  <c r="H506" i="39" a="1"/>
  <c r="H506" i="39" s="1"/>
  <c r="H443" i="39" a="1"/>
  <c r="H443" i="39" s="1"/>
  <c r="H413" i="39" a="1"/>
  <c r="H413" i="39" s="1"/>
  <c r="H454" i="39" a="1"/>
  <c r="H454" i="39" s="1"/>
  <c r="H450" i="39" a="1"/>
  <c r="H450" i="39" s="1"/>
  <c r="H554" i="39" a="1"/>
  <c r="H554" i="39" s="1"/>
  <c r="H511" i="39" a="1"/>
  <c r="H511" i="39" s="1"/>
  <c r="H512" i="39" a="1"/>
  <c r="H512" i="39" s="1"/>
  <c r="H513" i="39" a="1"/>
  <c r="H513" i="39" s="1"/>
  <c r="H514" i="39" a="1"/>
  <c r="H514" i="39" s="1"/>
  <c r="H515" i="39" a="1"/>
  <c r="H515" i="39" s="1"/>
  <c r="H518" i="39" a="1"/>
  <c r="H518" i="39" s="1"/>
  <c r="H3" i="39" a="1"/>
  <c r="H3" i="39" s="1"/>
  <c r="H520" i="39" a="1"/>
  <c r="H520" i="39" s="1"/>
  <c r="H521" i="39" a="1"/>
  <c r="H521" i="39" s="1"/>
  <c r="H522" i="39" a="1"/>
  <c r="H522" i="39" s="1"/>
  <c r="H64" i="39" a="1"/>
  <c r="H64" i="39" s="1"/>
  <c r="H524" i="39" a="1"/>
  <c r="H524" i="39" s="1"/>
  <c r="H525" i="39" a="1"/>
  <c r="H525" i="39" s="1"/>
  <c r="H526" i="39" a="1"/>
  <c r="H526" i="39" s="1"/>
  <c r="H285" i="39" a="1"/>
  <c r="H285" i="39" s="1"/>
  <c r="H131" i="39" a="1"/>
  <c r="H131" i="39" s="1"/>
  <c r="H347" i="39" a="1"/>
  <c r="H347" i="39" s="1"/>
  <c r="H531" i="39" a="1"/>
  <c r="H531" i="39" s="1"/>
  <c r="H532" i="39" a="1"/>
  <c r="H532" i="39" s="1"/>
  <c r="H533" i="39" a="1"/>
  <c r="H533" i="39" s="1"/>
  <c r="H534" i="39" a="1"/>
  <c r="H534" i="39" s="1"/>
  <c r="H535" i="39" a="1"/>
  <c r="H535" i="39" s="1"/>
  <c r="H61" i="39" a="1"/>
  <c r="H61" i="39" s="1"/>
  <c r="H538" i="39" a="1"/>
  <c r="H538" i="39" s="1"/>
  <c r="H539" i="39" a="1"/>
  <c r="H539" i="39" s="1"/>
  <c r="H15" i="39" a="1"/>
  <c r="H15" i="39" s="1"/>
  <c r="H541" i="39" a="1"/>
  <c r="H541" i="39" s="1"/>
  <c r="H542" i="39" a="1"/>
  <c r="H542" i="39" s="1"/>
  <c r="H543" i="39" a="1"/>
  <c r="H543" i="39" s="1"/>
  <c r="H73" i="39" a="1"/>
  <c r="H73" i="39" s="1"/>
  <c r="H545" i="39" a="1"/>
  <c r="H545" i="39" s="1"/>
  <c r="H546" i="39" a="1"/>
  <c r="H546" i="39" s="1"/>
  <c r="H113" i="39" a="1"/>
  <c r="H113" i="39" s="1"/>
  <c r="H106" i="39" a="1"/>
  <c r="H106" i="39" s="1"/>
  <c r="H327" i="39" a="1"/>
  <c r="H327" i="39" s="1"/>
  <c r="H312" i="39" a="1"/>
  <c r="H312" i="39" s="1"/>
  <c r="H551" i="39" a="1"/>
  <c r="H551" i="39" s="1"/>
  <c r="H552" i="39" a="1"/>
  <c r="H552" i="39" s="1"/>
  <c r="H555" i="39" a="1"/>
  <c r="H555" i="39" s="1"/>
  <c r="H556" i="39" a="1"/>
  <c r="H556" i="39" s="1"/>
  <c r="H38" i="39" a="1"/>
  <c r="H38" i="39" s="1"/>
  <c r="H558" i="39" a="1"/>
  <c r="H558" i="39" s="1"/>
  <c r="H559" i="39" a="1"/>
  <c r="H559" i="39" s="1"/>
  <c r="H560" i="39" a="1"/>
  <c r="H560" i="39" s="1"/>
  <c r="H193" i="39" a="1"/>
  <c r="H193" i="39" s="1"/>
  <c r="H562" i="39" a="1"/>
  <c r="H562" i="39" s="1"/>
  <c r="H563" i="39" a="1"/>
  <c r="H563" i="39" s="1"/>
  <c r="H564" i="39" a="1"/>
  <c r="H564" i="39" s="1"/>
  <c r="H135" i="39" a="1"/>
  <c r="H135" i="39" s="1"/>
  <c r="H171" i="39" a="1"/>
  <c r="H171" i="39" s="1"/>
  <c r="H570" i="39" a="1"/>
  <c r="H570" i="39" s="1"/>
  <c r="H329" i="39" a="1"/>
  <c r="H329" i="39" s="1"/>
  <c r="H569" i="39" a="1"/>
  <c r="H569" i="39" s="1"/>
  <c r="I5" i="39" a="1"/>
  <c r="I5" i="39" s="1"/>
  <c r="I49" i="39" a="1"/>
  <c r="I49" i="39" s="1"/>
  <c r="I7" i="39" a="1"/>
  <c r="I7" i="39" s="1"/>
  <c r="I8" i="39" a="1"/>
  <c r="I8" i="39" s="1"/>
  <c r="I9" i="39" a="1"/>
  <c r="I9" i="39" s="1"/>
  <c r="I82" i="39" a="1"/>
  <c r="I82" i="39" s="1"/>
  <c r="I11" i="39" a="1"/>
  <c r="I11" i="39" s="1"/>
  <c r="I12" i="39" a="1"/>
  <c r="I12" i="39" s="1"/>
  <c r="I13" i="39" a="1"/>
  <c r="I13" i="39" s="1"/>
  <c r="I51" i="39" a="1"/>
  <c r="I51" i="39" s="1"/>
  <c r="I153" i="39" a="1"/>
  <c r="I153" i="39" s="1"/>
  <c r="I263" i="39" a="1"/>
  <c r="I263" i="39" s="1"/>
  <c r="I289" i="39" a="1"/>
  <c r="I289" i="39" s="1"/>
  <c r="I18" i="39" a="1"/>
  <c r="I18" i="39" s="1"/>
  <c r="I19" i="39" a="1"/>
  <c r="I19" i="39" s="1"/>
  <c r="I22" i="39" a="1"/>
  <c r="I22" i="39" s="1"/>
  <c r="I23" i="39" a="1"/>
  <c r="I23" i="39" s="1"/>
  <c r="I17" i="39" a="1"/>
  <c r="I17" i="39" s="1"/>
  <c r="I25" i="39" a="1"/>
  <c r="I25" i="39" s="1"/>
  <c r="I26" i="39" a="1"/>
  <c r="I26" i="39" s="1"/>
  <c r="I181" i="39" a="1"/>
  <c r="I181" i="39" s="1"/>
  <c r="I28" i="39" a="1"/>
  <c r="I28" i="39" s="1"/>
  <c r="I29" i="39" a="1"/>
  <c r="I29" i="39" s="1"/>
  <c r="I30" i="39" a="1"/>
  <c r="I30" i="39" s="1"/>
  <c r="I102" i="39" a="1"/>
  <c r="I102" i="39" s="1"/>
  <c r="I93" i="39" a="1"/>
  <c r="I93" i="39" s="1"/>
  <c r="I241" i="39" a="1"/>
  <c r="I241" i="39" s="1"/>
  <c r="I348" i="39" a="1"/>
  <c r="I348" i="39" s="1"/>
  <c r="I35" i="39" a="1"/>
  <c r="I35" i="39" s="1"/>
  <c r="I36" i="39" a="1"/>
  <c r="I36" i="39" s="1"/>
  <c r="I39" i="39" a="1"/>
  <c r="I39" i="39" s="1"/>
  <c r="I50" i="39" a="1"/>
  <c r="I50" i="39" s="1"/>
  <c r="I41" i="39" a="1"/>
  <c r="I41" i="39" s="1"/>
  <c r="I42" i="39" a="1"/>
  <c r="I42" i="39" s="1"/>
  <c r="I43" i="39" a="1"/>
  <c r="I43" i="39" s="1"/>
  <c r="I44" i="39" a="1"/>
  <c r="I44" i="39" s="1"/>
  <c r="I56" i="39" a="1"/>
  <c r="I56" i="39" s="1"/>
  <c r="I46" i="39" a="1"/>
  <c r="I46" i="39" s="1"/>
  <c r="I47" i="39" a="1"/>
  <c r="I47" i="39" s="1"/>
  <c r="I120" i="39" a="1"/>
  <c r="I120" i="39" s="1"/>
  <c r="I172" i="39" a="1"/>
  <c r="I172" i="39" s="1"/>
  <c r="I221" i="39" a="1"/>
  <c r="I221" i="39" s="1"/>
  <c r="I264" i="39" a="1"/>
  <c r="I264" i="39" s="1"/>
  <c r="I52" i="39" a="1"/>
  <c r="I52" i="39" s="1"/>
  <c r="I53" i="39" a="1"/>
  <c r="I53" i="39" s="1"/>
  <c r="I54" i="39" a="1"/>
  <c r="I54" i="39" s="1"/>
  <c r="I57" i="39" a="1"/>
  <c r="I57" i="39" s="1"/>
  <c r="I364" i="39" a="1"/>
  <c r="I364" i="39" s="1"/>
  <c r="I59" i="39" a="1"/>
  <c r="I59" i="39" s="1"/>
  <c r="I60" i="39" a="1"/>
  <c r="I60" i="39" s="1"/>
  <c r="I432" i="39" a="1"/>
  <c r="I432" i="39" s="1"/>
  <c r="I62" i="39" a="1"/>
  <c r="I62" i="39" s="1"/>
  <c r="I63" i="39" a="1"/>
  <c r="I63" i="39" s="1"/>
  <c r="I471" i="39" a="1"/>
  <c r="I471" i="39" s="1"/>
  <c r="I455" i="39" a="1"/>
  <c r="I455" i="39" s="1"/>
  <c r="I509" i="39" a="1"/>
  <c r="I509" i="39" s="1"/>
  <c r="I549" i="39" a="1"/>
  <c r="I549" i="39" s="1"/>
  <c r="I68" i="39" a="1"/>
  <c r="I68" i="39" s="1"/>
  <c r="I69" i="39" a="1"/>
  <c r="I69" i="39" s="1"/>
  <c r="I72" i="39" a="1"/>
  <c r="I72" i="39" s="1"/>
  <c r="I74" i="39" a="1"/>
  <c r="I74" i="39" s="1"/>
  <c r="I373" i="39" a="1"/>
  <c r="I373" i="39" s="1"/>
  <c r="I75" i="39" a="1"/>
  <c r="I75" i="39" s="1"/>
  <c r="I76" i="39" a="1"/>
  <c r="I76" i="39" s="1"/>
  <c r="I394" i="39" a="1"/>
  <c r="I394" i="39" s="1"/>
  <c r="I78" i="39" a="1"/>
  <c r="I78" i="39" s="1"/>
  <c r="I79" i="39" a="1"/>
  <c r="I79" i="39" s="1"/>
  <c r="I80" i="39" a="1"/>
  <c r="I80" i="39" s="1"/>
  <c r="I377" i="39" a="1"/>
  <c r="I377" i="39" s="1"/>
  <c r="I446" i="39" a="1"/>
  <c r="I446" i="39" s="1"/>
  <c r="I517" i="39" a="1"/>
  <c r="I517" i="39" s="1"/>
  <c r="I508" i="39" a="1"/>
  <c r="I508" i="39" s="1"/>
  <c r="I85" i="39" a="1"/>
  <c r="I85" i="39" s="1"/>
  <c r="I86" i="39" a="1"/>
  <c r="I86" i="39" s="1"/>
  <c r="I87" i="39" a="1"/>
  <c r="I87" i="39" s="1"/>
  <c r="I88" i="39" a="1"/>
  <c r="I88" i="39" s="1"/>
  <c r="I91" i="39" a="1"/>
  <c r="I91" i="39" s="1"/>
  <c r="I92" i="39" a="1"/>
  <c r="I92" i="39" s="1"/>
  <c r="I370" i="39" a="1"/>
  <c r="I370" i="39" s="1"/>
  <c r="I94" i="39" a="1"/>
  <c r="I94" i="39" s="1"/>
  <c r="I95" i="39" a="1"/>
  <c r="I95" i="39" s="1"/>
  <c r="I96" i="39" a="1"/>
  <c r="I96" i="39" s="1"/>
  <c r="I98" i="39" a="1"/>
  <c r="I98" i="39" s="1"/>
  <c r="I386" i="39" a="1"/>
  <c r="I386" i="39" s="1"/>
  <c r="I99" i="39" a="1"/>
  <c r="I99" i="39" s="1"/>
  <c r="I381" i="39" a="1"/>
  <c r="I381" i="39" s="1"/>
  <c r="I442" i="39" a="1"/>
  <c r="I442" i="39" s="1"/>
  <c r="I523" i="39" a="1"/>
  <c r="I523" i="39" s="1"/>
  <c r="I510" i="39" a="1"/>
  <c r="I510" i="39" s="1"/>
  <c r="I104" i="39" a="1"/>
  <c r="I104" i="39" s="1"/>
  <c r="I105" i="39" a="1"/>
  <c r="I105" i="39" s="1"/>
  <c r="I108" i="39" a="1"/>
  <c r="I108" i="39" s="1"/>
  <c r="I27" i="39" a="1"/>
  <c r="I27" i="39" s="1"/>
  <c r="I111" i="39" a="1"/>
  <c r="I111" i="39" s="1"/>
  <c r="I112" i="39" a="1"/>
  <c r="I112" i="39" s="1"/>
  <c r="I97" i="39" a="1"/>
  <c r="I97" i="39" s="1"/>
  <c r="I114" i="39" a="1"/>
  <c r="I114" i="39" s="1"/>
  <c r="I115" i="39" a="1"/>
  <c r="I115" i="39" s="1"/>
  <c r="I116" i="39" a="1"/>
  <c r="I116" i="39" s="1"/>
  <c r="I81" i="39" a="1"/>
  <c r="I81" i="39" s="1"/>
  <c r="I134" i="39" a="1"/>
  <c r="I134" i="39" s="1"/>
  <c r="I197" i="39" a="1"/>
  <c r="I197" i="39" s="1"/>
  <c r="I249" i="39" a="1"/>
  <c r="I249" i="39" s="1"/>
  <c r="I121" i="39" a="1"/>
  <c r="I121" i="39" s="1"/>
  <c r="I122" i="39" a="1"/>
  <c r="I122" i="39" s="1"/>
  <c r="I125" i="39" a="1"/>
  <c r="I125" i="39" s="1"/>
  <c r="I126" i="39" a="1"/>
  <c r="I126" i="39" s="1"/>
  <c r="I4" i="39" a="1"/>
  <c r="I4" i="39" s="1"/>
  <c r="I128" i="39" a="1"/>
  <c r="I128" i="39" s="1"/>
  <c r="I129" i="39" a="1"/>
  <c r="I129" i="39" s="1"/>
  <c r="I130" i="39" a="1"/>
  <c r="I130" i="39" s="1"/>
  <c r="I31" i="39" a="1"/>
  <c r="I31" i="39" s="1"/>
  <c r="I132" i="39" a="1"/>
  <c r="I132" i="39" s="1"/>
  <c r="I133" i="39" a="1"/>
  <c r="I133" i="39" s="1"/>
  <c r="I123" i="39" a="1"/>
  <c r="I123" i="39" s="1"/>
  <c r="I174" i="39" a="1"/>
  <c r="I174" i="39" s="1"/>
  <c r="I188" i="39" a="1"/>
  <c r="I188" i="39" s="1"/>
  <c r="I337" i="39" a="1"/>
  <c r="I337" i="39" s="1"/>
  <c r="I138" i="39" a="1"/>
  <c r="I138" i="39" s="1"/>
  <c r="I139" i="39" a="1"/>
  <c r="I139" i="39" s="1"/>
  <c r="I140" i="39" a="1"/>
  <c r="I140" i="39" s="1"/>
  <c r="I141" i="39" a="1"/>
  <c r="I141" i="39" s="1"/>
  <c r="I144" i="39" a="1"/>
  <c r="I144" i="39" s="1"/>
  <c r="I16" i="39" a="1"/>
  <c r="I16" i="39" s="1"/>
  <c r="I147" i="39" a="1"/>
  <c r="I147" i="39" s="1"/>
  <c r="I146" i="39" a="1"/>
  <c r="I146" i="39" s="1"/>
  <c r="I148" i="39" a="1"/>
  <c r="I148" i="39" s="1"/>
  <c r="I165" i="39" a="1"/>
  <c r="I165" i="39" s="1"/>
  <c r="I150" i="39" a="1"/>
  <c r="I150" i="39" s="1"/>
  <c r="I151" i="39" a="1"/>
  <c r="I151" i="39" s="1"/>
  <c r="I152" i="39" a="1"/>
  <c r="I152" i="39" s="1"/>
  <c r="I66" i="39" a="1"/>
  <c r="I66" i="39" s="1"/>
  <c r="I293" i="39" a="1"/>
  <c r="I293" i="39" s="1"/>
  <c r="I266" i="39" a="1"/>
  <c r="I266" i="39" s="1"/>
  <c r="I157" i="39" a="1"/>
  <c r="I157" i="39" s="1"/>
  <c r="I107" i="39" a="1"/>
  <c r="I107" i="39" s="1"/>
  <c r="I160" i="39" a="1"/>
  <c r="I160" i="39" s="1"/>
  <c r="I40" i="39" a="1"/>
  <c r="I40" i="39" s="1"/>
  <c r="I162" i="39" a="1"/>
  <c r="I162" i="39" s="1"/>
  <c r="I163" i="39" a="1"/>
  <c r="I163" i="39" s="1"/>
  <c r="I164" i="39" a="1"/>
  <c r="I164" i="39" s="1"/>
  <c r="I185" i="39" a="1"/>
  <c r="I185" i="39" s="1"/>
  <c r="I166" i="39" a="1"/>
  <c r="I166" i="39" s="1"/>
  <c r="I167" i="39" a="1"/>
  <c r="I167" i="39" s="1"/>
  <c r="I168" i="39" a="1"/>
  <c r="I168" i="39" s="1"/>
  <c r="I117" i="39" a="1"/>
  <c r="I117" i="39" s="1"/>
  <c r="I154" i="39" a="1"/>
  <c r="I154" i="39" s="1"/>
  <c r="I251" i="39" a="1"/>
  <c r="I251" i="39" s="1"/>
  <c r="I333" i="39" a="1"/>
  <c r="I333" i="39" s="1"/>
  <c r="I173" i="39" a="1"/>
  <c r="I173" i="39" s="1"/>
  <c r="I176" i="39" a="1"/>
  <c r="I176" i="39" s="1"/>
  <c r="I21" i="39" a="1"/>
  <c r="I21" i="39" s="1"/>
  <c r="I178" i="39" a="1"/>
  <c r="I178" i="39" s="1"/>
  <c r="I179" i="39" a="1"/>
  <c r="I179" i="39" s="1"/>
  <c r="I180" i="39" a="1"/>
  <c r="I180" i="39" s="1"/>
  <c r="I118" i="39" a="1"/>
  <c r="I118" i="39" s="1"/>
  <c r="I182" i="39" a="1"/>
  <c r="I182" i="39" s="1"/>
  <c r="I183" i="39" a="1"/>
  <c r="I183" i="39" s="1"/>
  <c r="I184" i="39" a="1"/>
  <c r="I184" i="39" s="1"/>
  <c r="I48" i="39" a="1"/>
  <c r="I48" i="39" s="1"/>
  <c r="I186" i="39" a="1"/>
  <c r="I186" i="39" s="1"/>
  <c r="I243" i="39" a="1"/>
  <c r="I243" i="39" s="1"/>
  <c r="I303" i="39" a="1"/>
  <c r="I303" i="39" s="1"/>
  <c r="I189" i="39" a="1"/>
  <c r="I189" i="39" s="1"/>
  <c r="I192" i="39" a="1"/>
  <c r="I192" i="39" s="1"/>
  <c r="I362" i="39" a="1"/>
  <c r="I362" i="39" s="1"/>
  <c r="I194" i="39" a="1"/>
  <c r="I194" i="39" s="1"/>
  <c r="I195" i="39" a="1"/>
  <c r="I195" i="39" s="1"/>
  <c r="I196" i="39" a="1"/>
  <c r="I196" i="39" s="1"/>
  <c r="I428" i="39" a="1"/>
  <c r="I428" i="39" s="1"/>
  <c r="I198" i="39" a="1"/>
  <c r="I198" i="39" s="1"/>
  <c r="I199" i="39" a="1"/>
  <c r="I199" i="39" s="1"/>
  <c r="I200" i="39" a="1"/>
  <c r="I200" i="39" s="1"/>
  <c r="I379" i="39" a="1"/>
  <c r="I379" i="39" s="1"/>
  <c r="I459" i="39" a="1"/>
  <c r="I459" i="39" s="1"/>
  <c r="I550" i="39" a="1"/>
  <c r="I550" i="39" s="1"/>
  <c r="I205" i="39" a="1"/>
  <c r="I205" i="39" s="1"/>
  <c r="I206" i="39" a="1"/>
  <c r="I206" i="39" s="1"/>
  <c r="I484" i="39" a="1"/>
  <c r="I484" i="39" s="1"/>
  <c r="I207" i="39" a="1"/>
  <c r="I207" i="39" s="1"/>
  <c r="I210" i="39" a="1"/>
  <c r="I210" i="39" s="1"/>
  <c r="I211" i="39" a="1"/>
  <c r="I211" i="39" s="1"/>
  <c r="I359" i="39" a="1"/>
  <c r="I359" i="39" s="1"/>
  <c r="I213" i="39" a="1"/>
  <c r="I213" i="39" s="1"/>
  <c r="I214" i="39" a="1"/>
  <c r="I214" i="39" s="1"/>
  <c r="I215" i="39" a="1"/>
  <c r="I215" i="39" s="1"/>
  <c r="I216" i="39" a="1"/>
  <c r="I216" i="39" s="1"/>
  <c r="I420" i="39" a="1"/>
  <c r="I420" i="39" s="1"/>
  <c r="I218" i="39" a="1"/>
  <c r="I218" i="39" s="1"/>
  <c r="I219" i="39" a="1"/>
  <c r="I219" i="39" s="1"/>
  <c r="I220" i="39" a="1"/>
  <c r="I220" i="39" s="1"/>
  <c r="I405" i="39" a="1"/>
  <c r="I405" i="39" s="1"/>
  <c r="I418" i="39" a="1"/>
  <c r="I418" i="39" s="1"/>
  <c r="I516" i="39" a="1"/>
  <c r="I516" i="39" s="1"/>
  <c r="I547" i="39" a="1"/>
  <c r="I547" i="39" s="1"/>
  <c r="I225" i="39" a="1"/>
  <c r="I225" i="39" s="1"/>
  <c r="I226" i="39" a="1"/>
  <c r="I226" i="39" s="1"/>
  <c r="I227" i="39" a="1"/>
  <c r="I227" i="39" s="1"/>
  <c r="I228" i="39" a="1"/>
  <c r="I228" i="39" s="1"/>
  <c r="I231" i="39" a="1"/>
  <c r="I231" i="39" s="1"/>
  <c r="I232" i="39" a="1"/>
  <c r="I232" i="39" s="1"/>
  <c r="I33" i="39" a="1"/>
  <c r="I33" i="39" s="1"/>
  <c r="I234" i="39" a="1"/>
  <c r="I234" i="39" s="1"/>
  <c r="I235" i="39" a="1"/>
  <c r="I235" i="39" s="1"/>
  <c r="I236" i="39" a="1"/>
  <c r="I236" i="39" s="1"/>
  <c r="I71" i="39" a="1"/>
  <c r="I71" i="39" s="1"/>
  <c r="I238" i="39" a="1"/>
  <c r="I238" i="39" s="1"/>
  <c r="I239" i="39" a="1"/>
  <c r="I239" i="39" s="1"/>
  <c r="I240" i="39" a="1"/>
  <c r="I240" i="39" s="1"/>
  <c r="I155" i="39" a="1"/>
  <c r="I155" i="39" s="1"/>
  <c r="I110" i="39" a="1"/>
  <c r="I110" i="39" s="1"/>
  <c r="I244" i="39" a="1"/>
  <c r="I244" i="39" s="1"/>
  <c r="I316" i="39" a="1"/>
  <c r="I316" i="39" s="1"/>
  <c r="I245" i="39" a="1"/>
  <c r="I245" i="39" s="1"/>
  <c r="I246" i="39" a="1"/>
  <c r="I246" i="39" s="1"/>
  <c r="I247" i="39" a="1"/>
  <c r="I247" i="39" s="1"/>
  <c r="I250" i="39" a="1"/>
  <c r="I250" i="39" s="1"/>
  <c r="I352" i="39" a="1"/>
  <c r="I352" i="39" s="1"/>
  <c r="I252" i="39" a="1"/>
  <c r="I252" i="39" s="1"/>
  <c r="I253" i="39" a="1"/>
  <c r="I253" i="39" s="1"/>
  <c r="I449" i="39" a="1"/>
  <c r="I449" i="39" s="1"/>
  <c r="I425" i="39" a="1"/>
  <c r="I425" i="39" s="1"/>
  <c r="I255" i="39" a="1"/>
  <c r="I255" i="39" s="1"/>
  <c r="I256" i="39" a="1"/>
  <c r="I256" i="39" s="1"/>
  <c r="I436" i="39" a="1"/>
  <c r="I436" i="39" s="1"/>
  <c r="I258" i="39" a="1"/>
  <c r="I258" i="39" s="1"/>
  <c r="I568" i="39" a="1"/>
  <c r="I568" i="39" s="1"/>
  <c r="I527" i="39" a="1"/>
  <c r="I527" i="39" s="1"/>
  <c r="I261" i="39" a="1"/>
  <c r="I261" i="39" s="1"/>
  <c r="I399" i="39" a="1"/>
  <c r="I399" i="39" s="1"/>
  <c r="I265" i="39" a="1"/>
  <c r="I265" i="39" s="1"/>
  <c r="I20" i="39" a="1"/>
  <c r="I20" i="39" s="1"/>
  <c r="I267" i="39" a="1"/>
  <c r="I267" i="39" s="1"/>
  <c r="I269" i="39" a="1"/>
  <c r="I269" i="39" s="1"/>
  <c r="I268" i="39" a="1"/>
  <c r="I268" i="39" s="1"/>
  <c r="I83" i="39" a="1"/>
  <c r="I83" i="39" s="1"/>
  <c r="I271" i="39" a="1"/>
  <c r="I271" i="39" s="1"/>
  <c r="I272" i="39" a="1"/>
  <c r="I272" i="39" s="1"/>
  <c r="I273" i="39" a="1"/>
  <c r="I273" i="39" s="1"/>
  <c r="I158" i="39" a="1"/>
  <c r="I158" i="39" s="1"/>
  <c r="I190" i="39" a="1"/>
  <c r="I190" i="39" s="1"/>
  <c r="I341" i="39" a="1"/>
  <c r="I341" i="39" s="1"/>
  <c r="I278" i="39" a="1"/>
  <c r="I278" i="39" s="1"/>
  <c r="I279" i="39" a="1"/>
  <c r="I279" i="39" s="1"/>
  <c r="I280" i="39" a="1"/>
  <c r="I280" i="39" s="1"/>
  <c r="I281" i="39" a="1"/>
  <c r="I281" i="39" s="1"/>
  <c r="I100" i="39" a="1"/>
  <c r="I100" i="39" s="1"/>
  <c r="I284" i="39" a="1"/>
  <c r="I284" i="39" s="1"/>
  <c r="I363" i="39" a="1"/>
  <c r="I363" i="39" s="1"/>
  <c r="I286" i="39" a="1"/>
  <c r="I286" i="39" s="1"/>
  <c r="I287" i="39" a="1"/>
  <c r="I287" i="39" s="1"/>
  <c r="I426" i="39" a="1"/>
  <c r="I426" i="39" s="1"/>
  <c r="I290" i="39" a="1"/>
  <c r="I290" i="39" s="1"/>
  <c r="I291" i="39" a="1"/>
  <c r="I291" i="39" s="1"/>
  <c r="I292" i="39" a="1"/>
  <c r="I292" i="39" s="1"/>
  <c r="I401" i="39" a="1"/>
  <c r="I401" i="39" s="1"/>
  <c r="I409" i="39" a="1"/>
  <c r="I409" i="39" s="1"/>
  <c r="I519" i="39" a="1"/>
  <c r="I519" i="39" s="1"/>
  <c r="I553" i="39" a="1"/>
  <c r="I553" i="39" s="1"/>
  <c r="I297" i="39" a="1"/>
  <c r="I297" i="39" s="1"/>
  <c r="I298" i="39" a="1"/>
  <c r="I298" i="39" s="1"/>
  <c r="I301" i="39" a="1"/>
  <c r="I301" i="39" s="1"/>
  <c r="I302" i="39" a="1"/>
  <c r="I302" i="39" s="1"/>
  <c r="I351" i="39" a="1"/>
  <c r="I351" i="39" s="1"/>
  <c r="I304" i="39" a="1"/>
  <c r="I304" i="39" s="1"/>
  <c r="I305" i="39" a="1"/>
  <c r="I305" i="39" s="1"/>
  <c r="I419" i="39" a="1"/>
  <c r="I419" i="39" s="1"/>
  <c r="I307" i="39" a="1"/>
  <c r="I307" i="39" s="1"/>
  <c r="I308" i="39" a="1"/>
  <c r="I308" i="39" s="1"/>
  <c r="I309" i="39" a="1"/>
  <c r="I309" i="39" s="1"/>
  <c r="I380" i="39" a="1"/>
  <c r="I380" i="39" s="1"/>
  <c r="I453" i="39" a="1"/>
  <c r="I453" i="39" s="1"/>
  <c r="I473" i="39" a="1"/>
  <c r="I473" i="39" s="1"/>
  <c r="I557" i="39" a="1"/>
  <c r="I557" i="39" s="1"/>
  <c r="I314" i="39" a="1"/>
  <c r="I314" i="39" s="1"/>
  <c r="I315" i="39" a="1"/>
  <c r="I315" i="39" s="1"/>
  <c r="I318" i="39" a="1"/>
  <c r="I318" i="39" s="1"/>
  <c r="I319" i="39" a="1"/>
  <c r="I319" i="39" s="1"/>
  <c r="I45" i="39" a="1"/>
  <c r="I45" i="39" s="1"/>
  <c r="I321" i="39" a="1"/>
  <c r="I321" i="39" s="1"/>
  <c r="I322" i="39" a="1"/>
  <c r="I322" i="39" s="1"/>
  <c r="I323" i="39" a="1"/>
  <c r="I323" i="39" s="1"/>
  <c r="I170" i="39" a="1"/>
  <c r="I170" i="39" s="1"/>
  <c r="I325" i="39" a="1"/>
  <c r="I325" i="39" s="1"/>
  <c r="I326" i="39" a="1"/>
  <c r="I326" i="39" s="1"/>
  <c r="I101" i="39" a="1"/>
  <c r="I101" i="39" s="1"/>
  <c r="I208" i="39" a="1"/>
  <c r="I208" i="39" s="1"/>
  <c r="I233" i="39" a="1"/>
  <c r="I233" i="39" s="1"/>
  <c r="I310" i="39" a="1"/>
  <c r="I310" i="39" s="1"/>
  <c r="I331" i="39" a="1"/>
  <c r="I331" i="39" s="1"/>
  <c r="I332" i="39" a="1"/>
  <c r="I332" i="39" s="1"/>
  <c r="I335" i="39" a="1"/>
  <c r="I335" i="39" s="1"/>
  <c r="I336" i="39" a="1"/>
  <c r="I336" i="39" s="1"/>
  <c r="I24" i="39" a="1"/>
  <c r="I24" i="39" s="1"/>
  <c r="I338" i="39" a="1"/>
  <c r="I338" i="39" s="1"/>
  <c r="I339" i="39" a="1"/>
  <c r="I339" i="39" s="1"/>
  <c r="I340" i="39" a="1"/>
  <c r="I340" i="39" s="1"/>
  <c r="I119" i="39" a="1"/>
  <c r="I119" i="39" s="1"/>
  <c r="I342" i="39" a="1"/>
  <c r="I342" i="39" s="1"/>
  <c r="I343" i="39" a="1"/>
  <c r="I343" i="39" s="1"/>
  <c r="I344" i="39" a="1"/>
  <c r="I344" i="39" s="1"/>
  <c r="I89" i="39" a="1"/>
  <c r="I89" i="39" s="1"/>
  <c r="I90" i="39" a="1"/>
  <c r="I90" i="39" s="1"/>
  <c r="I270" i="39" a="1"/>
  <c r="I270" i="39" s="1"/>
  <c r="I320" i="39" a="1"/>
  <c r="I320" i="39" s="1"/>
  <c r="I349" i="39" a="1"/>
  <c r="I349" i="39" s="1"/>
  <c r="I350" i="39" a="1"/>
  <c r="I350" i="39" s="1"/>
  <c r="I353" i="39" a="1"/>
  <c r="I353" i="39" s="1"/>
  <c r="I354" i="39" a="1"/>
  <c r="I354" i="39" s="1"/>
  <c r="I32" i="39" a="1"/>
  <c r="I32" i="39" s="1"/>
  <c r="I357" i="39" a="1"/>
  <c r="I357" i="39" s="1"/>
  <c r="I358" i="39" a="1"/>
  <c r="I358" i="39" s="1"/>
  <c r="I356" i="39" a="1"/>
  <c r="I356" i="39" s="1"/>
  <c r="I142" i="39" a="1"/>
  <c r="I142" i="39" s="1"/>
  <c r="I360" i="39" a="1"/>
  <c r="I360" i="39" s="1"/>
  <c r="I361" i="39" a="1"/>
  <c r="I361" i="39" s="1"/>
  <c r="I84" i="39" a="1"/>
  <c r="I84" i="39" s="1"/>
  <c r="I145" i="39" a="1"/>
  <c r="I145" i="39" s="1"/>
  <c r="I209" i="39" a="1"/>
  <c r="I209" i="39" s="1"/>
  <c r="I262" i="39" a="1"/>
  <c r="I262" i="39" s="1"/>
  <c r="I366" i="39" a="1"/>
  <c r="I366" i="39" s="1"/>
  <c r="I367" i="39" a="1"/>
  <c r="I367" i="39" s="1"/>
  <c r="I368" i="39" a="1"/>
  <c r="I368" i="39" s="1"/>
  <c r="I371" i="39" a="1"/>
  <c r="I371" i="39" s="1"/>
  <c r="I372" i="39" a="1"/>
  <c r="I372" i="39" s="1"/>
  <c r="I369" i="39" a="1"/>
  <c r="I369" i="39" s="1"/>
  <c r="I374" i="39" a="1"/>
  <c r="I374" i="39" s="1"/>
  <c r="I375" i="39" a="1"/>
  <c r="I375" i="39" s="1"/>
  <c r="I376" i="39" a="1"/>
  <c r="I376" i="39" s="1"/>
  <c r="I398" i="39" a="1"/>
  <c r="I398" i="39" s="1"/>
  <c r="I378" i="39" a="1"/>
  <c r="I378" i="39" s="1"/>
  <c r="I437" i="39" a="1"/>
  <c r="I437" i="39" s="1"/>
  <c r="I417" i="39" a="1"/>
  <c r="I417" i="39" s="1"/>
  <c r="I472" i="39" a="1"/>
  <c r="I472" i="39" s="1"/>
  <c r="I566" i="39" a="1"/>
  <c r="I566" i="39" s="1"/>
  <c r="I383" i="39" a="1"/>
  <c r="I383" i="39" s="1"/>
  <c r="I384" i="39" a="1"/>
  <c r="I384" i="39" s="1"/>
  <c r="I385" i="39" a="1"/>
  <c r="I385" i="39" s="1"/>
  <c r="I388" i="39" a="1"/>
  <c r="I388" i="39" s="1"/>
  <c r="I389" i="39" a="1"/>
  <c r="I389" i="39" s="1"/>
  <c r="I34" i="39" a="1"/>
  <c r="I34" i="39" s="1"/>
  <c r="I391" i="39" a="1"/>
  <c r="I391" i="39" s="1"/>
  <c r="I392" i="39" a="1"/>
  <c r="I392" i="39" s="1"/>
  <c r="I393" i="39" a="1"/>
  <c r="I393" i="39" s="1"/>
  <c r="I177" i="39" a="1"/>
  <c r="I177" i="39" s="1"/>
  <c r="I397" i="39" a="1"/>
  <c r="I397" i="39" s="1"/>
  <c r="I395" i="39" a="1"/>
  <c r="I395" i="39" s="1"/>
  <c r="I396" i="39" a="1"/>
  <c r="I396" i="39" s="1"/>
  <c r="I55" i="39" a="1"/>
  <c r="I55" i="39" s="1"/>
  <c r="I70" i="39" a="1"/>
  <c r="I70" i="39" s="1"/>
  <c r="I260" i="39" a="1"/>
  <c r="I260" i="39" s="1"/>
  <c r="I296" i="39" a="1"/>
  <c r="I296" i="39" s="1"/>
  <c r="I402" i="39" a="1"/>
  <c r="I402" i="39" s="1"/>
  <c r="I403" i="39" a="1"/>
  <c r="I403" i="39" s="1"/>
  <c r="I404" i="39" a="1"/>
  <c r="I404" i="39" s="1"/>
  <c r="I407" i="39" a="1"/>
  <c r="I407" i="39" s="1"/>
  <c r="I408" i="39" a="1"/>
  <c r="I408" i="39" s="1"/>
  <c r="I411" i="39" a="1"/>
  <c r="I411" i="39" s="1"/>
  <c r="I410" i="39" a="1"/>
  <c r="I410" i="39" s="1"/>
  <c r="I10" i="39" a="1"/>
  <c r="I10" i="39" s="1"/>
  <c r="I412" i="39" a="1"/>
  <c r="I412" i="39" s="1"/>
  <c r="I127" i="39" a="1"/>
  <c r="I127" i="39" s="1"/>
  <c r="I414" i="39" a="1"/>
  <c r="I414" i="39" s="1"/>
  <c r="I415" i="39" a="1"/>
  <c r="I415" i="39" s="1"/>
  <c r="I416" i="39" a="1"/>
  <c r="I416" i="39" s="1"/>
  <c r="I103" i="39" a="1"/>
  <c r="I103" i="39" s="1"/>
  <c r="I202" i="39" a="1"/>
  <c r="I202" i="39" s="1"/>
  <c r="I283" i="39" a="1"/>
  <c r="I283" i="39" s="1"/>
  <c r="I421" i="39" a="1"/>
  <c r="I421" i="39" s="1"/>
  <c r="I422" i="39" a="1"/>
  <c r="I422" i="39" s="1"/>
  <c r="I423" i="39" a="1"/>
  <c r="I423" i="39" s="1"/>
  <c r="I424" i="39" a="1"/>
  <c r="I424" i="39" s="1"/>
  <c r="I37" i="39" a="1"/>
  <c r="I37" i="39" s="1"/>
  <c r="I427" i="39" a="1"/>
  <c r="I427" i="39" s="1"/>
  <c r="I6" i="39" a="1"/>
  <c r="I6" i="39" s="1"/>
  <c r="I429" i="39" a="1"/>
  <c r="I429" i="39" s="1"/>
  <c r="I430" i="39" a="1"/>
  <c r="I430" i="39" s="1"/>
  <c r="I431" i="39" a="1"/>
  <c r="I431" i="39" s="1"/>
  <c r="I124" i="39" a="1"/>
  <c r="I124" i="39" s="1"/>
  <c r="I433" i="39" a="1"/>
  <c r="I433" i="39" s="1"/>
  <c r="I434" i="39" a="1"/>
  <c r="I434" i="39" s="1"/>
  <c r="I435" i="39" a="1"/>
  <c r="I435" i="39" s="1"/>
  <c r="I143" i="39" a="1"/>
  <c r="I143" i="39" s="1"/>
  <c r="I77" i="39" a="1"/>
  <c r="I77" i="39" s="1"/>
  <c r="I275" i="39" a="1"/>
  <c r="I275" i="39" s="1"/>
  <c r="I346" i="39" a="1"/>
  <c r="I346" i="39" s="1"/>
  <c r="I440" i="39" a="1"/>
  <c r="I440" i="39" s="1"/>
  <c r="I441" i="39" a="1"/>
  <c r="I441" i="39" s="1"/>
  <c r="I444" i="39" a="1"/>
  <c r="I444" i="39" s="1"/>
  <c r="I445" i="39" a="1"/>
  <c r="I445" i="39" s="1"/>
  <c r="I355" i="39" a="1"/>
  <c r="I355" i="39" s="1"/>
  <c r="I447" i="39" a="1"/>
  <c r="I447" i="39" s="1"/>
  <c r="I448" i="39" a="1"/>
  <c r="I448" i="39" s="1"/>
  <c r="I390" i="39" a="1"/>
  <c r="I390" i="39" s="1"/>
  <c r="I451" i="39" a="1"/>
  <c r="I451" i="39" s="1"/>
  <c r="I452" i="39" a="1"/>
  <c r="I452" i="39" s="1"/>
  <c r="I438" i="39" a="1"/>
  <c r="I438" i="39" s="1"/>
  <c r="I387" i="39" a="1"/>
  <c r="I387" i="39" s="1"/>
  <c r="I495" i="39" a="1"/>
  <c r="I495" i="39" s="1"/>
  <c r="I530" i="39" a="1"/>
  <c r="I530" i="39" s="1"/>
  <c r="I457" i="39" a="1"/>
  <c r="I457" i="39" s="1"/>
  <c r="I458" i="39" a="1"/>
  <c r="I458" i="39" s="1"/>
  <c r="I461" i="39" a="1"/>
  <c r="I461" i="39" s="1"/>
  <c r="I462" i="39" a="1"/>
  <c r="I462" i="39" s="1"/>
  <c r="I463" i="39" a="1"/>
  <c r="I463" i="39" s="1"/>
  <c r="I365" i="39" a="1"/>
  <c r="I365" i="39" s="1"/>
  <c r="I465" i="39" a="1"/>
  <c r="I465" i="39" s="1"/>
  <c r="I466" i="39" a="1"/>
  <c r="I466" i="39" s="1"/>
  <c r="I468" i="39" a="1"/>
  <c r="I468" i="39" s="1"/>
  <c r="I400" i="39" a="1"/>
  <c r="I400" i="39" s="1"/>
  <c r="I469" i="39" a="1"/>
  <c r="I469" i="39" s="1"/>
  <c r="I470" i="39" a="1"/>
  <c r="I470" i="39" s="1"/>
  <c r="I439" i="39" a="1"/>
  <c r="I439" i="39" s="1"/>
  <c r="I406" i="39" a="1"/>
  <c r="I406" i="39" s="1"/>
  <c r="I488" i="39" a="1"/>
  <c r="I488" i="39" s="1"/>
  <c r="I548" i="39" a="1"/>
  <c r="I548" i="39" s="1"/>
  <c r="I475" i="39" a="1"/>
  <c r="I475" i="39" s="1"/>
  <c r="I478" i="39" a="1"/>
  <c r="I478" i="39" s="1"/>
  <c r="I479" i="39" a="1"/>
  <c r="I479" i="39" s="1"/>
  <c r="I14" i="39" a="1"/>
  <c r="I14" i="39" s="1"/>
  <c r="I481" i="39" a="1"/>
  <c r="I481" i="39" s="1"/>
  <c r="I482" i="39" a="1"/>
  <c r="I482" i="39" s="1"/>
  <c r="I483" i="39" a="1"/>
  <c r="I483" i="39" s="1"/>
  <c r="I67" i="39" a="1"/>
  <c r="I67" i="39" s="1"/>
  <c r="I485" i="39" a="1"/>
  <c r="I485" i="39" s="1"/>
  <c r="I486" i="39" a="1"/>
  <c r="I486" i="39" s="1"/>
  <c r="I487" i="39" a="1"/>
  <c r="I487" i="39" s="1"/>
  <c r="I149" i="39" a="1"/>
  <c r="I149" i="39" s="1"/>
  <c r="I65" i="39" a="1"/>
  <c r="I65" i="39" s="1"/>
  <c r="I257" i="39" a="1"/>
  <c r="I257" i="39" s="1"/>
  <c r="I277" i="39" a="1"/>
  <c r="I277" i="39" s="1"/>
  <c r="I492" i="39" a="1"/>
  <c r="I492" i="39" s="1"/>
  <c r="I493" i="39" a="1"/>
  <c r="I493" i="39" s="1"/>
  <c r="I494" i="39" a="1"/>
  <c r="I494" i="39" s="1"/>
  <c r="I497" i="39" a="1"/>
  <c r="I497" i="39" s="1"/>
  <c r="I498" i="39" a="1"/>
  <c r="I498" i="39" s="1"/>
  <c r="I499" i="39" a="1"/>
  <c r="I499" i="39" s="1"/>
  <c r="I382" i="39" a="1"/>
  <c r="I382" i="39" s="1"/>
  <c r="I501" i="39" a="1"/>
  <c r="I501" i="39" s="1"/>
  <c r="I502" i="39" a="1"/>
  <c r="I502" i="39" s="1"/>
  <c r="I503" i="39" a="1"/>
  <c r="I503" i="39" s="1"/>
  <c r="I505" i="39" a="1"/>
  <c r="I505" i="39" s="1"/>
  <c r="I506" i="39" a="1"/>
  <c r="I506" i="39" s="1"/>
  <c r="I443" i="39" a="1"/>
  <c r="I443" i="39" s="1"/>
  <c r="I413" i="39" a="1"/>
  <c r="I413" i="39" s="1"/>
  <c r="I454" i="39" a="1"/>
  <c r="I454" i="39" s="1"/>
  <c r="I450" i="39" a="1"/>
  <c r="I450" i="39" s="1"/>
  <c r="I554" i="39" a="1"/>
  <c r="I554" i="39" s="1"/>
  <c r="I511" i="39" a="1"/>
  <c r="I511" i="39" s="1"/>
  <c r="I512" i="39" a="1"/>
  <c r="I512" i="39" s="1"/>
  <c r="I513" i="39" a="1"/>
  <c r="I513" i="39" s="1"/>
  <c r="I514" i="39" a="1"/>
  <c r="I514" i="39" s="1"/>
  <c r="I515" i="39" a="1"/>
  <c r="I515" i="39" s="1"/>
  <c r="I518" i="39" a="1"/>
  <c r="I518" i="39" s="1"/>
  <c r="I3" i="39" a="1"/>
  <c r="I3" i="39" s="1"/>
  <c r="I520" i="39" a="1"/>
  <c r="I520" i="39" s="1"/>
  <c r="I521" i="39" a="1"/>
  <c r="I521" i="39" s="1"/>
  <c r="I522" i="39" a="1"/>
  <c r="I522" i="39" s="1"/>
  <c r="I64" i="39" a="1"/>
  <c r="I64" i="39" s="1"/>
  <c r="I524" i="39" a="1"/>
  <c r="I524" i="39" s="1"/>
  <c r="I525" i="39" a="1"/>
  <c r="I525" i="39" s="1"/>
  <c r="I526" i="39" a="1"/>
  <c r="I526" i="39" s="1"/>
  <c r="I285" i="39" a="1"/>
  <c r="I285" i="39" s="1"/>
  <c r="I131" i="39" a="1"/>
  <c r="I131" i="39" s="1"/>
  <c r="I347" i="39" a="1"/>
  <c r="I347" i="39" s="1"/>
  <c r="I531" i="39" a="1"/>
  <c r="I531" i="39" s="1"/>
  <c r="I532" i="39" a="1"/>
  <c r="I532" i="39" s="1"/>
  <c r="I533" i="39" a="1"/>
  <c r="I533" i="39" s="1"/>
  <c r="I534" i="39" a="1"/>
  <c r="I534" i="39" s="1"/>
  <c r="I535" i="39" a="1"/>
  <c r="I535" i="39" s="1"/>
  <c r="I61" i="39" a="1"/>
  <c r="I61" i="39" s="1"/>
  <c r="I538" i="39" a="1"/>
  <c r="I538" i="39" s="1"/>
  <c r="I539" i="39" a="1"/>
  <c r="I539" i="39" s="1"/>
  <c r="I15" i="39" a="1"/>
  <c r="I15" i="39" s="1"/>
  <c r="I541" i="39" a="1"/>
  <c r="I541" i="39" s="1"/>
  <c r="I542" i="39" a="1"/>
  <c r="I542" i="39" s="1"/>
  <c r="I543" i="39" a="1"/>
  <c r="I543" i="39" s="1"/>
  <c r="I73" i="39" a="1"/>
  <c r="I73" i="39" s="1"/>
  <c r="I545" i="39" a="1"/>
  <c r="I545" i="39" s="1"/>
  <c r="I546" i="39" a="1"/>
  <c r="I546" i="39" s="1"/>
  <c r="I113" i="39" a="1"/>
  <c r="I113" i="39" s="1"/>
  <c r="I106" i="39" a="1"/>
  <c r="I106" i="39" s="1"/>
  <c r="I327" i="39" a="1"/>
  <c r="I327" i="39" s="1"/>
  <c r="I312" i="39" a="1"/>
  <c r="I312" i="39" s="1"/>
  <c r="I551" i="39" a="1"/>
  <c r="I551" i="39" s="1"/>
  <c r="I552" i="39" a="1"/>
  <c r="I552" i="39" s="1"/>
  <c r="I555" i="39" a="1"/>
  <c r="I555" i="39" s="1"/>
  <c r="I556" i="39" a="1"/>
  <c r="I556" i="39" s="1"/>
  <c r="I38" i="39" a="1"/>
  <c r="I38" i="39" s="1"/>
  <c r="I558" i="39" a="1"/>
  <c r="I558" i="39" s="1"/>
  <c r="I559" i="39" a="1"/>
  <c r="I559" i="39" s="1"/>
  <c r="I560" i="39" a="1"/>
  <c r="I560" i="39" s="1"/>
  <c r="I193" i="39" a="1"/>
  <c r="I193" i="39" s="1"/>
  <c r="I562" i="39" a="1"/>
  <c r="I562" i="39" s="1"/>
  <c r="I563" i="39" a="1"/>
  <c r="I563" i="39" s="1"/>
  <c r="I564" i="39" a="1"/>
  <c r="I564" i="39" s="1"/>
  <c r="I135" i="39" a="1"/>
  <c r="I135" i="39" s="1"/>
  <c r="I171" i="39" a="1"/>
  <c r="I171" i="39" s="1"/>
  <c r="I570" i="39" a="1"/>
  <c r="I570" i="39" s="1"/>
  <c r="I329" i="39" a="1"/>
  <c r="I329" i="39" s="1"/>
  <c r="I569" i="39" a="1"/>
  <c r="I569" i="39" s="1"/>
  <c r="F5" i="39"/>
  <c r="F49" i="39"/>
  <c r="F7" i="39"/>
  <c r="F8" i="39"/>
  <c r="V8" i="39" s="1" a="1"/>
  <c r="V8" i="39" s="1"/>
  <c r="F9" i="39"/>
  <c r="F82" i="39"/>
  <c r="R82" i="39" s="1" a="1"/>
  <c r="R82" i="39" s="1"/>
  <c r="F11" i="39"/>
  <c r="F12" i="39"/>
  <c r="F13" i="39"/>
  <c r="F51" i="39"/>
  <c r="F153" i="39"/>
  <c r="F263" i="39"/>
  <c r="F289" i="39"/>
  <c r="F18" i="39"/>
  <c r="V18" i="39" s="1" a="1"/>
  <c r="V18" i="39" s="1"/>
  <c r="F19" i="39"/>
  <c r="V19" i="39" s="1" a="1"/>
  <c r="V19" i="39" s="1"/>
  <c r="F313" i="39"/>
  <c r="F22" i="39"/>
  <c r="F23" i="39"/>
  <c r="R23" i="39" s="1" a="1"/>
  <c r="R23" i="39" s="1"/>
  <c r="F17" i="39"/>
  <c r="F25" i="39"/>
  <c r="F26" i="39"/>
  <c r="N26" i="39" s="1" a="1"/>
  <c r="N26" i="39" s="1"/>
  <c r="X26" i="39" s="1"/>
  <c r="F181" i="39"/>
  <c r="F28" i="39"/>
  <c r="F29" i="39"/>
  <c r="F30" i="39"/>
  <c r="F102" i="39"/>
  <c r="F93" i="39"/>
  <c r="F241" i="39"/>
  <c r="F348" i="39"/>
  <c r="F35" i="39"/>
  <c r="F36" i="39"/>
  <c r="N36" i="39" s="1" a="1"/>
  <c r="N36" i="39" s="1"/>
  <c r="X36" i="39" s="1"/>
  <c r="F201" i="39"/>
  <c r="F39" i="39"/>
  <c r="F50" i="39"/>
  <c r="F41" i="39"/>
  <c r="F42" i="39"/>
  <c r="F43" i="39"/>
  <c r="F44" i="39"/>
  <c r="F56" i="39"/>
  <c r="F46" i="39"/>
  <c r="F47" i="39"/>
  <c r="F120" i="39"/>
  <c r="F172" i="39"/>
  <c r="F221" i="39"/>
  <c r="F264" i="39"/>
  <c r="F52" i="39"/>
  <c r="F53" i="39"/>
  <c r="F54" i="39"/>
  <c r="F464" i="39"/>
  <c r="F57" i="39"/>
  <c r="V57" i="39" s="1" a="1"/>
  <c r="V57" i="39" s="1"/>
  <c r="F364" i="39"/>
  <c r="F59" i="39"/>
  <c r="F60" i="39"/>
  <c r="R60" i="39" s="1" a="1"/>
  <c r="R60" i="39" s="1"/>
  <c r="F432" i="39"/>
  <c r="F62" i="39"/>
  <c r="F63" i="39"/>
  <c r="F471" i="39"/>
  <c r="F455" i="39"/>
  <c r="F509" i="39"/>
  <c r="F549" i="39"/>
  <c r="F68" i="39"/>
  <c r="V68" i="39" s="1" a="1"/>
  <c r="V68" i="39" s="1"/>
  <c r="F69" i="39"/>
  <c r="V69" i="39" s="1" a="1"/>
  <c r="V69" i="39" s="1"/>
  <c r="F490" i="39"/>
  <c r="F72" i="39"/>
  <c r="F74" i="39"/>
  <c r="F373" i="39"/>
  <c r="F75" i="39"/>
  <c r="V75" i="39" s="1" a="1"/>
  <c r="V75" i="39" s="1"/>
  <c r="F76" i="39"/>
  <c r="V76" i="39" s="1" a="1"/>
  <c r="V76" i="39" s="1"/>
  <c r="F394" i="39"/>
  <c r="F78" i="39"/>
  <c r="F79" i="39"/>
  <c r="F80" i="39"/>
  <c r="F377" i="39"/>
  <c r="F446" i="39"/>
  <c r="F517" i="39"/>
  <c r="F508" i="39"/>
  <c r="F85" i="39"/>
  <c r="F86" i="39"/>
  <c r="F87" i="39"/>
  <c r="F88" i="39"/>
  <c r="F507" i="39"/>
  <c r="F91" i="39"/>
  <c r="L91" i="39" s="1" a="1"/>
  <c r="L91" i="39" s="1"/>
  <c r="F92" i="39"/>
  <c r="F370" i="39"/>
  <c r="F94" i="39"/>
  <c r="F95" i="39"/>
  <c r="F96" i="39"/>
  <c r="F98" i="39"/>
  <c r="F386" i="39"/>
  <c r="F99" i="39"/>
  <c r="F381" i="39"/>
  <c r="F442" i="39"/>
  <c r="F523" i="39"/>
  <c r="F510" i="39"/>
  <c r="F104" i="39"/>
  <c r="F105" i="39"/>
  <c r="V105" i="39" s="1" a="1"/>
  <c r="V105" i="39" s="1"/>
  <c r="F109" i="39"/>
  <c r="F108" i="39"/>
  <c r="F27" i="39"/>
  <c r="F111" i="39"/>
  <c r="F112" i="39"/>
  <c r="V112" i="39" s="1" a="1"/>
  <c r="V112" i="39" s="1"/>
  <c r="F97" i="39"/>
  <c r="F114" i="39"/>
  <c r="F115" i="39"/>
  <c r="F116" i="39"/>
  <c r="F81" i="39"/>
  <c r="F134" i="39"/>
  <c r="F197" i="39"/>
  <c r="F249" i="39"/>
  <c r="F121" i="39"/>
  <c r="F122" i="39"/>
  <c r="F282" i="39"/>
  <c r="M282" i="39" s="1" a="1"/>
  <c r="M282" i="39" s="1"/>
  <c r="F204" i="39"/>
  <c r="F125" i="39"/>
  <c r="V125" i="39" s="1" a="1"/>
  <c r="V125" i="39" s="1"/>
  <c r="F126" i="39"/>
  <c r="V126" i="39" s="1" a="1"/>
  <c r="V126" i="39" s="1"/>
  <c r="F4" i="39"/>
  <c r="F128" i="39"/>
  <c r="F129" i="39"/>
  <c r="F130" i="39"/>
  <c r="F31" i="39"/>
  <c r="F132" i="39"/>
  <c r="F133" i="39"/>
  <c r="F123" i="39"/>
  <c r="F174" i="39"/>
  <c r="F188" i="39"/>
  <c r="F337" i="39"/>
  <c r="F138" i="39"/>
  <c r="L138" i="39" s="1" a="1"/>
  <c r="L138" i="39" s="1"/>
  <c r="F139" i="39"/>
  <c r="F140" i="39"/>
  <c r="V140" i="39" s="1" a="1"/>
  <c r="V140" i="39" s="1"/>
  <c r="F141" i="39"/>
  <c r="F161" i="39"/>
  <c r="F144" i="39"/>
  <c r="F16" i="39"/>
  <c r="F147" i="39"/>
  <c r="F146" i="39"/>
  <c r="F148" i="39"/>
  <c r="M148" i="39" s="1" a="1"/>
  <c r="M148" i="39" s="1"/>
  <c r="F165" i="39"/>
  <c r="F150" i="39"/>
  <c r="F151" i="39"/>
  <c r="F152" i="39"/>
  <c r="L152" i="39" s="1" a="1"/>
  <c r="L152" i="39" s="1"/>
  <c r="F66" i="39"/>
  <c r="F293" i="39"/>
  <c r="F266" i="39"/>
  <c r="F157" i="39"/>
  <c r="F107" i="39"/>
  <c r="F203" i="39"/>
  <c r="F160" i="39"/>
  <c r="V160" i="39" s="1" a="1"/>
  <c r="V160" i="39" s="1"/>
  <c r="F40" i="39"/>
  <c r="F162" i="39"/>
  <c r="F163" i="39"/>
  <c r="V163" i="39" s="1" a="1"/>
  <c r="V163" i="39" s="1"/>
  <c r="F164" i="39"/>
  <c r="F185" i="39"/>
  <c r="F166" i="39"/>
  <c r="F167" i="39"/>
  <c r="F168" i="39"/>
  <c r="F117" i="39"/>
  <c r="F154" i="39"/>
  <c r="F251" i="39"/>
  <c r="F333" i="39"/>
  <c r="F173" i="39"/>
  <c r="V173" i="39" s="1" a="1"/>
  <c r="V173" i="39" s="1"/>
  <c r="F217" i="39"/>
  <c r="F176" i="39"/>
  <c r="V176" i="39" s="1" a="1"/>
  <c r="V176" i="39" s="1"/>
  <c r="F21" i="39"/>
  <c r="F178" i="39"/>
  <c r="F179" i="39"/>
  <c r="F180" i="39"/>
  <c r="F118" i="39"/>
  <c r="F182" i="39"/>
  <c r="F183" i="39"/>
  <c r="V183" i="39" s="1" a="1"/>
  <c r="V183" i="39" s="1"/>
  <c r="F184" i="39"/>
  <c r="F48" i="39"/>
  <c r="F186" i="39"/>
  <c r="F243" i="39"/>
  <c r="F303" i="39"/>
  <c r="F189" i="39"/>
  <c r="F476" i="39"/>
  <c r="F192" i="39"/>
  <c r="F362" i="39"/>
  <c r="F194" i="39"/>
  <c r="F195" i="39"/>
  <c r="F196" i="39"/>
  <c r="L196" i="39" s="1" a="1"/>
  <c r="L196" i="39" s="1"/>
  <c r="F428" i="39"/>
  <c r="F198" i="39"/>
  <c r="F199" i="39"/>
  <c r="L199" i="39" s="1" a="1"/>
  <c r="L199" i="39" s="1"/>
  <c r="F200" i="39"/>
  <c r="F379" i="39"/>
  <c r="F459" i="39"/>
  <c r="F550" i="39"/>
  <c r="F205" i="39"/>
  <c r="F206" i="39"/>
  <c r="M206" i="39" s="1" a="1"/>
  <c r="M206" i="39" s="1"/>
  <c r="F484" i="39"/>
  <c r="F207" i="39"/>
  <c r="F528" i="39"/>
  <c r="F210" i="39"/>
  <c r="L210" i="39" s="1" a="1"/>
  <c r="L210" i="39" s="1"/>
  <c r="F211" i="39"/>
  <c r="V211" i="39" s="1" a="1"/>
  <c r="V211" i="39" s="1"/>
  <c r="F359" i="39"/>
  <c r="F213" i="39"/>
  <c r="F214" i="39"/>
  <c r="F215" i="39"/>
  <c r="F216" i="39"/>
  <c r="V216" i="39" s="1" a="1"/>
  <c r="V216" i="39" s="1"/>
  <c r="F420" i="39"/>
  <c r="F218" i="39"/>
  <c r="F219" i="39"/>
  <c r="F220" i="39"/>
  <c r="F405" i="39"/>
  <c r="F418" i="39"/>
  <c r="F516" i="39"/>
  <c r="F547" i="39"/>
  <c r="F225" i="39"/>
  <c r="F226" i="39"/>
  <c r="F227" i="39"/>
  <c r="F228" i="39"/>
  <c r="T228" i="39" s="1" a="1"/>
  <c r="T228" i="39" s="1"/>
  <c r="F294" i="39"/>
  <c r="F231" i="39"/>
  <c r="V231" i="39" s="1" a="1"/>
  <c r="V231" i="39" s="1"/>
  <c r="F232" i="39"/>
  <c r="F33" i="39"/>
  <c r="F234" i="39"/>
  <c r="F235" i="39"/>
  <c r="F236" i="39"/>
  <c r="N236" i="39" s="1" a="1"/>
  <c r="N236" i="39" s="1"/>
  <c r="X236" i="39" s="1"/>
  <c r="F71" i="39"/>
  <c r="F238" i="39"/>
  <c r="F239" i="39"/>
  <c r="L239" i="39" s="1" a="1"/>
  <c r="L239" i="39" s="1"/>
  <c r="F240" i="39"/>
  <c r="F155" i="39"/>
  <c r="F110" i="39"/>
  <c r="F244" i="39"/>
  <c r="F316" i="39"/>
  <c r="F245" i="39"/>
  <c r="F246" i="39"/>
  <c r="V246" i="39" s="1" a="1"/>
  <c r="V246" i="39" s="1"/>
  <c r="F247" i="39"/>
  <c r="F477" i="39"/>
  <c r="F250" i="39"/>
  <c r="F352" i="39"/>
  <c r="F252" i="39"/>
  <c r="F253" i="39"/>
  <c r="V253" i="39" s="1" a="1"/>
  <c r="V253" i="39" s="1"/>
  <c r="F449" i="39"/>
  <c r="V449" i="39" s="1" a="1"/>
  <c r="V449" i="39" s="1"/>
  <c r="F425" i="39"/>
  <c r="F255" i="39"/>
  <c r="F256" i="39"/>
  <c r="F436" i="39"/>
  <c r="F258" i="39"/>
  <c r="F568" i="39"/>
  <c r="F527" i="39"/>
  <c r="R527" i="39" s="1" a="1"/>
  <c r="R527" i="39" s="1"/>
  <c r="F261" i="39"/>
  <c r="V261" i="39" s="1" a="1"/>
  <c r="V261" i="39" s="1"/>
  <c r="F399" i="39"/>
  <c r="F156" i="39"/>
  <c r="F265" i="39"/>
  <c r="M265" i="39" s="1" a="1"/>
  <c r="M265" i="39" s="1"/>
  <c r="F20" i="39"/>
  <c r="F267" i="39"/>
  <c r="F269" i="39"/>
  <c r="V269" i="39" s="1" a="1"/>
  <c r="V269" i="39" s="1"/>
  <c r="F268" i="39"/>
  <c r="F83" i="39"/>
  <c r="F271" i="39"/>
  <c r="F272" i="39"/>
  <c r="F273" i="39"/>
  <c r="F158" i="39"/>
  <c r="F190" i="39"/>
  <c r="F341" i="39"/>
  <c r="F278" i="39"/>
  <c r="F279" i="39"/>
  <c r="F280" i="39"/>
  <c r="F281" i="39"/>
  <c r="F100" i="39"/>
  <c r="F537" i="39"/>
  <c r="F284" i="39"/>
  <c r="F363" i="39"/>
  <c r="F286" i="39"/>
  <c r="F287" i="39"/>
  <c r="V287" i="39" s="1" a="1"/>
  <c r="V287" i="39" s="1"/>
  <c r="F426" i="39"/>
  <c r="F290" i="39"/>
  <c r="F291" i="39"/>
  <c r="T291" i="39" s="1" a="1"/>
  <c r="T291" i="39" s="1"/>
  <c r="F292" i="39"/>
  <c r="F401" i="39"/>
  <c r="F409" i="39"/>
  <c r="F519" i="39"/>
  <c r="F553" i="39"/>
  <c r="F297" i="39"/>
  <c r="V297" i="39" s="1" a="1"/>
  <c r="V297" i="39" s="1"/>
  <c r="F298" i="39"/>
  <c r="V298" i="39" s="1" a="1"/>
  <c r="V298" i="39" s="1"/>
  <c r="F460" i="39"/>
  <c r="F301" i="39"/>
  <c r="V301" i="39" s="1" a="1"/>
  <c r="V301" i="39" s="1"/>
  <c r="F302" i="39"/>
  <c r="V302" i="39" s="1" a="1"/>
  <c r="V302" i="39" s="1"/>
  <c r="F351" i="39"/>
  <c r="F304" i="39"/>
  <c r="F305" i="39"/>
  <c r="F419" i="39"/>
  <c r="F307" i="39"/>
  <c r="F308" i="39"/>
  <c r="F309" i="39"/>
  <c r="F380" i="39"/>
  <c r="F453" i="39"/>
  <c r="F473" i="39"/>
  <c r="F557" i="39"/>
  <c r="F314" i="39"/>
  <c r="V314" i="39" s="1" a="1"/>
  <c r="V314" i="39" s="1"/>
  <c r="F315" i="39"/>
  <c r="V315" i="39" s="1" a="1"/>
  <c r="V315" i="39" s="1"/>
  <c r="F137" i="39"/>
  <c r="F318" i="39"/>
  <c r="F319" i="39"/>
  <c r="F45" i="39"/>
  <c r="F321" i="39"/>
  <c r="F322" i="39"/>
  <c r="F323" i="39"/>
  <c r="V323" i="39" s="1" a="1"/>
  <c r="V323" i="39" s="1"/>
  <c r="F170" i="39"/>
  <c r="F325" i="39"/>
  <c r="F326" i="39"/>
  <c r="V326" i="39" s="1" a="1"/>
  <c r="V326" i="39" s="1"/>
  <c r="F101" i="39"/>
  <c r="F208" i="39"/>
  <c r="F233" i="39"/>
  <c r="F310" i="39"/>
  <c r="F331" i="39"/>
  <c r="F332" i="39"/>
  <c r="V332" i="39" s="1" a="1"/>
  <c r="V332" i="39" s="1"/>
  <c r="F317" i="39"/>
  <c r="F335" i="39"/>
  <c r="F336" i="39"/>
  <c r="V336" i="39" s="1" a="1"/>
  <c r="V336" i="39" s="1"/>
  <c r="F24" i="39"/>
  <c r="F338" i="39"/>
  <c r="F339" i="39"/>
  <c r="F340" i="39"/>
  <c r="F119" i="39"/>
  <c r="F342" i="39"/>
  <c r="F343" i="39"/>
  <c r="F344" i="39"/>
  <c r="F89" i="39"/>
  <c r="F90" i="39"/>
  <c r="F270" i="39"/>
  <c r="F320" i="39"/>
  <c r="F349" i="39"/>
  <c r="F350" i="39"/>
  <c r="F274" i="39"/>
  <c r="F353" i="39"/>
  <c r="F354" i="39"/>
  <c r="F32" i="39"/>
  <c r="F357" i="39"/>
  <c r="F358" i="39"/>
  <c r="F356" i="39"/>
  <c r="F142" i="39"/>
  <c r="F360" i="39"/>
  <c r="F361" i="39"/>
  <c r="V361" i="39" s="1" a="1"/>
  <c r="V361" i="39" s="1"/>
  <c r="F84" i="39"/>
  <c r="F145" i="39"/>
  <c r="F209" i="39"/>
  <c r="F262" i="39"/>
  <c r="F366" i="39"/>
  <c r="F367" i="39"/>
  <c r="L367" i="39" s="1" a="1"/>
  <c r="L367" i="39" s="1"/>
  <c r="F368" i="39"/>
  <c r="N368" i="39" s="1" a="1"/>
  <c r="N368" i="39" s="1"/>
  <c r="X368" i="39" s="1"/>
  <c r="F500" i="39"/>
  <c r="F371" i="39"/>
  <c r="F372" i="39"/>
  <c r="F369" i="39"/>
  <c r="F374" i="39"/>
  <c r="F375" i="39"/>
  <c r="F376" i="39"/>
  <c r="V376" i="39" s="1" a="1"/>
  <c r="V376" i="39" s="1"/>
  <c r="F398" i="39"/>
  <c r="F378" i="39"/>
  <c r="F437" i="39"/>
  <c r="F417" i="39"/>
  <c r="F472" i="39"/>
  <c r="F566" i="39"/>
  <c r="F383" i="39"/>
  <c r="F384" i="39"/>
  <c r="F385" i="39"/>
  <c r="F212" i="39"/>
  <c r="L212" i="39" s="1" a="1"/>
  <c r="L212" i="39" s="1"/>
  <c r="F388" i="39"/>
  <c r="L388" i="39" s="1" a="1"/>
  <c r="L388" i="39" s="1"/>
  <c r="F389" i="39"/>
  <c r="F34" i="39"/>
  <c r="F391" i="39"/>
  <c r="F392" i="39"/>
  <c r="F393" i="39"/>
  <c r="F177" i="39"/>
  <c r="F397" i="39"/>
  <c r="F395" i="39"/>
  <c r="F396" i="39"/>
  <c r="F55" i="39"/>
  <c r="F70" i="39"/>
  <c r="F260" i="39"/>
  <c r="F296" i="39"/>
  <c r="F402" i="39"/>
  <c r="F403" i="39"/>
  <c r="L403" i="39" s="1" a="1"/>
  <c r="L403" i="39" s="1"/>
  <c r="F404" i="39"/>
  <c r="L404" i="39" s="1" a="1"/>
  <c r="L404" i="39" s="1"/>
  <c r="F58" i="39"/>
  <c r="L58" i="39" s="1" a="1"/>
  <c r="L58" i="39" s="1"/>
  <c r="F407" i="39"/>
  <c r="F408" i="39"/>
  <c r="N408" i="39" s="1" a="1"/>
  <c r="N408" i="39" s="1"/>
  <c r="X408" i="39" s="1"/>
  <c r="F411" i="39"/>
  <c r="F410" i="39"/>
  <c r="F10" i="39"/>
  <c r="F412" i="39"/>
  <c r="V412" i="39" s="1" a="1"/>
  <c r="V412" i="39" s="1"/>
  <c r="F127" i="39"/>
  <c r="F414" i="39"/>
  <c r="F415" i="39"/>
  <c r="L415" i="39" s="1" a="1"/>
  <c r="L415" i="39" s="1"/>
  <c r="F416" i="39"/>
  <c r="F103" i="39"/>
  <c r="F202" i="39"/>
  <c r="F283" i="39"/>
  <c r="F421" i="39"/>
  <c r="F422" i="39"/>
  <c r="F423" i="39"/>
  <c r="V423" i="39" s="1" a="1"/>
  <c r="V423" i="39" s="1"/>
  <c r="F424" i="39"/>
  <c r="F37" i="39"/>
  <c r="F223" i="39"/>
  <c r="F427" i="39"/>
  <c r="V427" i="39" s="1" a="1"/>
  <c r="V427" i="39" s="1"/>
  <c r="F6" i="39"/>
  <c r="F429" i="39"/>
  <c r="F430" i="39"/>
  <c r="F431" i="39"/>
  <c r="F124" i="39"/>
  <c r="F433" i="39"/>
  <c r="F434" i="39"/>
  <c r="V434" i="39" s="1" a="1"/>
  <c r="V434" i="39" s="1"/>
  <c r="F435" i="39"/>
  <c r="F143" i="39"/>
  <c r="F77" i="39"/>
  <c r="F275" i="39"/>
  <c r="F346" i="39"/>
  <c r="F440" i="39"/>
  <c r="F441" i="39"/>
  <c r="F474" i="39"/>
  <c r="L474" i="39" s="1" a="1"/>
  <c r="L474" i="39" s="1"/>
  <c r="F444" i="39"/>
  <c r="F445" i="39"/>
  <c r="F355" i="39"/>
  <c r="F447" i="39"/>
  <c r="F448" i="39"/>
  <c r="F390" i="39"/>
  <c r="F451" i="39"/>
  <c r="F452" i="39"/>
  <c r="V452" i="39" s="1" a="1"/>
  <c r="V452" i="39" s="1"/>
  <c r="F438" i="39"/>
  <c r="F387" i="39"/>
  <c r="F495" i="39"/>
  <c r="F530" i="39"/>
  <c r="F457" i="39"/>
  <c r="F458" i="39"/>
  <c r="F491" i="39"/>
  <c r="F461" i="39"/>
  <c r="L461" i="39" s="1" a="1"/>
  <c r="L461" i="39" s="1"/>
  <c r="F462" i="39"/>
  <c r="F463" i="39"/>
  <c r="F365" i="39"/>
  <c r="F465" i="39"/>
  <c r="F466" i="39"/>
  <c r="F468" i="39"/>
  <c r="F400" i="39"/>
  <c r="F469" i="39"/>
  <c r="F470" i="39"/>
  <c r="V470" i="39" s="1" a="1"/>
  <c r="V470" i="39" s="1"/>
  <c r="F439" i="39"/>
  <c r="F406" i="39"/>
  <c r="F488" i="39"/>
  <c r="F548" i="39"/>
  <c r="F475" i="39"/>
  <c r="F237" i="39"/>
  <c r="F478" i="39"/>
  <c r="V478" i="39" s="1" a="1"/>
  <c r="V478" i="39" s="1"/>
  <c r="F479" i="39"/>
  <c r="F14" i="39"/>
  <c r="F481" i="39"/>
  <c r="F482" i="39"/>
  <c r="F483" i="39"/>
  <c r="F67" i="39"/>
  <c r="F485" i="39"/>
  <c r="F486" i="39"/>
  <c r="F487" i="39"/>
  <c r="F149" i="39"/>
  <c r="F65" i="39"/>
  <c r="F257" i="39"/>
  <c r="F277" i="39"/>
  <c r="F492" i="39"/>
  <c r="V492" i="39" s="1" a="1"/>
  <c r="V492" i="39" s="1"/>
  <c r="F493" i="39"/>
  <c r="V493" i="39" s="1" a="1"/>
  <c r="V493" i="39" s="1"/>
  <c r="F494" i="39"/>
  <c r="F456" i="39"/>
  <c r="F497" i="39"/>
  <c r="F498" i="39"/>
  <c r="F499" i="39"/>
  <c r="F382" i="39"/>
  <c r="F501" i="39"/>
  <c r="F502" i="39"/>
  <c r="F503" i="39"/>
  <c r="M503" i="39" s="1" a="1"/>
  <c r="M503" i="39" s="1"/>
  <c r="F505" i="39"/>
  <c r="F506" i="39"/>
  <c r="F443" i="39"/>
  <c r="F413" i="39"/>
  <c r="F454" i="39"/>
  <c r="F450" i="39"/>
  <c r="F554" i="39"/>
  <c r="F511" i="39"/>
  <c r="F512" i="39"/>
  <c r="V512" i="39" s="1" a="1"/>
  <c r="V512" i="39" s="1"/>
  <c r="F513" i="39"/>
  <c r="F514" i="39"/>
  <c r="F515" i="39"/>
  <c r="F191" i="39"/>
  <c r="F518" i="39"/>
  <c r="M518" i="39" s="1" a="1"/>
  <c r="M518" i="39" s="1"/>
  <c r="F3" i="39"/>
  <c r="F520" i="39"/>
  <c r="F521" i="39"/>
  <c r="V521" i="39" s="1" a="1"/>
  <c r="V521" i="39" s="1"/>
  <c r="F522" i="39"/>
  <c r="F64" i="39"/>
  <c r="F524" i="39"/>
  <c r="F525" i="39"/>
  <c r="N525" i="39" s="1" a="1"/>
  <c r="N525" i="39" s="1"/>
  <c r="X525" i="39" s="1"/>
  <c r="F526" i="39"/>
  <c r="F285" i="39"/>
  <c r="F131" i="39"/>
  <c r="F347" i="39"/>
  <c r="F531" i="39"/>
  <c r="F532" i="39"/>
  <c r="V532" i="39" s="1" a="1"/>
  <c r="V532" i="39" s="1"/>
  <c r="F533" i="39"/>
  <c r="F534" i="39"/>
  <c r="F535" i="39"/>
  <c r="F61" i="39"/>
  <c r="F224" i="39"/>
  <c r="F538" i="39"/>
  <c r="F539" i="39"/>
  <c r="F15" i="39"/>
  <c r="F541" i="39"/>
  <c r="F542" i="39"/>
  <c r="F543" i="39"/>
  <c r="V543" i="39" s="1" a="1"/>
  <c r="V543" i="39" s="1"/>
  <c r="F73" i="39"/>
  <c r="F545" i="39"/>
  <c r="F546" i="39"/>
  <c r="F113" i="39"/>
  <c r="F106" i="39"/>
  <c r="F327" i="39"/>
  <c r="F312" i="39"/>
  <c r="F551" i="39"/>
  <c r="F552" i="39"/>
  <c r="F159" i="39"/>
  <c r="F555" i="39"/>
  <c r="F556" i="39"/>
  <c r="V556" i="39" s="1" a="1"/>
  <c r="V556" i="39" s="1"/>
  <c r="F38" i="39"/>
  <c r="F558" i="39"/>
  <c r="F559" i="39"/>
  <c r="F560" i="39"/>
  <c r="F193" i="39"/>
  <c r="F562" i="39"/>
  <c r="F563" i="39"/>
  <c r="F564" i="39"/>
  <c r="F135" i="39"/>
  <c r="F171" i="39"/>
  <c r="F570" i="39"/>
  <c r="F329" i="39"/>
  <c r="F569" i="39"/>
  <c r="F259" i="39"/>
  <c r="AI403" i="1"/>
  <c r="AJ403" i="1"/>
  <c r="AI293" i="1"/>
  <c r="AJ293" i="1"/>
  <c r="AI73" i="1"/>
  <c r="AJ73" i="1"/>
  <c r="AI469" i="1"/>
  <c r="AJ469" i="1"/>
  <c r="AI425" i="1"/>
  <c r="AJ425" i="1"/>
  <c r="AI95" i="1"/>
  <c r="AJ95" i="1"/>
  <c r="AI139" i="1"/>
  <c r="AJ139" i="1"/>
  <c r="AI227" i="1"/>
  <c r="AJ227" i="1"/>
  <c r="AI205" i="1"/>
  <c r="AJ205" i="1"/>
  <c r="AI557" i="1"/>
  <c r="AJ557" i="1"/>
  <c r="AI513" i="1"/>
  <c r="AJ513" i="1"/>
  <c r="AI491" i="1"/>
  <c r="AJ491" i="1"/>
  <c r="AI535" i="1"/>
  <c r="AJ535" i="1"/>
  <c r="AI183" i="1"/>
  <c r="AJ183" i="1"/>
  <c r="AI161" i="1"/>
  <c r="AJ161" i="1"/>
  <c r="AI447" i="1"/>
  <c r="AJ447" i="1"/>
  <c r="AI623" i="1"/>
  <c r="AJ623" i="1"/>
  <c r="AI381" i="1"/>
  <c r="AJ381" i="1"/>
  <c r="AI271" i="1"/>
  <c r="AJ271" i="1"/>
  <c r="AI51" i="1"/>
  <c r="AJ51" i="1"/>
  <c r="AI359" i="1"/>
  <c r="AJ359" i="1"/>
  <c r="AI689" i="1"/>
  <c r="AJ689" i="1"/>
  <c r="AI645" i="1"/>
  <c r="AJ645" i="1"/>
  <c r="AI601" i="1"/>
  <c r="AJ601" i="1"/>
  <c r="AI667" i="1"/>
  <c r="AJ667" i="1"/>
  <c r="AI7" i="1"/>
  <c r="AJ7" i="1"/>
  <c r="F81" i="40"/>
  <c r="F80" i="40"/>
  <c r="F10" i="40"/>
  <c r="F9" i="40"/>
  <c r="F49" i="40"/>
  <c r="F31" i="40"/>
  <c r="F48" i="40"/>
  <c r="F2" i="40"/>
  <c r="F42" i="40"/>
  <c r="F16" i="40"/>
  <c r="F7" i="40"/>
  <c r="F3" i="40"/>
  <c r="G5" i="39" a="1"/>
  <c r="G5" i="39" s="1"/>
  <c r="G9" i="39" a="1"/>
  <c r="G9" i="39" s="1"/>
  <c r="G7" i="39" a="1"/>
  <c r="G7" i="39" s="1"/>
  <c r="G49" i="39" a="1"/>
  <c r="G49" i="39" s="1"/>
  <c r="G8" i="39" a="1"/>
  <c r="G8" i="39" s="1"/>
  <c r="G82" i="39" a="1"/>
  <c r="G82" i="39" s="1"/>
  <c r="G11" i="39" a="1"/>
  <c r="G11" i="39" s="1"/>
  <c r="G12" i="39" a="1"/>
  <c r="G12" i="39" s="1"/>
  <c r="G13" i="39" a="1"/>
  <c r="G13" i="39" s="1"/>
  <c r="G51" i="39" a="1"/>
  <c r="G51" i="39" s="1"/>
  <c r="G153" i="39" a="1"/>
  <c r="G153" i="39" s="1"/>
  <c r="G263" i="39" a="1"/>
  <c r="G263" i="39" s="1"/>
  <c r="G289" i="39" a="1"/>
  <c r="G289" i="39" s="1"/>
  <c r="G18" i="39" a="1"/>
  <c r="G18" i="39" s="1"/>
  <c r="G19" i="39" a="1"/>
  <c r="G19" i="39" s="1"/>
  <c r="G22" i="39" a="1"/>
  <c r="G22" i="39" s="1"/>
  <c r="G23" i="39" a="1"/>
  <c r="G23" i="39" s="1"/>
  <c r="G17" i="39" a="1"/>
  <c r="G17" i="39" s="1"/>
  <c r="G25" i="39" a="1"/>
  <c r="G25" i="39" s="1"/>
  <c r="G26" i="39" a="1"/>
  <c r="G26" i="39" s="1"/>
  <c r="G181" i="39" a="1"/>
  <c r="G181" i="39" s="1"/>
  <c r="G28" i="39" a="1"/>
  <c r="G28" i="39" s="1"/>
  <c r="G29" i="39" a="1"/>
  <c r="G29" i="39" s="1"/>
  <c r="G30" i="39" a="1"/>
  <c r="G30" i="39" s="1"/>
  <c r="G102" i="39" a="1"/>
  <c r="G102" i="39" s="1"/>
  <c r="G93" i="39" a="1"/>
  <c r="G93" i="39" s="1"/>
  <c r="G241" i="39" a="1"/>
  <c r="G241" i="39" s="1"/>
  <c r="G348" i="39" a="1"/>
  <c r="G348" i="39" s="1"/>
  <c r="G35" i="39" a="1"/>
  <c r="G35" i="39" s="1"/>
  <c r="G36" i="39" a="1"/>
  <c r="G36" i="39" s="1"/>
  <c r="G39" i="39" a="1"/>
  <c r="G39" i="39" s="1"/>
  <c r="G50" i="39" a="1"/>
  <c r="G50" i="39" s="1"/>
  <c r="G41" i="39" a="1"/>
  <c r="G41" i="39" s="1"/>
  <c r="G42" i="39" a="1"/>
  <c r="G42" i="39" s="1"/>
  <c r="G43" i="39" a="1"/>
  <c r="G43" i="39" s="1"/>
  <c r="G44" i="39" a="1"/>
  <c r="G44" i="39" s="1"/>
  <c r="G56" i="39" a="1"/>
  <c r="G56" i="39" s="1"/>
  <c r="G46" i="39" a="1"/>
  <c r="G46" i="39" s="1"/>
  <c r="G47" i="39" a="1"/>
  <c r="G47" i="39" s="1"/>
  <c r="G120" i="39" a="1"/>
  <c r="G120" i="39" s="1"/>
  <c r="G172" i="39" a="1"/>
  <c r="G172" i="39" s="1"/>
  <c r="G221" i="39" a="1"/>
  <c r="G221" i="39" s="1"/>
  <c r="G264" i="39" a="1"/>
  <c r="G264" i="39" s="1"/>
  <c r="G52" i="39" a="1"/>
  <c r="G52" i="39" s="1"/>
  <c r="G53" i="39" a="1"/>
  <c r="G53" i="39" s="1"/>
  <c r="G54" i="39" a="1"/>
  <c r="G54" i="39" s="1"/>
  <c r="G57" i="39" a="1"/>
  <c r="G57" i="39" s="1"/>
  <c r="G364" i="39" a="1"/>
  <c r="G364" i="39" s="1"/>
  <c r="G59" i="39" a="1"/>
  <c r="G59" i="39" s="1"/>
  <c r="G60" i="39" a="1"/>
  <c r="G60" i="39" s="1"/>
  <c r="G432" i="39" a="1"/>
  <c r="G432" i="39" s="1"/>
  <c r="G62" i="39" a="1"/>
  <c r="G62" i="39" s="1"/>
  <c r="G63" i="39" a="1"/>
  <c r="G63" i="39" s="1"/>
  <c r="G471" i="39" a="1"/>
  <c r="G471" i="39" s="1"/>
  <c r="G455" i="39" a="1"/>
  <c r="G455" i="39" s="1"/>
  <c r="G509" i="39" a="1"/>
  <c r="G509" i="39" s="1"/>
  <c r="G549" i="39" a="1"/>
  <c r="G549" i="39" s="1"/>
  <c r="G68" i="39" a="1"/>
  <c r="G68" i="39" s="1"/>
  <c r="G69" i="39" a="1"/>
  <c r="G69" i="39" s="1"/>
  <c r="G72" i="39" a="1"/>
  <c r="G72" i="39" s="1"/>
  <c r="G74" i="39" a="1"/>
  <c r="G74" i="39" s="1"/>
  <c r="G373" i="39" a="1"/>
  <c r="G373" i="39" s="1"/>
  <c r="G75" i="39" a="1"/>
  <c r="G75" i="39" s="1"/>
  <c r="G76" i="39" a="1"/>
  <c r="G76" i="39" s="1"/>
  <c r="G394" i="39" a="1"/>
  <c r="G394" i="39" s="1"/>
  <c r="G78" i="39" a="1"/>
  <c r="G78" i="39" s="1"/>
  <c r="G79" i="39" a="1"/>
  <c r="G79" i="39" s="1"/>
  <c r="G80" i="39" a="1"/>
  <c r="G80" i="39" s="1"/>
  <c r="G377" i="39" a="1"/>
  <c r="G377" i="39" s="1"/>
  <c r="G446" i="39" a="1"/>
  <c r="G446" i="39" s="1"/>
  <c r="G517" i="39" a="1"/>
  <c r="G517" i="39" s="1"/>
  <c r="G508" i="39" a="1"/>
  <c r="G508" i="39" s="1"/>
  <c r="G85" i="39" a="1"/>
  <c r="G85" i="39" s="1"/>
  <c r="G86" i="39" a="1"/>
  <c r="G86" i="39" s="1"/>
  <c r="G87" i="39" a="1"/>
  <c r="G87" i="39" s="1"/>
  <c r="G88" i="39" a="1"/>
  <c r="G88" i="39" s="1"/>
  <c r="G91" i="39" a="1"/>
  <c r="G91" i="39" s="1"/>
  <c r="G92" i="39" a="1"/>
  <c r="G92" i="39" s="1"/>
  <c r="G370" i="39" a="1"/>
  <c r="G370" i="39" s="1"/>
  <c r="G94" i="39" a="1"/>
  <c r="G94" i="39" s="1"/>
  <c r="G95" i="39" a="1"/>
  <c r="G95" i="39" s="1"/>
  <c r="G96" i="39" a="1"/>
  <c r="G96" i="39" s="1"/>
  <c r="G98" i="39" a="1"/>
  <c r="G98" i="39" s="1"/>
  <c r="G386" i="39" a="1"/>
  <c r="G386" i="39" s="1"/>
  <c r="G99" i="39" a="1"/>
  <c r="G99" i="39" s="1"/>
  <c r="G381" i="39" a="1"/>
  <c r="G381" i="39" s="1"/>
  <c r="G442" i="39" a="1"/>
  <c r="G442" i="39" s="1"/>
  <c r="G523" i="39" a="1"/>
  <c r="G523" i="39" s="1"/>
  <c r="G510" i="39" a="1"/>
  <c r="G510" i="39" s="1"/>
  <c r="G104" i="39" a="1"/>
  <c r="G104" i="39" s="1"/>
  <c r="G105" i="39" a="1"/>
  <c r="G105" i="39" s="1"/>
  <c r="G108" i="39" a="1"/>
  <c r="G108" i="39" s="1"/>
  <c r="G27" i="39" a="1"/>
  <c r="G27" i="39" s="1"/>
  <c r="G111" i="39" a="1"/>
  <c r="G111" i="39" s="1"/>
  <c r="G112" i="39" a="1"/>
  <c r="G112" i="39" s="1"/>
  <c r="G97" i="39" a="1"/>
  <c r="G97" i="39" s="1"/>
  <c r="G114" i="39" a="1"/>
  <c r="G114" i="39" s="1"/>
  <c r="G115" i="39" a="1"/>
  <c r="G115" i="39" s="1"/>
  <c r="G116" i="39" a="1"/>
  <c r="G116" i="39" s="1"/>
  <c r="G81" i="39" a="1"/>
  <c r="G81" i="39" s="1"/>
  <c r="G134" i="39" a="1"/>
  <c r="G134" i="39" s="1"/>
  <c r="G197" i="39" a="1"/>
  <c r="G197" i="39" s="1"/>
  <c r="G249" i="39" a="1"/>
  <c r="G249" i="39" s="1"/>
  <c r="G121" i="39" a="1"/>
  <c r="G121" i="39" s="1"/>
  <c r="G122" i="39" a="1"/>
  <c r="G122" i="39" s="1"/>
  <c r="G125" i="39" a="1"/>
  <c r="G125" i="39" s="1"/>
  <c r="G126" i="39" a="1"/>
  <c r="G126" i="39" s="1"/>
  <c r="G4" i="39" a="1"/>
  <c r="G4" i="39" s="1"/>
  <c r="G128" i="39" a="1"/>
  <c r="G128" i="39" s="1"/>
  <c r="G129" i="39" a="1"/>
  <c r="G129" i="39" s="1"/>
  <c r="G130" i="39" a="1"/>
  <c r="G130" i="39" s="1"/>
  <c r="G31" i="39" a="1"/>
  <c r="G31" i="39" s="1"/>
  <c r="G132" i="39" a="1"/>
  <c r="G132" i="39" s="1"/>
  <c r="G133" i="39" a="1"/>
  <c r="G133" i="39" s="1"/>
  <c r="G123" i="39" a="1"/>
  <c r="G123" i="39" s="1"/>
  <c r="G174" i="39" a="1"/>
  <c r="G174" i="39" s="1"/>
  <c r="G188" i="39" a="1"/>
  <c r="G188" i="39" s="1"/>
  <c r="G337" i="39" a="1"/>
  <c r="G337" i="39" s="1"/>
  <c r="G138" i="39" a="1"/>
  <c r="G138" i="39" s="1"/>
  <c r="G139" i="39" a="1"/>
  <c r="G139" i="39" s="1"/>
  <c r="G140" i="39" a="1"/>
  <c r="G140" i="39" s="1"/>
  <c r="G141" i="39" a="1"/>
  <c r="G141" i="39" s="1"/>
  <c r="G144" i="39" a="1"/>
  <c r="G144" i="39" s="1"/>
  <c r="G16" i="39" a="1"/>
  <c r="G16" i="39" s="1"/>
  <c r="G147" i="39" a="1"/>
  <c r="G147" i="39" s="1"/>
  <c r="G146" i="39" a="1"/>
  <c r="G146" i="39" s="1"/>
  <c r="G148" i="39" a="1"/>
  <c r="G148" i="39" s="1"/>
  <c r="G165" i="39" a="1"/>
  <c r="G165" i="39" s="1"/>
  <c r="G150" i="39" a="1"/>
  <c r="G150" i="39" s="1"/>
  <c r="G151" i="39" a="1"/>
  <c r="G151" i="39" s="1"/>
  <c r="G152" i="39" a="1"/>
  <c r="G152" i="39" s="1"/>
  <c r="G66" i="39" a="1"/>
  <c r="G66" i="39" s="1"/>
  <c r="G293" i="39" a="1"/>
  <c r="G293" i="39" s="1"/>
  <c r="G266" i="39" a="1"/>
  <c r="G266" i="39" s="1"/>
  <c r="G157" i="39" a="1"/>
  <c r="G157" i="39" s="1"/>
  <c r="G107" i="39" a="1"/>
  <c r="G107" i="39" s="1"/>
  <c r="G160" i="39" a="1"/>
  <c r="G160" i="39" s="1"/>
  <c r="G40" i="39" a="1"/>
  <c r="G40" i="39" s="1"/>
  <c r="G162" i="39" a="1"/>
  <c r="G162" i="39" s="1"/>
  <c r="G163" i="39" a="1"/>
  <c r="G163" i="39" s="1"/>
  <c r="G164" i="39" a="1"/>
  <c r="G164" i="39" s="1"/>
  <c r="G185" i="39" a="1"/>
  <c r="G185" i="39" s="1"/>
  <c r="G166" i="39" a="1"/>
  <c r="G166" i="39" s="1"/>
  <c r="G167" i="39" a="1"/>
  <c r="G167" i="39" s="1"/>
  <c r="G168" i="39" a="1"/>
  <c r="G168" i="39" s="1"/>
  <c r="G117" i="39" a="1"/>
  <c r="G117" i="39" s="1"/>
  <c r="G154" i="39" a="1"/>
  <c r="G154" i="39" s="1"/>
  <c r="G251" i="39" a="1"/>
  <c r="G251" i="39" s="1"/>
  <c r="G333" i="39" a="1"/>
  <c r="G333" i="39" s="1"/>
  <c r="G173" i="39" a="1"/>
  <c r="G173" i="39" s="1"/>
  <c r="G176" i="39" a="1"/>
  <c r="G176" i="39" s="1"/>
  <c r="G21" i="39" a="1"/>
  <c r="G21" i="39" s="1"/>
  <c r="G178" i="39" a="1"/>
  <c r="G178" i="39" s="1"/>
  <c r="G179" i="39" a="1"/>
  <c r="G179" i="39" s="1"/>
  <c r="G180" i="39" a="1"/>
  <c r="G180" i="39" s="1"/>
  <c r="G118" i="39" a="1"/>
  <c r="G118" i="39" s="1"/>
  <c r="G182" i="39" a="1"/>
  <c r="G182" i="39" s="1"/>
  <c r="G183" i="39" a="1"/>
  <c r="G183" i="39" s="1"/>
  <c r="G184" i="39" a="1"/>
  <c r="G184" i="39" s="1"/>
  <c r="G48" i="39" a="1"/>
  <c r="G48" i="39" s="1"/>
  <c r="G186" i="39" a="1"/>
  <c r="G186" i="39" s="1"/>
  <c r="G243" i="39" a="1"/>
  <c r="G243" i="39" s="1"/>
  <c r="G303" i="39" a="1"/>
  <c r="G303" i="39" s="1"/>
  <c r="G189" i="39" a="1"/>
  <c r="G189" i="39" s="1"/>
  <c r="G192" i="39" a="1"/>
  <c r="G192" i="39" s="1"/>
  <c r="G362" i="39" a="1"/>
  <c r="G362" i="39" s="1"/>
  <c r="G194" i="39" a="1"/>
  <c r="G194" i="39" s="1"/>
  <c r="G195" i="39" a="1"/>
  <c r="G195" i="39" s="1"/>
  <c r="G196" i="39" a="1"/>
  <c r="G196" i="39" s="1"/>
  <c r="G428" i="39" a="1"/>
  <c r="G428" i="39" s="1"/>
  <c r="G198" i="39" a="1"/>
  <c r="G198" i="39" s="1"/>
  <c r="G199" i="39" a="1"/>
  <c r="G199" i="39" s="1"/>
  <c r="G200" i="39" a="1"/>
  <c r="G200" i="39" s="1"/>
  <c r="G379" i="39" a="1"/>
  <c r="G379" i="39" s="1"/>
  <c r="G459" i="39" a="1"/>
  <c r="G459" i="39" s="1"/>
  <c r="G550" i="39" a="1"/>
  <c r="G550" i="39" s="1"/>
  <c r="G205" i="39" a="1"/>
  <c r="G205" i="39" s="1"/>
  <c r="G206" i="39" a="1"/>
  <c r="G206" i="39" s="1"/>
  <c r="G484" i="39" a="1"/>
  <c r="G484" i="39" s="1"/>
  <c r="G207" i="39" a="1"/>
  <c r="G207" i="39" s="1"/>
  <c r="G210" i="39" a="1"/>
  <c r="G210" i="39" s="1"/>
  <c r="G211" i="39" a="1"/>
  <c r="G211" i="39" s="1"/>
  <c r="G359" i="39" a="1"/>
  <c r="G359" i="39" s="1"/>
  <c r="G213" i="39" a="1"/>
  <c r="G213" i="39" s="1"/>
  <c r="G214" i="39" a="1"/>
  <c r="G214" i="39" s="1"/>
  <c r="G215" i="39" a="1"/>
  <c r="G215" i="39" s="1"/>
  <c r="G216" i="39" a="1"/>
  <c r="G216" i="39" s="1"/>
  <c r="G420" i="39" a="1"/>
  <c r="G420" i="39" s="1"/>
  <c r="G218" i="39" a="1"/>
  <c r="G218" i="39" s="1"/>
  <c r="G219" i="39" a="1"/>
  <c r="G219" i="39" s="1"/>
  <c r="G220" i="39" a="1"/>
  <c r="G220" i="39" s="1"/>
  <c r="G405" i="39" a="1"/>
  <c r="G405" i="39" s="1"/>
  <c r="G418" i="39" a="1"/>
  <c r="G418" i="39" s="1"/>
  <c r="G516" i="39" a="1"/>
  <c r="G516" i="39" s="1"/>
  <c r="G547" i="39" a="1"/>
  <c r="G547" i="39" s="1"/>
  <c r="G225" i="39" a="1"/>
  <c r="G225" i="39" s="1"/>
  <c r="G226" i="39" a="1"/>
  <c r="G226" i="39" s="1"/>
  <c r="G227" i="39" a="1"/>
  <c r="G227" i="39" s="1"/>
  <c r="G228" i="39" a="1"/>
  <c r="G228" i="39" s="1"/>
  <c r="G231" i="39" a="1"/>
  <c r="G231" i="39" s="1"/>
  <c r="G232" i="39" a="1"/>
  <c r="G232" i="39" s="1"/>
  <c r="G33" i="39" a="1"/>
  <c r="G33" i="39" s="1"/>
  <c r="G234" i="39" a="1"/>
  <c r="G234" i="39" s="1"/>
  <c r="G235" i="39" a="1"/>
  <c r="G235" i="39" s="1"/>
  <c r="G236" i="39" a="1"/>
  <c r="G236" i="39" s="1"/>
  <c r="G71" i="39" a="1"/>
  <c r="G71" i="39" s="1"/>
  <c r="G238" i="39" a="1"/>
  <c r="G238" i="39" s="1"/>
  <c r="G239" i="39" a="1"/>
  <c r="G239" i="39" s="1"/>
  <c r="G240" i="39" a="1"/>
  <c r="G240" i="39" s="1"/>
  <c r="G155" i="39" a="1"/>
  <c r="G155" i="39" s="1"/>
  <c r="G110" i="39" a="1"/>
  <c r="G110" i="39" s="1"/>
  <c r="G244" i="39" a="1"/>
  <c r="G244" i="39" s="1"/>
  <c r="G316" i="39" a="1"/>
  <c r="G316" i="39" s="1"/>
  <c r="G245" i="39" a="1"/>
  <c r="G245" i="39" s="1"/>
  <c r="G246" i="39" a="1"/>
  <c r="G246" i="39" s="1"/>
  <c r="G247" i="39" a="1"/>
  <c r="G247" i="39" s="1"/>
  <c r="G250" i="39" a="1"/>
  <c r="G250" i="39" s="1"/>
  <c r="G352" i="39" a="1"/>
  <c r="G352" i="39" s="1"/>
  <c r="G252" i="39" a="1"/>
  <c r="G252" i="39" s="1"/>
  <c r="G253" i="39" a="1"/>
  <c r="G253" i="39" s="1"/>
  <c r="G449" i="39" a="1"/>
  <c r="G449" i="39" s="1"/>
  <c r="G425" i="39" a="1"/>
  <c r="G425" i="39" s="1"/>
  <c r="G255" i="39" a="1"/>
  <c r="G255" i="39" s="1"/>
  <c r="G256" i="39" a="1"/>
  <c r="G256" i="39" s="1"/>
  <c r="G436" i="39" a="1"/>
  <c r="G436" i="39" s="1"/>
  <c r="G258" i="39" a="1"/>
  <c r="G258" i="39" s="1"/>
  <c r="G568" i="39" a="1"/>
  <c r="G568" i="39" s="1"/>
  <c r="G527" i="39" a="1"/>
  <c r="G527" i="39" s="1"/>
  <c r="G261" i="39" a="1"/>
  <c r="G261" i="39" s="1"/>
  <c r="G399" i="39" a="1"/>
  <c r="G399" i="39" s="1"/>
  <c r="G265" i="39" a="1"/>
  <c r="G265" i="39" s="1"/>
  <c r="G20" i="39" a="1"/>
  <c r="G20" i="39" s="1"/>
  <c r="G267" i="39" a="1"/>
  <c r="G267" i="39" s="1"/>
  <c r="G269" i="39" a="1"/>
  <c r="G269" i="39" s="1"/>
  <c r="G268" i="39" a="1"/>
  <c r="G268" i="39" s="1"/>
  <c r="G83" i="39" a="1"/>
  <c r="G83" i="39" s="1"/>
  <c r="G271" i="39" a="1"/>
  <c r="G271" i="39" s="1"/>
  <c r="G272" i="39" a="1"/>
  <c r="G272" i="39" s="1"/>
  <c r="G273" i="39" a="1"/>
  <c r="G273" i="39" s="1"/>
  <c r="G158" i="39" a="1"/>
  <c r="G158" i="39" s="1"/>
  <c r="G190" i="39" a="1"/>
  <c r="G190" i="39" s="1"/>
  <c r="G341" i="39" a="1"/>
  <c r="G341" i="39" s="1"/>
  <c r="G278" i="39" a="1"/>
  <c r="G278" i="39" s="1"/>
  <c r="G279" i="39" a="1"/>
  <c r="G279" i="39" s="1"/>
  <c r="G280" i="39" a="1"/>
  <c r="G280" i="39" s="1"/>
  <c r="G281" i="39" a="1"/>
  <c r="G281" i="39" s="1"/>
  <c r="G100" i="39" a="1"/>
  <c r="G100" i="39" s="1"/>
  <c r="G284" i="39" a="1"/>
  <c r="G284" i="39" s="1"/>
  <c r="G363" i="39" a="1"/>
  <c r="G363" i="39" s="1"/>
  <c r="G286" i="39" a="1"/>
  <c r="G286" i="39" s="1"/>
  <c r="G287" i="39" a="1"/>
  <c r="G287" i="39" s="1"/>
  <c r="G426" i="39" a="1"/>
  <c r="G426" i="39" s="1"/>
  <c r="G290" i="39" a="1"/>
  <c r="G290" i="39" s="1"/>
  <c r="G291" i="39" a="1"/>
  <c r="G291" i="39" s="1"/>
  <c r="G292" i="39" a="1"/>
  <c r="G292" i="39" s="1"/>
  <c r="G401" i="39" a="1"/>
  <c r="G401" i="39" s="1"/>
  <c r="G409" i="39" a="1"/>
  <c r="G409" i="39" s="1"/>
  <c r="G519" i="39" a="1"/>
  <c r="G519" i="39" s="1"/>
  <c r="G553" i="39" a="1"/>
  <c r="G553" i="39" s="1"/>
  <c r="G297" i="39" a="1"/>
  <c r="G297" i="39" s="1"/>
  <c r="G298" i="39" a="1"/>
  <c r="G298" i="39" s="1"/>
  <c r="G301" i="39" a="1"/>
  <c r="G301" i="39" s="1"/>
  <c r="G302" i="39" a="1"/>
  <c r="G302" i="39" s="1"/>
  <c r="G351" i="39" a="1"/>
  <c r="G351" i="39" s="1"/>
  <c r="G304" i="39" a="1"/>
  <c r="G304" i="39" s="1"/>
  <c r="G305" i="39" a="1"/>
  <c r="G305" i="39" s="1"/>
  <c r="G419" i="39" a="1"/>
  <c r="G419" i="39" s="1"/>
  <c r="G307" i="39" a="1"/>
  <c r="G307" i="39" s="1"/>
  <c r="G308" i="39" a="1"/>
  <c r="G308" i="39" s="1"/>
  <c r="G309" i="39" a="1"/>
  <c r="G309" i="39" s="1"/>
  <c r="G380" i="39" a="1"/>
  <c r="G380" i="39" s="1"/>
  <c r="G453" i="39" a="1"/>
  <c r="G453" i="39" s="1"/>
  <c r="G473" i="39" a="1"/>
  <c r="G473" i="39" s="1"/>
  <c r="G557" i="39" a="1"/>
  <c r="G557" i="39" s="1"/>
  <c r="G314" i="39" a="1"/>
  <c r="G314" i="39" s="1"/>
  <c r="G315" i="39" a="1"/>
  <c r="G315" i="39" s="1"/>
  <c r="G318" i="39" a="1"/>
  <c r="G318" i="39" s="1"/>
  <c r="G319" i="39" a="1"/>
  <c r="G319" i="39" s="1"/>
  <c r="G45" i="39" a="1"/>
  <c r="G45" i="39" s="1"/>
  <c r="G321" i="39" a="1"/>
  <c r="G321" i="39" s="1"/>
  <c r="G322" i="39" a="1"/>
  <c r="G322" i="39" s="1"/>
  <c r="G323" i="39" a="1"/>
  <c r="G323" i="39" s="1"/>
  <c r="G170" i="39" a="1"/>
  <c r="G170" i="39" s="1"/>
  <c r="G325" i="39" a="1"/>
  <c r="G325" i="39" s="1"/>
  <c r="G326" i="39" a="1"/>
  <c r="G326" i="39" s="1"/>
  <c r="G101" i="39" a="1"/>
  <c r="G101" i="39" s="1"/>
  <c r="G208" i="39" a="1"/>
  <c r="G208" i="39" s="1"/>
  <c r="G233" i="39" a="1"/>
  <c r="G233" i="39" s="1"/>
  <c r="G310" i="39" a="1"/>
  <c r="G310" i="39" s="1"/>
  <c r="G331" i="39" a="1"/>
  <c r="G331" i="39" s="1"/>
  <c r="G332" i="39" a="1"/>
  <c r="G332" i="39" s="1"/>
  <c r="G335" i="39" a="1"/>
  <c r="G335" i="39" s="1"/>
  <c r="G336" i="39" a="1"/>
  <c r="G336" i="39" s="1"/>
  <c r="G24" i="39" a="1"/>
  <c r="G24" i="39" s="1"/>
  <c r="G338" i="39" a="1"/>
  <c r="G338" i="39" s="1"/>
  <c r="G339" i="39" a="1"/>
  <c r="G339" i="39" s="1"/>
  <c r="G340" i="39" a="1"/>
  <c r="G340" i="39" s="1"/>
  <c r="G119" i="39" a="1"/>
  <c r="G119" i="39" s="1"/>
  <c r="G342" i="39" a="1"/>
  <c r="G342" i="39" s="1"/>
  <c r="G343" i="39" a="1"/>
  <c r="G343" i="39" s="1"/>
  <c r="G344" i="39" a="1"/>
  <c r="G344" i="39" s="1"/>
  <c r="G89" i="39" a="1"/>
  <c r="G89" i="39" s="1"/>
  <c r="G90" i="39" a="1"/>
  <c r="G90" i="39" s="1"/>
  <c r="G270" i="39" a="1"/>
  <c r="G270" i="39" s="1"/>
  <c r="G320" i="39" a="1"/>
  <c r="G320" i="39" s="1"/>
  <c r="G349" i="39" a="1"/>
  <c r="G349" i="39" s="1"/>
  <c r="G350" i="39" a="1"/>
  <c r="G350" i="39" s="1"/>
  <c r="G353" i="39" a="1"/>
  <c r="G353" i="39" s="1"/>
  <c r="G354" i="39" a="1"/>
  <c r="G354" i="39" s="1"/>
  <c r="G32" i="39" a="1"/>
  <c r="G32" i="39" s="1"/>
  <c r="G357" i="39" a="1"/>
  <c r="G357" i="39" s="1"/>
  <c r="G358" i="39" a="1"/>
  <c r="G358" i="39" s="1"/>
  <c r="G356" i="39" a="1"/>
  <c r="G356" i="39" s="1"/>
  <c r="G142" i="39" a="1"/>
  <c r="G142" i="39" s="1"/>
  <c r="G360" i="39" a="1"/>
  <c r="G360" i="39" s="1"/>
  <c r="G361" i="39" a="1"/>
  <c r="G361" i="39" s="1"/>
  <c r="G84" i="39" a="1"/>
  <c r="G84" i="39" s="1"/>
  <c r="G145" i="39" a="1"/>
  <c r="G145" i="39" s="1"/>
  <c r="G209" i="39" a="1"/>
  <c r="G209" i="39" s="1"/>
  <c r="G262" i="39" a="1"/>
  <c r="G262" i="39" s="1"/>
  <c r="G366" i="39" a="1"/>
  <c r="G366" i="39" s="1"/>
  <c r="G367" i="39" a="1"/>
  <c r="G367" i="39" s="1"/>
  <c r="G368" i="39" a="1"/>
  <c r="G368" i="39" s="1"/>
  <c r="G371" i="39" a="1"/>
  <c r="G371" i="39" s="1"/>
  <c r="G372" i="39" a="1"/>
  <c r="G372" i="39" s="1"/>
  <c r="G369" i="39" a="1"/>
  <c r="G369" i="39" s="1"/>
  <c r="G374" i="39" a="1"/>
  <c r="G374" i="39" s="1"/>
  <c r="G375" i="39" a="1"/>
  <c r="G375" i="39" s="1"/>
  <c r="G376" i="39" a="1"/>
  <c r="G376" i="39" s="1"/>
  <c r="G398" i="39" a="1"/>
  <c r="G398" i="39" s="1"/>
  <c r="G378" i="39" a="1"/>
  <c r="G378" i="39" s="1"/>
  <c r="G437" i="39" a="1"/>
  <c r="G437" i="39" s="1"/>
  <c r="G417" i="39" a="1"/>
  <c r="G417" i="39" s="1"/>
  <c r="G472" i="39" a="1"/>
  <c r="G472" i="39" s="1"/>
  <c r="G566" i="39" a="1"/>
  <c r="G566" i="39" s="1"/>
  <c r="G383" i="39" a="1"/>
  <c r="G383" i="39" s="1"/>
  <c r="G384" i="39" a="1"/>
  <c r="G384" i="39" s="1"/>
  <c r="G385" i="39" a="1"/>
  <c r="G385" i="39" s="1"/>
  <c r="G388" i="39" a="1"/>
  <c r="G388" i="39" s="1"/>
  <c r="G389" i="39" a="1"/>
  <c r="G389" i="39" s="1"/>
  <c r="G34" i="39" a="1"/>
  <c r="G34" i="39" s="1"/>
  <c r="G391" i="39" a="1"/>
  <c r="G391" i="39" s="1"/>
  <c r="G392" i="39" a="1"/>
  <c r="G392" i="39" s="1"/>
  <c r="G393" i="39" a="1"/>
  <c r="G393" i="39" s="1"/>
  <c r="G177" i="39" a="1"/>
  <c r="G177" i="39" s="1"/>
  <c r="G397" i="39" a="1"/>
  <c r="G397" i="39" s="1"/>
  <c r="G395" i="39" a="1"/>
  <c r="G395" i="39" s="1"/>
  <c r="G396" i="39" a="1"/>
  <c r="G396" i="39" s="1"/>
  <c r="G55" i="39" a="1"/>
  <c r="G55" i="39" s="1"/>
  <c r="G70" i="39" a="1"/>
  <c r="G70" i="39" s="1"/>
  <c r="G260" i="39" a="1"/>
  <c r="G260" i="39" s="1"/>
  <c r="G296" i="39" a="1"/>
  <c r="G296" i="39" s="1"/>
  <c r="G402" i="39" a="1"/>
  <c r="G402" i="39" s="1"/>
  <c r="G403" i="39" a="1"/>
  <c r="G403" i="39" s="1"/>
  <c r="G404" i="39" a="1"/>
  <c r="G404" i="39" s="1"/>
  <c r="G407" i="39" a="1"/>
  <c r="G407" i="39" s="1"/>
  <c r="G408" i="39" a="1"/>
  <c r="G408" i="39" s="1"/>
  <c r="G411" i="39" a="1"/>
  <c r="G411" i="39" s="1"/>
  <c r="G410" i="39" a="1"/>
  <c r="G410" i="39" s="1"/>
  <c r="G10" i="39" a="1"/>
  <c r="G10" i="39" s="1"/>
  <c r="G412" i="39" a="1"/>
  <c r="G412" i="39" s="1"/>
  <c r="G127" i="39" a="1"/>
  <c r="G127" i="39" s="1"/>
  <c r="G414" i="39" a="1"/>
  <c r="G414" i="39" s="1"/>
  <c r="G415" i="39" a="1"/>
  <c r="G415" i="39" s="1"/>
  <c r="G416" i="39" a="1"/>
  <c r="G416" i="39" s="1"/>
  <c r="G103" i="39" a="1"/>
  <c r="G103" i="39" s="1"/>
  <c r="G202" i="39" a="1"/>
  <c r="G202" i="39" s="1"/>
  <c r="G283" i="39" a="1"/>
  <c r="G283" i="39" s="1"/>
  <c r="G421" i="39" a="1"/>
  <c r="G421" i="39" s="1"/>
  <c r="G422" i="39" a="1"/>
  <c r="G422" i="39" s="1"/>
  <c r="G423" i="39" a="1"/>
  <c r="G423" i="39" s="1"/>
  <c r="G424" i="39" a="1"/>
  <c r="G424" i="39" s="1"/>
  <c r="G37" i="39" a="1"/>
  <c r="G37" i="39" s="1"/>
  <c r="G427" i="39" a="1"/>
  <c r="G427" i="39" s="1"/>
  <c r="G6" i="39" a="1"/>
  <c r="G6" i="39" s="1"/>
  <c r="G429" i="39" a="1"/>
  <c r="G429" i="39" s="1"/>
  <c r="G430" i="39" a="1"/>
  <c r="G430" i="39" s="1"/>
  <c r="G431" i="39" a="1"/>
  <c r="G431" i="39" s="1"/>
  <c r="G124" i="39" a="1"/>
  <c r="G124" i="39" s="1"/>
  <c r="G433" i="39" a="1"/>
  <c r="G433" i="39" s="1"/>
  <c r="G434" i="39" a="1"/>
  <c r="G434" i="39" s="1"/>
  <c r="G435" i="39" a="1"/>
  <c r="G435" i="39" s="1"/>
  <c r="G143" i="39" a="1"/>
  <c r="G143" i="39" s="1"/>
  <c r="G77" i="39" a="1"/>
  <c r="G77" i="39" s="1"/>
  <c r="G275" i="39" a="1"/>
  <c r="G275" i="39" s="1"/>
  <c r="G346" i="39" a="1"/>
  <c r="G346" i="39" s="1"/>
  <c r="G440" i="39" a="1"/>
  <c r="G440" i="39" s="1"/>
  <c r="G441" i="39" a="1"/>
  <c r="G441" i="39" s="1"/>
  <c r="G444" i="39" a="1"/>
  <c r="G444" i="39" s="1"/>
  <c r="G445" i="39" a="1"/>
  <c r="G445" i="39" s="1"/>
  <c r="G355" i="39" a="1"/>
  <c r="G355" i="39" s="1"/>
  <c r="G447" i="39" a="1"/>
  <c r="G447" i="39" s="1"/>
  <c r="G448" i="39" a="1"/>
  <c r="G448" i="39" s="1"/>
  <c r="G390" i="39" a="1"/>
  <c r="G390" i="39" s="1"/>
  <c r="G451" i="39" a="1"/>
  <c r="G451" i="39" s="1"/>
  <c r="G452" i="39" a="1"/>
  <c r="G452" i="39" s="1"/>
  <c r="G438" i="39" a="1"/>
  <c r="G438" i="39" s="1"/>
  <c r="G387" i="39" a="1"/>
  <c r="G387" i="39" s="1"/>
  <c r="G495" i="39" a="1"/>
  <c r="G495" i="39" s="1"/>
  <c r="G530" i="39" a="1"/>
  <c r="G530" i="39" s="1"/>
  <c r="G457" i="39" a="1"/>
  <c r="G457" i="39" s="1"/>
  <c r="G458" i="39" a="1"/>
  <c r="G458" i="39" s="1"/>
  <c r="G461" i="39" a="1"/>
  <c r="G461" i="39" s="1"/>
  <c r="G462" i="39" a="1"/>
  <c r="G462" i="39" s="1"/>
  <c r="G463" i="39" a="1"/>
  <c r="G463" i="39" s="1"/>
  <c r="G365" i="39" a="1"/>
  <c r="G365" i="39" s="1"/>
  <c r="G465" i="39" a="1"/>
  <c r="G465" i="39" s="1"/>
  <c r="G466" i="39" a="1"/>
  <c r="G466" i="39" s="1"/>
  <c r="G468" i="39" a="1"/>
  <c r="G468" i="39" s="1"/>
  <c r="G400" i="39" a="1"/>
  <c r="G400" i="39" s="1"/>
  <c r="G469" i="39" a="1"/>
  <c r="G469" i="39" s="1"/>
  <c r="G470" i="39" a="1"/>
  <c r="G470" i="39" s="1"/>
  <c r="G439" i="39" a="1"/>
  <c r="G439" i="39" s="1"/>
  <c r="G406" i="39" a="1"/>
  <c r="G406" i="39" s="1"/>
  <c r="G488" i="39" a="1"/>
  <c r="G488" i="39" s="1"/>
  <c r="G548" i="39" a="1"/>
  <c r="G548" i="39" s="1"/>
  <c r="G475" i="39" a="1"/>
  <c r="G475" i="39" s="1"/>
  <c r="G478" i="39" a="1"/>
  <c r="G478" i="39" s="1"/>
  <c r="G479" i="39" a="1"/>
  <c r="G479" i="39" s="1"/>
  <c r="G14" i="39" a="1"/>
  <c r="G14" i="39" s="1"/>
  <c r="G481" i="39" a="1"/>
  <c r="G481" i="39" s="1"/>
  <c r="G482" i="39" a="1"/>
  <c r="G482" i="39" s="1"/>
  <c r="G483" i="39" a="1"/>
  <c r="G483" i="39" s="1"/>
  <c r="G67" i="39" a="1"/>
  <c r="G67" i="39" s="1"/>
  <c r="G485" i="39" a="1"/>
  <c r="G485" i="39" s="1"/>
  <c r="G486" i="39" a="1"/>
  <c r="G486" i="39" s="1"/>
  <c r="G487" i="39" a="1"/>
  <c r="G487" i="39" s="1"/>
  <c r="G149" i="39" a="1"/>
  <c r="G149" i="39" s="1"/>
  <c r="G65" i="39" a="1"/>
  <c r="G65" i="39" s="1"/>
  <c r="G257" i="39" a="1"/>
  <c r="G257" i="39" s="1"/>
  <c r="G277" i="39" a="1"/>
  <c r="G277" i="39" s="1"/>
  <c r="G492" i="39" a="1"/>
  <c r="G492" i="39" s="1"/>
  <c r="G493" i="39" a="1"/>
  <c r="G493" i="39" s="1"/>
  <c r="G494" i="39" a="1"/>
  <c r="G494" i="39" s="1"/>
  <c r="G497" i="39" a="1"/>
  <c r="G497" i="39" s="1"/>
  <c r="G498" i="39" a="1"/>
  <c r="G498" i="39" s="1"/>
  <c r="G499" i="39" a="1"/>
  <c r="G499" i="39" s="1"/>
  <c r="G382" i="39" a="1"/>
  <c r="G382" i="39" s="1"/>
  <c r="G501" i="39" a="1"/>
  <c r="G501" i="39" s="1"/>
  <c r="G502" i="39" a="1"/>
  <c r="G502" i="39" s="1"/>
  <c r="G503" i="39" a="1"/>
  <c r="G503" i="39" s="1"/>
  <c r="G505" i="39" a="1"/>
  <c r="G505" i="39" s="1"/>
  <c r="G506" i="39" a="1"/>
  <c r="G506" i="39" s="1"/>
  <c r="G443" i="39" a="1"/>
  <c r="G443" i="39" s="1"/>
  <c r="G413" i="39" a="1"/>
  <c r="G413" i="39" s="1"/>
  <c r="G454" i="39" a="1"/>
  <c r="G454" i="39" s="1"/>
  <c r="G450" i="39" a="1"/>
  <c r="G450" i="39" s="1"/>
  <c r="G554" i="39" a="1"/>
  <c r="G554" i="39" s="1"/>
  <c r="G511" i="39" a="1"/>
  <c r="G511" i="39" s="1"/>
  <c r="G512" i="39" a="1"/>
  <c r="G512" i="39" s="1"/>
  <c r="G513" i="39" a="1"/>
  <c r="G513" i="39" s="1"/>
  <c r="G514" i="39" a="1"/>
  <c r="G514" i="39" s="1"/>
  <c r="G515" i="39" a="1"/>
  <c r="G515" i="39" s="1"/>
  <c r="G518" i="39" a="1"/>
  <c r="G518" i="39" s="1"/>
  <c r="G3" i="39" a="1"/>
  <c r="G3" i="39" s="1"/>
  <c r="G520" i="39" a="1"/>
  <c r="G520" i="39" s="1"/>
  <c r="G521" i="39" a="1"/>
  <c r="G521" i="39" s="1"/>
  <c r="G522" i="39" a="1"/>
  <c r="G522" i="39" s="1"/>
  <c r="G64" i="39" a="1"/>
  <c r="G64" i="39" s="1"/>
  <c r="G524" i="39" a="1"/>
  <c r="G524" i="39" s="1"/>
  <c r="G525" i="39" a="1"/>
  <c r="G525" i="39" s="1"/>
  <c r="G526" i="39" a="1"/>
  <c r="G526" i="39" s="1"/>
  <c r="G285" i="39" a="1"/>
  <c r="G285" i="39" s="1"/>
  <c r="G131" i="39" a="1"/>
  <c r="G131" i="39" s="1"/>
  <c r="G347" i="39" a="1"/>
  <c r="G347" i="39" s="1"/>
  <c r="G531" i="39" a="1"/>
  <c r="G531" i="39" s="1"/>
  <c r="G532" i="39" a="1"/>
  <c r="G532" i="39" s="1"/>
  <c r="G533" i="39" a="1"/>
  <c r="G533" i="39" s="1"/>
  <c r="G534" i="39" a="1"/>
  <c r="G534" i="39" s="1"/>
  <c r="G535" i="39" a="1"/>
  <c r="G535" i="39" s="1"/>
  <c r="G61" i="39" a="1"/>
  <c r="G61" i="39" s="1"/>
  <c r="G538" i="39" a="1"/>
  <c r="G538" i="39" s="1"/>
  <c r="G539" i="39" a="1"/>
  <c r="G539" i="39" s="1"/>
  <c r="G15" i="39" a="1"/>
  <c r="G15" i="39" s="1"/>
  <c r="G541" i="39" a="1"/>
  <c r="G541" i="39" s="1"/>
  <c r="G542" i="39" a="1"/>
  <c r="G542" i="39" s="1"/>
  <c r="G543" i="39" a="1"/>
  <c r="G543" i="39" s="1"/>
  <c r="G73" i="39" a="1"/>
  <c r="G73" i="39" s="1"/>
  <c r="G545" i="39" a="1"/>
  <c r="G545" i="39" s="1"/>
  <c r="G546" i="39" a="1"/>
  <c r="G546" i="39" s="1"/>
  <c r="G113" i="39" a="1"/>
  <c r="G113" i="39" s="1"/>
  <c r="G106" i="39" a="1"/>
  <c r="G106" i="39" s="1"/>
  <c r="G327" i="39" a="1"/>
  <c r="G327" i="39" s="1"/>
  <c r="G312" i="39" a="1"/>
  <c r="G312" i="39" s="1"/>
  <c r="G551" i="39" a="1"/>
  <c r="G551" i="39" s="1"/>
  <c r="G552" i="39" a="1"/>
  <c r="G552" i="39" s="1"/>
  <c r="G555" i="39" a="1"/>
  <c r="G555" i="39" s="1"/>
  <c r="G556" i="39" a="1"/>
  <c r="G556" i="39" s="1"/>
  <c r="G38" i="39" a="1"/>
  <c r="G38" i="39" s="1"/>
  <c r="G558" i="39" a="1"/>
  <c r="G558" i="39" s="1"/>
  <c r="G559" i="39" a="1"/>
  <c r="G559" i="39" s="1"/>
  <c r="G560" i="39" a="1"/>
  <c r="G560" i="39" s="1"/>
  <c r="G193" i="39" a="1"/>
  <c r="G193" i="39" s="1"/>
  <c r="G562" i="39" a="1"/>
  <c r="G562" i="39" s="1"/>
  <c r="G563" i="39" a="1"/>
  <c r="G563" i="39" s="1"/>
  <c r="G564" i="39" a="1"/>
  <c r="G564" i="39" s="1"/>
  <c r="G135" i="39" a="1"/>
  <c r="G135" i="39" s="1"/>
  <c r="G171" i="39" a="1"/>
  <c r="G171" i="39" s="1"/>
  <c r="G570" i="39" a="1"/>
  <c r="G570" i="39" s="1"/>
  <c r="G329" i="39" a="1"/>
  <c r="G329" i="39" s="1"/>
  <c r="G569" i="39" a="1"/>
  <c r="G569" i="39" s="1"/>
  <c r="Q5" i="39"/>
  <c r="Q9" i="39"/>
  <c r="Q7" i="39"/>
  <c r="Q49" i="39"/>
  <c r="Q8" i="39"/>
  <c r="Q82" i="39"/>
  <c r="Q11" i="39"/>
  <c r="Q12" i="39"/>
  <c r="Q13" i="39"/>
  <c r="Q51" i="39"/>
  <c r="Q153" i="39"/>
  <c r="Q263" i="39"/>
  <c r="Q289" i="39"/>
  <c r="Q18" i="39"/>
  <c r="Q19" i="39"/>
  <c r="Q22" i="39"/>
  <c r="Q23" i="39"/>
  <c r="Q17" i="39"/>
  <c r="Q25" i="39"/>
  <c r="Q26" i="39"/>
  <c r="Q181" i="39"/>
  <c r="Q28" i="39"/>
  <c r="Q29" i="39"/>
  <c r="Q30" i="39"/>
  <c r="Q102" i="39"/>
  <c r="Q93" i="39"/>
  <c r="Q241" i="39"/>
  <c r="Q348" i="39"/>
  <c r="Q35" i="39"/>
  <c r="Q36" i="39"/>
  <c r="Q39" i="39"/>
  <c r="Q50" i="39"/>
  <c r="Q41" i="39"/>
  <c r="Q42" i="39"/>
  <c r="Q43" i="39"/>
  <c r="Q44" i="39"/>
  <c r="Q56" i="39"/>
  <c r="Q46" i="39"/>
  <c r="Q47" i="39"/>
  <c r="Q120" i="39"/>
  <c r="Q172" i="39"/>
  <c r="Q221" i="39"/>
  <c r="Q264" i="39"/>
  <c r="Q52" i="39"/>
  <c r="Q53" i="39"/>
  <c r="Q54" i="39"/>
  <c r="Q57" i="39"/>
  <c r="Q364" i="39"/>
  <c r="Q59" i="39"/>
  <c r="Q60" i="39"/>
  <c r="Q432" i="39"/>
  <c r="Q62" i="39"/>
  <c r="Q63" i="39"/>
  <c r="Q471" i="39"/>
  <c r="Q455" i="39"/>
  <c r="Q509" i="39"/>
  <c r="Q549" i="39"/>
  <c r="Q68" i="39"/>
  <c r="Q69" i="39"/>
  <c r="Q72" i="39"/>
  <c r="Q74" i="39"/>
  <c r="Q373" i="39"/>
  <c r="Q75" i="39"/>
  <c r="Q76" i="39"/>
  <c r="Q394" i="39"/>
  <c r="Q78" i="39"/>
  <c r="Q79" i="39"/>
  <c r="Q80" i="39"/>
  <c r="Q377" i="39"/>
  <c r="Q446" i="39"/>
  <c r="Q517" i="39"/>
  <c r="Q508" i="39"/>
  <c r="Q85" i="39"/>
  <c r="Q86" i="39"/>
  <c r="Q87" i="39"/>
  <c r="Q88" i="39"/>
  <c r="Q91" i="39"/>
  <c r="Q92" i="39"/>
  <c r="Q370" i="39"/>
  <c r="Q94" i="39"/>
  <c r="Q95" i="39"/>
  <c r="Q96" i="39"/>
  <c r="Q98" i="39"/>
  <c r="Q386" i="39"/>
  <c r="Q99" i="39"/>
  <c r="Q381" i="39"/>
  <c r="Q442" i="39"/>
  <c r="Q523" i="39"/>
  <c r="Q510" i="39"/>
  <c r="Q104" i="39"/>
  <c r="Q105" i="39"/>
  <c r="Q108" i="39"/>
  <c r="Q27" i="39"/>
  <c r="Q111" i="39"/>
  <c r="Q112" i="39"/>
  <c r="Q97" i="39"/>
  <c r="Q114" i="39"/>
  <c r="Q115" i="39"/>
  <c r="Q116" i="39"/>
  <c r="Q81" i="39"/>
  <c r="Q134" i="39"/>
  <c r="Q197" i="39"/>
  <c r="Q249" i="39"/>
  <c r="Q121" i="39"/>
  <c r="Q122" i="39"/>
  <c r="Q125" i="39"/>
  <c r="Q126" i="39"/>
  <c r="Q4" i="39"/>
  <c r="Q128" i="39"/>
  <c r="Q129" i="39"/>
  <c r="Q130" i="39"/>
  <c r="Q31" i="39"/>
  <c r="Q132" i="39"/>
  <c r="Q133" i="39"/>
  <c r="Q123" i="39"/>
  <c r="Q174" i="39"/>
  <c r="Q188" i="39"/>
  <c r="Q337" i="39"/>
  <c r="Q138" i="39"/>
  <c r="Q139" i="39"/>
  <c r="Q140" i="39"/>
  <c r="Q141" i="39"/>
  <c r="Q144" i="39"/>
  <c r="Q16" i="39"/>
  <c r="Q147" i="39"/>
  <c r="Q146" i="39"/>
  <c r="Q148" i="39"/>
  <c r="Q165" i="39"/>
  <c r="Q150" i="39"/>
  <c r="Q151" i="39"/>
  <c r="Q152" i="39"/>
  <c r="Q66" i="39"/>
  <c r="Q293" i="39"/>
  <c r="Q266" i="39"/>
  <c r="Q157" i="39"/>
  <c r="Q107" i="39"/>
  <c r="Q160" i="39"/>
  <c r="Q40" i="39"/>
  <c r="Q162" i="39"/>
  <c r="Q163" i="39"/>
  <c r="Q164" i="39"/>
  <c r="Q185" i="39"/>
  <c r="Q166" i="39"/>
  <c r="Q167" i="39"/>
  <c r="Q168" i="39"/>
  <c r="Q117" i="39"/>
  <c r="Q154" i="39"/>
  <c r="Q251" i="39"/>
  <c r="Q333" i="39"/>
  <c r="Q173" i="39"/>
  <c r="Q176" i="39"/>
  <c r="Q21" i="39"/>
  <c r="Q178" i="39"/>
  <c r="Q179" i="39"/>
  <c r="Q180" i="39"/>
  <c r="Q118" i="39"/>
  <c r="Q182" i="39"/>
  <c r="Q183" i="39"/>
  <c r="Q184" i="39"/>
  <c r="Q48" i="39"/>
  <c r="Q186" i="39"/>
  <c r="Q243" i="39"/>
  <c r="Q303" i="39"/>
  <c r="Q189" i="39"/>
  <c r="Q192" i="39"/>
  <c r="Q362" i="39"/>
  <c r="Q194" i="39"/>
  <c r="Q195" i="39"/>
  <c r="Q196" i="39"/>
  <c r="Q428" i="39"/>
  <c r="Q198" i="39"/>
  <c r="Q199" i="39"/>
  <c r="Q200" i="39"/>
  <c r="Q379" i="39"/>
  <c r="Q459" i="39"/>
  <c r="Q550" i="39"/>
  <c r="Q205" i="39"/>
  <c r="Q206" i="39"/>
  <c r="Q484" i="39"/>
  <c r="Q207" i="39"/>
  <c r="Q210" i="39"/>
  <c r="Q211" i="39"/>
  <c r="Q359" i="39"/>
  <c r="Q213" i="39"/>
  <c r="Q214" i="39"/>
  <c r="Q215" i="39"/>
  <c r="Q216" i="39"/>
  <c r="Q420" i="39"/>
  <c r="Q218" i="39"/>
  <c r="Q219" i="39"/>
  <c r="Q220" i="39"/>
  <c r="Q405" i="39"/>
  <c r="Q418" i="39"/>
  <c r="Q516" i="39"/>
  <c r="Q547" i="39"/>
  <c r="Q225" i="39"/>
  <c r="Q226" i="39"/>
  <c r="Q227" i="39"/>
  <c r="Q228" i="39"/>
  <c r="Q231" i="39"/>
  <c r="Q232" i="39"/>
  <c r="Q33" i="39"/>
  <c r="Q234" i="39"/>
  <c r="Q235" i="39"/>
  <c r="Q236" i="39"/>
  <c r="Q71" i="39"/>
  <c r="Q238" i="39"/>
  <c r="Q239" i="39"/>
  <c r="Q240" i="39"/>
  <c r="Q155" i="39"/>
  <c r="Q110" i="39"/>
  <c r="Q244" i="39"/>
  <c r="Q316" i="39"/>
  <c r="Q245" i="39"/>
  <c r="Q246" i="39"/>
  <c r="Q247" i="39"/>
  <c r="Q250" i="39"/>
  <c r="Q352" i="39"/>
  <c r="Q252" i="39"/>
  <c r="Q253" i="39"/>
  <c r="Q449" i="39"/>
  <c r="Q425" i="39"/>
  <c r="Q255" i="39"/>
  <c r="Q256" i="39"/>
  <c r="Q436" i="39"/>
  <c r="Q258" i="39"/>
  <c r="Q568" i="39"/>
  <c r="Q527" i="39"/>
  <c r="Q261" i="39"/>
  <c r="Q399" i="39"/>
  <c r="Q265" i="39"/>
  <c r="Q20" i="39"/>
  <c r="Q267" i="39"/>
  <c r="Q269" i="39"/>
  <c r="Q268" i="39"/>
  <c r="Q83" i="39"/>
  <c r="Q271" i="39"/>
  <c r="Q272" i="39"/>
  <c r="Q273" i="39"/>
  <c r="Q158" i="39"/>
  <c r="Q190" i="39"/>
  <c r="Q341" i="39"/>
  <c r="Q278" i="39"/>
  <c r="Q279" i="39"/>
  <c r="Q280" i="39"/>
  <c r="Q281" i="39"/>
  <c r="Q100" i="39"/>
  <c r="Q284" i="39"/>
  <c r="Q363" i="39"/>
  <c r="Q286" i="39"/>
  <c r="Q287" i="39"/>
  <c r="Q426" i="39"/>
  <c r="Q290" i="39"/>
  <c r="Q291" i="39"/>
  <c r="Q292" i="39"/>
  <c r="Q401" i="39"/>
  <c r="Q409" i="39"/>
  <c r="Q519" i="39"/>
  <c r="Q553" i="39"/>
  <c r="Q297" i="39"/>
  <c r="Q298" i="39"/>
  <c r="Q301" i="39"/>
  <c r="Q302" i="39"/>
  <c r="Q351" i="39"/>
  <c r="Q304" i="39"/>
  <c r="Q305" i="39"/>
  <c r="Q419" i="39"/>
  <c r="Q307" i="39"/>
  <c r="Q308" i="39"/>
  <c r="Q309" i="39"/>
  <c r="Q380" i="39"/>
  <c r="Q453" i="39"/>
  <c r="Q473" i="39"/>
  <c r="Q557" i="39"/>
  <c r="Q314" i="39"/>
  <c r="Q315" i="39"/>
  <c r="Q318" i="39"/>
  <c r="Q319" i="39"/>
  <c r="Q45" i="39"/>
  <c r="Q321" i="39"/>
  <c r="Q322" i="39"/>
  <c r="Q323" i="39"/>
  <c r="Q170" i="39"/>
  <c r="Q325" i="39"/>
  <c r="Q326" i="39"/>
  <c r="Q101" i="39"/>
  <c r="Q208" i="39"/>
  <c r="Q233" i="39"/>
  <c r="Q310" i="39"/>
  <c r="Q331" i="39"/>
  <c r="Q332" i="39"/>
  <c r="Q335" i="39"/>
  <c r="Q336" i="39"/>
  <c r="Q24" i="39"/>
  <c r="Q338" i="39"/>
  <c r="Q339" i="39"/>
  <c r="Q340" i="39"/>
  <c r="Q119" i="39"/>
  <c r="Q342" i="39"/>
  <c r="Q343" i="39"/>
  <c r="Q344" i="39"/>
  <c r="Q89" i="39"/>
  <c r="Q90" i="39"/>
  <c r="Q270" i="39"/>
  <c r="Q320" i="39"/>
  <c r="Q349" i="39"/>
  <c r="Q350" i="39"/>
  <c r="Q353" i="39"/>
  <c r="Q354" i="39"/>
  <c r="Q32" i="39"/>
  <c r="Q357" i="39"/>
  <c r="Q358" i="39"/>
  <c r="Q356" i="39"/>
  <c r="Q142" i="39"/>
  <c r="Q360" i="39"/>
  <c r="Q361" i="39"/>
  <c r="Q84" i="39"/>
  <c r="Q145" i="39"/>
  <c r="Q209" i="39"/>
  <c r="Q262" i="39"/>
  <c r="Q366" i="39"/>
  <c r="Q367" i="39"/>
  <c r="Q368" i="39"/>
  <c r="Q371" i="39"/>
  <c r="Q372" i="39"/>
  <c r="Q369" i="39"/>
  <c r="Q374" i="39"/>
  <c r="Q375" i="39"/>
  <c r="Q376" i="39"/>
  <c r="Q398" i="39"/>
  <c r="Q378" i="39"/>
  <c r="Q437" i="39"/>
  <c r="Q417" i="39"/>
  <c r="Q472" i="39"/>
  <c r="Q566" i="39"/>
  <c r="Q383" i="39"/>
  <c r="Q384" i="39"/>
  <c r="Q385" i="39"/>
  <c r="Q388" i="39"/>
  <c r="Q389" i="39"/>
  <c r="Q34" i="39"/>
  <c r="Q391" i="39"/>
  <c r="Q392" i="39"/>
  <c r="Q393" i="39"/>
  <c r="Q177" i="39"/>
  <c r="Q397" i="39"/>
  <c r="Q395" i="39"/>
  <c r="Q396" i="39"/>
  <c r="Q55" i="39"/>
  <c r="Q70" i="39"/>
  <c r="Q260" i="39"/>
  <c r="Q296" i="39"/>
  <c r="Q402" i="39"/>
  <c r="Q403" i="39"/>
  <c r="Q404" i="39"/>
  <c r="Q407" i="39"/>
  <c r="Q408" i="39"/>
  <c r="Q411" i="39"/>
  <c r="Q410" i="39"/>
  <c r="Q10" i="39"/>
  <c r="Q412" i="39"/>
  <c r="Q127" i="39"/>
  <c r="Q414" i="39"/>
  <c r="Q415" i="39"/>
  <c r="Q416" i="39"/>
  <c r="Q103" i="39"/>
  <c r="Q202" i="39"/>
  <c r="Q283" i="39"/>
  <c r="Q421" i="39"/>
  <c r="Q422" i="39"/>
  <c r="Q423" i="39"/>
  <c r="Q424" i="39"/>
  <c r="Q37" i="39"/>
  <c r="Q427" i="39"/>
  <c r="Q6" i="39"/>
  <c r="Q429" i="39"/>
  <c r="Q430" i="39"/>
  <c r="Q431" i="39"/>
  <c r="Q124" i="39"/>
  <c r="Q433" i="39"/>
  <c r="Q434" i="39"/>
  <c r="Q435" i="39"/>
  <c r="Q143" i="39"/>
  <c r="Q77" i="39"/>
  <c r="Q275" i="39"/>
  <c r="Q346" i="39"/>
  <c r="Q440" i="39"/>
  <c r="Q441" i="39"/>
  <c r="Q444" i="39"/>
  <c r="Q445" i="39"/>
  <c r="Q355" i="39"/>
  <c r="Q447" i="39"/>
  <c r="Q448" i="39"/>
  <c r="Q390" i="39"/>
  <c r="Q451" i="39"/>
  <c r="Q452" i="39"/>
  <c r="Q438" i="39"/>
  <c r="Q387" i="39"/>
  <c r="Q495" i="39"/>
  <c r="Q530" i="39"/>
  <c r="Q457" i="39"/>
  <c r="Q458" i="39"/>
  <c r="Q461" i="39"/>
  <c r="Q462" i="39"/>
  <c r="Q463" i="39"/>
  <c r="Q365" i="39"/>
  <c r="Q465" i="39"/>
  <c r="Q466" i="39"/>
  <c r="Q468" i="39"/>
  <c r="Q400" i="39"/>
  <c r="Q469" i="39"/>
  <c r="Q470" i="39"/>
  <c r="Q439" i="39"/>
  <c r="Q406" i="39"/>
  <c r="Q488" i="39"/>
  <c r="Q548" i="39"/>
  <c r="Q475" i="39"/>
  <c r="Q478" i="39"/>
  <c r="Q479" i="39"/>
  <c r="Q14" i="39"/>
  <c r="Q481" i="39"/>
  <c r="Q482" i="39"/>
  <c r="Q483" i="39"/>
  <c r="Q67" i="39"/>
  <c r="Q485" i="39"/>
  <c r="Q486" i="39"/>
  <c r="Q487" i="39"/>
  <c r="Q149" i="39"/>
  <c r="Q65" i="39"/>
  <c r="Q257" i="39"/>
  <c r="Q277" i="39"/>
  <c r="Q492" i="39"/>
  <c r="Q493" i="39"/>
  <c r="Q494" i="39"/>
  <c r="Q497" i="39"/>
  <c r="Q498" i="39"/>
  <c r="Q499" i="39"/>
  <c r="Q382" i="39"/>
  <c r="Q501" i="39"/>
  <c r="Q502" i="39"/>
  <c r="Q503" i="39"/>
  <c r="Q505" i="39"/>
  <c r="Q506" i="39"/>
  <c r="Q443" i="39"/>
  <c r="Q413" i="39"/>
  <c r="Q454" i="39"/>
  <c r="Q450" i="39"/>
  <c r="Q554" i="39"/>
  <c r="Q511" i="39"/>
  <c r="Q512" i="39"/>
  <c r="Q513" i="39"/>
  <c r="Q514" i="39"/>
  <c r="Q515" i="39"/>
  <c r="Q518" i="39"/>
  <c r="Q3" i="39"/>
  <c r="Q520" i="39"/>
  <c r="Q521" i="39"/>
  <c r="Q522" i="39"/>
  <c r="Q64" i="39"/>
  <c r="Q524" i="39"/>
  <c r="Q525" i="39"/>
  <c r="Q526" i="39"/>
  <c r="Q285" i="39"/>
  <c r="Q131" i="39"/>
  <c r="Q347" i="39"/>
  <c r="Q531" i="39"/>
  <c r="Q532" i="39"/>
  <c r="Q533" i="39"/>
  <c r="Q534" i="39"/>
  <c r="Q535" i="39"/>
  <c r="Q61" i="39"/>
  <c r="Q538" i="39"/>
  <c r="Q539" i="39"/>
  <c r="Q15" i="39"/>
  <c r="Q541" i="39"/>
  <c r="Q542" i="39"/>
  <c r="Q543" i="39"/>
  <c r="Q73" i="39"/>
  <c r="Q545" i="39"/>
  <c r="Q546" i="39"/>
  <c r="Q113" i="39"/>
  <c r="Q106" i="39"/>
  <c r="Q327" i="39"/>
  <c r="Q312" i="39"/>
  <c r="Q551" i="39"/>
  <c r="Q552" i="39"/>
  <c r="Q555" i="39"/>
  <c r="Q556" i="39"/>
  <c r="Q38" i="39"/>
  <c r="Q558" i="39"/>
  <c r="Q559" i="39"/>
  <c r="Q560" i="39"/>
  <c r="Q193" i="39"/>
  <c r="Q562" i="39"/>
  <c r="Q563" i="39"/>
  <c r="Q564" i="39"/>
  <c r="Q135" i="39"/>
  <c r="Q171" i="39"/>
  <c r="Q570" i="39"/>
  <c r="Q329" i="39"/>
  <c r="Q569" i="39"/>
  <c r="P5" i="39"/>
  <c r="P9" i="39"/>
  <c r="P7" i="39"/>
  <c r="P49" i="39"/>
  <c r="P8" i="39"/>
  <c r="P82" i="39"/>
  <c r="P11" i="39"/>
  <c r="P12" i="39"/>
  <c r="P13" i="39"/>
  <c r="P51" i="39"/>
  <c r="P153" i="39"/>
  <c r="P263" i="39"/>
  <c r="P289" i="39"/>
  <c r="P18" i="39"/>
  <c r="P19" i="39"/>
  <c r="P22" i="39"/>
  <c r="P23" i="39"/>
  <c r="P17" i="39"/>
  <c r="P25" i="39"/>
  <c r="P26" i="39"/>
  <c r="P181" i="39"/>
  <c r="P28" i="39"/>
  <c r="P29" i="39"/>
  <c r="P30" i="39"/>
  <c r="P102" i="39"/>
  <c r="P93" i="39"/>
  <c r="P241" i="39"/>
  <c r="P348" i="39"/>
  <c r="P35" i="39"/>
  <c r="P36" i="39"/>
  <c r="P39" i="39"/>
  <c r="P50" i="39"/>
  <c r="P41" i="39"/>
  <c r="P42" i="39"/>
  <c r="P43" i="39"/>
  <c r="P44" i="39"/>
  <c r="P56" i="39"/>
  <c r="P46" i="39"/>
  <c r="P47" i="39"/>
  <c r="P120" i="39"/>
  <c r="P172" i="39"/>
  <c r="P221" i="39"/>
  <c r="P264" i="39"/>
  <c r="P52" i="39"/>
  <c r="P53" i="39"/>
  <c r="P54" i="39"/>
  <c r="P57" i="39"/>
  <c r="P364" i="39"/>
  <c r="P59" i="39"/>
  <c r="P60" i="39"/>
  <c r="P432" i="39"/>
  <c r="P62" i="39"/>
  <c r="P63" i="39"/>
  <c r="P471" i="39"/>
  <c r="P455" i="39"/>
  <c r="P509" i="39"/>
  <c r="P549" i="39"/>
  <c r="P68" i="39"/>
  <c r="P69" i="39"/>
  <c r="P72" i="39"/>
  <c r="P74" i="39"/>
  <c r="P373" i="39"/>
  <c r="P75" i="39"/>
  <c r="P76" i="39"/>
  <c r="P394" i="39"/>
  <c r="P78" i="39"/>
  <c r="P79" i="39"/>
  <c r="P80" i="39"/>
  <c r="P377" i="39"/>
  <c r="P446" i="39"/>
  <c r="P517" i="39"/>
  <c r="P508" i="39"/>
  <c r="P85" i="39"/>
  <c r="P86" i="39"/>
  <c r="P87" i="39"/>
  <c r="P88" i="39"/>
  <c r="P91" i="39"/>
  <c r="P92" i="39"/>
  <c r="P370" i="39"/>
  <c r="P94" i="39"/>
  <c r="P95" i="39"/>
  <c r="P96" i="39"/>
  <c r="P98" i="39"/>
  <c r="P386" i="39"/>
  <c r="P99" i="39"/>
  <c r="P381" i="39"/>
  <c r="P442" i="39"/>
  <c r="P523" i="39"/>
  <c r="P510" i="39"/>
  <c r="P104" i="39"/>
  <c r="P105" i="39"/>
  <c r="P108" i="39"/>
  <c r="P27" i="39"/>
  <c r="P111" i="39"/>
  <c r="P112" i="39"/>
  <c r="P97" i="39"/>
  <c r="P114" i="39"/>
  <c r="P115" i="39"/>
  <c r="P116" i="39"/>
  <c r="P81" i="39"/>
  <c r="P134" i="39"/>
  <c r="P197" i="39"/>
  <c r="P249" i="39"/>
  <c r="P121" i="39"/>
  <c r="P122" i="39"/>
  <c r="P125" i="39"/>
  <c r="P126" i="39"/>
  <c r="P4" i="39"/>
  <c r="P128" i="39"/>
  <c r="P129" i="39"/>
  <c r="P130" i="39"/>
  <c r="P31" i="39"/>
  <c r="P132" i="39"/>
  <c r="P133" i="39"/>
  <c r="P123" i="39"/>
  <c r="P174" i="39"/>
  <c r="P188" i="39"/>
  <c r="P337" i="39"/>
  <c r="P138" i="39"/>
  <c r="P139" i="39"/>
  <c r="P140" i="39"/>
  <c r="P141" i="39"/>
  <c r="P144" i="39"/>
  <c r="P16" i="39"/>
  <c r="P147" i="39"/>
  <c r="P146" i="39"/>
  <c r="P148" i="39"/>
  <c r="P165" i="39"/>
  <c r="P150" i="39"/>
  <c r="P151" i="39"/>
  <c r="P152" i="39"/>
  <c r="P66" i="39"/>
  <c r="P293" i="39"/>
  <c r="P266" i="39"/>
  <c r="P157" i="39"/>
  <c r="P107" i="39"/>
  <c r="P160" i="39"/>
  <c r="P40" i="39"/>
  <c r="P162" i="39"/>
  <c r="P163" i="39"/>
  <c r="P164" i="39"/>
  <c r="P185" i="39"/>
  <c r="P166" i="39"/>
  <c r="P167" i="39"/>
  <c r="P168" i="39"/>
  <c r="P117" i="39"/>
  <c r="P154" i="39"/>
  <c r="P251" i="39"/>
  <c r="P333" i="39"/>
  <c r="P173" i="39"/>
  <c r="P176" i="39"/>
  <c r="P21" i="39"/>
  <c r="P178" i="39"/>
  <c r="P179" i="39"/>
  <c r="P180" i="39"/>
  <c r="P118" i="39"/>
  <c r="P182" i="39"/>
  <c r="P183" i="39"/>
  <c r="P184" i="39"/>
  <c r="P48" i="39"/>
  <c r="P186" i="39"/>
  <c r="P243" i="39"/>
  <c r="P303" i="39"/>
  <c r="P189" i="39"/>
  <c r="P192" i="39"/>
  <c r="P362" i="39"/>
  <c r="P194" i="39"/>
  <c r="P195" i="39"/>
  <c r="P196" i="39"/>
  <c r="P428" i="39"/>
  <c r="P198" i="39"/>
  <c r="P199" i="39"/>
  <c r="P200" i="39"/>
  <c r="P379" i="39"/>
  <c r="P459" i="39"/>
  <c r="P550" i="39"/>
  <c r="P205" i="39"/>
  <c r="P206" i="39"/>
  <c r="P484" i="39"/>
  <c r="P207" i="39"/>
  <c r="P210" i="39"/>
  <c r="P211" i="39"/>
  <c r="P359" i="39"/>
  <c r="P213" i="39"/>
  <c r="P214" i="39"/>
  <c r="P215" i="39"/>
  <c r="P216" i="39"/>
  <c r="P420" i="39"/>
  <c r="P218" i="39"/>
  <c r="P219" i="39"/>
  <c r="P220" i="39"/>
  <c r="P405" i="39"/>
  <c r="P418" i="39"/>
  <c r="P516" i="39"/>
  <c r="P547" i="39"/>
  <c r="P225" i="39"/>
  <c r="P226" i="39"/>
  <c r="P227" i="39"/>
  <c r="P228" i="39"/>
  <c r="P231" i="39"/>
  <c r="P232" i="39"/>
  <c r="P33" i="39"/>
  <c r="P234" i="39"/>
  <c r="P235" i="39"/>
  <c r="P236" i="39"/>
  <c r="P71" i="39"/>
  <c r="P238" i="39"/>
  <c r="P239" i="39"/>
  <c r="P240" i="39"/>
  <c r="P155" i="39"/>
  <c r="P110" i="39"/>
  <c r="P244" i="39"/>
  <c r="P316" i="39"/>
  <c r="P245" i="39"/>
  <c r="P246" i="39"/>
  <c r="P247" i="39"/>
  <c r="P250" i="39"/>
  <c r="P352" i="39"/>
  <c r="P252" i="39"/>
  <c r="P253" i="39"/>
  <c r="P449" i="39"/>
  <c r="P425" i="39"/>
  <c r="P255" i="39"/>
  <c r="P256" i="39"/>
  <c r="P436" i="39"/>
  <c r="P258" i="39"/>
  <c r="P568" i="39"/>
  <c r="P527" i="39"/>
  <c r="P261" i="39"/>
  <c r="P399" i="39"/>
  <c r="P265" i="39"/>
  <c r="P20" i="39"/>
  <c r="P267" i="39"/>
  <c r="P269" i="39"/>
  <c r="P268" i="39"/>
  <c r="P83" i="39"/>
  <c r="P271" i="39"/>
  <c r="P272" i="39"/>
  <c r="P273" i="39"/>
  <c r="P158" i="39"/>
  <c r="P190" i="39"/>
  <c r="P341" i="39"/>
  <c r="P278" i="39"/>
  <c r="P279" i="39"/>
  <c r="P280" i="39"/>
  <c r="P281" i="39"/>
  <c r="P100" i="39"/>
  <c r="P284" i="39"/>
  <c r="P363" i="39"/>
  <c r="P286" i="39"/>
  <c r="P287" i="39"/>
  <c r="P426" i="39"/>
  <c r="P290" i="39"/>
  <c r="P291" i="39"/>
  <c r="P292" i="39"/>
  <c r="P401" i="39"/>
  <c r="P409" i="39"/>
  <c r="P519" i="39"/>
  <c r="P553" i="39"/>
  <c r="P297" i="39"/>
  <c r="P298" i="39"/>
  <c r="P301" i="39"/>
  <c r="P302" i="39"/>
  <c r="P351" i="39"/>
  <c r="P304" i="39"/>
  <c r="P305" i="39"/>
  <c r="P419" i="39"/>
  <c r="P307" i="39"/>
  <c r="P308" i="39"/>
  <c r="P309" i="39"/>
  <c r="P380" i="39"/>
  <c r="P453" i="39"/>
  <c r="P473" i="39"/>
  <c r="P557" i="39"/>
  <c r="P314" i="39"/>
  <c r="P315" i="39"/>
  <c r="P318" i="39"/>
  <c r="P319" i="39"/>
  <c r="P45" i="39"/>
  <c r="P321" i="39"/>
  <c r="P322" i="39"/>
  <c r="P323" i="39"/>
  <c r="P170" i="39"/>
  <c r="P325" i="39"/>
  <c r="P326" i="39"/>
  <c r="P101" i="39"/>
  <c r="P208" i="39"/>
  <c r="P233" i="39"/>
  <c r="P310" i="39"/>
  <c r="P331" i="39"/>
  <c r="P332" i="39"/>
  <c r="P335" i="39"/>
  <c r="P336" i="39"/>
  <c r="P24" i="39"/>
  <c r="P338" i="39"/>
  <c r="P339" i="39"/>
  <c r="P340" i="39"/>
  <c r="P119" i="39"/>
  <c r="P342" i="39"/>
  <c r="P343" i="39"/>
  <c r="P344" i="39"/>
  <c r="P89" i="39"/>
  <c r="P90" i="39"/>
  <c r="P270" i="39"/>
  <c r="P320" i="39"/>
  <c r="P349" i="39"/>
  <c r="P350" i="39"/>
  <c r="P353" i="39"/>
  <c r="P354" i="39"/>
  <c r="P32" i="39"/>
  <c r="P357" i="39"/>
  <c r="P358" i="39"/>
  <c r="P356" i="39"/>
  <c r="P142" i="39"/>
  <c r="P360" i="39"/>
  <c r="P361" i="39"/>
  <c r="P84" i="39"/>
  <c r="P145" i="39"/>
  <c r="P209" i="39"/>
  <c r="P262" i="39"/>
  <c r="P366" i="39"/>
  <c r="P367" i="39"/>
  <c r="P368" i="39"/>
  <c r="P371" i="39"/>
  <c r="P372" i="39"/>
  <c r="P369" i="39"/>
  <c r="P374" i="39"/>
  <c r="P375" i="39"/>
  <c r="P376" i="39"/>
  <c r="P398" i="39"/>
  <c r="P378" i="39"/>
  <c r="P437" i="39"/>
  <c r="P417" i="39"/>
  <c r="P472" i="39"/>
  <c r="P566" i="39"/>
  <c r="P383" i="39"/>
  <c r="P384" i="39"/>
  <c r="P385" i="39"/>
  <c r="P388" i="39"/>
  <c r="P389" i="39"/>
  <c r="P34" i="39"/>
  <c r="P391" i="39"/>
  <c r="P392" i="39"/>
  <c r="P393" i="39"/>
  <c r="P177" i="39"/>
  <c r="P397" i="39"/>
  <c r="P395" i="39"/>
  <c r="P396" i="39"/>
  <c r="P55" i="39"/>
  <c r="P70" i="39"/>
  <c r="P260" i="39"/>
  <c r="P296" i="39"/>
  <c r="P402" i="39"/>
  <c r="P403" i="39"/>
  <c r="P404" i="39"/>
  <c r="P407" i="39"/>
  <c r="P408" i="39"/>
  <c r="P411" i="39"/>
  <c r="P410" i="39"/>
  <c r="P10" i="39"/>
  <c r="P412" i="39"/>
  <c r="P127" i="39"/>
  <c r="P414" i="39"/>
  <c r="P415" i="39"/>
  <c r="P416" i="39"/>
  <c r="P103" i="39"/>
  <c r="P202" i="39"/>
  <c r="P283" i="39"/>
  <c r="P421" i="39"/>
  <c r="P422" i="39"/>
  <c r="P423" i="39"/>
  <c r="P424" i="39"/>
  <c r="P37" i="39"/>
  <c r="P427" i="39"/>
  <c r="P6" i="39"/>
  <c r="P429" i="39"/>
  <c r="P430" i="39"/>
  <c r="P431" i="39"/>
  <c r="P124" i="39"/>
  <c r="P433" i="39"/>
  <c r="P434" i="39"/>
  <c r="P435" i="39"/>
  <c r="P143" i="39"/>
  <c r="P77" i="39"/>
  <c r="P275" i="39"/>
  <c r="P346" i="39"/>
  <c r="P440" i="39"/>
  <c r="P441" i="39"/>
  <c r="P444" i="39"/>
  <c r="P445" i="39"/>
  <c r="P355" i="39"/>
  <c r="P447" i="39"/>
  <c r="P448" i="39"/>
  <c r="P390" i="39"/>
  <c r="P451" i="39"/>
  <c r="P452" i="39"/>
  <c r="P438" i="39"/>
  <c r="P387" i="39"/>
  <c r="P495" i="39"/>
  <c r="P530" i="39"/>
  <c r="P457" i="39"/>
  <c r="P458" i="39"/>
  <c r="P461" i="39"/>
  <c r="P462" i="39"/>
  <c r="P463" i="39"/>
  <c r="P365" i="39"/>
  <c r="P465" i="39"/>
  <c r="P466" i="39"/>
  <c r="P468" i="39"/>
  <c r="P400" i="39"/>
  <c r="P469" i="39"/>
  <c r="P470" i="39"/>
  <c r="P439" i="39"/>
  <c r="P406" i="39"/>
  <c r="P488" i="39"/>
  <c r="P548" i="39"/>
  <c r="P475" i="39"/>
  <c r="P478" i="39"/>
  <c r="P479" i="39"/>
  <c r="P14" i="39"/>
  <c r="P481" i="39"/>
  <c r="P482" i="39"/>
  <c r="P483" i="39"/>
  <c r="P67" i="39"/>
  <c r="P485" i="39"/>
  <c r="P486" i="39"/>
  <c r="P487" i="39"/>
  <c r="P149" i="39"/>
  <c r="P65" i="39"/>
  <c r="P257" i="39"/>
  <c r="P277" i="39"/>
  <c r="P492" i="39"/>
  <c r="P493" i="39"/>
  <c r="P494" i="39"/>
  <c r="P497" i="39"/>
  <c r="P498" i="39"/>
  <c r="P499" i="39"/>
  <c r="P382" i="39"/>
  <c r="P501" i="39"/>
  <c r="P502" i="39"/>
  <c r="P503" i="39"/>
  <c r="P505" i="39"/>
  <c r="P506" i="39"/>
  <c r="P443" i="39"/>
  <c r="P413" i="39"/>
  <c r="P454" i="39"/>
  <c r="P450" i="39"/>
  <c r="P554" i="39"/>
  <c r="P511" i="39"/>
  <c r="P512" i="39"/>
  <c r="P513" i="39"/>
  <c r="P514" i="39"/>
  <c r="P515" i="39"/>
  <c r="P518" i="39"/>
  <c r="P3" i="39"/>
  <c r="P520" i="39"/>
  <c r="P521" i="39"/>
  <c r="P522" i="39"/>
  <c r="P64" i="39"/>
  <c r="P524" i="39"/>
  <c r="P525" i="39"/>
  <c r="P526" i="39"/>
  <c r="P285" i="39"/>
  <c r="P131" i="39"/>
  <c r="P347" i="39"/>
  <c r="P531" i="39"/>
  <c r="P532" i="39"/>
  <c r="P533" i="39"/>
  <c r="P534" i="39"/>
  <c r="P535" i="39"/>
  <c r="P61" i="39"/>
  <c r="P538" i="39"/>
  <c r="P539" i="39"/>
  <c r="P15" i="39"/>
  <c r="P541" i="39"/>
  <c r="P542" i="39"/>
  <c r="P543" i="39"/>
  <c r="P73" i="39"/>
  <c r="P545" i="39"/>
  <c r="P546" i="39"/>
  <c r="P113" i="39"/>
  <c r="P106" i="39"/>
  <c r="P327" i="39"/>
  <c r="P312" i="39"/>
  <c r="P551" i="39"/>
  <c r="P552" i="39"/>
  <c r="P555" i="39"/>
  <c r="P556" i="39"/>
  <c r="P38" i="39"/>
  <c r="P558" i="39"/>
  <c r="P559" i="39"/>
  <c r="P560" i="39"/>
  <c r="P193" i="39"/>
  <c r="P562" i="39"/>
  <c r="P563" i="39"/>
  <c r="P564" i="39"/>
  <c r="P135" i="39"/>
  <c r="P171" i="39"/>
  <c r="P570" i="39"/>
  <c r="P329" i="39"/>
  <c r="P569" i="39"/>
  <c r="O5" i="39"/>
  <c r="O9" i="39"/>
  <c r="O7" i="39"/>
  <c r="O49" i="39"/>
  <c r="O8" i="39"/>
  <c r="O82" i="39"/>
  <c r="O11" i="39"/>
  <c r="O12" i="39"/>
  <c r="O13" i="39"/>
  <c r="O51" i="39"/>
  <c r="O153" i="39"/>
  <c r="O263" i="39"/>
  <c r="O289" i="39"/>
  <c r="O18" i="39"/>
  <c r="O19" i="39"/>
  <c r="O22" i="39"/>
  <c r="O23" i="39"/>
  <c r="O17" i="39"/>
  <c r="O25" i="39"/>
  <c r="O26" i="39"/>
  <c r="O181" i="39"/>
  <c r="O28" i="39"/>
  <c r="O29" i="39"/>
  <c r="O30" i="39"/>
  <c r="O102" i="39"/>
  <c r="O93" i="39"/>
  <c r="O241" i="39"/>
  <c r="O348" i="39"/>
  <c r="O35" i="39"/>
  <c r="O36" i="39"/>
  <c r="O39" i="39"/>
  <c r="O50" i="39"/>
  <c r="O41" i="39"/>
  <c r="O42" i="39"/>
  <c r="O43" i="39"/>
  <c r="O44" i="39"/>
  <c r="O56" i="39"/>
  <c r="O46" i="39"/>
  <c r="O47" i="39"/>
  <c r="O120" i="39"/>
  <c r="O172" i="39"/>
  <c r="O221" i="39"/>
  <c r="O264" i="39"/>
  <c r="O52" i="39"/>
  <c r="O53" i="39"/>
  <c r="O54" i="39"/>
  <c r="O57" i="39"/>
  <c r="O364" i="39"/>
  <c r="O59" i="39"/>
  <c r="O60" i="39"/>
  <c r="O432" i="39"/>
  <c r="O62" i="39"/>
  <c r="O63" i="39"/>
  <c r="O471" i="39"/>
  <c r="O455" i="39"/>
  <c r="O509" i="39"/>
  <c r="O549" i="39"/>
  <c r="O68" i="39"/>
  <c r="O69" i="39"/>
  <c r="O72" i="39"/>
  <c r="O74" i="39"/>
  <c r="O373" i="39"/>
  <c r="O75" i="39"/>
  <c r="O76" i="39"/>
  <c r="O394" i="39"/>
  <c r="O78" i="39"/>
  <c r="O79" i="39"/>
  <c r="O80" i="39"/>
  <c r="O377" i="39"/>
  <c r="O446" i="39"/>
  <c r="O517" i="39"/>
  <c r="O508" i="39"/>
  <c r="O85" i="39"/>
  <c r="O86" i="39"/>
  <c r="O87" i="39"/>
  <c r="O88" i="39"/>
  <c r="O91" i="39"/>
  <c r="O92" i="39"/>
  <c r="O370" i="39"/>
  <c r="O94" i="39"/>
  <c r="O95" i="39"/>
  <c r="O96" i="39"/>
  <c r="O98" i="39"/>
  <c r="O386" i="39"/>
  <c r="O99" i="39"/>
  <c r="O381" i="39"/>
  <c r="O442" i="39"/>
  <c r="O523" i="39"/>
  <c r="O510" i="39"/>
  <c r="O104" i="39"/>
  <c r="O105" i="39"/>
  <c r="O108" i="39"/>
  <c r="O27" i="39"/>
  <c r="O111" i="39"/>
  <c r="O112" i="39"/>
  <c r="O97" i="39"/>
  <c r="O114" i="39"/>
  <c r="O115" i="39"/>
  <c r="O116" i="39"/>
  <c r="O81" i="39"/>
  <c r="O134" i="39"/>
  <c r="O197" i="39"/>
  <c r="O249" i="39"/>
  <c r="O121" i="39"/>
  <c r="O122" i="39"/>
  <c r="O125" i="39"/>
  <c r="O126" i="39"/>
  <c r="O4" i="39"/>
  <c r="O128" i="39"/>
  <c r="O129" i="39"/>
  <c r="O130" i="39"/>
  <c r="O31" i="39"/>
  <c r="O132" i="39"/>
  <c r="O133" i="39"/>
  <c r="O123" i="39"/>
  <c r="O174" i="39"/>
  <c r="O188" i="39"/>
  <c r="O337" i="39"/>
  <c r="O138" i="39"/>
  <c r="O139" i="39"/>
  <c r="O140" i="39"/>
  <c r="O141" i="39"/>
  <c r="O144" i="39"/>
  <c r="O16" i="39"/>
  <c r="O147" i="39"/>
  <c r="O146" i="39"/>
  <c r="O148" i="39"/>
  <c r="O165" i="39"/>
  <c r="O150" i="39"/>
  <c r="O151" i="39"/>
  <c r="O152" i="39"/>
  <c r="O66" i="39"/>
  <c r="O293" i="39"/>
  <c r="O266" i="39"/>
  <c r="O157" i="39"/>
  <c r="O107" i="39"/>
  <c r="O160" i="39"/>
  <c r="O40" i="39"/>
  <c r="O162" i="39"/>
  <c r="O163" i="39"/>
  <c r="O164" i="39"/>
  <c r="O185" i="39"/>
  <c r="O166" i="39"/>
  <c r="O167" i="39"/>
  <c r="O168" i="39"/>
  <c r="O117" i="39"/>
  <c r="O154" i="39"/>
  <c r="O251" i="39"/>
  <c r="O333" i="39"/>
  <c r="O173" i="39"/>
  <c r="O176" i="39"/>
  <c r="O21" i="39"/>
  <c r="O178" i="39"/>
  <c r="O179" i="39"/>
  <c r="O180" i="39"/>
  <c r="O118" i="39"/>
  <c r="O182" i="39"/>
  <c r="O183" i="39"/>
  <c r="O184" i="39"/>
  <c r="O48" i="39"/>
  <c r="O186" i="39"/>
  <c r="O243" i="39"/>
  <c r="O303" i="39"/>
  <c r="O189" i="39"/>
  <c r="O192" i="39"/>
  <c r="O362" i="39"/>
  <c r="O194" i="39"/>
  <c r="O195" i="39"/>
  <c r="O196" i="39"/>
  <c r="O428" i="39"/>
  <c r="O198" i="39"/>
  <c r="O199" i="39"/>
  <c r="O200" i="39"/>
  <c r="O379" i="39"/>
  <c r="O459" i="39"/>
  <c r="O550" i="39"/>
  <c r="O205" i="39"/>
  <c r="O206" i="39"/>
  <c r="O484" i="39"/>
  <c r="O207" i="39"/>
  <c r="O210" i="39"/>
  <c r="O211" i="39"/>
  <c r="O359" i="39"/>
  <c r="O213" i="39"/>
  <c r="O214" i="39"/>
  <c r="O215" i="39"/>
  <c r="O216" i="39"/>
  <c r="O420" i="39"/>
  <c r="O218" i="39"/>
  <c r="O219" i="39"/>
  <c r="O220" i="39"/>
  <c r="O405" i="39"/>
  <c r="O418" i="39"/>
  <c r="O516" i="39"/>
  <c r="O547" i="39"/>
  <c r="O225" i="39"/>
  <c r="O226" i="39"/>
  <c r="O227" i="39"/>
  <c r="O228" i="39"/>
  <c r="O231" i="39"/>
  <c r="O232" i="39"/>
  <c r="O33" i="39"/>
  <c r="O234" i="39"/>
  <c r="O235" i="39"/>
  <c r="O236" i="39"/>
  <c r="O71" i="39"/>
  <c r="O238" i="39"/>
  <c r="O239" i="39"/>
  <c r="O240" i="39"/>
  <c r="O155" i="39"/>
  <c r="O110" i="39"/>
  <c r="O244" i="39"/>
  <c r="O316" i="39"/>
  <c r="O245" i="39"/>
  <c r="O246" i="39"/>
  <c r="O247" i="39"/>
  <c r="O250" i="39"/>
  <c r="O352" i="39"/>
  <c r="O252" i="39"/>
  <c r="O253" i="39"/>
  <c r="O449" i="39"/>
  <c r="O425" i="39"/>
  <c r="O255" i="39"/>
  <c r="O256" i="39"/>
  <c r="O436" i="39"/>
  <c r="O258" i="39"/>
  <c r="O568" i="39"/>
  <c r="O527" i="39"/>
  <c r="O261" i="39"/>
  <c r="O399" i="39"/>
  <c r="O265" i="39"/>
  <c r="O20" i="39"/>
  <c r="O267" i="39"/>
  <c r="O269" i="39"/>
  <c r="O268" i="39"/>
  <c r="O83" i="39"/>
  <c r="O271" i="39"/>
  <c r="O272" i="39"/>
  <c r="O273" i="39"/>
  <c r="O158" i="39"/>
  <c r="O190" i="39"/>
  <c r="O341" i="39"/>
  <c r="O278" i="39"/>
  <c r="O279" i="39"/>
  <c r="O280" i="39"/>
  <c r="O281" i="39"/>
  <c r="O100" i="39"/>
  <c r="O284" i="39"/>
  <c r="O363" i="39"/>
  <c r="O286" i="39"/>
  <c r="O287" i="39"/>
  <c r="O426" i="39"/>
  <c r="O290" i="39"/>
  <c r="O291" i="39"/>
  <c r="O292" i="39"/>
  <c r="O401" i="39"/>
  <c r="O409" i="39"/>
  <c r="O519" i="39"/>
  <c r="O553" i="39"/>
  <c r="O297" i="39"/>
  <c r="O298" i="39"/>
  <c r="O301" i="39"/>
  <c r="O302" i="39"/>
  <c r="O351" i="39"/>
  <c r="O304" i="39"/>
  <c r="O305" i="39"/>
  <c r="O419" i="39"/>
  <c r="O307" i="39"/>
  <c r="O308" i="39"/>
  <c r="O309" i="39"/>
  <c r="O380" i="39"/>
  <c r="O453" i="39"/>
  <c r="O473" i="39"/>
  <c r="O557" i="39"/>
  <c r="O314" i="39"/>
  <c r="O315" i="39"/>
  <c r="O318" i="39"/>
  <c r="O319" i="39"/>
  <c r="O45" i="39"/>
  <c r="O321" i="39"/>
  <c r="O322" i="39"/>
  <c r="O323" i="39"/>
  <c r="O170" i="39"/>
  <c r="O325" i="39"/>
  <c r="O326" i="39"/>
  <c r="O101" i="39"/>
  <c r="O208" i="39"/>
  <c r="O233" i="39"/>
  <c r="O310" i="39"/>
  <c r="O331" i="39"/>
  <c r="O332" i="39"/>
  <c r="O335" i="39"/>
  <c r="O336" i="39"/>
  <c r="O24" i="39"/>
  <c r="O338" i="39"/>
  <c r="O339" i="39"/>
  <c r="O340" i="39"/>
  <c r="O119" i="39"/>
  <c r="O342" i="39"/>
  <c r="O343" i="39"/>
  <c r="O344" i="39"/>
  <c r="O89" i="39"/>
  <c r="O90" i="39"/>
  <c r="O270" i="39"/>
  <c r="O320" i="39"/>
  <c r="O349" i="39"/>
  <c r="O350" i="39"/>
  <c r="O353" i="39"/>
  <c r="O354" i="39"/>
  <c r="O32" i="39"/>
  <c r="O357" i="39"/>
  <c r="O358" i="39"/>
  <c r="O356" i="39"/>
  <c r="O142" i="39"/>
  <c r="O360" i="39"/>
  <c r="O361" i="39"/>
  <c r="O84" i="39"/>
  <c r="O145" i="39"/>
  <c r="O209" i="39"/>
  <c r="O262" i="39"/>
  <c r="O366" i="39"/>
  <c r="O367" i="39"/>
  <c r="O368" i="39"/>
  <c r="O371" i="39"/>
  <c r="O372" i="39"/>
  <c r="O369" i="39"/>
  <c r="O374" i="39"/>
  <c r="O375" i="39"/>
  <c r="O376" i="39"/>
  <c r="O398" i="39"/>
  <c r="O378" i="39"/>
  <c r="O437" i="39"/>
  <c r="O417" i="39"/>
  <c r="O472" i="39"/>
  <c r="O566" i="39"/>
  <c r="O383" i="39"/>
  <c r="O384" i="39"/>
  <c r="O385" i="39"/>
  <c r="O388" i="39"/>
  <c r="O389" i="39"/>
  <c r="O34" i="39"/>
  <c r="O391" i="39"/>
  <c r="O392" i="39"/>
  <c r="O393" i="39"/>
  <c r="O177" i="39"/>
  <c r="O397" i="39"/>
  <c r="O395" i="39"/>
  <c r="O396" i="39"/>
  <c r="O55" i="39"/>
  <c r="O70" i="39"/>
  <c r="O260" i="39"/>
  <c r="O296" i="39"/>
  <c r="O402" i="39"/>
  <c r="O403" i="39"/>
  <c r="O404" i="39"/>
  <c r="O407" i="39"/>
  <c r="O408" i="39"/>
  <c r="O411" i="39"/>
  <c r="O410" i="39"/>
  <c r="O10" i="39"/>
  <c r="O412" i="39"/>
  <c r="O127" i="39"/>
  <c r="O414" i="39"/>
  <c r="O415" i="39"/>
  <c r="O416" i="39"/>
  <c r="O103" i="39"/>
  <c r="O202" i="39"/>
  <c r="O283" i="39"/>
  <c r="O421" i="39"/>
  <c r="O422" i="39"/>
  <c r="O423" i="39"/>
  <c r="O424" i="39"/>
  <c r="O37" i="39"/>
  <c r="O427" i="39"/>
  <c r="O6" i="39"/>
  <c r="O429" i="39"/>
  <c r="O430" i="39"/>
  <c r="O431" i="39"/>
  <c r="O124" i="39"/>
  <c r="O433" i="39"/>
  <c r="O434" i="39"/>
  <c r="O435" i="39"/>
  <c r="O143" i="39"/>
  <c r="O77" i="39"/>
  <c r="O275" i="39"/>
  <c r="O346" i="39"/>
  <c r="O440" i="39"/>
  <c r="O441" i="39"/>
  <c r="O444" i="39"/>
  <c r="O445" i="39"/>
  <c r="O355" i="39"/>
  <c r="O447" i="39"/>
  <c r="O448" i="39"/>
  <c r="O390" i="39"/>
  <c r="O451" i="39"/>
  <c r="O452" i="39"/>
  <c r="O438" i="39"/>
  <c r="O387" i="39"/>
  <c r="O495" i="39"/>
  <c r="O530" i="39"/>
  <c r="O457" i="39"/>
  <c r="O458" i="39"/>
  <c r="O461" i="39"/>
  <c r="O462" i="39"/>
  <c r="O463" i="39"/>
  <c r="O365" i="39"/>
  <c r="O465" i="39"/>
  <c r="O466" i="39"/>
  <c r="O468" i="39"/>
  <c r="O400" i="39"/>
  <c r="O469" i="39"/>
  <c r="O470" i="39"/>
  <c r="O439" i="39"/>
  <c r="O406" i="39"/>
  <c r="O488" i="39"/>
  <c r="O548" i="39"/>
  <c r="O475" i="39"/>
  <c r="O478" i="39"/>
  <c r="O479" i="39"/>
  <c r="O14" i="39"/>
  <c r="O481" i="39"/>
  <c r="O482" i="39"/>
  <c r="O483" i="39"/>
  <c r="O67" i="39"/>
  <c r="O485" i="39"/>
  <c r="O486" i="39"/>
  <c r="O487" i="39"/>
  <c r="O149" i="39"/>
  <c r="O65" i="39"/>
  <c r="O257" i="39"/>
  <c r="O277" i="39"/>
  <c r="O492" i="39"/>
  <c r="O493" i="39"/>
  <c r="O494" i="39"/>
  <c r="O497" i="39"/>
  <c r="O498" i="39"/>
  <c r="O499" i="39"/>
  <c r="O382" i="39"/>
  <c r="O501" i="39"/>
  <c r="O502" i="39"/>
  <c r="O503" i="39"/>
  <c r="O505" i="39"/>
  <c r="O506" i="39"/>
  <c r="O443" i="39"/>
  <c r="O413" i="39"/>
  <c r="O454" i="39"/>
  <c r="O450" i="39"/>
  <c r="O554" i="39"/>
  <c r="O511" i="39"/>
  <c r="O512" i="39"/>
  <c r="O513" i="39"/>
  <c r="O514" i="39"/>
  <c r="O515" i="39"/>
  <c r="O518" i="39"/>
  <c r="O3" i="39"/>
  <c r="O520" i="39"/>
  <c r="O521" i="39"/>
  <c r="O522" i="39"/>
  <c r="O64" i="39"/>
  <c r="O524" i="39"/>
  <c r="O525" i="39"/>
  <c r="O526" i="39"/>
  <c r="O285" i="39"/>
  <c r="O131" i="39"/>
  <c r="O347" i="39"/>
  <c r="O531" i="39"/>
  <c r="O532" i="39"/>
  <c r="O533" i="39"/>
  <c r="O534" i="39"/>
  <c r="O535" i="39"/>
  <c r="O61" i="39"/>
  <c r="O538" i="39"/>
  <c r="O539" i="39"/>
  <c r="O15" i="39"/>
  <c r="O541" i="39"/>
  <c r="O542" i="39"/>
  <c r="O543" i="39"/>
  <c r="O73" i="39"/>
  <c r="O545" i="39"/>
  <c r="O546" i="39"/>
  <c r="O113" i="39"/>
  <c r="O106" i="39"/>
  <c r="O327" i="39"/>
  <c r="O312" i="39"/>
  <c r="O551" i="39"/>
  <c r="O552" i="39"/>
  <c r="O555" i="39"/>
  <c r="O556" i="39"/>
  <c r="O38" i="39"/>
  <c r="O558" i="39"/>
  <c r="O559" i="39"/>
  <c r="O560" i="39"/>
  <c r="O193" i="39"/>
  <c r="O562" i="39"/>
  <c r="O563" i="39"/>
  <c r="O564" i="39"/>
  <c r="O135" i="39"/>
  <c r="O171" i="39"/>
  <c r="O570" i="39"/>
  <c r="O329" i="39"/>
  <c r="O569" i="39"/>
  <c r="AI534" i="1"/>
  <c r="AJ534" i="1"/>
  <c r="AI424" i="1"/>
  <c r="AJ424" i="1"/>
  <c r="AI204" i="1"/>
  <c r="AJ204" i="1"/>
  <c r="AI138" i="1"/>
  <c r="AJ138" i="1"/>
  <c r="AI248" i="1"/>
  <c r="AJ248" i="1"/>
  <c r="AI182" i="1"/>
  <c r="AJ182" i="1"/>
  <c r="AI116" i="1"/>
  <c r="AJ116" i="1"/>
  <c r="AI402" i="1"/>
  <c r="AJ402" i="1"/>
  <c r="AI50" i="1"/>
  <c r="AJ50" i="1"/>
  <c r="AI336" i="1"/>
  <c r="AJ336" i="1"/>
  <c r="AI380" i="1"/>
  <c r="AJ380" i="1"/>
  <c r="AI292" i="1"/>
  <c r="AJ292" i="1"/>
  <c r="AI314" i="1"/>
  <c r="AJ314" i="1"/>
  <c r="AI622" i="1"/>
  <c r="AJ622" i="1"/>
  <c r="AI556" i="1"/>
  <c r="AJ556" i="1"/>
  <c r="AI644" i="1"/>
  <c r="AJ644" i="1"/>
  <c r="AI358" i="1"/>
  <c r="AJ358" i="1"/>
  <c r="AI512" i="1"/>
  <c r="AJ512" i="1"/>
  <c r="AI468" i="1"/>
  <c r="AJ468" i="1"/>
  <c r="AI94" i="1"/>
  <c r="AJ94" i="1"/>
  <c r="AI226" i="1"/>
  <c r="AJ226" i="1"/>
  <c r="AI160" i="1"/>
  <c r="AJ160" i="1"/>
  <c r="AI490" i="1"/>
  <c r="AJ490" i="1"/>
  <c r="AI72" i="1"/>
  <c r="AJ72" i="1"/>
  <c r="AI270" i="1"/>
  <c r="AJ270" i="1"/>
  <c r="AI666" i="1"/>
  <c r="AJ666" i="1"/>
  <c r="AI688" i="1"/>
  <c r="AJ688" i="1"/>
  <c r="AI28" i="1"/>
  <c r="AJ28" i="1"/>
  <c r="AI446" i="1"/>
  <c r="AJ446" i="1"/>
  <c r="AI578" i="1"/>
  <c r="AJ578" i="1"/>
  <c r="AI600" i="1"/>
  <c r="AJ600" i="1"/>
  <c r="AI6" i="1"/>
  <c r="AJ6" i="1"/>
  <c r="AI269" i="1"/>
  <c r="AJ269" i="1"/>
  <c r="AI313" i="1"/>
  <c r="AJ313" i="1"/>
  <c r="AI335" i="1"/>
  <c r="AJ335" i="1"/>
  <c r="AI511" i="1"/>
  <c r="AJ511" i="1"/>
  <c r="AI357" i="1"/>
  <c r="AJ357" i="1"/>
  <c r="AI203" i="1"/>
  <c r="AJ203" i="1"/>
  <c r="R65" i="1"/>
  <c r="AM40" i="3" s="1"/>
  <c r="Z40" i="38" s="1"/>
  <c r="AI49" i="1"/>
  <c r="AJ49" i="1"/>
  <c r="AI225" i="1"/>
  <c r="AJ225" i="1"/>
  <c r="AI181" i="1"/>
  <c r="AJ181" i="1"/>
  <c r="AI115" i="1"/>
  <c r="AJ115" i="1"/>
  <c r="AI93" i="1"/>
  <c r="AJ93" i="1"/>
  <c r="AI27" i="1"/>
  <c r="AJ27" i="1"/>
  <c r="AI5" i="1"/>
  <c r="AJ5" i="1"/>
  <c r="AI621" i="1"/>
  <c r="AJ621" i="1"/>
  <c r="AI599" i="1"/>
  <c r="AJ599" i="1"/>
  <c r="AI489" i="1"/>
  <c r="AJ489" i="1"/>
  <c r="AI401" i="1"/>
  <c r="AJ401" i="1"/>
  <c r="S703" i="1"/>
  <c r="AU69" i="3" s="1"/>
  <c r="AH69" i="38" s="1"/>
  <c r="AI687" i="1"/>
  <c r="AJ687" i="1"/>
  <c r="AI643" i="1"/>
  <c r="AJ643" i="1"/>
  <c r="AI533" i="1"/>
  <c r="AJ533" i="1"/>
  <c r="AI379" i="1"/>
  <c r="AJ379" i="1"/>
  <c r="AI555" i="1"/>
  <c r="AJ555" i="1"/>
  <c r="AI577" i="1"/>
  <c r="AJ577" i="1"/>
  <c r="AI467" i="1"/>
  <c r="AJ467" i="1"/>
  <c r="AI137" i="1"/>
  <c r="AJ137" i="1"/>
  <c r="AI445" i="1"/>
  <c r="AJ445" i="1"/>
  <c r="AI665" i="1"/>
  <c r="AJ665" i="1"/>
  <c r="AI291" i="1"/>
  <c r="AJ291" i="1"/>
  <c r="AI247" i="1"/>
  <c r="AJ247" i="1"/>
  <c r="AI159" i="1"/>
  <c r="AJ159" i="1"/>
  <c r="AI423" i="1"/>
  <c r="AJ423" i="1"/>
  <c r="AI71" i="1"/>
  <c r="AJ71" i="1"/>
  <c r="AI48" i="1"/>
  <c r="AJ48" i="1"/>
  <c r="AI158" i="1"/>
  <c r="AJ158" i="1"/>
  <c r="AI334" i="1"/>
  <c r="AJ334" i="1"/>
  <c r="AI554" i="1"/>
  <c r="AJ554" i="1"/>
  <c r="AI400" i="1"/>
  <c r="AJ400" i="1"/>
  <c r="AI356" i="1"/>
  <c r="AJ356" i="1"/>
  <c r="AI444" i="1"/>
  <c r="AJ444" i="1"/>
  <c r="AI26" i="1"/>
  <c r="AJ26" i="1"/>
  <c r="AI4" i="1"/>
  <c r="AJ4" i="1"/>
  <c r="AI92" i="1"/>
  <c r="AJ92" i="1"/>
  <c r="AI202" i="1"/>
  <c r="AJ202" i="1"/>
  <c r="AI290" i="1"/>
  <c r="AJ290" i="1"/>
  <c r="AI268" i="1"/>
  <c r="AJ268" i="1"/>
  <c r="AI642" i="1"/>
  <c r="AJ642" i="1"/>
  <c r="AI598" i="1"/>
  <c r="AJ598" i="1"/>
  <c r="AI576" i="1"/>
  <c r="AJ576" i="1"/>
  <c r="AI422" i="1"/>
  <c r="AJ422" i="1"/>
  <c r="AI466" i="1"/>
  <c r="AJ466" i="1"/>
  <c r="AI70" i="1"/>
  <c r="AJ70" i="1"/>
  <c r="AI532" i="1"/>
  <c r="AJ532" i="1"/>
  <c r="AI488" i="1"/>
  <c r="AJ488" i="1"/>
  <c r="AI620" i="1"/>
  <c r="AJ620" i="1"/>
  <c r="T637" i="1"/>
  <c r="AV66" i="3" s="1"/>
  <c r="AI66" i="38" s="1"/>
  <c r="AI664" i="1"/>
  <c r="AJ664" i="1"/>
  <c r="AI378" i="1"/>
  <c r="AJ378" i="1"/>
  <c r="U395" i="1"/>
  <c r="BD20" i="3" s="1"/>
  <c r="AI114" i="1"/>
  <c r="AJ114" i="1"/>
  <c r="AI224" i="1"/>
  <c r="AJ224" i="1"/>
  <c r="AI510" i="1"/>
  <c r="AJ510" i="1"/>
  <c r="AI180" i="1"/>
  <c r="AJ180" i="1"/>
  <c r="AI312" i="1"/>
  <c r="AJ312" i="1"/>
  <c r="AI136" i="1"/>
  <c r="AJ136" i="1"/>
  <c r="AI246" i="1"/>
  <c r="AJ246" i="1"/>
  <c r="AI686" i="1"/>
  <c r="AJ686" i="1"/>
  <c r="R417" i="1"/>
  <c r="AM56" i="3" s="1"/>
  <c r="Z56" i="38" s="1"/>
  <c r="AI377" i="1"/>
  <c r="AJ377" i="1"/>
  <c r="AI157" i="1"/>
  <c r="AJ157" i="1"/>
  <c r="AJ531" i="1"/>
  <c r="AJ509" i="1"/>
  <c r="AJ487" i="1"/>
  <c r="AJ465" i="1"/>
  <c r="AJ443" i="1"/>
  <c r="AJ421" i="1"/>
  <c r="AJ399" i="1"/>
  <c r="AJ311" i="1"/>
  <c r="AJ289" i="1"/>
  <c r="AJ267" i="1"/>
  <c r="AJ245" i="1"/>
  <c r="AJ223" i="1"/>
  <c r="AJ201" i="1"/>
  <c r="AJ135" i="1"/>
  <c r="AJ113" i="1"/>
  <c r="AJ91" i="1"/>
  <c r="AJ69" i="1"/>
  <c r="AJ47" i="1"/>
  <c r="AJ3" i="1"/>
  <c r="AJ25" i="1"/>
  <c r="AJ179" i="1"/>
  <c r="AJ685" i="1"/>
  <c r="AJ663" i="1"/>
  <c r="AJ641" i="1"/>
  <c r="AJ619" i="1"/>
  <c r="AJ597" i="1"/>
  <c r="AJ575" i="1"/>
  <c r="AJ553" i="1"/>
  <c r="AJ355" i="1"/>
  <c r="AJ333" i="1"/>
  <c r="AH703" i="1"/>
  <c r="E69" i="3" s="1"/>
  <c r="E69" i="38" s="1"/>
  <c r="AG703" i="1"/>
  <c r="BF69" i="3" s="1"/>
  <c r="AF703" i="1"/>
  <c r="BF34" i="3" s="1"/>
  <c r="AE703" i="1"/>
  <c r="AW69" i="3" s="1"/>
  <c r="AJ69" i="38" s="1"/>
  <c r="AD703" i="1"/>
  <c r="AN69" i="3" s="1"/>
  <c r="AA69" i="38" s="1"/>
  <c r="AC703" i="1"/>
  <c r="AW34" i="3" s="1"/>
  <c r="AJ34" i="38" s="1"/>
  <c r="AB703" i="1"/>
  <c r="AN34" i="3" s="1"/>
  <c r="AA34" i="38" s="1"/>
  <c r="AA703" i="1"/>
  <c r="AE69" i="3" s="1"/>
  <c r="Z703" i="1"/>
  <c r="R69" i="3" s="1"/>
  <c r="Y703" i="1"/>
  <c r="R34" i="3" s="1"/>
  <c r="R34" i="38" s="1"/>
  <c r="X703" i="1"/>
  <c r="BE69" i="3" s="1"/>
  <c r="W703" i="1"/>
  <c r="BD69" i="3" s="1"/>
  <c r="V703" i="1"/>
  <c r="BE34" i="3" s="1"/>
  <c r="U703" i="1"/>
  <c r="BD34" i="3" s="1"/>
  <c r="T703" i="1"/>
  <c r="AV69" i="3" s="1"/>
  <c r="AI69" i="38" s="1"/>
  <c r="R703" i="1"/>
  <c r="AM69" i="3" s="1"/>
  <c r="Z69" i="38" s="1"/>
  <c r="Q703" i="1"/>
  <c r="AL69" i="3" s="1"/>
  <c r="Y69" i="38" s="1"/>
  <c r="P703" i="1"/>
  <c r="AV34" i="3" s="1"/>
  <c r="AI34" i="38" s="1"/>
  <c r="O703" i="1"/>
  <c r="AU34" i="3" s="1"/>
  <c r="AH34" i="38" s="1"/>
  <c r="N703" i="1"/>
  <c r="AM34" i="3" s="1"/>
  <c r="Z34" i="38" s="1"/>
  <c r="M703" i="1"/>
  <c r="AL34" i="3" s="1"/>
  <c r="Y34" i="38" s="1"/>
  <c r="L703" i="1"/>
  <c r="AC69" i="3" s="1"/>
  <c r="K703" i="1"/>
  <c r="AB69" i="3" s="1"/>
  <c r="J703" i="1"/>
  <c r="P69" i="3" s="1"/>
  <c r="I703" i="1"/>
  <c r="O69" i="3" s="1"/>
  <c r="H703" i="1"/>
  <c r="G703" i="1"/>
  <c r="AA69" i="3" s="1"/>
  <c r="F703" i="1"/>
  <c r="N69" i="3" s="1"/>
  <c r="E703" i="1"/>
  <c r="O34" i="3" s="1"/>
  <c r="O34" i="38" s="1"/>
  <c r="D703" i="1"/>
  <c r="Q34" i="3" s="1"/>
  <c r="Q34" i="38" s="1"/>
  <c r="C703" i="1"/>
  <c r="N34" i="3" s="1"/>
  <c r="N34" i="38" s="1"/>
  <c r="AI685" i="1"/>
  <c r="AH681" i="1"/>
  <c r="E68" i="3" s="1"/>
  <c r="E68" i="38" s="1"/>
  <c r="AG681" i="1"/>
  <c r="BF68" i="3" s="1"/>
  <c r="AF681" i="1"/>
  <c r="BF33" i="3" s="1"/>
  <c r="AE681" i="1"/>
  <c r="AW68" i="3" s="1"/>
  <c r="AJ68" i="38" s="1"/>
  <c r="AD681" i="1"/>
  <c r="AN68" i="3" s="1"/>
  <c r="AA68" i="38" s="1"/>
  <c r="AC681" i="1"/>
  <c r="AW33" i="3" s="1"/>
  <c r="AJ33" i="38" s="1"/>
  <c r="AB681" i="1"/>
  <c r="AN33" i="3" s="1"/>
  <c r="AA33" i="38" s="1"/>
  <c r="AA681" i="1"/>
  <c r="AE68" i="3" s="1"/>
  <c r="Z681" i="1"/>
  <c r="R68" i="3" s="1"/>
  <c r="Y681" i="1"/>
  <c r="R33" i="3" s="1"/>
  <c r="R33" i="38" s="1"/>
  <c r="X681" i="1"/>
  <c r="BE68" i="3" s="1"/>
  <c r="W681" i="1"/>
  <c r="BD68" i="3" s="1"/>
  <c r="V681" i="1"/>
  <c r="BE33" i="3" s="1"/>
  <c r="U681" i="1"/>
  <c r="BD33" i="3" s="1"/>
  <c r="T681" i="1"/>
  <c r="AV68" i="3" s="1"/>
  <c r="AI68" i="38" s="1"/>
  <c r="S681" i="1"/>
  <c r="AU68" i="3" s="1"/>
  <c r="AH68" i="38" s="1"/>
  <c r="R681" i="1"/>
  <c r="AM68" i="3" s="1"/>
  <c r="Z68" i="38" s="1"/>
  <c r="Q681" i="1"/>
  <c r="AL68" i="3" s="1"/>
  <c r="Y68" i="38" s="1"/>
  <c r="P681" i="1"/>
  <c r="AV33" i="3" s="1"/>
  <c r="AI33" i="38" s="1"/>
  <c r="O681" i="1"/>
  <c r="AU33" i="3" s="1"/>
  <c r="AH33" i="38" s="1"/>
  <c r="N681" i="1"/>
  <c r="AM33" i="3" s="1"/>
  <c r="Z33" i="38" s="1"/>
  <c r="M681" i="1"/>
  <c r="AL33" i="3" s="1"/>
  <c r="Y33" i="38" s="1"/>
  <c r="L681" i="1"/>
  <c r="AC68" i="3" s="1"/>
  <c r="K681" i="1"/>
  <c r="AB68" i="3" s="1"/>
  <c r="J681" i="1"/>
  <c r="P68" i="3" s="1"/>
  <c r="I681" i="1"/>
  <c r="O68" i="3" s="1"/>
  <c r="H681" i="1"/>
  <c r="G681" i="1"/>
  <c r="AA68" i="3" s="1"/>
  <c r="F681" i="1"/>
  <c r="N68" i="3" s="1"/>
  <c r="E681" i="1"/>
  <c r="O33" i="3" s="1"/>
  <c r="O33" i="38" s="1"/>
  <c r="D681" i="1"/>
  <c r="Q33" i="3" s="1"/>
  <c r="Q33" i="38" s="1"/>
  <c r="C681" i="1"/>
  <c r="N33" i="3" s="1"/>
  <c r="N33" i="38" s="1"/>
  <c r="AI663" i="1"/>
  <c r="AH659" i="1"/>
  <c r="E67" i="3" s="1"/>
  <c r="E67" i="38" s="1"/>
  <c r="AG659" i="1"/>
  <c r="BF67" i="3" s="1"/>
  <c r="AF659" i="1"/>
  <c r="BF32" i="3" s="1"/>
  <c r="AE659" i="1"/>
  <c r="AW67" i="3" s="1"/>
  <c r="AJ67" i="38" s="1"/>
  <c r="AD659" i="1"/>
  <c r="AN67" i="3" s="1"/>
  <c r="AA67" i="38" s="1"/>
  <c r="AC659" i="1"/>
  <c r="AW32" i="3" s="1"/>
  <c r="AJ32" i="38" s="1"/>
  <c r="AB659" i="1"/>
  <c r="AN32" i="3" s="1"/>
  <c r="AA32" i="38" s="1"/>
  <c r="AA659" i="1"/>
  <c r="AE67" i="3" s="1"/>
  <c r="Z659" i="1"/>
  <c r="R67" i="3" s="1"/>
  <c r="Y659" i="1"/>
  <c r="R32" i="3" s="1"/>
  <c r="R32" i="38" s="1"/>
  <c r="X659" i="1"/>
  <c r="BE67" i="3" s="1"/>
  <c r="W659" i="1"/>
  <c r="BD67" i="3" s="1"/>
  <c r="V659" i="1"/>
  <c r="BE32" i="3" s="1"/>
  <c r="U659" i="1"/>
  <c r="BD32" i="3" s="1"/>
  <c r="T659" i="1"/>
  <c r="AV67" i="3" s="1"/>
  <c r="AI67" i="38" s="1"/>
  <c r="S659" i="1"/>
  <c r="AU67" i="3" s="1"/>
  <c r="AH67" i="38" s="1"/>
  <c r="R659" i="1"/>
  <c r="AM67" i="3" s="1"/>
  <c r="Z67" i="38" s="1"/>
  <c r="Q659" i="1"/>
  <c r="AL67" i="3" s="1"/>
  <c r="Y67" i="38" s="1"/>
  <c r="P659" i="1"/>
  <c r="AV32" i="3" s="1"/>
  <c r="AI32" i="38" s="1"/>
  <c r="O659" i="1"/>
  <c r="AU32" i="3" s="1"/>
  <c r="AH32" i="38" s="1"/>
  <c r="N659" i="1"/>
  <c r="AM32" i="3" s="1"/>
  <c r="Z32" i="38" s="1"/>
  <c r="M659" i="1"/>
  <c r="AL32" i="3" s="1"/>
  <c r="Y32" i="38" s="1"/>
  <c r="L659" i="1"/>
  <c r="AC67" i="3" s="1"/>
  <c r="K659" i="1"/>
  <c r="AB67" i="3" s="1"/>
  <c r="J659" i="1"/>
  <c r="P67" i="3" s="1"/>
  <c r="I659" i="1"/>
  <c r="O67" i="3" s="1"/>
  <c r="H659" i="1"/>
  <c r="G659" i="1"/>
  <c r="AA67" i="3" s="1"/>
  <c r="F659" i="1"/>
  <c r="N67" i="3" s="1"/>
  <c r="E659" i="1"/>
  <c r="O32" i="3" s="1"/>
  <c r="O32" i="38" s="1"/>
  <c r="D659" i="1"/>
  <c r="Q32" i="3" s="1"/>
  <c r="Q32" i="38" s="1"/>
  <c r="C659" i="1"/>
  <c r="N32" i="3" s="1"/>
  <c r="N32" i="38" s="1"/>
  <c r="AI641" i="1"/>
  <c r="AH637" i="1"/>
  <c r="E66" i="3" s="1"/>
  <c r="E66" i="38" s="1"/>
  <c r="AG637" i="1"/>
  <c r="BF66" i="3" s="1"/>
  <c r="AF637" i="1"/>
  <c r="BF31" i="3" s="1"/>
  <c r="AE637" i="1"/>
  <c r="AW66" i="3" s="1"/>
  <c r="AJ66" i="38" s="1"/>
  <c r="AD637" i="1"/>
  <c r="AN66" i="3" s="1"/>
  <c r="AA66" i="38" s="1"/>
  <c r="AC637" i="1"/>
  <c r="AW31" i="3" s="1"/>
  <c r="AJ31" i="38" s="1"/>
  <c r="AB637" i="1"/>
  <c r="AN31" i="3" s="1"/>
  <c r="AA31" i="38" s="1"/>
  <c r="AA637" i="1"/>
  <c r="AE66" i="3" s="1"/>
  <c r="Z637" i="1"/>
  <c r="R66" i="3" s="1"/>
  <c r="Y637" i="1"/>
  <c r="R31" i="3" s="1"/>
  <c r="R31" i="38" s="1"/>
  <c r="X637" i="1"/>
  <c r="BE66" i="3" s="1"/>
  <c r="W637" i="1"/>
  <c r="BD66" i="3" s="1"/>
  <c r="V637" i="1"/>
  <c r="BE31" i="3" s="1"/>
  <c r="U637" i="1"/>
  <c r="BD31" i="3" s="1"/>
  <c r="S637" i="1"/>
  <c r="AU66" i="3" s="1"/>
  <c r="AH66" i="38" s="1"/>
  <c r="R637" i="1"/>
  <c r="AM66" i="3" s="1"/>
  <c r="Z66" i="38" s="1"/>
  <c r="Q637" i="1"/>
  <c r="AL66" i="3" s="1"/>
  <c r="Y66" i="38" s="1"/>
  <c r="P637" i="1"/>
  <c r="AV31" i="3" s="1"/>
  <c r="AI31" i="38" s="1"/>
  <c r="O637" i="1"/>
  <c r="AU31" i="3" s="1"/>
  <c r="AH31" i="38" s="1"/>
  <c r="N637" i="1"/>
  <c r="AM31" i="3" s="1"/>
  <c r="Z31" i="38" s="1"/>
  <c r="M637" i="1"/>
  <c r="AL31" i="3" s="1"/>
  <c r="Y31" i="38" s="1"/>
  <c r="L637" i="1"/>
  <c r="AC66" i="3" s="1"/>
  <c r="K637" i="1"/>
  <c r="AB66" i="3" s="1"/>
  <c r="J637" i="1"/>
  <c r="P66" i="3" s="1"/>
  <c r="I637" i="1"/>
  <c r="O66" i="3" s="1"/>
  <c r="H637" i="1"/>
  <c r="G637" i="1"/>
  <c r="AA66" i="3" s="1"/>
  <c r="F637" i="1"/>
  <c r="N66" i="3" s="1"/>
  <c r="E637" i="1"/>
  <c r="O31" i="3" s="1"/>
  <c r="O31" i="38" s="1"/>
  <c r="D637" i="1"/>
  <c r="Q31" i="3" s="1"/>
  <c r="Q31" i="38" s="1"/>
  <c r="C637" i="1"/>
  <c r="N31" i="3" s="1"/>
  <c r="N31" i="38" s="1"/>
  <c r="AI619" i="1"/>
  <c r="AH615" i="1"/>
  <c r="E65" i="3" s="1"/>
  <c r="E65" i="38" s="1"/>
  <c r="AG615" i="1"/>
  <c r="BF65" i="3" s="1"/>
  <c r="AF615" i="1"/>
  <c r="BF30" i="3" s="1"/>
  <c r="AE615" i="1"/>
  <c r="AW65" i="3" s="1"/>
  <c r="AJ65" i="38" s="1"/>
  <c r="AD615" i="1"/>
  <c r="AN65" i="3" s="1"/>
  <c r="AA65" i="38" s="1"/>
  <c r="AC615" i="1"/>
  <c r="AW30" i="3" s="1"/>
  <c r="AJ30" i="38" s="1"/>
  <c r="AB615" i="1"/>
  <c r="AN30" i="3" s="1"/>
  <c r="AA30" i="38" s="1"/>
  <c r="AA615" i="1"/>
  <c r="AE65" i="3" s="1"/>
  <c r="Z615" i="1"/>
  <c r="R65" i="3" s="1"/>
  <c r="Y615" i="1"/>
  <c r="R30" i="3" s="1"/>
  <c r="R30" i="38" s="1"/>
  <c r="X615" i="1"/>
  <c r="BE65" i="3" s="1"/>
  <c r="W615" i="1"/>
  <c r="BD65" i="3" s="1"/>
  <c r="V615" i="1"/>
  <c r="BE30" i="3" s="1"/>
  <c r="U615" i="1"/>
  <c r="BD30" i="3" s="1"/>
  <c r="T615" i="1"/>
  <c r="AV65" i="3" s="1"/>
  <c r="AI65" i="38" s="1"/>
  <c r="S615" i="1"/>
  <c r="AU65" i="3" s="1"/>
  <c r="AH65" i="38" s="1"/>
  <c r="R615" i="1"/>
  <c r="AM65" i="3" s="1"/>
  <c r="Z65" i="38" s="1"/>
  <c r="Q615" i="1"/>
  <c r="AL65" i="3" s="1"/>
  <c r="Y65" i="38" s="1"/>
  <c r="P615" i="1"/>
  <c r="AV30" i="3" s="1"/>
  <c r="AI30" i="38" s="1"/>
  <c r="O615" i="1"/>
  <c r="AU30" i="3" s="1"/>
  <c r="AH30" i="38" s="1"/>
  <c r="N615" i="1"/>
  <c r="AM30" i="3" s="1"/>
  <c r="Z30" i="38" s="1"/>
  <c r="M615" i="1"/>
  <c r="AL30" i="3" s="1"/>
  <c r="Y30" i="38" s="1"/>
  <c r="L615" i="1"/>
  <c r="AC65" i="3" s="1"/>
  <c r="K615" i="1"/>
  <c r="AB65" i="3" s="1"/>
  <c r="J615" i="1"/>
  <c r="P65" i="3" s="1"/>
  <c r="I615" i="1"/>
  <c r="O65" i="3" s="1"/>
  <c r="H615" i="1"/>
  <c r="G615" i="1"/>
  <c r="AA65" i="3" s="1"/>
  <c r="F615" i="1"/>
  <c r="E615" i="1"/>
  <c r="O30" i="3" s="1"/>
  <c r="O30" i="38" s="1"/>
  <c r="D615" i="1"/>
  <c r="Q30" i="3" s="1"/>
  <c r="Q30" i="38" s="1"/>
  <c r="C615" i="1"/>
  <c r="N30" i="3" s="1"/>
  <c r="N30" i="38" s="1"/>
  <c r="AI597" i="1"/>
  <c r="AH593" i="1"/>
  <c r="E64" i="3" s="1"/>
  <c r="E64" i="38" s="1"/>
  <c r="AG593" i="1"/>
  <c r="BF64" i="3" s="1"/>
  <c r="AF593" i="1"/>
  <c r="BF29" i="3" s="1"/>
  <c r="AE593" i="1"/>
  <c r="AW64" i="3" s="1"/>
  <c r="AJ64" i="38" s="1"/>
  <c r="AD593" i="1"/>
  <c r="AN64" i="3" s="1"/>
  <c r="AA64" i="38" s="1"/>
  <c r="AC593" i="1"/>
  <c r="AW29" i="3" s="1"/>
  <c r="AJ29" i="38" s="1"/>
  <c r="AB593" i="1"/>
  <c r="AN29" i="3" s="1"/>
  <c r="AA29" i="38" s="1"/>
  <c r="AA593" i="1"/>
  <c r="AE64" i="3" s="1"/>
  <c r="Z593" i="1"/>
  <c r="R64" i="3" s="1"/>
  <c r="Y593" i="1"/>
  <c r="R29" i="3" s="1"/>
  <c r="R29" i="38" s="1"/>
  <c r="X593" i="1"/>
  <c r="BE64" i="3" s="1"/>
  <c r="W593" i="1"/>
  <c r="BD64" i="3" s="1"/>
  <c r="V593" i="1"/>
  <c r="BE29" i="3" s="1"/>
  <c r="U593" i="1"/>
  <c r="BD29" i="3" s="1"/>
  <c r="T593" i="1"/>
  <c r="AV64" i="3" s="1"/>
  <c r="AI64" i="38" s="1"/>
  <c r="S593" i="1"/>
  <c r="AU64" i="3" s="1"/>
  <c r="AH64" i="38" s="1"/>
  <c r="R593" i="1"/>
  <c r="AM64" i="3" s="1"/>
  <c r="Z64" i="38" s="1"/>
  <c r="Q593" i="1"/>
  <c r="AL64" i="3" s="1"/>
  <c r="Y64" i="38" s="1"/>
  <c r="P593" i="1"/>
  <c r="AV29" i="3" s="1"/>
  <c r="AI29" i="38" s="1"/>
  <c r="O593" i="1"/>
  <c r="AU29" i="3" s="1"/>
  <c r="AH29" i="38" s="1"/>
  <c r="N593" i="1"/>
  <c r="AM29" i="3" s="1"/>
  <c r="Z29" i="38" s="1"/>
  <c r="M593" i="1"/>
  <c r="AL29" i="3" s="1"/>
  <c r="Y29" i="38" s="1"/>
  <c r="L593" i="1"/>
  <c r="AC64" i="3" s="1"/>
  <c r="K593" i="1"/>
  <c r="AB64" i="3" s="1"/>
  <c r="J593" i="1"/>
  <c r="P64" i="3" s="1"/>
  <c r="I593" i="1"/>
  <c r="O64" i="3" s="1"/>
  <c r="H593" i="1"/>
  <c r="G593" i="1"/>
  <c r="AA64" i="3" s="1"/>
  <c r="F593" i="1"/>
  <c r="N64" i="3" s="1"/>
  <c r="E593" i="1"/>
  <c r="O29" i="3" s="1"/>
  <c r="O29" i="38" s="1"/>
  <c r="D593" i="1"/>
  <c r="Q29" i="3" s="1"/>
  <c r="Q29" i="38" s="1"/>
  <c r="C593" i="1"/>
  <c r="N29" i="3" s="1"/>
  <c r="N29" i="38" s="1"/>
  <c r="AI575" i="1"/>
  <c r="AH549" i="1"/>
  <c r="E62" i="3" s="1"/>
  <c r="E62" i="38" s="1"/>
  <c r="AG549" i="1"/>
  <c r="BF62" i="3" s="1"/>
  <c r="AF549" i="1"/>
  <c r="BF27" i="3" s="1"/>
  <c r="AE549" i="1"/>
  <c r="AW62" i="3" s="1"/>
  <c r="AJ62" i="38" s="1"/>
  <c r="AD549" i="1"/>
  <c r="AN62" i="3" s="1"/>
  <c r="AA62" i="38" s="1"/>
  <c r="AC549" i="1"/>
  <c r="AW27" i="3" s="1"/>
  <c r="AJ27" i="38" s="1"/>
  <c r="AB549" i="1"/>
  <c r="AN27" i="3" s="1"/>
  <c r="AA27" i="38" s="1"/>
  <c r="AA549" i="1"/>
  <c r="AE62" i="3" s="1"/>
  <c r="Z549" i="1"/>
  <c r="R62" i="3" s="1"/>
  <c r="Y549" i="1"/>
  <c r="R27" i="3" s="1"/>
  <c r="R27" i="38" s="1"/>
  <c r="X549" i="1"/>
  <c r="BE62" i="3" s="1"/>
  <c r="W549" i="1"/>
  <c r="BD62" i="3" s="1"/>
  <c r="V549" i="1"/>
  <c r="BE27" i="3" s="1"/>
  <c r="U549" i="1"/>
  <c r="BD27" i="3" s="1"/>
  <c r="T549" i="1"/>
  <c r="AV62" i="3" s="1"/>
  <c r="AI62" i="38" s="1"/>
  <c r="S549" i="1"/>
  <c r="AU62" i="3" s="1"/>
  <c r="AH62" i="38" s="1"/>
  <c r="R549" i="1"/>
  <c r="AM62" i="3" s="1"/>
  <c r="Z62" i="38" s="1"/>
  <c r="Q549" i="1"/>
  <c r="AL62" i="3" s="1"/>
  <c r="Y62" i="38" s="1"/>
  <c r="P549" i="1"/>
  <c r="AV27" i="3" s="1"/>
  <c r="AI27" i="38" s="1"/>
  <c r="O549" i="1"/>
  <c r="AU27" i="3" s="1"/>
  <c r="AH27" i="38" s="1"/>
  <c r="N549" i="1"/>
  <c r="AM27" i="3" s="1"/>
  <c r="Z27" i="38" s="1"/>
  <c r="M549" i="1"/>
  <c r="AL27" i="3" s="1"/>
  <c r="Y27" i="38" s="1"/>
  <c r="L549" i="1"/>
  <c r="AC62" i="3" s="1"/>
  <c r="K549" i="1"/>
  <c r="AB62" i="3" s="1"/>
  <c r="J549" i="1"/>
  <c r="P62" i="3" s="1"/>
  <c r="I549" i="1"/>
  <c r="O62" i="3" s="1"/>
  <c r="H549" i="1"/>
  <c r="G549" i="1"/>
  <c r="AA62" i="3" s="1"/>
  <c r="F549" i="1"/>
  <c r="N62" i="3" s="1"/>
  <c r="E549" i="1"/>
  <c r="O27" i="3" s="1"/>
  <c r="O27" i="38" s="1"/>
  <c r="D549" i="1"/>
  <c r="Q27" i="3" s="1"/>
  <c r="Q27" i="38" s="1"/>
  <c r="C549" i="1"/>
  <c r="N27" i="3" s="1"/>
  <c r="N27" i="38" s="1"/>
  <c r="AI531" i="1"/>
  <c r="AH527" i="1"/>
  <c r="E61" i="3" s="1"/>
  <c r="E61" i="38" s="1"/>
  <c r="AG527" i="1"/>
  <c r="BF61" i="3" s="1"/>
  <c r="AF527" i="1"/>
  <c r="BF26" i="3" s="1"/>
  <c r="AE527" i="1"/>
  <c r="AW61" i="3" s="1"/>
  <c r="AJ61" i="38" s="1"/>
  <c r="AD527" i="1"/>
  <c r="AN61" i="3" s="1"/>
  <c r="AA61" i="38" s="1"/>
  <c r="AC527" i="1"/>
  <c r="AW26" i="3" s="1"/>
  <c r="AJ26" i="38" s="1"/>
  <c r="AB527" i="1"/>
  <c r="AN26" i="3" s="1"/>
  <c r="AA26" i="38" s="1"/>
  <c r="AA527" i="1"/>
  <c r="AE61" i="3" s="1"/>
  <c r="Z527" i="1"/>
  <c r="R61" i="3" s="1"/>
  <c r="Y527" i="1"/>
  <c r="R26" i="3" s="1"/>
  <c r="R26" i="38" s="1"/>
  <c r="X527" i="1"/>
  <c r="BE61" i="3" s="1"/>
  <c r="W527" i="1"/>
  <c r="BD61" i="3" s="1"/>
  <c r="V527" i="1"/>
  <c r="BE26" i="3" s="1"/>
  <c r="U527" i="1"/>
  <c r="BD26" i="3" s="1"/>
  <c r="T527" i="1"/>
  <c r="AV61" i="3" s="1"/>
  <c r="AI61" i="38" s="1"/>
  <c r="S527" i="1"/>
  <c r="AU61" i="3" s="1"/>
  <c r="AH61" i="38" s="1"/>
  <c r="R527" i="1"/>
  <c r="AM61" i="3" s="1"/>
  <c r="Z61" i="38" s="1"/>
  <c r="Q527" i="1"/>
  <c r="AL61" i="3" s="1"/>
  <c r="Y61" i="38" s="1"/>
  <c r="P527" i="1"/>
  <c r="AV26" i="3" s="1"/>
  <c r="AI26" i="38" s="1"/>
  <c r="O527" i="1"/>
  <c r="AU26" i="3" s="1"/>
  <c r="AH26" i="38" s="1"/>
  <c r="N527" i="1"/>
  <c r="AM26" i="3" s="1"/>
  <c r="Z26" i="38" s="1"/>
  <c r="M527" i="1"/>
  <c r="AL26" i="3" s="1"/>
  <c r="Y26" i="38" s="1"/>
  <c r="L527" i="1"/>
  <c r="AC61" i="3" s="1"/>
  <c r="K527" i="1"/>
  <c r="AB61" i="3" s="1"/>
  <c r="J527" i="1"/>
  <c r="P61" i="3" s="1"/>
  <c r="I527" i="1"/>
  <c r="O61" i="3" s="1"/>
  <c r="H527" i="1"/>
  <c r="G527" i="1"/>
  <c r="AA61" i="3" s="1"/>
  <c r="F527" i="1"/>
  <c r="N61" i="3" s="1"/>
  <c r="E527" i="1"/>
  <c r="O26" i="3" s="1"/>
  <c r="O26" i="38" s="1"/>
  <c r="D527" i="1"/>
  <c r="Q26" i="3" s="1"/>
  <c r="Q26" i="38" s="1"/>
  <c r="C527" i="1"/>
  <c r="N26" i="3" s="1"/>
  <c r="N26" i="38" s="1"/>
  <c r="AI509" i="1"/>
  <c r="AI527" i="1" s="1"/>
  <c r="AH505" i="1"/>
  <c r="E60" i="3" s="1"/>
  <c r="E60" i="38" s="1"/>
  <c r="AG505" i="1"/>
  <c r="BF60" i="3" s="1"/>
  <c r="AF505" i="1"/>
  <c r="BF25" i="3" s="1"/>
  <c r="AE505" i="1"/>
  <c r="AW60" i="3" s="1"/>
  <c r="AJ60" i="38" s="1"/>
  <c r="AD505" i="1"/>
  <c r="AN60" i="3" s="1"/>
  <c r="AA60" i="38" s="1"/>
  <c r="AC505" i="1"/>
  <c r="AW25" i="3" s="1"/>
  <c r="AJ25" i="38" s="1"/>
  <c r="AB505" i="1"/>
  <c r="AN25" i="3" s="1"/>
  <c r="AA25" i="38" s="1"/>
  <c r="AA505" i="1"/>
  <c r="AE60" i="3" s="1"/>
  <c r="Z505" i="1"/>
  <c r="R60" i="3" s="1"/>
  <c r="Y505" i="1"/>
  <c r="R25" i="3" s="1"/>
  <c r="R25" i="38" s="1"/>
  <c r="X505" i="1"/>
  <c r="BE60" i="3" s="1"/>
  <c r="W505" i="1"/>
  <c r="BD60" i="3" s="1"/>
  <c r="V505" i="1"/>
  <c r="BE25" i="3" s="1"/>
  <c r="U505" i="1"/>
  <c r="BD25" i="3" s="1"/>
  <c r="T505" i="1"/>
  <c r="AV60" i="3" s="1"/>
  <c r="AI60" i="38" s="1"/>
  <c r="S505" i="1"/>
  <c r="AU60" i="3" s="1"/>
  <c r="AH60" i="38" s="1"/>
  <c r="R505" i="1"/>
  <c r="AM60" i="3" s="1"/>
  <c r="Z60" i="38" s="1"/>
  <c r="Q505" i="1"/>
  <c r="AL60" i="3" s="1"/>
  <c r="Y60" i="38" s="1"/>
  <c r="P505" i="1"/>
  <c r="AV25" i="3" s="1"/>
  <c r="AI25" i="38" s="1"/>
  <c r="O505" i="1"/>
  <c r="AU25" i="3" s="1"/>
  <c r="AH25" i="38" s="1"/>
  <c r="N505" i="1"/>
  <c r="AM25" i="3" s="1"/>
  <c r="Z25" i="38" s="1"/>
  <c r="M505" i="1"/>
  <c r="AL25" i="3" s="1"/>
  <c r="Y25" i="38" s="1"/>
  <c r="L505" i="1"/>
  <c r="AC60" i="3" s="1"/>
  <c r="K505" i="1"/>
  <c r="AB60" i="3" s="1"/>
  <c r="J505" i="1"/>
  <c r="P60" i="3" s="1"/>
  <c r="I505" i="1"/>
  <c r="O60" i="3" s="1"/>
  <c r="H505" i="1"/>
  <c r="G505" i="1"/>
  <c r="AA60" i="3" s="1"/>
  <c r="F505" i="1"/>
  <c r="N60" i="3" s="1"/>
  <c r="E505" i="1"/>
  <c r="O25" i="3" s="1"/>
  <c r="O25" i="38" s="1"/>
  <c r="D505" i="1"/>
  <c r="Q25" i="3" s="1"/>
  <c r="Q25" i="38" s="1"/>
  <c r="C505" i="1"/>
  <c r="N25" i="3" s="1"/>
  <c r="N25" i="38" s="1"/>
  <c r="AI487" i="1"/>
  <c r="AH483" i="1"/>
  <c r="E59" i="3" s="1"/>
  <c r="E59" i="38" s="1"/>
  <c r="AG483" i="1"/>
  <c r="BF59" i="3" s="1"/>
  <c r="AF483" i="1"/>
  <c r="BF24" i="3" s="1"/>
  <c r="AE483" i="1"/>
  <c r="AW59" i="3" s="1"/>
  <c r="AJ59" i="38" s="1"/>
  <c r="AD483" i="1"/>
  <c r="AN59" i="3" s="1"/>
  <c r="AA59" i="38" s="1"/>
  <c r="AC483" i="1"/>
  <c r="AW24" i="3" s="1"/>
  <c r="AJ24" i="38" s="1"/>
  <c r="AB483" i="1"/>
  <c r="AN24" i="3" s="1"/>
  <c r="AA24" i="38" s="1"/>
  <c r="AA483" i="1"/>
  <c r="AE59" i="3" s="1"/>
  <c r="Z483" i="1"/>
  <c r="R59" i="3" s="1"/>
  <c r="Y483" i="1"/>
  <c r="R24" i="3" s="1"/>
  <c r="R24" i="38" s="1"/>
  <c r="X483" i="1"/>
  <c r="BE59" i="3" s="1"/>
  <c r="W483" i="1"/>
  <c r="BD59" i="3" s="1"/>
  <c r="V483" i="1"/>
  <c r="BE24" i="3" s="1"/>
  <c r="U483" i="1"/>
  <c r="BD24" i="3" s="1"/>
  <c r="T483" i="1"/>
  <c r="AV59" i="3" s="1"/>
  <c r="AI59" i="38" s="1"/>
  <c r="S483" i="1"/>
  <c r="AU59" i="3" s="1"/>
  <c r="AH59" i="38" s="1"/>
  <c r="R483" i="1"/>
  <c r="AM59" i="3" s="1"/>
  <c r="Z59" i="38" s="1"/>
  <c r="Q483" i="1"/>
  <c r="AL59" i="3" s="1"/>
  <c r="Y59" i="38" s="1"/>
  <c r="P483" i="1"/>
  <c r="AV24" i="3" s="1"/>
  <c r="AI24" i="38" s="1"/>
  <c r="O483" i="1"/>
  <c r="AU24" i="3" s="1"/>
  <c r="AH24" i="38" s="1"/>
  <c r="N483" i="1"/>
  <c r="AM24" i="3" s="1"/>
  <c r="Z24" i="38" s="1"/>
  <c r="M483" i="1"/>
  <c r="AL24" i="3" s="1"/>
  <c r="Y24" i="38" s="1"/>
  <c r="L483" i="1"/>
  <c r="AC59" i="3" s="1"/>
  <c r="K483" i="1"/>
  <c r="AB59" i="3" s="1"/>
  <c r="J483" i="1"/>
  <c r="P59" i="3" s="1"/>
  <c r="I483" i="1"/>
  <c r="O59" i="3" s="1"/>
  <c r="H483" i="1"/>
  <c r="G483" i="1"/>
  <c r="AA59" i="3" s="1"/>
  <c r="F483" i="1"/>
  <c r="N59" i="3" s="1"/>
  <c r="E483" i="1"/>
  <c r="O24" i="3" s="1"/>
  <c r="O24" i="38" s="1"/>
  <c r="D483" i="1"/>
  <c r="Q24" i="3" s="1"/>
  <c r="Q24" i="38" s="1"/>
  <c r="C483" i="1"/>
  <c r="N24" i="3" s="1"/>
  <c r="N24" i="38" s="1"/>
  <c r="AI465" i="1"/>
  <c r="AH461" i="1"/>
  <c r="E58" i="3" s="1"/>
  <c r="E58" i="38" s="1"/>
  <c r="AG461" i="1"/>
  <c r="BF58" i="3" s="1"/>
  <c r="AF461" i="1"/>
  <c r="BF23" i="3" s="1"/>
  <c r="AE461" i="1"/>
  <c r="AW58" i="3" s="1"/>
  <c r="AJ58" i="38" s="1"/>
  <c r="AD461" i="1"/>
  <c r="AN58" i="3" s="1"/>
  <c r="AA58" i="38" s="1"/>
  <c r="AC461" i="1"/>
  <c r="AW23" i="3" s="1"/>
  <c r="AJ23" i="38" s="1"/>
  <c r="AB461" i="1"/>
  <c r="AN23" i="3" s="1"/>
  <c r="AA23" i="38" s="1"/>
  <c r="AA461" i="1"/>
  <c r="AE58" i="3" s="1"/>
  <c r="Z461" i="1"/>
  <c r="R58" i="3" s="1"/>
  <c r="Y461" i="1"/>
  <c r="R23" i="3" s="1"/>
  <c r="R23" i="38" s="1"/>
  <c r="X461" i="1"/>
  <c r="BE58" i="3" s="1"/>
  <c r="W461" i="1"/>
  <c r="BD58" i="3" s="1"/>
  <c r="V461" i="1"/>
  <c r="BE23" i="3" s="1"/>
  <c r="U461" i="1"/>
  <c r="BD23" i="3" s="1"/>
  <c r="T461" i="1"/>
  <c r="AV58" i="3" s="1"/>
  <c r="AI58" i="38" s="1"/>
  <c r="S461" i="1"/>
  <c r="AU58" i="3" s="1"/>
  <c r="AH58" i="38" s="1"/>
  <c r="R461" i="1"/>
  <c r="AM58" i="3" s="1"/>
  <c r="Z58" i="38" s="1"/>
  <c r="Q461" i="1"/>
  <c r="AL58" i="3" s="1"/>
  <c r="Y58" i="38" s="1"/>
  <c r="P461" i="1"/>
  <c r="AV23" i="3" s="1"/>
  <c r="AI23" i="38" s="1"/>
  <c r="O461" i="1"/>
  <c r="AU23" i="3" s="1"/>
  <c r="AH23" i="38" s="1"/>
  <c r="N461" i="1"/>
  <c r="AM23" i="3" s="1"/>
  <c r="Z23" i="38" s="1"/>
  <c r="M461" i="1"/>
  <c r="AL23" i="3" s="1"/>
  <c r="Y23" i="38" s="1"/>
  <c r="L461" i="1"/>
  <c r="AC58" i="3" s="1"/>
  <c r="K461" i="1"/>
  <c r="AB58" i="3" s="1"/>
  <c r="J461" i="1"/>
  <c r="P58" i="3" s="1"/>
  <c r="I461" i="1"/>
  <c r="O58" i="3" s="1"/>
  <c r="H461" i="1"/>
  <c r="G461" i="1"/>
  <c r="AA58" i="3" s="1"/>
  <c r="F461" i="1"/>
  <c r="N58" i="3" s="1"/>
  <c r="E461" i="1"/>
  <c r="O23" i="3" s="1"/>
  <c r="O23" i="38" s="1"/>
  <c r="D461" i="1"/>
  <c r="Q23" i="3" s="1"/>
  <c r="Q23" i="38" s="1"/>
  <c r="C461" i="1"/>
  <c r="N23" i="3" s="1"/>
  <c r="N23" i="38" s="1"/>
  <c r="AI443" i="1"/>
  <c r="AH439" i="1"/>
  <c r="E57" i="3" s="1"/>
  <c r="E57" i="38" s="1"/>
  <c r="AG439" i="1"/>
  <c r="BF57" i="3" s="1"/>
  <c r="AF439" i="1"/>
  <c r="BF22" i="3" s="1"/>
  <c r="AE439" i="1"/>
  <c r="AW57" i="3" s="1"/>
  <c r="AJ57" i="38" s="1"/>
  <c r="AD439" i="1"/>
  <c r="AN57" i="3" s="1"/>
  <c r="AA57" i="38" s="1"/>
  <c r="AC439" i="1"/>
  <c r="AW22" i="3" s="1"/>
  <c r="AJ22" i="38" s="1"/>
  <c r="AB439" i="1"/>
  <c r="AN22" i="3" s="1"/>
  <c r="AA22" i="38" s="1"/>
  <c r="AA439" i="1"/>
  <c r="AE57" i="3" s="1"/>
  <c r="Z439" i="1"/>
  <c r="R57" i="3" s="1"/>
  <c r="Y439" i="1"/>
  <c r="R22" i="3" s="1"/>
  <c r="R22" i="38" s="1"/>
  <c r="X439" i="1"/>
  <c r="BE57" i="3" s="1"/>
  <c r="W439" i="1"/>
  <c r="BD57" i="3" s="1"/>
  <c r="V439" i="1"/>
  <c r="BE22" i="3" s="1"/>
  <c r="U439" i="1"/>
  <c r="BD22" i="3" s="1"/>
  <c r="T439" i="1"/>
  <c r="AV57" i="3" s="1"/>
  <c r="AI57" i="38" s="1"/>
  <c r="S439" i="1"/>
  <c r="AU57" i="3" s="1"/>
  <c r="AH57" i="38" s="1"/>
  <c r="R439" i="1"/>
  <c r="AM57" i="3" s="1"/>
  <c r="Z57" i="38" s="1"/>
  <c r="Q439" i="1"/>
  <c r="AL57" i="3" s="1"/>
  <c r="Y57" i="38" s="1"/>
  <c r="P439" i="1"/>
  <c r="AV22" i="3" s="1"/>
  <c r="AI22" i="38" s="1"/>
  <c r="O439" i="1"/>
  <c r="AU22" i="3" s="1"/>
  <c r="AH22" i="38" s="1"/>
  <c r="N439" i="1"/>
  <c r="AM22" i="3" s="1"/>
  <c r="Z22" i="38" s="1"/>
  <c r="M439" i="1"/>
  <c r="AL22" i="3" s="1"/>
  <c r="Y22" i="38" s="1"/>
  <c r="L439" i="1"/>
  <c r="AC57" i="3" s="1"/>
  <c r="K439" i="1"/>
  <c r="AB57" i="3" s="1"/>
  <c r="J439" i="1"/>
  <c r="P57" i="3" s="1"/>
  <c r="I439" i="1"/>
  <c r="O57" i="3" s="1"/>
  <c r="H439" i="1"/>
  <c r="G439" i="1"/>
  <c r="AA57" i="3" s="1"/>
  <c r="F439" i="1"/>
  <c r="N57" i="3" s="1"/>
  <c r="E439" i="1"/>
  <c r="O22" i="3" s="1"/>
  <c r="O22" i="38" s="1"/>
  <c r="D439" i="1"/>
  <c r="Q22" i="3" s="1"/>
  <c r="Q22" i="38" s="1"/>
  <c r="C439" i="1"/>
  <c r="N22" i="3" s="1"/>
  <c r="N22" i="38" s="1"/>
  <c r="AI421" i="1"/>
  <c r="AI439" i="1" s="1"/>
  <c r="AH417" i="1"/>
  <c r="E56" i="3" s="1"/>
  <c r="E56" i="38" s="1"/>
  <c r="AG417" i="1"/>
  <c r="BF56" i="3" s="1"/>
  <c r="AF417" i="1"/>
  <c r="BF21" i="3" s="1"/>
  <c r="AE417" i="1"/>
  <c r="AW56" i="3" s="1"/>
  <c r="AJ56" i="38" s="1"/>
  <c r="AD417" i="1"/>
  <c r="AN56" i="3" s="1"/>
  <c r="AA56" i="38" s="1"/>
  <c r="AC417" i="1"/>
  <c r="AW21" i="3" s="1"/>
  <c r="AJ21" i="38" s="1"/>
  <c r="AB417" i="1"/>
  <c r="AN21" i="3" s="1"/>
  <c r="AA21" i="38" s="1"/>
  <c r="AA417" i="1"/>
  <c r="AE56" i="3" s="1"/>
  <c r="Z417" i="1"/>
  <c r="R56" i="3" s="1"/>
  <c r="Y417" i="1"/>
  <c r="R21" i="3" s="1"/>
  <c r="R21" i="38" s="1"/>
  <c r="X417" i="1"/>
  <c r="BE56" i="3" s="1"/>
  <c r="W417" i="1"/>
  <c r="BD56" i="3" s="1"/>
  <c r="V417" i="1"/>
  <c r="BE21" i="3" s="1"/>
  <c r="U417" i="1"/>
  <c r="BD21" i="3" s="1"/>
  <c r="T417" i="1"/>
  <c r="AV56" i="3" s="1"/>
  <c r="AI56" i="38" s="1"/>
  <c r="S417" i="1"/>
  <c r="AU56" i="3" s="1"/>
  <c r="AH56" i="38" s="1"/>
  <c r="Q417" i="1"/>
  <c r="AL56" i="3" s="1"/>
  <c r="Y56" i="38" s="1"/>
  <c r="P417" i="1"/>
  <c r="AV21" i="3" s="1"/>
  <c r="AI21" i="38" s="1"/>
  <c r="O417" i="1"/>
  <c r="AU21" i="3" s="1"/>
  <c r="AH21" i="38" s="1"/>
  <c r="N417" i="1"/>
  <c r="AM21" i="3" s="1"/>
  <c r="Z21" i="38" s="1"/>
  <c r="M417" i="1"/>
  <c r="AL21" i="3" s="1"/>
  <c r="Y21" i="38" s="1"/>
  <c r="L417" i="1"/>
  <c r="AC56" i="3" s="1"/>
  <c r="K417" i="1"/>
  <c r="AB56" i="3" s="1"/>
  <c r="J417" i="1"/>
  <c r="P56" i="3" s="1"/>
  <c r="I417" i="1"/>
  <c r="O56" i="3" s="1"/>
  <c r="H417" i="1"/>
  <c r="G417" i="1"/>
  <c r="AA56" i="3" s="1"/>
  <c r="F417" i="1"/>
  <c r="N56" i="3" s="1"/>
  <c r="E417" i="1"/>
  <c r="O21" i="3" s="1"/>
  <c r="O21" i="38" s="1"/>
  <c r="D417" i="1"/>
  <c r="Q21" i="3" s="1"/>
  <c r="Q21" i="38" s="1"/>
  <c r="C417" i="1"/>
  <c r="N21" i="3" s="1"/>
  <c r="N21" i="38" s="1"/>
  <c r="AI399" i="1"/>
  <c r="AH395" i="1"/>
  <c r="E55" i="3" s="1"/>
  <c r="E55" i="38" s="1"/>
  <c r="AG395" i="1"/>
  <c r="BF55" i="3" s="1"/>
  <c r="AF395" i="1"/>
  <c r="BF20" i="3" s="1"/>
  <c r="AE395" i="1"/>
  <c r="AW55" i="3" s="1"/>
  <c r="AJ55" i="38" s="1"/>
  <c r="AD395" i="1"/>
  <c r="AN55" i="3" s="1"/>
  <c r="AA55" i="38" s="1"/>
  <c r="AC395" i="1"/>
  <c r="AW20" i="3" s="1"/>
  <c r="AJ20" i="38" s="1"/>
  <c r="AB395" i="1"/>
  <c r="AN20" i="3" s="1"/>
  <c r="AA20" i="38" s="1"/>
  <c r="AA395" i="1"/>
  <c r="AE55" i="3" s="1"/>
  <c r="Z395" i="1"/>
  <c r="R55" i="3" s="1"/>
  <c r="Y395" i="1"/>
  <c r="R20" i="3" s="1"/>
  <c r="R20" i="38" s="1"/>
  <c r="X395" i="1"/>
  <c r="BE55" i="3" s="1"/>
  <c r="W395" i="1"/>
  <c r="BD55" i="3" s="1"/>
  <c r="V395" i="1"/>
  <c r="BE20" i="3" s="1"/>
  <c r="T395" i="1"/>
  <c r="AV55" i="3" s="1"/>
  <c r="AI55" i="38" s="1"/>
  <c r="S395" i="1"/>
  <c r="AU55" i="3" s="1"/>
  <c r="AH55" i="38" s="1"/>
  <c r="R395" i="1"/>
  <c r="AM55" i="3" s="1"/>
  <c r="Z55" i="38" s="1"/>
  <c r="Q395" i="1"/>
  <c r="AL55" i="3" s="1"/>
  <c r="Y55" i="38" s="1"/>
  <c r="P395" i="1"/>
  <c r="AV20" i="3" s="1"/>
  <c r="AI20" i="38" s="1"/>
  <c r="O395" i="1"/>
  <c r="AU20" i="3" s="1"/>
  <c r="AH20" i="38" s="1"/>
  <c r="N395" i="1"/>
  <c r="AM20" i="3" s="1"/>
  <c r="Z20" i="38" s="1"/>
  <c r="M395" i="1"/>
  <c r="AL20" i="3" s="1"/>
  <c r="Y20" i="38" s="1"/>
  <c r="L395" i="1"/>
  <c r="AC55" i="3" s="1"/>
  <c r="K395" i="1"/>
  <c r="AB55" i="3" s="1"/>
  <c r="J395" i="1"/>
  <c r="P55" i="3" s="1"/>
  <c r="I395" i="1"/>
  <c r="O55" i="3" s="1"/>
  <c r="H395" i="1"/>
  <c r="G395" i="1"/>
  <c r="AA55" i="3" s="1"/>
  <c r="F395" i="1"/>
  <c r="N55" i="3" s="1"/>
  <c r="E395" i="1"/>
  <c r="O20" i="3" s="1"/>
  <c r="O20" i="38" s="1"/>
  <c r="D395" i="1"/>
  <c r="Q20" i="3" s="1"/>
  <c r="Q20" i="38" s="1"/>
  <c r="C395" i="1"/>
  <c r="N20" i="3" s="1"/>
  <c r="N20" i="38" s="1"/>
  <c r="AH373" i="1"/>
  <c r="E54" i="3" s="1"/>
  <c r="E54" i="38" s="1"/>
  <c r="AG373" i="1"/>
  <c r="BF54" i="3" s="1"/>
  <c r="AF373" i="1"/>
  <c r="BF19" i="3" s="1"/>
  <c r="AE373" i="1"/>
  <c r="AW54" i="3" s="1"/>
  <c r="AJ54" i="38" s="1"/>
  <c r="AD373" i="1"/>
  <c r="AN54" i="3" s="1"/>
  <c r="AA54" i="38" s="1"/>
  <c r="AC373" i="1"/>
  <c r="AW19" i="3" s="1"/>
  <c r="AJ19" i="38" s="1"/>
  <c r="AB373" i="1"/>
  <c r="AN19" i="3" s="1"/>
  <c r="AA19" i="38" s="1"/>
  <c r="AA373" i="1"/>
  <c r="AE54" i="3" s="1"/>
  <c r="Z373" i="1"/>
  <c r="R54" i="3" s="1"/>
  <c r="Y373" i="1"/>
  <c r="R19" i="3" s="1"/>
  <c r="R19" i="38" s="1"/>
  <c r="X373" i="1"/>
  <c r="BE54" i="3" s="1"/>
  <c r="W373" i="1"/>
  <c r="BD54" i="3" s="1"/>
  <c r="V373" i="1"/>
  <c r="BE19" i="3" s="1"/>
  <c r="U373" i="1"/>
  <c r="BD19" i="3" s="1"/>
  <c r="T373" i="1"/>
  <c r="AV54" i="3" s="1"/>
  <c r="AI54" i="38" s="1"/>
  <c r="S373" i="1"/>
  <c r="AU54" i="3" s="1"/>
  <c r="AH54" i="38" s="1"/>
  <c r="Q373" i="1"/>
  <c r="AL54" i="3" s="1"/>
  <c r="Y54" i="38" s="1"/>
  <c r="P373" i="1"/>
  <c r="AV19" i="3" s="1"/>
  <c r="AI19" i="38" s="1"/>
  <c r="O373" i="1"/>
  <c r="AU19" i="3" s="1"/>
  <c r="AH19" i="38" s="1"/>
  <c r="N373" i="1"/>
  <c r="AM19" i="3" s="1"/>
  <c r="Z19" i="38" s="1"/>
  <c r="M373" i="1"/>
  <c r="AL19" i="3" s="1"/>
  <c r="Y19" i="38" s="1"/>
  <c r="L373" i="1"/>
  <c r="AC54" i="3" s="1"/>
  <c r="K373" i="1"/>
  <c r="AB54" i="3" s="1"/>
  <c r="J373" i="1"/>
  <c r="P54" i="3" s="1"/>
  <c r="I373" i="1"/>
  <c r="O54" i="3" s="1"/>
  <c r="H373" i="1"/>
  <c r="G373" i="1"/>
  <c r="AA54" i="3" s="1"/>
  <c r="F373" i="1"/>
  <c r="N54" i="3" s="1"/>
  <c r="E373" i="1"/>
  <c r="O19" i="3" s="1"/>
  <c r="O19" i="38" s="1"/>
  <c r="D373" i="1"/>
  <c r="Q19" i="3" s="1"/>
  <c r="Q19" i="38" s="1"/>
  <c r="C373" i="1"/>
  <c r="N19" i="3" s="1"/>
  <c r="N19" i="38" s="1"/>
  <c r="AI355" i="1"/>
  <c r="AH351" i="1"/>
  <c r="E53" i="3" s="1"/>
  <c r="E53" i="38" s="1"/>
  <c r="AG351" i="1"/>
  <c r="BF53" i="3" s="1"/>
  <c r="AF351" i="1"/>
  <c r="BF18" i="3" s="1"/>
  <c r="AE351" i="1"/>
  <c r="AW53" i="3" s="1"/>
  <c r="AJ53" i="38" s="1"/>
  <c r="AD351" i="1"/>
  <c r="AN53" i="3" s="1"/>
  <c r="AA53" i="38" s="1"/>
  <c r="AC351" i="1"/>
  <c r="AW18" i="3" s="1"/>
  <c r="AJ18" i="38" s="1"/>
  <c r="AB351" i="1"/>
  <c r="AN18" i="3" s="1"/>
  <c r="AA18" i="38" s="1"/>
  <c r="AA351" i="1"/>
  <c r="AE53" i="3" s="1"/>
  <c r="Z351" i="1"/>
  <c r="R53" i="3" s="1"/>
  <c r="Y351" i="1"/>
  <c r="R18" i="3" s="1"/>
  <c r="R18" i="38" s="1"/>
  <c r="X351" i="1"/>
  <c r="BE53" i="3" s="1"/>
  <c r="W351" i="1"/>
  <c r="BD53" i="3" s="1"/>
  <c r="V351" i="1"/>
  <c r="BE18" i="3" s="1"/>
  <c r="U351" i="1"/>
  <c r="BD18" i="3" s="1"/>
  <c r="T351" i="1"/>
  <c r="AV53" i="3" s="1"/>
  <c r="AI53" i="38" s="1"/>
  <c r="S351" i="1"/>
  <c r="AU53" i="3" s="1"/>
  <c r="AH53" i="38" s="1"/>
  <c r="R351" i="1"/>
  <c r="AM53" i="3" s="1"/>
  <c r="Z53" i="38" s="1"/>
  <c r="Q351" i="1"/>
  <c r="AL53" i="3" s="1"/>
  <c r="Y53" i="38" s="1"/>
  <c r="P351" i="1"/>
  <c r="AV18" i="3" s="1"/>
  <c r="AI18" i="38" s="1"/>
  <c r="N351" i="1"/>
  <c r="AM18" i="3" s="1"/>
  <c r="Z18" i="38" s="1"/>
  <c r="M351" i="1"/>
  <c r="AL18" i="3" s="1"/>
  <c r="Y18" i="38" s="1"/>
  <c r="L351" i="1"/>
  <c r="AC53" i="3" s="1"/>
  <c r="K351" i="1"/>
  <c r="AB53" i="3" s="1"/>
  <c r="J351" i="1"/>
  <c r="P53" i="3" s="1"/>
  <c r="I351" i="1"/>
  <c r="O53" i="3" s="1"/>
  <c r="H351" i="1"/>
  <c r="G351" i="1"/>
  <c r="AA53" i="3" s="1"/>
  <c r="F351" i="1"/>
  <c r="N53" i="3" s="1"/>
  <c r="E351" i="1"/>
  <c r="O18" i="3" s="1"/>
  <c r="O18" i="38" s="1"/>
  <c r="D351" i="1"/>
  <c r="Q18" i="3" s="1"/>
  <c r="Q18" i="38" s="1"/>
  <c r="C351" i="1"/>
  <c r="N18" i="3" s="1"/>
  <c r="N18" i="38" s="1"/>
  <c r="AI333" i="1"/>
  <c r="AH329" i="1"/>
  <c r="E52" i="3" s="1"/>
  <c r="E52" i="38" s="1"/>
  <c r="AG329" i="1"/>
  <c r="BF52" i="3" s="1"/>
  <c r="AF329" i="1"/>
  <c r="BF17" i="3" s="1"/>
  <c r="AE329" i="1"/>
  <c r="AW52" i="3" s="1"/>
  <c r="AJ52" i="38" s="1"/>
  <c r="AD329" i="1"/>
  <c r="AN52" i="3" s="1"/>
  <c r="AA52" i="38" s="1"/>
  <c r="AC329" i="1"/>
  <c r="AW17" i="3" s="1"/>
  <c r="AJ17" i="38" s="1"/>
  <c r="AB329" i="1"/>
  <c r="AN17" i="3" s="1"/>
  <c r="AA17" i="38" s="1"/>
  <c r="AA329" i="1"/>
  <c r="AE52" i="3" s="1"/>
  <c r="Z329" i="1"/>
  <c r="R52" i="3" s="1"/>
  <c r="Y329" i="1"/>
  <c r="R17" i="3" s="1"/>
  <c r="R17" i="38" s="1"/>
  <c r="X329" i="1"/>
  <c r="BE52" i="3" s="1"/>
  <c r="W329" i="1"/>
  <c r="BD52" i="3" s="1"/>
  <c r="V329" i="1"/>
  <c r="BE17" i="3" s="1"/>
  <c r="U329" i="1"/>
  <c r="BD17" i="3" s="1"/>
  <c r="T329" i="1"/>
  <c r="AV52" i="3" s="1"/>
  <c r="AI52" i="38" s="1"/>
  <c r="S329" i="1"/>
  <c r="AU52" i="3" s="1"/>
  <c r="AH52" i="38" s="1"/>
  <c r="R329" i="1"/>
  <c r="AM52" i="3" s="1"/>
  <c r="Z52" i="38" s="1"/>
  <c r="Q329" i="1"/>
  <c r="AL52" i="3" s="1"/>
  <c r="Y52" i="38" s="1"/>
  <c r="O329" i="1"/>
  <c r="AU17" i="3" s="1"/>
  <c r="AH17" i="38" s="1"/>
  <c r="N329" i="1"/>
  <c r="AM17" i="3" s="1"/>
  <c r="Z17" i="38" s="1"/>
  <c r="M329" i="1"/>
  <c r="AL17" i="3" s="1"/>
  <c r="Y17" i="38" s="1"/>
  <c r="L329" i="1"/>
  <c r="AC52" i="3" s="1"/>
  <c r="K329" i="1"/>
  <c r="AB52" i="3" s="1"/>
  <c r="J329" i="1"/>
  <c r="P52" i="3" s="1"/>
  <c r="I329" i="1"/>
  <c r="O52" i="3" s="1"/>
  <c r="H329" i="1"/>
  <c r="G329" i="1"/>
  <c r="AA52" i="3" s="1"/>
  <c r="F329" i="1"/>
  <c r="N52" i="3" s="1"/>
  <c r="E329" i="1"/>
  <c r="O17" i="3" s="1"/>
  <c r="O17" i="38" s="1"/>
  <c r="D329" i="1"/>
  <c r="Q17" i="3" s="1"/>
  <c r="Q17" i="38" s="1"/>
  <c r="C329" i="1"/>
  <c r="N17" i="3" s="1"/>
  <c r="N17" i="38" s="1"/>
  <c r="AI311" i="1"/>
  <c r="AH307" i="1"/>
  <c r="E51" i="3" s="1"/>
  <c r="E51" i="38" s="1"/>
  <c r="AG307" i="1"/>
  <c r="BF51" i="3" s="1"/>
  <c r="AF307" i="1"/>
  <c r="BF16" i="3" s="1"/>
  <c r="AE307" i="1"/>
  <c r="AW51" i="3" s="1"/>
  <c r="AJ51" i="38" s="1"/>
  <c r="AD307" i="1"/>
  <c r="AN51" i="3" s="1"/>
  <c r="AA51" i="38" s="1"/>
  <c r="AC307" i="1"/>
  <c r="AW16" i="3" s="1"/>
  <c r="AJ16" i="38" s="1"/>
  <c r="AB307" i="1"/>
  <c r="AN16" i="3" s="1"/>
  <c r="AA16" i="38" s="1"/>
  <c r="AA307" i="1"/>
  <c r="AE51" i="3" s="1"/>
  <c r="Z307" i="1"/>
  <c r="R51" i="3" s="1"/>
  <c r="Y307" i="1"/>
  <c r="R16" i="3" s="1"/>
  <c r="R16" i="38" s="1"/>
  <c r="X307" i="1"/>
  <c r="BE51" i="3" s="1"/>
  <c r="W307" i="1"/>
  <c r="BD51" i="3" s="1"/>
  <c r="V307" i="1"/>
  <c r="BE16" i="3" s="1"/>
  <c r="U307" i="1"/>
  <c r="BD16" i="3" s="1"/>
  <c r="T307" i="1"/>
  <c r="AV51" i="3" s="1"/>
  <c r="AI51" i="38" s="1"/>
  <c r="S307" i="1"/>
  <c r="AU51" i="3" s="1"/>
  <c r="AH51" i="38" s="1"/>
  <c r="R307" i="1"/>
  <c r="AM51" i="3" s="1"/>
  <c r="Z51" i="38" s="1"/>
  <c r="Q307" i="1"/>
  <c r="AL51" i="3" s="1"/>
  <c r="Y51" i="38" s="1"/>
  <c r="P307" i="1"/>
  <c r="AV16" i="3" s="1"/>
  <c r="AI16" i="38" s="1"/>
  <c r="O307" i="1"/>
  <c r="AU16" i="3" s="1"/>
  <c r="AH16" i="38" s="1"/>
  <c r="N307" i="1"/>
  <c r="AM16" i="3" s="1"/>
  <c r="Z16" i="38" s="1"/>
  <c r="M307" i="1"/>
  <c r="AL16" i="3" s="1"/>
  <c r="Y16" i="38" s="1"/>
  <c r="L307" i="1"/>
  <c r="AC51" i="3" s="1"/>
  <c r="K307" i="1"/>
  <c r="AB51" i="3" s="1"/>
  <c r="J307" i="1"/>
  <c r="P51" i="3" s="1"/>
  <c r="I307" i="1"/>
  <c r="O51" i="3" s="1"/>
  <c r="H307" i="1"/>
  <c r="G307" i="1"/>
  <c r="AA51" i="3" s="1"/>
  <c r="F307" i="1"/>
  <c r="N51" i="3" s="1"/>
  <c r="E307" i="1"/>
  <c r="O16" i="3" s="1"/>
  <c r="O16" i="38" s="1"/>
  <c r="D307" i="1"/>
  <c r="Q16" i="3" s="1"/>
  <c r="Q16" i="38" s="1"/>
  <c r="C307" i="1"/>
  <c r="N16" i="3" s="1"/>
  <c r="N16" i="38" s="1"/>
  <c r="AI289" i="1"/>
  <c r="AI307" i="1" s="1"/>
  <c r="AH285" i="1"/>
  <c r="E50" i="3" s="1"/>
  <c r="E50" i="38" s="1"/>
  <c r="AG285" i="1"/>
  <c r="BF50" i="3" s="1"/>
  <c r="AF285" i="1"/>
  <c r="BF15" i="3" s="1"/>
  <c r="AE285" i="1"/>
  <c r="AW50" i="3" s="1"/>
  <c r="AJ50" i="38" s="1"/>
  <c r="AD285" i="1"/>
  <c r="AN50" i="3" s="1"/>
  <c r="AA50" i="38" s="1"/>
  <c r="AC285" i="1"/>
  <c r="AW15" i="3" s="1"/>
  <c r="AJ15" i="38" s="1"/>
  <c r="AB285" i="1"/>
  <c r="AN15" i="3" s="1"/>
  <c r="AA15" i="38" s="1"/>
  <c r="AA285" i="1"/>
  <c r="AE50" i="3" s="1"/>
  <c r="Z285" i="1"/>
  <c r="R50" i="3" s="1"/>
  <c r="Y285" i="1"/>
  <c r="R15" i="3" s="1"/>
  <c r="R15" i="38" s="1"/>
  <c r="X285" i="1"/>
  <c r="BE50" i="3" s="1"/>
  <c r="W285" i="1"/>
  <c r="BD50" i="3" s="1"/>
  <c r="V285" i="1"/>
  <c r="BE15" i="3" s="1"/>
  <c r="U285" i="1"/>
  <c r="BD15" i="3" s="1"/>
  <c r="T285" i="1"/>
  <c r="AV50" i="3" s="1"/>
  <c r="AI50" i="38" s="1"/>
  <c r="S285" i="1"/>
  <c r="AU50" i="3" s="1"/>
  <c r="AH50" i="38" s="1"/>
  <c r="R285" i="1"/>
  <c r="AM50" i="3" s="1"/>
  <c r="Z50" i="38" s="1"/>
  <c r="Q285" i="1"/>
  <c r="AL50" i="3" s="1"/>
  <c r="Y50" i="38" s="1"/>
  <c r="P285" i="1"/>
  <c r="AV15" i="3" s="1"/>
  <c r="AI15" i="38" s="1"/>
  <c r="O285" i="1"/>
  <c r="AU15" i="3" s="1"/>
  <c r="AH15" i="38" s="1"/>
  <c r="N285" i="1"/>
  <c r="AM15" i="3" s="1"/>
  <c r="Z15" i="38" s="1"/>
  <c r="M285" i="1"/>
  <c r="AL15" i="3" s="1"/>
  <c r="Y15" i="38" s="1"/>
  <c r="L285" i="1"/>
  <c r="AC50" i="3" s="1"/>
  <c r="K285" i="1"/>
  <c r="AB50" i="3" s="1"/>
  <c r="J285" i="1"/>
  <c r="P50" i="3" s="1"/>
  <c r="I285" i="1"/>
  <c r="O50" i="3" s="1"/>
  <c r="H285" i="1"/>
  <c r="G285" i="1"/>
  <c r="AA50" i="3" s="1"/>
  <c r="F285" i="1"/>
  <c r="N50" i="3" s="1"/>
  <c r="E285" i="1"/>
  <c r="O15" i="3" s="1"/>
  <c r="O15" i="38" s="1"/>
  <c r="D285" i="1"/>
  <c r="Q15" i="3" s="1"/>
  <c r="Q15" i="38" s="1"/>
  <c r="C285" i="1"/>
  <c r="N15" i="3" s="1"/>
  <c r="N15" i="38" s="1"/>
  <c r="AI267" i="1"/>
  <c r="AH263" i="1"/>
  <c r="E49" i="3" s="1"/>
  <c r="E49" i="38" s="1"/>
  <c r="AG263" i="1"/>
  <c r="BF49" i="3" s="1"/>
  <c r="AF263" i="1"/>
  <c r="BF14" i="3" s="1"/>
  <c r="AE263" i="1"/>
  <c r="AW49" i="3" s="1"/>
  <c r="AJ49" i="38" s="1"/>
  <c r="AD263" i="1"/>
  <c r="AN49" i="3" s="1"/>
  <c r="AA49" i="38" s="1"/>
  <c r="AC263" i="1"/>
  <c r="AW14" i="3" s="1"/>
  <c r="AJ14" i="38" s="1"/>
  <c r="AB263" i="1"/>
  <c r="AN14" i="3" s="1"/>
  <c r="AA14" i="38" s="1"/>
  <c r="AA263" i="1"/>
  <c r="AE49" i="3" s="1"/>
  <c r="Z263" i="1"/>
  <c r="R49" i="3" s="1"/>
  <c r="Y263" i="1"/>
  <c r="R14" i="3" s="1"/>
  <c r="R14" i="38" s="1"/>
  <c r="X263" i="1"/>
  <c r="BE49" i="3" s="1"/>
  <c r="W263" i="1"/>
  <c r="BD49" i="3" s="1"/>
  <c r="V263" i="1"/>
  <c r="BE14" i="3" s="1"/>
  <c r="U263" i="1"/>
  <c r="BD14" i="3" s="1"/>
  <c r="T263" i="1"/>
  <c r="AV49" i="3" s="1"/>
  <c r="AI49" i="38" s="1"/>
  <c r="S263" i="1"/>
  <c r="AU49" i="3" s="1"/>
  <c r="AH49" i="38" s="1"/>
  <c r="R263" i="1"/>
  <c r="AM49" i="3" s="1"/>
  <c r="Z49" i="38" s="1"/>
  <c r="Q263" i="1"/>
  <c r="AL49" i="3" s="1"/>
  <c r="Y49" i="38" s="1"/>
  <c r="P263" i="1"/>
  <c r="AV14" i="3" s="1"/>
  <c r="AI14" i="38" s="1"/>
  <c r="O263" i="1"/>
  <c r="AU14" i="3" s="1"/>
  <c r="AH14" i="38" s="1"/>
  <c r="N263" i="1"/>
  <c r="AM14" i="3" s="1"/>
  <c r="Z14" i="38" s="1"/>
  <c r="M263" i="1"/>
  <c r="AL14" i="3" s="1"/>
  <c r="Y14" i="38" s="1"/>
  <c r="L263" i="1"/>
  <c r="AC49" i="3" s="1"/>
  <c r="K263" i="1"/>
  <c r="AB49" i="3" s="1"/>
  <c r="J263" i="1"/>
  <c r="P49" i="3" s="1"/>
  <c r="I263" i="1"/>
  <c r="O49" i="3" s="1"/>
  <c r="H263" i="1"/>
  <c r="G263" i="1"/>
  <c r="AA49" i="3" s="1"/>
  <c r="F263" i="1"/>
  <c r="N49" i="3" s="1"/>
  <c r="E263" i="1"/>
  <c r="O14" i="3" s="1"/>
  <c r="O14" i="38" s="1"/>
  <c r="D263" i="1"/>
  <c r="Q14" i="3" s="1"/>
  <c r="Q14" i="38" s="1"/>
  <c r="C263" i="1"/>
  <c r="N14" i="3" s="1"/>
  <c r="N14" i="38" s="1"/>
  <c r="AI245" i="1"/>
  <c r="AH21" i="1"/>
  <c r="E38" i="3" s="1"/>
  <c r="E38" i="38" s="1"/>
  <c r="AG21" i="1"/>
  <c r="BF38" i="3" s="1"/>
  <c r="AF21" i="1"/>
  <c r="BF3" i="3" s="1"/>
  <c r="AE21" i="1"/>
  <c r="AW38" i="3" s="1"/>
  <c r="AJ38" i="38" s="1"/>
  <c r="AD21" i="1"/>
  <c r="AN38" i="3" s="1"/>
  <c r="AA38" i="38" s="1"/>
  <c r="AC21" i="1"/>
  <c r="AW3" i="3" s="1"/>
  <c r="AJ3" i="38" s="1"/>
  <c r="AB21" i="1"/>
  <c r="AN3" i="3" s="1"/>
  <c r="AA3" i="38" s="1"/>
  <c r="AA21" i="1"/>
  <c r="AE38" i="3" s="1"/>
  <c r="Z21" i="1"/>
  <c r="R38" i="3" s="1"/>
  <c r="Y21" i="1"/>
  <c r="R3" i="3" s="1"/>
  <c r="R3" i="38" s="1"/>
  <c r="X21" i="1"/>
  <c r="BE38" i="3" s="1"/>
  <c r="W21" i="1"/>
  <c r="BD38" i="3" s="1"/>
  <c r="V21" i="1"/>
  <c r="BE3" i="3" s="1"/>
  <c r="U21" i="1"/>
  <c r="BD3" i="3" s="1"/>
  <c r="T21" i="1"/>
  <c r="AV38" i="3" s="1"/>
  <c r="AI38" i="38" s="1"/>
  <c r="S21" i="1"/>
  <c r="AU38" i="3" s="1"/>
  <c r="AH38" i="38" s="1"/>
  <c r="R21" i="1"/>
  <c r="AM38" i="3" s="1"/>
  <c r="Z38" i="38" s="1"/>
  <c r="Q21" i="1"/>
  <c r="AL38" i="3" s="1"/>
  <c r="Y38" i="38" s="1"/>
  <c r="P21" i="1"/>
  <c r="AV3" i="3" s="1"/>
  <c r="AI3" i="38" s="1"/>
  <c r="O21" i="1"/>
  <c r="AU3" i="3" s="1"/>
  <c r="AH3" i="38" s="1"/>
  <c r="N21" i="1"/>
  <c r="AM3" i="3" s="1"/>
  <c r="Z3" i="38" s="1"/>
  <c r="L21" i="1"/>
  <c r="AC38" i="3" s="1"/>
  <c r="K21" i="1"/>
  <c r="AB38" i="3" s="1"/>
  <c r="J21" i="1"/>
  <c r="P38" i="3" s="1"/>
  <c r="I21" i="1"/>
  <c r="O38" i="3" s="1"/>
  <c r="H21" i="1"/>
  <c r="G21" i="1"/>
  <c r="AA38" i="3" s="1"/>
  <c r="F21" i="1"/>
  <c r="N38" i="3" s="1"/>
  <c r="E21" i="1"/>
  <c r="O3" i="3" s="1"/>
  <c r="O3" i="38" s="1"/>
  <c r="D21" i="1"/>
  <c r="Q3" i="3" s="1"/>
  <c r="Q3" i="38" s="1"/>
  <c r="C21" i="1"/>
  <c r="N3" i="3" s="1"/>
  <c r="N3" i="38" s="1"/>
  <c r="AI3" i="1"/>
  <c r="AH43" i="1"/>
  <c r="E39" i="3" s="1"/>
  <c r="E39" i="38" s="1"/>
  <c r="AG43" i="1"/>
  <c r="BF39" i="3" s="1"/>
  <c r="AF43" i="1"/>
  <c r="BF4" i="3" s="1"/>
  <c r="AE43" i="1"/>
  <c r="AW39" i="3" s="1"/>
  <c r="AJ39" i="38" s="1"/>
  <c r="AD43" i="1"/>
  <c r="AN39" i="3" s="1"/>
  <c r="AA39" i="38" s="1"/>
  <c r="AC43" i="1"/>
  <c r="AW4" i="3" s="1"/>
  <c r="AJ4" i="38" s="1"/>
  <c r="AB43" i="1"/>
  <c r="AN4" i="3" s="1"/>
  <c r="AA4" i="38" s="1"/>
  <c r="AA43" i="1"/>
  <c r="AE39" i="3" s="1"/>
  <c r="Z43" i="1"/>
  <c r="R39" i="3" s="1"/>
  <c r="Y43" i="1"/>
  <c r="R4" i="3" s="1"/>
  <c r="R4" i="38" s="1"/>
  <c r="X43" i="1"/>
  <c r="BE39" i="3" s="1"/>
  <c r="W43" i="1"/>
  <c r="BD39" i="3" s="1"/>
  <c r="V43" i="1"/>
  <c r="BE4" i="3" s="1"/>
  <c r="U43" i="1"/>
  <c r="BD4" i="3" s="1"/>
  <c r="T43" i="1"/>
  <c r="AV39" i="3" s="1"/>
  <c r="AI39" i="38" s="1"/>
  <c r="S43" i="1"/>
  <c r="AU39" i="3" s="1"/>
  <c r="AH39" i="38" s="1"/>
  <c r="R43" i="1"/>
  <c r="AM39" i="3" s="1"/>
  <c r="Z39" i="38" s="1"/>
  <c r="Q43" i="1"/>
  <c r="AL39" i="3" s="1"/>
  <c r="Y39" i="38" s="1"/>
  <c r="O43" i="1"/>
  <c r="AU4" i="3" s="1"/>
  <c r="AH4" i="38" s="1"/>
  <c r="N43" i="1"/>
  <c r="AM4" i="3" s="1"/>
  <c r="Z4" i="38" s="1"/>
  <c r="M43" i="1"/>
  <c r="AL4" i="3" s="1"/>
  <c r="Y4" i="38" s="1"/>
  <c r="L43" i="1"/>
  <c r="AC39" i="3" s="1"/>
  <c r="K43" i="1"/>
  <c r="AB39" i="3" s="1"/>
  <c r="J43" i="1"/>
  <c r="P39" i="3" s="1"/>
  <c r="I43" i="1"/>
  <c r="O39" i="3" s="1"/>
  <c r="H43" i="1"/>
  <c r="G43" i="1"/>
  <c r="AA39" i="3" s="1"/>
  <c r="F43" i="1"/>
  <c r="N39" i="3" s="1"/>
  <c r="E43" i="1"/>
  <c r="O4" i="3" s="1"/>
  <c r="O4" i="38" s="1"/>
  <c r="D43" i="1"/>
  <c r="Q4" i="3" s="1"/>
  <c r="Q4" i="38" s="1"/>
  <c r="C43" i="1"/>
  <c r="N4" i="3" s="1"/>
  <c r="N4" i="38" s="1"/>
  <c r="AI25" i="1"/>
  <c r="AH65" i="1"/>
  <c r="E40" i="3" s="1"/>
  <c r="E40" i="38" s="1"/>
  <c r="AG65" i="1"/>
  <c r="BF40" i="3" s="1"/>
  <c r="AF65" i="1"/>
  <c r="BF5" i="3" s="1"/>
  <c r="AE65" i="1"/>
  <c r="AW40" i="3" s="1"/>
  <c r="AJ40" i="38" s="1"/>
  <c r="AD65" i="1"/>
  <c r="AN40" i="3" s="1"/>
  <c r="AA40" i="38" s="1"/>
  <c r="AC65" i="1"/>
  <c r="AW5" i="3" s="1"/>
  <c r="AJ5" i="38" s="1"/>
  <c r="AB65" i="1"/>
  <c r="AN5" i="3" s="1"/>
  <c r="AA5" i="38" s="1"/>
  <c r="AA65" i="1"/>
  <c r="AE40" i="3" s="1"/>
  <c r="Z65" i="1"/>
  <c r="R40" i="3" s="1"/>
  <c r="Y65" i="1"/>
  <c r="R5" i="3" s="1"/>
  <c r="R5" i="38" s="1"/>
  <c r="X65" i="1"/>
  <c r="BE40" i="3" s="1"/>
  <c r="W65" i="1"/>
  <c r="BD40" i="3" s="1"/>
  <c r="V65" i="1"/>
  <c r="BE5" i="3" s="1"/>
  <c r="U65" i="1"/>
  <c r="BD5" i="3" s="1"/>
  <c r="T65" i="1"/>
  <c r="AV40" i="3" s="1"/>
  <c r="AI40" i="38" s="1"/>
  <c r="S65" i="1"/>
  <c r="AU40" i="3" s="1"/>
  <c r="AH40" i="38" s="1"/>
  <c r="Q65" i="1"/>
  <c r="AL40" i="3" s="1"/>
  <c r="Y40" i="38" s="1"/>
  <c r="P65" i="1"/>
  <c r="AV5" i="3" s="1"/>
  <c r="AI5" i="38" s="1"/>
  <c r="O65" i="1"/>
  <c r="AU5" i="3" s="1"/>
  <c r="AH5" i="38" s="1"/>
  <c r="N65" i="1"/>
  <c r="AM5" i="3" s="1"/>
  <c r="Z5" i="38" s="1"/>
  <c r="M65" i="1"/>
  <c r="AL5" i="3" s="1"/>
  <c r="Y5" i="38" s="1"/>
  <c r="L65" i="1"/>
  <c r="AC40" i="3" s="1"/>
  <c r="K65" i="1"/>
  <c r="AB40" i="3" s="1"/>
  <c r="J65" i="1"/>
  <c r="P40" i="3" s="1"/>
  <c r="I65" i="1"/>
  <c r="O40" i="3" s="1"/>
  <c r="H65" i="1"/>
  <c r="G65" i="1"/>
  <c r="AA40" i="3" s="1"/>
  <c r="F65" i="1"/>
  <c r="N40" i="3" s="1"/>
  <c r="E65" i="1"/>
  <c r="O5" i="3" s="1"/>
  <c r="O5" i="38" s="1"/>
  <c r="D65" i="1"/>
  <c r="Q5" i="3" s="1"/>
  <c r="Q5" i="38" s="1"/>
  <c r="C65" i="1"/>
  <c r="N5" i="3" s="1"/>
  <c r="N5" i="38" s="1"/>
  <c r="AI47" i="1"/>
  <c r="AH87" i="1"/>
  <c r="E41" i="3" s="1"/>
  <c r="E41" i="38" s="1"/>
  <c r="AG87" i="1"/>
  <c r="BF41" i="3" s="1"/>
  <c r="AF87" i="1"/>
  <c r="BF6" i="3" s="1"/>
  <c r="AE87" i="1"/>
  <c r="AW41" i="3" s="1"/>
  <c r="AJ41" i="38" s="1"/>
  <c r="AD87" i="1"/>
  <c r="AN41" i="3" s="1"/>
  <c r="AA41" i="38" s="1"/>
  <c r="AC87" i="1"/>
  <c r="AW6" i="3" s="1"/>
  <c r="AJ6" i="38" s="1"/>
  <c r="AB87" i="1"/>
  <c r="AN6" i="3" s="1"/>
  <c r="AA6" i="38" s="1"/>
  <c r="AA87" i="1"/>
  <c r="AE41" i="3" s="1"/>
  <c r="Z87" i="1"/>
  <c r="R41" i="3" s="1"/>
  <c r="Y87" i="1"/>
  <c r="R6" i="3" s="1"/>
  <c r="R6" i="38" s="1"/>
  <c r="X87" i="1"/>
  <c r="BE41" i="3" s="1"/>
  <c r="W87" i="1"/>
  <c r="BD41" i="3" s="1"/>
  <c r="V87" i="1"/>
  <c r="BE6" i="3" s="1"/>
  <c r="U87" i="1"/>
  <c r="BD6" i="3" s="1"/>
  <c r="T87" i="1"/>
  <c r="AV41" i="3" s="1"/>
  <c r="AI41" i="38" s="1"/>
  <c r="S87" i="1"/>
  <c r="AU41" i="3" s="1"/>
  <c r="AH41" i="38" s="1"/>
  <c r="R87" i="1"/>
  <c r="AM41" i="3" s="1"/>
  <c r="Z41" i="38" s="1"/>
  <c r="Q87" i="1"/>
  <c r="AL41" i="3" s="1"/>
  <c r="Y41" i="38" s="1"/>
  <c r="P87" i="1"/>
  <c r="AV6" i="3" s="1"/>
  <c r="AI6" i="38" s="1"/>
  <c r="O87" i="1"/>
  <c r="AU6" i="3" s="1"/>
  <c r="AH6" i="38" s="1"/>
  <c r="N87" i="1"/>
  <c r="AM6" i="3" s="1"/>
  <c r="Z6" i="38" s="1"/>
  <c r="M87" i="1"/>
  <c r="AL6" i="3" s="1"/>
  <c r="Y6" i="38" s="1"/>
  <c r="L87" i="1"/>
  <c r="AC41" i="3" s="1"/>
  <c r="K87" i="1"/>
  <c r="AB41" i="3" s="1"/>
  <c r="J87" i="1"/>
  <c r="P41" i="3" s="1"/>
  <c r="I87" i="1"/>
  <c r="O41" i="3" s="1"/>
  <c r="H87" i="1"/>
  <c r="G87" i="1"/>
  <c r="AA41" i="3" s="1"/>
  <c r="F87" i="1"/>
  <c r="N41" i="3" s="1"/>
  <c r="E87" i="1"/>
  <c r="O6" i="3" s="1"/>
  <c r="O6" i="38" s="1"/>
  <c r="D87" i="1"/>
  <c r="Q6" i="3" s="1"/>
  <c r="Q6" i="38" s="1"/>
  <c r="C87" i="1"/>
  <c r="N6" i="3" s="1"/>
  <c r="N6" i="38" s="1"/>
  <c r="AI69" i="1"/>
  <c r="AH109" i="1"/>
  <c r="E42" i="3" s="1"/>
  <c r="E42" i="38" s="1"/>
  <c r="AG109" i="1"/>
  <c r="BF42" i="3" s="1"/>
  <c r="AF109" i="1"/>
  <c r="BF7" i="3" s="1"/>
  <c r="AE109" i="1"/>
  <c r="AW42" i="3" s="1"/>
  <c r="AJ42" i="38" s="1"/>
  <c r="AD109" i="1"/>
  <c r="AN42" i="3" s="1"/>
  <c r="AA42" i="38" s="1"/>
  <c r="AC109" i="1"/>
  <c r="AW7" i="3" s="1"/>
  <c r="AJ7" i="38" s="1"/>
  <c r="AB109" i="1"/>
  <c r="AN7" i="3" s="1"/>
  <c r="AA7" i="38" s="1"/>
  <c r="AA109" i="1"/>
  <c r="AE42" i="3" s="1"/>
  <c r="Z109" i="1"/>
  <c r="R42" i="3" s="1"/>
  <c r="Y109" i="1"/>
  <c r="R7" i="3" s="1"/>
  <c r="R7" i="38" s="1"/>
  <c r="X109" i="1"/>
  <c r="BE42" i="3" s="1"/>
  <c r="W109" i="1"/>
  <c r="BD42" i="3" s="1"/>
  <c r="V109" i="1"/>
  <c r="BE7" i="3" s="1"/>
  <c r="U109" i="1"/>
  <c r="BD7" i="3" s="1"/>
  <c r="T109" i="1"/>
  <c r="AV42" i="3" s="1"/>
  <c r="AI42" i="38" s="1"/>
  <c r="S109" i="1"/>
  <c r="AU42" i="3" s="1"/>
  <c r="AH42" i="38" s="1"/>
  <c r="R109" i="1"/>
  <c r="AM42" i="3" s="1"/>
  <c r="Z42" i="38" s="1"/>
  <c r="Q109" i="1"/>
  <c r="AL42" i="3" s="1"/>
  <c r="Y42" i="38" s="1"/>
  <c r="P109" i="1"/>
  <c r="AV7" i="3" s="1"/>
  <c r="AI7" i="38" s="1"/>
  <c r="O109" i="1"/>
  <c r="AU7" i="3" s="1"/>
  <c r="AH7" i="38" s="1"/>
  <c r="N109" i="1"/>
  <c r="AM7" i="3" s="1"/>
  <c r="Z7" i="38" s="1"/>
  <c r="M109" i="1"/>
  <c r="AL7" i="3" s="1"/>
  <c r="Y7" i="38" s="1"/>
  <c r="L109" i="1"/>
  <c r="AC42" i="3" s="1"/>
  <c r="K109" i="1"/>
  <c r="AB42" i="3" s="1"/>
  <c r="J109" i="1"/>
  <c r="P42" i="3" s="1"/>
  <c r="I109" i="1"/>
  <c r="O42" i="3" s="1"/>
  <c r="H109" i="1"/>
  <c r="G109" i="1"/>
  <c r="AA42" i="3" s="1"/>
  <c r="F109" i="1"/>
  <c r="N42" i="3" s="1"/>
  <c r="E109" i="1"/>
  <c r="O7" i="3" s="1"/>
  <c r="O7" i="38" s="1"/>
  <c r="D109" i="1"/>
  <c r="Q7" i="3" s="1"/>
  <c r="Q7" i="38" s="1"/>
  <c r="C109" i="1"/>
  <c r="N7" i="3" s="1"/>
  <c r="N7" i="38" s="1"/>
  <c r="AI91" i="1"/>
  <c r="AH131" i="1"/>
  <c r="E43" i="3" s="1"/>
  <c r="E43" i="38" s="1"/>
  <c r="AG131" i="1"/>
  <c r="BF43" i="3" s="1"/>
  <c r="AF131" i="1"/>
  <c r="BF8" i="3" s="1"/>
  <c r="AE131" i="1"/>
  <c r="AW43" i="3" s="1"/>
  <c r="AJ43" i="38" s="1"/>
  <c r="AD131" i="1"/>
  <c r="AN43" i="3" s="1"/>
  <c r="AA43" i="38" s="1"/>
  <c r="AC131" i="1"/>
  <c r="AW8" i="3" s="1"/>
  <c r="AJ8" i="38" s="1"/>
  <c r="AB131" i="1"/>
  <c r="AN8" i="3" s="1"/>
  <c r="AA8" i="38" s="1"/>
  <c r="AA131" i="1"/>
  <c r="AE43" i="3" s="1"/>
  <c r="Z131" i="1"/>
  <c r="R43" i="3" s="1"/>
  <c r="Y131" i="1"/>
  <c r="R8" i="3" s="1"/>
  <c r="R8" i="38" s="1"/>
  <c r="X131" i="1"/>
  <c r="BE43" i="3" s="1"/>
  <c r="W131" i="1"/>
  <c r="BD43" i="3" s="1"/>
  <c r="V131" i="1"/>
  <c r="BE8" i="3" s="1"/>
  <c r="U131" i="1"/>
  <c r="BD8" i="3" s="1"/>
  <c r="T131" i="1"/>
  <c r="AV43" i="3" s="1"/>
  <c r="AI43" i="38" s="1"/>
  <c r="S131" i="1"/>
  <c r="AU43" i="3" s="1"/>
  <c r="AH43" i="38" s="1"/>
  <c r="R131" i="1"/>
  <c r="AM43" i="3" s="1"/>
  <c r="Z43" i="38" s="1"/>
  <c r="Q131" i="1"/>
  <c r="AL43" i="3" s="1"/>
  <c r="Y43" i="38" s="1"/>
  <c r="P131" i="1"/>
  <c r="AV8" i="3" s="1"/>
  <c r="AI8" i="38" s="1"/>
  <c r="O131" i="1"/>
  <c r="AU8" i="3" s="1"/>
  <c r="AH8" i="38" s="1"/>
  <c r="N131" i="1"/>
  <c r="AM8" i="3" s="1"/>
  <c r="Z8" i="38" s="1"/>
  <c r="M131" i="1"/>
  <c r="AL8" i="3" s="1"/>
  <c r="Y8" i="38" s="1"/>
  <c r="L131" i="1"/>
  <c r="AC43" i="3" s="1"/>
  <c r="K131" i="1"/>
  <c r="AB43" i="3" s="1"/>
  <c r="J131" i="1"/>
  <c r="P43" i="3" s="1"/>
  <c r="I131" i="1"/>
  <c r="O43" i="3" s="1"/>
  <c r="H131" i="1"/>
  <c r="G131" i="1"/>
  <c r="AA43" i="3" s="1"/>
  <c r="F131" i="1"/>
  <c r="N43" i="3" s="1"/>
  <c r="E131" i="1"/>
  <c r="O8" i="3" s="1"/>
  <c r="O8" i="38" s="1"/>
  <c r="D131" i="1"/>
  <c r="Q8" i="3" s="1"/>
  <c r="Q8" i="38" s="1"/>
  <c r="C131" i="1"/>
  <c r="N8" i="3" s="1"/>
  <c r="N8" i="38" s="1"/>
  <c r="AI113" i="1"/>
  <c r="AI131" i="1" s="1"/>
  <c r="AH153" i="1"/>
  <c r="E44" i="3" s="1"/>
  <c r="E44" i="38" s="1"/>
  <c r="AG153" i="1"/>
  <c r="BF44" i="3" s="1"/>
  <c r="AF153" i="1"/>
  <c r="BF9" i="3" s="1"/>
  <c r="AE153" i="1"/>
  <c r="AW44" i="3" s="1"/>
  <c r="AJ44" i="38" s="1"/>
  <c r="AD153" i="1"/>
  <c r="AN44" i="3" s="1"/>
  <c r="AA44" i="38" s="1"/>
  <c r="AC153" i="1"/>
  <c r="AW9" i="3" s="1"/>
  <c r="AJ9" i="38" s="1"/>
  <c r="AB153" i="1"/>
  <c r="AN9" i="3" s="1"/>
  <c r="AA9" i="38" s="1"/>
  <c r="AA153" i="1"/>
  <c r="AE44" i="3" s="1"/>
  <c r="Z153" i="1"/>
  <c r="R44" i="3" s="1"/>
  <c r="Y153" i="1"/>
  <c r="R9" i="3" s="1"/>
  <c r="R9" i="38" s="1"/>
  <c r="X153" i="1"/>
  <c r="BE44" i="3" s="1"/>
  <c r="W153" i="1"/>
  <c r="BD44" i="3" s="1"/>
  <c r="V153" i="1"/>
  <c r="BE9" i="3" s="1"/>
  <c r="U153" i="1"/>
  <c r="BD9" i="3" s="1"/>
  <c r="T153" i="1"/>
  <c r="AV44" i="3" s="1"/>
  <c r="AI44" i="38" s="1"/>
  <c r="S153" i="1"/>
  <c r="AU44" i="3" s="1"/>
  <c r="AH44" i="38" s="1"/>
  <c r="R153" i="1"/>
  <c r="AM44" i="3" s="1"/>
  <c r="Z44" i="38" s="1"/>
  <c r="Q153" i="1"/>
  <c r="AL44" i="3" s="1"/>
  <c r="Y44" i="38" s="1"/>
  <c r="P153" i="1"/>
  <c r="AV9" i="3" s="1"/>
  <c r="AI9" i="38" s="1"/>
  <c r="O153" i="1"/>
  <c r="AU9" i="3" s="1"/>
  <c r="AH9" i="38" s="1"/>
  <c r="N153" i="1"/>
  <c r="AM9" i="3" s="1"/>
  <c r="Z9" i="38" s="1"/>
  <c r="M153" i="1"/>
  <c r="AL9" i="3" s="1"/>
  <c r="Y9" i="38" s="1"/>
  <c r="L153" i="1"/>
  <c r="AC44" i="3" s="1"/>
  <c r="K153" i="1"/>
  <c r="AB44" i="3" s="1"/>
  <c r="J153" i="1"/>
  <c r="P44" i="3" s="1"/>
  <c r="I153" i="1"/>
  <c r="O44" i="3" s="1"/>
  <c r="H153" i="1"/>
  <c r="G153" i="1"/>
  <c r="AA44" i="3" s="1"/>
  <c r="F153" i="1"/>
  <c r="N44" i="3" s="1"/>
  <c r="E153" i="1"/>
  <c r="O9" i="3" s="1"/>
  <c r="O9" i="38" s="1"/>
  <c r="D153" i="1"/>
  <c r="Q9" i="3" s="1"/>
  <c r="Q9" i="38" s="1"/>
  <c r="C153" i="1"/>
  <c r="N9" i="3" s="1"/>
  <c r="N9" i="38" s="1"/>
  <c r="AI135" i="1"/>
  <c r="AH175" i="1"/>
  <c r="E45" i="3" s="1"/>
  <c r="E45" i="38" s="1"/>
  <c r="AG175" i="1"/>
  <c r="BF45" i="3" s="1"/>
  <c r="AF175" i="1"/>
  <c r="BF10" i="3" s="1"/>
  <c r="AE175" i="1"/>
  <c r="AW45" i="3" s="1"/>
  <c r="AJ45" i="38" s="1"/>
  <c r="AD175" i="1"/>
  <c r="AN45" i="3" s="1"/>
  <c r="AA45" i="38" s="1"/>
  <c r="AC175" i="1"/>
  <c r="AW10" i="3" s="1"/>
  <c r="AJ10" i="38" s="1"/>
  <c r="AB175" i="1"/>
  <c r="AN10" i="3" s="1"/>
  <c r="AA10" i="38" s="1"/>
  <c r="AA175" i="1"/>
  <c r="AE45" i="3" s="1"/>
  <c r="Z175" i="1"/>
  <c r="R45" i="3" s="1"/>
  <c r="Y175" i="1"/>
  <c r="R10" i="3" s="1"/>
  <c r="R10" i="38" s="1"/>
  <c r="X175" i="1"/>
  <c r="BE45" i="3" s="1"/>
  <c r="W175" i="1"/>
  <c r="BD45" i="3" s="1"/>
  <c r="V175" i="1"/>
  <c r="BE10" i="3" s="1"/>
  <c r="U175" i="1"/>
  <c r="BD10" i="3" s="1"/>
  <c r="T175" i="1"/>
  <c r="AV45" i="3" s="1"/>
  <c r="AI45" i="38" s="1"/>
  <c r="S175" i="1"/>
  <c r="AU45" i="3" s="1"/>
  <c r="AH45" i="38" s="1"/>
  <c r="R175" i="1"/>
  <c r="AM45" i="3" s="1"/>
  <c r="Z45" i="38" s="1"/>
  <c r="Q175" i="1"/>
  <c r="AL45" i="3" s="1"/>
  <c r="Y45" i="38" s="1"/>
  <c r="P175" i="1"/>
  <c r="AV10" i="3" s="1"/>
  <c r="AI10" i="38" s="1"/>
  <c r="O175" i="1"/>
  <c r="AU10" i="3" s="1"/>
  <c r="AH10" i="38" s="1"/>
  <c r="N175" i="1"/>
  <c r="AM10" i="3" s="1"/>
  <c r="Z10" i="38" s="1"/>
  <c r="M175" i="1"/>
  <c r="AL10" i="3" s="1"/>
  <c r="Y10" i="38" s="1"/>
  <c r="L175" i="1"/>
  <c r="AC45" i="3" s="1"/>
  <c r="K175" i="1"/>
  <c r="AB45" i="3" s="1"/>
  <c r="J175" i="1"/>
  <c r="P45" i="3" s="1"/>
  <c r="I175" i="1"/>
  <c r="O45" i="3" s="1"/>
  <c r="H175" i="1"/>
  <c r="G175" i="1"/>
  <c r="AA45" i="3" s="1"/>
  <c r="F175" i="1"/>
  <c r="N45" i="3" s="1"/>
  <c r="E175" i="1"/>
  <c r="O10" i="3" s="1"/>
  <c r="O10" i="38" s="1"/>
  <c r="D175" i="1"/>
  <c r="Q10" i="3" s="1"/>
  <c r="Q10" i="38" s="1"/>
  <c r="C175" i="1"/>
  <c r="N10" i="3" s="1"/>
  <c r="N10" i="38" s="1"/>
  <c r="AH241" i="1"/>
  <c r="E48" i="3" s="1"/>
  <c r="E48" i="38" s="1"/>
  <c r="AG241" i="1"/>
  <c r="BF48" i="3" s="1"/>
  <c r="AF241" i="1"/>
  <c r="BF13" i="3" s="1"/>
  <c r="AE241" i="1"/>
  <c r="AW48" i="3" s="1"/>
  <c r="AJ48" i="38" s="1"/>
  <c r="AD241" i="1"/>
  <c r="AN48" i="3" s="1"/>
  <c r="AA48" i="38" s="1"/>
  <c r="AC241" i="1"/>
  <c r="AW13" i="3" s="1"/>
  <c r="AJ13" i="38" s="1"/>
  <c r="AB241" i="1"/>
  <c r="AN13" i="3" s="1"/>
  <c r="AA13" i="38" s="1"/>
  <c r="AA241" i="1"/>
  <c r="AE48" i="3" s="1"/>
  <c r="Z241" i="1"/>
  <c r="R48" i="3" s="1"/>
  <c r="Y241" i="1"/>
  <c r="R13" i="3" s="1"/>
  <c r="R13" i="38" s="1"/>
  <c r="X241" i="1"/>
  <c r="BE48" i="3" s="1"/>
  <c r="W241" i="1"/>
  <c r="BD48" i="3" s="1"/>
  <c r="V241" i="1"/>
  <c r="BE13" i="3" s="1"/>
  <c r="U241" i="1"/>
  <c r="BD13" i="3" s="1"/>
  <c r="T241" i="1"/>
  <c r="AV48" i="3" s="1"/>
  <c r="AI48" i="38" s="1"/>
  <c r="S241" i="1"/>
  <c r="AU48" i="3" s="1"/>
  <c r="AH48" i="38" s="1"/>
  <c r="R241" i="1"/>
  <c r="AM48" i="3" s="1"/>
  <c r="Z48" i="38" s="1"/>
  <c r="Q241" i="1"/>
  <c r="AL48" i="3" s="1"/>
  <c r="Y48" i="38" s="1"/>
  <c r="P241" i="1"/>
  <c r="AV13" i="3" s="1"/>
  <c r="AI13" i="38" s="1"/>
  <c r="O241" i="1"/>
  <c r="AU13" i="3" s="1"/>
  <c r="AH13" i="38" s="1"/>
  <c r="N241" i="1"/>
  <c r="AM13" i="3" s="1"/>
  <c r="Z13" i="38" s="1"/>
  <c r="M241" i="1"/>
  <c r="AL13" i="3" s="1"/>
  <c r="Y13" i="38" s="1"/>
  <c r="L241" i="1"/>
  <c r="AC48" i="3" s="1"/>
  <c r="K241" i="1"/>
  <c r="AB48" i="3" s="1"/>
  <c r="J241" i="1"/>
  <c r="P48" i="3" s="1"/>
  <c r="I241" i="1"/>
  <c r="O48" i="3" s="1"/>
  <c r="H241" i="1"/>
  <c r="G241" i="1"/>
  <c r="AA48" i="3" s="1"/>
  <c r="F241" i="1"/>
  <c r="N48" i="3" s="1"/>
  <c r="E241" i="1"/>
  <c r="O13" i="3" s="1"/>
  <c r="O13" i="38" s="1"/>
  <c r="D241" i="1"/>
  <c r="Q13" i="3" s="1"/>
  <c r="Q13" i="38" s="1"/>
  <c r="C241" i="1"/>
  <c r="N13" i="3" s="1"/>
  <c r="N13" i="38" s="1"/>
  <c r="AI223" i="1"/>
  <c r="AH219" i="1"/>
  <c r="E47" i="3" s="1"/>
  <c r="E47" i="38" s="1"/>
  <c r="AG219" i="1"/>
  <c r="BF47" i="3" s="1"/>
  <c r="AF219" i="1"/>
  <c r="BF12" i="3" s="1"/>
  <c r="AE219" i="1"/>
  <c r="AW47" i="3" s="1"/>
  <c r="AJ47" i="38" s="1"/>
  <c r="AD219" i="1"/>
  <c r="AN47" i="3" s="1"/>
  <c r="AA47" i="38" s="1"/>
  <c r="AC219" i="1"/>
  <c r="AW12" i="3" s="1"/>
  <c r="AJ12" i="38" s="1"/>
  <c r="AB219" i="1"/>
  <c r="AN12" i="3" s="1"/>
  <c r="AA12" i="38" s="1"/>
  <c r="AA219" i="1"/>
  <c r="AE47" i="3" s="1"/>
  <c r="Z219" i="1"/>
  <c r="R47" i="3" s="1"/>
  <c r="Y219" i="1"/>
  <c r="R12" i="3" s="1"/>
  <c r="R12" i="38" s="1"/>
  <c r="X219" i="1"/>
  <c r="BE47" i="3" s="1"/>
  <c r="W219" i="1"/>
  <c r="BD47" i="3" s="1"/>
  <c r="V219" i="1"/>
  <c r="BE12" i="3" s="1"/>
  <c r="U219" i="1"/>
  <c r="BD12" i="3" s="1"/>
  <c r="T219" i="1"/>
  <c r="AV47" i="3" s="1"/>
  <c r="AI47" i="38" s="1"/>
  <c r="S219" i="1"/>
  <c r="AU47" i="3" s="1"/>
  <c r="AH47" i="38" s="1"/>
  <c r="R219" i="1"/>
  <c r="AM47" i="3" s="1"/>
  <c r="Z47" i="38" s="1"/>
  <c r="Q219" i="1"/>
  <c r="AL47" i="3" s="1"/>
  <c r="Y47" i="38" s="1"/>
  <c r="P219" i="1"/>
  <c r="AV12" i="3" s="1"/>
  <c r="AI12" i="38" s="1"/>
  <c r="O219" i="1"/>
  <c r="AU12" i="3" s="1"/>
  <c r="AH12" i="38" s="1"/>
  <c r="N219" i="1"/>
  <c r="AM12" i="3" s="1"/>
  <c r="Z12" i="38" s="1"/>
  <c r="M219" i="1"/>
  <c r="AL12" i="3" s="1"/>
  <c r="Y12" i="38" s="1"/>
  <c r="L219" i="1"/>
  <c r="AC47" i="3" s="1"/>
  <c r="K219" i="1"/>
  <c r="AB47" i="3" s="1"/>
  <c r="J219" i="1"/>
  <c r="P47" i="3" s="1"/>
  <c r="I219" i="1"/>
  <c r="O47" i="3" s="1"/>
  <c r="H219" i="1"/>
  <c r="G219" i="1"/>
  <c r="AA47" i="3" s="1"/>
  <c r="F219" i="1"/>
  <c r="N47" i="3" s="1"/>
  <c r="E219" i="1"/>
  <c r="O12" i="3" s="1"/>
  <c r="O12" i="38" s="1"/>
  <c r="D219" i="1"/>
  <c r="Q12" i="3" s="1"/>
  <c r="Q12" i="38" s="1"/>
  <c r="C219" i="1"/>
  <c r="N12" i="3" s="1"/>
  <c r="N12" i="38" s="1"/>
  <c r="AI201" i="1"/>
  <c r="AH571" i="1"/>
  <c r="E63" i="3" s="1"/>
  <c r="E63" i="38" s="1"/>
  <c r="AG571" i="1"/>
  <c r="BF63" i="3" s="1"/>
  <c r="AF571" i="1"/>
  <c r="BF28" i="3" s="1"/>
  <c r="AE571" i="1"/>
  <c r="AW63" i="3" s="1"/>
  <c r="AJ63" i="38" s="1"/>
  <c r="AD571" i="1"/>
  <c r="AN63" i="3" s="1"/>
  <c r="AA63" i="38" s="1"/>
  <c r="AC571" i="1"/>
  <c r="AW28" i="3" s="1"/>
  <c r="AJ28" i="38" s="1"/>
  <c r="AB571" i="1"/>
  <c r="AN28" i="3" s="1"/>
  <c r="AA28" i="38" s="1"/>
  <c r="AA571" i="1"/>
  <c r="AE63" i="3" s="1"/>
  <c r="Z571" i="1"/>
  <c r="R63" i="3" s="1"/>
  <c r="Y571" i="1"/>
  <c r="R28" i="3" s="1"/>
  <c r="R28" i="38" s="1"/>
  <c r="X571" i="1"/>
  <c r="BE63" i="3" s="1"/>
  <c r="W571" i="1"/>
  <c r="BD63" i="3" s="1"/>
  <c r="V571" i="1"/>
  <c r="BE28" i="3" s="1"/>
  <c r="U571" i="1"/>
  <c r="BD28" i="3" s="1"/>
  <c r="T571" i="1"/>
  <c r="AV63" i="3" s="1"/>
  <c r="AI63" i="38" s="1"/>
  <c r="S571" i="1"/>
  <c r="AU63" i="3" s="1"/>
  <c r="AH63" i="38" s="1"/>
  <c r="R571" i="1"/>
  <c r="AM63" i="3" s="1"/>
  <c r="Z63" i="38" s="1"/>
  <c r="Q571" i="1"/>
  <c r="AL63" i="3" s="1"/>
  <c r="Y63" i="38" s="1"/>
  <c r="P571" i="1"/>
  <c r="AV28" i="3" s="1"/>
  <c r="AI28" i="38" s="1"/>
  <c r="O571" i="1"/>
  <c r="AU28" i="3" s="1"/>
  <c r="AH28" i="38" s="1"/>
  <c r="N571" i="1"/>
  <c r="AM28" i="3" s="1"/>
  <c r="Z28" i="38" s="1"/>
  <c r="M571" i="1"/>
  <c r="AL28" i="3" s="1"/>
  <c r="Y28" i="38" s="1"/>
  <c r="L571" i="1"/>
  <c r="AC63" i="3" s="1"/>
  <c r="K571" i="1"/>
  <c r="AB63" i="3" s="1"/>
  <c r="J571" i="1"/>
  <c r="P63" i="3" s="1"/>
  <c r="I571" i="1"/>
  <c r="O63" i="3" s="1"/>
  <c r="H571" i="1"/>
  <c r="G571" i="1"/>
  <c r="AA63" i="3" s="1"/>
  <c r="F571" i="1"/>
  <c r="N63" i="3" s="1"/>
  <c r="E571" i="1"/>
  <c r="O28" i="3" s="1"/>
  <c r="O28" i="38" s="1"/>
  <c r="D571" i="1"/>
  <c r="Q28" i="3" s="1"/>
  <c r="Q28" i="38" s="1"/>
  <c r="C571" i="1"/>
  <c r="N28" i="3" s="1"/>
  <c r="N28" i="38" s="1"/>
  <c r="AI553" i="1"/>
  <c r="AA197" i="1"/>
  <c r="AE46" i="3" s="1"/>
  <c r="AB197" i="1"/>
  <c r="AN11" i="3" s="1"/>
  <c r="AA11" i="38" s="1"/>
  <c r="AC197" i="1"/>
  <c r="AW11" i="3" s="1"/>
  <c r="AJ11" i="38" s="1"/>
  <c r="AD197" i="1"/>
  <c r="AN46" i="3" s="1"/>
  <c r="AA46" i="38" s="1"/>
  <c r="AE197" i="1"/>
  <c r="AW46" i="3" s="1"/>
  <c r="AJ46" i="38" s="1"/>
  <c r="AF197" i="1"/>
  <c r="BF11" i="3" s="1"/>
  <c r="AG197" i="1"/>
  <c r="BF46" i="3" s="1"/>
  <c r="W197" i="1"/>
  <c r="BD46" i="3" s="1"/>
  <c r="X197" i="1"/>
  <c r="BE46" i="3" s="1"/>
  <c r="K197" i="1"/>
  <c r="AB46" i="3" s="1"/>
  <c r="L197" i="1"/>
  <c r="AC46" i="3" s="1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X37" i="18"/>
  <c r="V37" i="18"/>
  <c r="W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37" i="18"/>
  <c r="I37" i="18"/>
  <c r="H37" i="18"/>
  <c r="Z4" i="18"/>
  <c r="Z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" i="18"/>
  <c r="V4" i="18"/>
  <c r="W4" i="18"/>
  <c r="X4" i="18"/>
  <c r="V5" i="18"/>
  <c r="W5" i="18"/>
  <c r="X5" i="18"/>
  <c r="V6" i="18"/>
  <c r="W6" i="18"/>
  <c r="X6" i="18"/>
  <c r="V7" i="18"/>
  <c r="W7" i="18"/>
  <c r="X7" i="18"/>
  <c r="V8" i="18"/>
  <c r="W8" i="18"/>
  <c r="X8" i="18"/>
  <c r="V9" i="18"/>
  <c r="W9" i="18"/>
  <c r="X9" i="18"/>
  <c r="V10" i="18"/>
  <c r="W10" i="18"/>
  <c r="X10" i="18"/>
  <c r="V11" i="18"/>
  <c r="W11" i="18"/>
  <c r="X11" i="18"/>
  <c r="V12" i="18"/>
  <c r="W12" i="18"/>
  <c r="X12" i="18"/>
  <c r="V13" i="18"/>
  <c r="W13" i="18"/>
  <c r="X13" i="18"/>
  <c r="V14" i="18"/>
  <c r="W14" i="18"/>
  <c r="X14" i="18"/>
  <c r="V15" i="18"/>
  <c r="W15" i="18"/>
  <c r="X15" i="18"/>
  <c r="V16" i="18"/>
  <c r="W16" i="18"/>
  <c r="X16" i="18"/>
  <c r="V17" i="18"/>
  <c r="W17" i="18"/>
  <c r="X17" i="18"/>
  <c r="V18" i="18"/>
  <c r="W18" i="18"/>
  <c r="X18" i="18"/>
  <c r="V19" i="18"/>
  <c r="W19" i="18"/>
  <c r="X19" i="18"/>
  <c r="V20" i="18"/>
  <c r="W20" i="18"/>
  <c r="X20" i="18"/>
  <c r="V21" i="18"/>
  <c r="W21" i="18"/>
  <c r="X21" i="18"/>
  <c r="V22" i="18"/>
  <c r="W22" i="18"/>
  <c r="X22" i="18"/>
  <c r="V23" i="18"/>
  <c r="W23" i="18"/>
  <c r="X23" i="18"/>
  <c r="V24" i="18"/>
  <c r="W24" i="18"/>
  <c r="X24" i="18"/>
  <c r="V25" i="18"/>
  <c r="W25" i="18"/>
  <c r="X25" i="18"/>
  <c r="V26" i="18"/>
  <c r="W26" i="18"/>
  <c r="X26" i="18"/>
  <c r="V27" i="18"/>
  <c r="W27" i="18"/>
  <c r="X27" i="18"/>
  <c r="V28" i="18"/>
  <c r="W28" i="18"/>
  <c r="X28" i="18"/>
  <c r="V29" i="18"/>
  <c r="W29" i="18"/>
  <c r="X29" i="18"/>
  <c r="V30" i="18"/>
  <c r="W30" i="18"/>
  <c r="X30" i="18"/>
  <c r="V31" i="18"/>
  <c r="W31" i="18"/>
  <c r="X31" i="18"/>
  <c r="V32" i="18"/>
  <c r="W32" i="18"/>
  <c r="X32" i="18"/>
  <c r="V33" i="18"/>
  <c r="W33" i="18"/>
  <c r="X33" i="18"/>
  <c r="V34" i="18"/>
  <c r="W34" i="18"/>
  <c r="X34" i="18"/>
  <c r="V3" i="18"/>
  <c r="W3" i="18"/>
  <c r="X3" i="18"/>
  <c r="Y3" i="18"/>
  <c r="H4" i="18"/>
  <c r="I4" i="18"/>
  <c r="H5" i="18"/>
  <c r="I5" i="18"/>
  <c r="H6" i="18"/>
  <c r="I6" i="18"/>
  <c r="H7" i="18"/>
  <c r="I7" i="18"/>
  <c r="H8" i="18"/>
  <c r="I8" i="18"/>
  <c r="H9" i="18"/>
  <c r="I9" i="18"/>
  <c r="H10" i="18"/>
  <c r="I10" i="18"/>
  <c r="H11" i="18"/>
  <c r="I11" i="18"/>
  <c r="H12" i="18"/>
  <c r="I12" i="18"/>
  <c r="H13" i="18"/>
  <c r="I13" i="18"/>
  <c r="H14" i="18"/>
  <c r="I14" i="18"/>
  <c r="H15" i="18"/>
  <c r="I15" i="18"/>
  <c r="H16" i="18"/>
  <c r="I16" i="18"/>
  <c r="H17" i="18"/>
  <c r="I17" i="18"/>
  <c r="H18" i="18"/>
  <c r="I18" i="18"/>
  <c r="H19" i="18"/>
  <c r="I19" i="18"/>
  <c r="H20" i="18"/>
  <c r="I20" i="18"/>
  <c r="H21" i="18"/>
  <c r="I21" i="18"/>
  <c r="H22" i="18"/>
  <c r="I22" i="18"/>
  <c r="H23" i="18"/>
  <c r="I23" i="18"/>
  <c r="H24" i="18"/>
  <c r="I24" i="18"/>
  <c r="H25" i="18"/>
  <c r="I25" i="18"/>
  <c r="H26" i="18"/>
  <c r="I26" i="18"/>
  <c r="H27" i="18"/>
  <c r="I27" i="18"/>
  <c r="H28" i="18"/>
  <c r="I28" i="18"/>
  <c r="H29" i="18"/>
  <c r="I29" i="18"/>
  <c r="H30" i="18"/>
  <c r="I30" i="18"/>
  <c r="H31" i="18"/>
  <c r="I31" i="18"/>
  <c r="H32" i="18"/>
  <c r="I32" i="18"/>
  <c r="H33" i="18"/>
  <c r="I33" i="18"/>
  <c r="H34" i="18"/>
  <c r="I34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" i="18"/>
  <c r="F3" i="18"/>
  <c r="H3" i="18"/>
  <c r="I3" i="18"/>
  <c r="G3" i="18"/>
  <c r="G9" i="18"/>
  <c r="P59" i="19"/>
  <c r="R49" i="19"/>
  <c r="U46" i="19"/>
  <c r="W41" i="19"/>
  <c r="R68" i="19"/>
  <c r="W67" i="19"/>
  <c r="Z66" i="19"/>
  <c r="N66" i="19"/>
  <c r="Z64" i="19"/>
  <c r="N64" i="19"/>
  <c r="AB63" i="19"/>
  <c r="P63" i="19"/>
  <c r="U62" i="19"/>
  <c r="Z61" i="19"/>
  <c r="Y61" i="19"/>
  <c r="N61" i="19"/>
  <c r="M61" i="19"/>
  <c r="R60" i="19"/>
  <c r="W59" i="19"/>
  <c r="AB58" i="19"/>
  <c r="AA58" i="19"/>
  <c r="P58" i="19"/>
  <c r="O58" i="19"/>
  <c r="Z56" i="19"/>
  <c r="N56" i="19"/>
  <c r="R55" i="19"/>
  <c r="Q55" i="19"/>
  <c r="W54" i="19"/>
  <c r="V54" i="19"/>
  <c r="AB53" i="19"/>
  <c r="AA53" i="19"/>
  <c r="P53" i="19"/>
  <c r="O53" i="19"/>
  <c r="U52" i="19"/>
  <c r="T52" i="19"/>
  <c r="Z51" i="19"/>
  <c r="Y51" i="19"/>
  <c r="X51" i="19"/>
  <c r="N51" i="19"/>
  <c r="M51" i="19"/>
  <c r="AB50" i="19"/>
  <c r="P50" i="19"/>
  <c r="V46" i="19"/>
  <c r="U49" i="19"/>
  <c r="Z48" i="19"/>
  <c r="N48" i="19"/>
  <c r="U47" i="19"/>
  <c r="W46" i="19"/>
  <c r="AB45" i="19"/>
  <c r="R45" i="19"/>
  <c r="P45" i="19"/>
  <c r="W44" i="19"/>
  <c r="U44" i="19"/>
  <c r="AB40" i="19"/>
  <c r="Z43" i="19"/>
  <c r="P47" i="19"/>
  <c r="N43" i="19"/>
  <c r="Z42" i="19"/>
  <c r="R40" i="19"/>
  <c r="Z39" i="19"/>
  <c r="N39" i="19"/>
  <c r="R37" i="19"/>
  <c r="Z37" i="19"/>
  <c r="W60" i="19"/>
  <c r="N37" i="19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Y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G4" i="18"/>
  <c r="G5" i="18"/>
  <c r="G6" i="18"/>
  <c r="G7" i="18"/>
  <c r="G8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B10" i="19"/>
  <c r="B41" i="3" l="1"/>
  <c r="B50" i="3"/>
  <c r="B43" i="3"/>
  <c r="F29" i="43"/>
  <c r="F55" i="40"/>
  <c r="F62" i="40"/>
  <c r="F54" i="40"/>
  <c r="F20" i="40"/>
  <c r="F19" i="40"/>
  <c r="F47" i="40"/>
  <c r="P47" i="40" s="1"/>
  <c r="F46" i="40"/>
  <c r="P46" i="40" s="1"/>
  <c r="F11" i="40"/>
  <c r="F8" i="40"/>
  <c r="F32" i="40"/>
  <c r="F56" i="40"/>
  <c r="F27" i="40"/>
  <c r="F37" i="40"/>
  <c r="F86" i="40"/>
  <c r="F86" i="43"/>
  <c r="F82" i="40"/>
  <c r="M82" i="40" s="1"/>
  <c r="F29" i="40"/>
  <c r="L29" i="40" s="1"/>
  <c r="F30" i="40"/>
  <c r="F77" i="43"/>
  <c r="F72" i="40"/>
  <c r="O72" i="40" s="1"/>
  <c r="F41" i="40"/>
  <c r="L41" i="40" s="1"/>
  <c r="F25" i="40"/>
  <c r="F24" i="40"/>
  <c r="L24" i="40" s="1"/>
  <c r="F50" i="40"/>
  <c r="F70" i="40"/>
  <c r="F71" i="40"/>
  <c r="F28" i="40"/>
  <c r="F52" i="40"/>
  <c r="L52" i="40" s="1"/>
  <c r="F45" i="40"/>
  <c r="F51" i="40"/>
  <c r="F87" i="43"/>
  <c r="F18" i="40"/>
  <c r="F43" i="40"/>
  <c r="F44" i="40"/>
  <c r="F117" i="43"/>
  <c r="F14" i="40"/>
  <c r="F59" i="40"/>
  <c r="L59" i="40" s="1"/>
  <c r="F15" i="40"/>
  <c r="L15" i="40" s="1"/>
  <c r="F60" i="40"/>
  <c r="F61" i="40"/>
  <c r="L61" i="40" s="1"/>
  <c r="F13" i="40"/>
  <c r="F40" i="40"/>
  <c r="F17" i="40"/>
  <c r="F106" i="41"/>
  <c r="F77" i="40"/>
  <c r="F79" i="40"/>
  <c r="F76" i="40"/>
  <c r="AI285" i="1"/>
  <c r="AI549" i="1"/>
  <c r="F10" i="43"/>
  <c r="F12" i="43"/>
  <c r="F11" i="43"/>
  <c r="AA96" i="27"/>
  <c r="AB96" i="27" s="1" a="1"/>
  <c r="AB96" i="27" s="1"/>
  <c r="F105" i="43"/>
  <c r="F107" i="43"/>
  <c r="F106" i="43"/>
  <c r="F6" i="43"/>
  <c r="F8" i="43"/>
  <c r="F7" i="43"/>
  <c r="F75" i="43"/>
  <c r="F73" i="43"/>
  <c r="F47" i="43"/>
  <c r="F49" i="43"/>
  <c r="F100" i="43"/>
  <c r="F98" i="43"/>
  <c r="F41" i="43"/>
  <c r="F40" i="43"/>
  <c r="F80" i="43"/>
  <c r="F81" i="43"/>
  <c r="F33" i="43"/>
  <c r="F32" i="43"/>
  <c r="AI65" i="1"/>
  <c r="AJ241" i="1"/>
  <c r="AI241" i="1"/>
  <c r="AI571" i="1"/>
  <c r="AI615" i="1"/>
  <c r="F42" i="43"/>
  <c r="F88" i="43"/>
  <c r="F110" i="43"/>
  <c r="F109" i="43"/>
  <c r="F109" i="26"/>
  <c r="F60" i="43"/>
  <c r="F59" i="43"/>
  <c r="T113" i="27"/>
  <c r="U113" i="27" s="1" a="1"/>
  <c r="U113" i="27" s="1"/>
  <c r="T176" i="27"/>
  <c r="U176" i="27" s="1" a="1"/>
  <c r="U176" i="27" s="1"/>
  <c r="M8" i="27"/>
  <c r="N8" i="27" s="1" a="1"/>
  <c r="N8" i="27" s="1"/>
  <c r="M123" i="27"/>
  <c r="N123" i="27" s="1" a="1"/>
  <c r="N123" i="27" s="1"/>
  <c r="M40" i="27"/>
  <c r="N40" i="27" s="1" a="1"/>
  <c r="N40" i="27" s="1"/>
  <c r="T49" i="27"/>
  <c r="U49" i="27" s="1" a="1"/>
  <c r="U49" i="27" s="1"/>
  <c r="F12" i="26"/>
  <c r="AA83" i="27"/>
  <c r="AB83" i="27" s="1" a="1"/>
  <c r="AB83" i="27" s="1"/>
  <c r="F50" i="27"/>
  <c r="G50" i="27" s="1" a="1"/>
  <c r="G50" i="27" s="1"/>
  <c r="T17" i="27"/>
  <c r="U17" i="27" s="1" a="1"/>
  <c r="U17" i="27" s="1"/>
  <c r="F11" i="26"/>
  <c r="T145" i="27"/>
  <c r="U145" i="27" s="1" a="1"/>
  <c r="U145" i="27" s="1"/>
  <c r="AA52" i="27"/>
  <c r="AB52" i="27" s="1" a="1"/>
  <c r="AB52" i="27" s="1"/>
  <c r="F18" i="27"/>
  <c r="G18" i="27" s="1" a="1"/>
  <c r="G18" i="27" s="1"/>
  <c r="M72" i="27"/>
  <c r="N72" i="27" s="1" a="1"/>
  <c r="N72" i="27" s="1"/>
  <c r="AA20" i="27"/>
  <c r="AB20" i="27" s="1" a="1"/>
  <c r="AB20" i="27" s="1"/>
  <c r="F23" i="25"/>
  <c r="F67" i="27"/>
  <c r="G67" i="27" s="1" a="1"/>
  <c r="G67" i="27" s="1"/>
  <c r="M121" i="27"/>
  <c r="N121" i="27" s="1" a="1"/>
  <c r="N121" i="27" s="1"/>
  <c r="F26" i="25"/>
  <c r="AA21" i="27"/>
  <c r="AB21" i="27" s="1" a="1"/>
  <c r="AB21" i="27" s="1"/>
  <c r="T210" i="27"/>
  <c r="U210" i="27" s="1" a="1"/>
  <c r="U210" i="27" s="1"/>
  <c r="AA36" i="27"/>
  <c r="AB36" i="27" s="1" a="1"/>
  <c r="AB36" i="27" s="1"/>
  <c r="T27" i="27"/>
  <c r="U27" i="27" s="1" a="1"/>
  <c r="U27" i="27" s="1"/>
  <c r="F9" i="27"/>
  <c r="G9" i="27" s="1" a="1"/>
  <c r="G9" i="27" s="1"/>
  <c r="T123" i="27"/>
  <c r="U123" i="27" s="1" a="1"/>
  <c r="U123" i="27" s="1"/>
  <c r="T91" i="27"/>
  <c r="U91" i="27" s="1" a="1"/>
  <c r="U91" i="27" s="1"/>
  <c r="M114" i="27"/>
  <c r="N114" i="27" s="1" a="1"/>
  <c r="N114" i="27" s="1"/>
  <c r="M20" i="27"/>
  <c r="N20" i="27" s="1" a="1"/>
  <c r="N20" i="27" s="1"/>
  <c r="T59" i="27"/>
  <c r="U59" i="27" s="1" a="1"/>
  <c r="U59" i="27" s="1"/>
  <c r="M84" i="27"/>
  <c r="N84" i="27" s="1" a="1"/>
  <c r="N84" i="27" s="1"/>
  <c r="T155" i="27"/>
  <c r="U155" i="27" s="1" a="1"/>
  <c r="U155" i="27" s="1"/>
  <c r="AA4" i="27"/>
  <c r="AB4" i="27" s="1" a="1"/>
  <c r="AB4" i="27" s="1"/>
  <c r="F84" i="27"/>
  <c r="G84" i="27" s="1" a="1"/>
  <c r="G84" i="27" s="1"/>
  <c r="F29" i="26"/>
  <c r="F69" i="27"/>
  <c r="G69" i="27" s="1" a="1"/>
  <c r="G69" i="27" s="1"/>
  <c r="F41" i="27"/>
  <c r="G41" i="27" s="1" a="1"/>
  <c r="G41" i="27" s="1"/>
  <c r="AA68" i="27"/>
  <c r="AB68" i="27" s="1" a="1"/>
  <c r="AB68" i="27" s="1"/>
  <c r="M52" i="27"/>
  <c r="N52" i="27" s="1" a="1"/>
  <c r="N52" i="27" s="1"/>
  <c r="M60" i="27"/>
  <c r="N60" i="27" s="1" a="1"/>
  <c r="N60" i="27" s="1"/>
  <c r="T129" i="27"/>
  <c r="U129" i="27" s="1" a="1"/>
  <c r="U129" i="27" s="1"/>
  <c r="M120" i="27"/>
  <c r="N120" i="27" s="1" a="1"/>
  <c r="N120" i="27" s="1"/>
  <c r="AA116" i="27"/>
  <c r="AB116" i="27" s="1" a="1"/>
  <c r="AB116" i="27" s="1"/>
  <c r="F31" i="26"/>
  <c r="F32" i="26"/>
  <c r="F33" i="26"/>
  <c r="J33" i="26" s="1"/>
  <c r="T97" i="27"/>
  <c r="U97" i="27" s="1" a="1"/>
  <c r="U97" i="27" s="1"/>
  <c r="AA95" i="27"/>
  <c r="AB95" i="27" s="1" a="1"/>
  <c r="AB95" i="27" s="1"/>
  <c r="M92" i="27"/>
  <c r="N92" i="27" s="1" a="1"/>
  <c r="N92" i="27" s="1"/>
  <c r="M28" i="27"/>
  <c r="N28" i="27" s="1" a="1"/>
  <c r="N28" i="27" s="1"/>
  <c r="AA32" i="27"/>
  <c r="AB32" i="27" s="1" a="1"/>
  <c r="AB32" i="27" s="1"/>
  <c r="F33" i="27"/>
  <c r="G33" i="27" s="1" a="1"/>
  <c r="G33" i="27" s="1"/>
  <c r="T33" i="27"/>
  <c r="U33" i="27" s="1" a="1"/>
  <c r="U33" i="27" s="1"/>
  <c r="T161" i="27"/>
  <c r="U161" i="27" s="1" a="1"/>
  <c r="U161" i="27" s="1"/>
  <c r="T65" i="27"/>
  <c r="U65" i="27" s="1" a="1"/>
  <c r="U65" i="27" s="1"/>
  <c r="F65" i="27"/>
  <c r="G65" i="27" s="1" a="1"/>
  <c r="G65" i="27" s="1"/>
  <c r="AA64" i="27"/>
  <c r="AB64" i="27" s="1" a="1"/>
  <c r="AB64" i="27" s="1"/>
  <c r="AA10" i="27"/>
  <c r="AB10" i="27" s="1" a="1"/>
  <c r="AB10" i="27" s="1"/>
  <c r="F54" i="27"/>
  <c r="G54" i="27" s="1" a="1"/>
  <c r="G54" i="27" s="1"/>
  <c r="AA102" i="27"/>
  <c r="AA73" i="27"/>
  <c r="AB73" i="27" s="1" a="1"/>
  <c r="AB73" i="27" s="1"/>
  <c r="F40" i="26"/>
  <c r="M16" i="27"/>
  <c r="N16" i="27" s="1" a="1"/>
  <c r="N16" i="27" s="1"/>
  <c r="M111" i="27"/>
  <c r="N111" i="27" s="1" a="1"/>
  <c r="N111" i="27" s="1"/>
  <c r="F22" i="27"/>
  <c r="G22" i="27" s="1" a="1"/>
  <c r="G22" i="27" s="1"/>
  <c r="M80" i="27"/>
  <c r="N80" i="27" s="1" a="1"/>
  <c r="N80" i="27" s="1"/>
  <c r="T30" i="27"/>
  <c r="U30" i="27" s="1" a="1"/>
  <c r="U30" i="27" s="1"/>
  <c r="T94" i="27"/>
  <c r="U94" i="27" s="1" a="1"/>
  <c r="U94" i="27" s="1"/>
  <c r="M48" i="27"/>
  <c r="N48" i="27" s="1" a="1"/>
  <c r="N48" i="27" s="1"/>
  <c r="AA42" i="27"/>
  <c r="AB42" i="27" s="1" a="1"/>
  <c r="AB42" i="27" s="1"/>
  <c r="T62" i="27"/>
  <c r="U62" i="27" s="1" a="1"/>
  <c r="U62" i="27" s="1"/>
  <c r="F41" i="26"/>
  <c r="T2" i="27"/>
  <c r="U2" i="27" s="1" a="1"/>
  <c r="U2" i="27" s="1"/>
  <c r="AA115" i="27"/>
  <c r="AB115" i="27" s="1" a="1"/>
  <c r="AB115" i="27" s="1"/>
  <c r="M122" i="27"/>
  <c r="N122" i="27" s="1" a="1"/>
  <c r="N122" i="27" s="1"/>
  <c r="AA31" i="27"/>
  <c r="AB31" i="27" s="1" a="1"/>
  <c r="AB31" i="27" s="1"/>
  <c r="M32" i="27"/>
  <c r="N32" i="27" s="1" a="1"/>
  <c r="N32" i="27" s="1"/>
  <c r="F4" i="27"/>
  <c r="G4" i="27" s="1" a="1"/>
  <c r="G4" i="27" s="1"/>
  <c r="AA94" i="27"/>
  <c r="AB94" i="27" s="1" a="1"/>
  <c r="AB94" i="27" s="1"/>
  <c r="F44" i="26"/>
  <c r="G44" i="26" s="1" a="1"/>
  <c r="G44" i="26" s="1"/>
  <c r="F43" i="26"/>
  <c r="T34" i="27"/>
  <c r="U34" i="27" s="1" a="1"/>
  <c r="U34" i="27" s="1"/>
  <c r="AA63" i="27"/>
  <c r="AB63" i="27" s="1" a="1"/>
  <c r="AB63" i="27" s="1"/>
  <c r="T98" i="27"/>
  <c r="U98" i="27" s="1" a="1"/>
  <c r="U98" i="27" s="1"/>
  <c r="T66" i="27"/>
  <c r="U66" i="27" s="1" a="1"/>
  <c r="U66" i="27" s="1"/>
  <c r="F45" i="26"/>
  <c r="F36" i="27"/>
  <c r="G36" i="27" s="1" a="1"/>
  <c r="G36" i="27" s="1"/>
  <c r="M64" i="27"/>
  <c r="N64" i="27" s="1" a="1"/>
  <c r="N64" i="27" s="1"/>
  <c r="F46" i="26"/>
  <c r="AA5" i="27"/>
  <c r="AB5" i="27" s="1" a="1"/>
  <c r="AB5" i="27" s="1"/>
  <c r="M46" i="27"/>
  <c r="N46" i="27" s="1" a="1"/>
  <c r="N46" i="27" s="1"/>
  <c r="M57" i="27"/>
  <c r="N57" i="27" s="1" a="1"/>
  <c r="N57" i="27" s="1"/>
  <c r="T46" i="27"/>
  <c r="U46" i="27" s="1" a="1"/>
  <c r="U46" i="27" s="1"/>
  <c r="AA81" i="27"/>
  <c r="AB81" i="27" s="1" a="1"/>
  <c r="AB81" i="27" s="1"/>
  <c r="M73" i="27"/>
  <c r="N73" i="27" s="1" a="1"/>
  <c r="N73" i="27" s="1"/>
  <c r="F60" i="27"/>
  <c r="G60" i="27" s="1" a="1"/>
  <c r="G60" i="27" s="1"/>
  <c r="F123" i="23"/>
  <c r="AA50" i="27"/>
  <c r="AB50" i="27" s="1" a="1"/>
  <c r="AB50" i="27" s="1"/>
  <c r="M41" i="27"/>
  <c r="N41" i="27" s="1" a="1"/>
  <c r="N41" i="27" s="1"/>
  <c r="T52" i="27"/>
  <c r="U52" i="27" s="1" a="1"/>
  <c r="U52" i="27" s="1"/>
  <c r="F28" i="27"/>
  <c r="G28" i="27" s="1" a="1"/>
  <c r="G28" i="27" s="1"/>
  <c r="T20" i="27"/>
  <c r="U20" i="27" s="1" a="1"/>
  <c r="U20" i="27" s="1"/>
  <c r="AA18" i="27"/>
  <c r="AB18" i="27" s="1" a="1"/>
  <c r="AB18" i="27" s="1"/>
  <c r="M9" i="27"/>
  <c r="N9" i="27" s="1" a="1"/>
  <c r="N9" i="27" s="1"/>
  <c r="F71" i="26"/>
  <c r="M105" i="27"/>
  <c r="N105" i="27" s="1" a="1"/>
  <c r="N105" i="27" s="1"/>
  <c r="T84" i="27"/>
  <c r="U84" i="27" s="1" a="1"/>
  <c r="U84" i="27" s="1"/>
  <c r="F45" i="27"/>
  <c r="G45" i="27" s="1" a="1"/>
  <c r="G45" i="27" s="1"/>
  <c r="T109" i="27"/>
  <c r="U109" i="27" s="1" a="1"/>
  <c r="U109" i="27" s="1"/>
  <c r="AA8" i="27"/>
  <c r="AB8" i="27" s="1" a="1"/>
  <c r="AB8" i="27" s="1"/>
  <c r="AA71" i="27"/>
  <c r="AB71" i="27" s="1" a="1"/>
  <c r="AB71" i="27" s="1"/>
  <c r="T173" i="27"/>
  <c r="U173" i="27" s="1" a="1"/>
  <c r="U173" i="27" s="1"/>
  <c r="F74" i="26"/>
  <c r="AA40" i="27"/>
  <c r="AB40" i="27" s="1" a="1"/>
  <c r="AB40" i="27" s="1"/>
  <c r="M102" i="27"/>
  <c r="N102" i="27" s="1" a="1"/>
  <c r="N102" i="27" s="1"/>
  <c r="T141" i="27"/>
  <c r="U141" i="27" s="1" a="1"/>
  <c r="U141" i="27" s="1"/>
  <c r="F71" i="27"/>
  <c r="G71" i="27" s="1" a="1"/>
  <c r="G71" i="27" s="1"/>
  <c r="F75" i="26"/>
  <c r="I75" i="26" s="1" a="1"/>
  <c r="I75" i="26" s="1"/>
  <c r="M38" i="27"/>
  <c r="N38" i="27" s="1" a="1"/>
  <c r="N38" i="27" s="1"/>
  <c r="AA100" i="27"/>
  <c r="AB100" i="27" s="1" a="1"/>
  <c r="AB100" i="27" s="1"/>
  <c r="F13" i="27"/>
  <c r="G13" i="27" s="1" a="1"/>
  <c r="G13" i="27" s="1"/>
  <c r="M6" i="27"/>
  <c r="N6" i="27" s="1" a="1"/>
  <c r="N6" i="27" s="1"/>
  <c r="T77" i="27"/>
  <c r="U77" i="27" s="1" a="1"/>
  <c r="U77" i="27" s="1"/>
  <c r="T45" i="27"/>
  <c r="U45" i="27" s="1" a="1"/>
  <c r="U45" i="27" s="1"/>
  <c r="T13" i="27"/>
  <c r="U13" i="27" s="1" a="1"/>
  <c r="U13" i="27" s="1"/>
  <c r="M70" i="27"/>
  <c r="N70" i="27" s="1" a="1"/>
  <c r="N70" i="27" s="1"/>
  <c r="T200" i="27"/>
  <c r="U200" i="27" s="1" a="1"/>
  <c r="U200" i="27" s="1"/>
  <c r="T183" i="27"/>
  <c r="U183" i="27" s="1" a="1"/>
  <c r="U183" i="27" s="1"/>
  <c r="AA70" i="27"/>
  <c r="AB70" i="27" s="1" a="1"/>
  <c r="AB70" i="27" s="1"/>
  <c r="T153" i="27"/>
  <c r="U153" i="27" s="1" a="1"/>
  <c r="U153" i="27" s="1"/>
  <c r="T25" i="27"/>
  <c r="U25" i="27" s="1" a="1"/>
  <c r="U25" i="27" s="1"/>
  <c r="F56" i="27"/>
  <c r="G56" i="27" s="1" a="1"/>
  <c r="G56" i="27" s="1"/>
  <c r="M67" i="27"/>
  <c r="N67" i="27" s="1" a="1"/>
  <c r="N67" i="27" s="1"/>
  <c r="AA7" i="27"/>
  <c r="AB7" i="27" s="1" a="1"/>
  <c r="AB7" i="27" s="1"/>
  <c r="F24" i="27"/>
  <c r="G24" i="27" s="1" a="1"/>
  <c r="G24" i="27" s="1"/>
  <c r="F77" i="27"/>
  <c r="G77" i="27" s="1" a="1"/>
  <c r="G77" i="27" s="1"/>
  <c r="M3" i="27"/>
  <c r="N3" i="27" s="1" a="1"/>
  <c r="N3" i="27" s="1"/>
  <c r="M99" i="27"/>
  <c r="N99" i="27" s="1" a="1"/>
  <c r="N99" i="27" s="1"/>
  <c r="T57" i="27"/>
  <c r="U57" i="27" s="1" a="1"/>
  <c r="U57" i="27" s="1"/>
  <c r="F78" i="26"/>
  <c r="T121" i="27"/>
  <c r="U121" i="27" s="1" a="1"/>
  <c r="U121" i="27" s="1"/>
  <c r="T89" i="27"/>
  <c r="U89" i="27" s="1" a="1"/>
  <c r="U89" i="27" s="1"/>
  <c r="AA39" i="27"/>
  <c r="AB39" i="27" s="1" a="1"/>
  <c r="AB39" i="27" s="1"/>
  <c r="M35" i="27"/>
  <c r="N35" i="27" s="1" a="1"/>
  <c r="N35" i="27" s="1"/>
  <c r="F83" i="25"/>
  <c r="F19" i="27"/>
  <c r="G19" i="27" s="1" a="1"/>
  <c r="G19" i="27" s="1"/>
  <c r="T175" i="27"/>
  <c r="U175" i="27" s="1" a="1"/>
  <c r="U175" i="27" s="1"/>
  <c r="M7" i="27"/>
  <c r="N7" i="27" s="1" a="1"/>
  <c r="N7" i="27" s="1"/>
  <c r="T143" i="27"/>
  <c r="U143" i="27" s="1" a="1"/>
  <c r="U143" i="27" s="1"/>
  <c r="T79" i="27"/>
  <c r="U79" i="27" s="1" a="1"/>
  <c r="U79" i="27" s="1"/>
  <c r="T47" i="27"/>
  <c r="U47" i="27" s="1" a="1"/>
  <c r="U47" i="27" s="1"/>
  <c r="AA89" i="27"/>
  <c r="AB89" i="27" s="1" a="1"/>
  <c r="AB89" i="27" s="1"/>
  <c r="F53" i="27"/>
  <c r="G53" i="27" s="1" a="1"/>
  <c r="G53" i="27" s="1"/>
  <c r="AA58" i="27"/>
  <c r="AB58" i="27" s="1" a="1"/>
  <c r="AB58" i="27" s="1"/>
  <c r="F84" i="26"/>
  <c r="M71" i="27"/>
  <c r="N71" i="27" s="1" a="1"/>
  <c r="N71" i="27" s="1"/>
  <c r="T15" i="27"/>
  <c r="U15" i="27" s="1" a="1"/>
  <c r="U15" i="27" s="1"/>
  <c r="M39" i="27"/>
  <c r="N39" i="27" s="1" a="1"/>
  <c r="N39" i="27" s="1"/>
  <c r="F75" i="27"/>
  <c r="G75" i="27" s="1" a="1"/>
  <c r="G75" i="27" s="1"/>
  <c r="M103" i="27"/>
  <c r="N103" i="27" s="1" a="1"/>
  <c r="N103" i="27" s="1"/>
  <c r="F83" i="26"/>
  <c r="F21" i="27"/>
  <c r="G21" i="27" s="1" a="1"/>
  <c r="G21" i="27" s="1"/>
  <c r="AA26" i="27"/>
  <c r="AB26" i="27" s="1" a="1"/>
  <c r="AB26" i="27" s="1"/>
  <c r="T111" i="27"/>
  <c r="U111" i="27" s="1" a="1"/>
  <c r="U111" i="27" s="1"/>
  <c r="AA111" i="27"/>
  <c r="AB111" i="27" s="1" a="1"/>
  <c r="AB111" i="27" s="1"/>
  <c r="F82" i="26"/>
  <c r="G82" i="26" s="1" a="1"/>
  <c r="G82" i="26" s="1"/>
  <c r="AA113" i="27"/>
  <c r="AB113" i="27" s="1" a="1"/>
  <c r="AB113" i="27" s="1"/>
  <c r="T207" i="27"/>
  <c r="U207" i="27" s="1" a="1"/>
  <c r="U207" i="27" s="1"/>
  <c r="M45" i="27"/>
  <c r="N45" i="27" s="1" a="1"/>
  <c r="N45" i="27" s="1"/>
  <c r="F30" i="27"/>
  <c r="G30" i="27" s="1" a="1"/>
  <c r="G30" i="27" s="1"/>
  <c r="T21" i="27"/>
  <c r="U21" i="27" s="1" a="1"/>
  <c r="U21" i="27" s="1"/>
  <c r="AA29" i="27"/>
  <c r="AB29" i="27" s="1" a="1"/>
  <c r="AB29" i="27" s="1"/>
  <c r="T53" i="27"/>
  <c r="U53" i="27" s="1" a="1"/>
  <c r="U53" i="27" s="1"/>
  <c r="M77" i="27"/>
  <c r="N77" i="27" s="1" a="1"/>
  <c r="N77" i="27" s="1"/>
  <c r="F88" i="26"/>
  <c r="G88" i="26" s="1" a="1"/>
  <c r="G88" i="26" s="1"/>
  <c r="M13" i="27"/>
  <c r="N13" i="27" s="1" a="1"/>
  <c r="N13" i="27" s="1"/>
  <c r="M109" i="27"/>
  <c r="N109" i="27" s="1" a="1"/>
  <c r="N109" i="27" s="1"/>
  <c r="F62" i="27"/>
  <c r="G62" i="27" s="1" a="1"/>
  <c r="G62" i="27" s="1"/>
  <c r="AA61" i="27"/>
  <c r="AB61" i="27" s="1" a="1"/>
  <c r="AB61" i="27" s="1"/>
  <c r="T85" i="27"/>
  <c r="U85" i="27" s="1" a="1"/>
  <c r="U85" i="27" s="1"/>
  <c r="F87" i="26"/>
  <c r="G87" i="26" s="1" a="1"/>
  <c r="G87" i="26" s="1"/>
  <c r="F86" i="26"/>
  <c r="AA92" i="27"/>
  <c r="AB92" i="27" s="1" a="1"/>
  <c r="AB92" i="27" s="1"/>
  <c r="AA75" i="27"/>
  <c r="AB75" i="27" s="1" a="1"/>
  <c r="AB75" i="27" s="1"/>
  <c r="T9" i="27"/>
  <c r="U9" i="27" s="1" a="1"/>
  <c r="U9" i="27" s="1"/>
  <c r="M26" i="27"/>
  <c r="N26" i="27" s="1" a="1"/>
  <c r="N26" i="27" s="1"/>
  <c r="M90" i="27"/>
  <c r="N90" i="27" s="1" a="1"/>
  <c r="N90" i="27" s="1"/>
  <c r="T74" i="27"/>
  <c r="U74" i="27" s="1" a="1"/>
  <c r="U74" i="27" s="1"/>
  <c r="F47" i="27"/>
  <c r="G47" i="27" s="1" a="1"/>
  <c r="G47" i="27" s="1"/>
  <c r="F112" i="26"/>
  <c r="I112" i="26" s="1" a="1"/>
  <c r="I112" i="26" s="1"/>
  <c r="T10" i="27"/>
  <c r="U10" i="27" s="1" a="1"/>
  <c r="U10" i="27" s="1"/>
  <c r="AA19" i="27"/>
  <c r="AB19" i="27" s="1" a="1"/>
  <c r="AB19" i="27" s="1"/>
  <c r="F72" i="27"/>
  <c r="G72" i="27" s="1" a="1"/>
  <c r="G72" i="27" s="1"/>
  <c r="AA51" i="27"/>
  <c r="AB51" i="27" s="1" a="1"/>
  <c r="AB51" i="27" s="1"/>
  <c r="T106" i="27"/>
  <c r="U106" i="27" s="1" a="1"/>
  <c r="U106" i="27" s="1"/>
  <c r="F113" i="26"/>
  <c r="I113" i="26" s="1" a="1"/>
  <c r="I113" i="26" s="1"/>
  <c r="M58" i="27"/>
  <c r="N58" i="27" s="1" a="1"/>
  <c r="N58" i="27" s="1"/>
  <c r="AA82" i="27"/>
  <c r="AB82" i="27" s="1" a="1"/>
  <c r="AB82" i="27" s="1"/>
  <c r="T42" i="27"/>
  <c r="U42" i="27" s="1" a="1"/>
  <c r="U42" i="27" s="1"/>
  <c r="F15" i="27"/>
  <c r="G15" i="27" s="1" a="1"/>
  <c r="G15" i="27" s="1"/>
  <c r="M4" i="27"/>
  <c r="N4" i="27" s="1" a="1"/>
  <c r="N4" i="27" s="1"/>
  <c r="AA93" i="27"/>
  <c r="AB93" i="27" s="1" a="1"/>
  <c r="AB93" i="27" s="1"/>
  <c r="M100" i="27"/>
  <c r="N100" i="27" s="1" a="1"/>
  <c r="N100" i="27" s="1"/>
  <c r="F117" i="26"/>
  <c r="G117" i="26" s="1" a="1"/>
  <c r="G117" i="26" s="1"/>
  <c r="T80" i="27"/>
  <c r="U80" i="27" s="1" a="1"/>
  <c r="U80" i="27" s="1"/>
  <c r="T16" i="27"/>
  <c r="U16" i="27" s="1" a="1"/>
  <c r="U16" i="27" s="1"/>
  <c r="AA30" i="27"/>
  <c r="AB30" i="27" s="1" a="1"/>
  <c r="AB30" i="27" s="1"/>
  <c r="M68" i="27"/>
  <c r="N68" i="27" s="1" a="1"/>
  <c r="N68" i="27" s="1"/>
  <c r="F116" i="26"/>
  <c r="AA62" i="27"/>
  <c r="AB62" i="27" s="1" a="1"/>
  <c r="AB62" i="27" s="1"/>
  <c r="T48" i="27"/>
  <c r="U48" i="27" s="1" a="1"/>
  <c r="U48" i="27" s="1"/>
  <c r="F52" i="27"/>
  <c r="G52" i="27" s="1" a="1"/>
  <c r="G52" i="27" s="1"/>
  <c r="F74" i="27"/>
  <c r="G74" i="27" s="1" a="1"/>
  <c r="G74" i="27" s="1"/>
  <c r="M36" i="27"/>
  <c r="N36" i="27" s="1" a="1"/>
  <c r="N36" i="27" s="1"/>
  <c r="F115" i="26"/>
  <c r="I115" i="26" s="1" a="1"/>
  <c r="I115" i="26" s="1"/>
  <c r="AA114" i="27"/>
  <c r="AB114" i="27" s="1" a="1"/>
  <c r="AB114" i="27" s="1"/>
  <c r="T144" i="27"/>
  <c r="U144" i="27" s="1" a="1"/>
  <c r="U144" i="27" s="1"/>
  <c r="T112" i="27"/>
  <c r="U112" i="27" s="1" a="1"/>
  <c r="U112" i="27" s="1"/>
  <c r="F20" i="27"/>
  <c r="G20" i="27" s="1" a="1"/>
  <c r="G20" i="27" s="1"/>
  <c r="AI593" i="1"/>
  <c r="F10" i="26"/>
  <c r="F10" i="25"/>
  <c r="I10" i="25" s="1" a="1"/>
  <c r="I10" i="25" s="1"/>
  <c r="F11" i="25"/>
  <c r="F13" i="25"/>
  <c r="H13" i="25" s="1" a="1"/>
  <c r="H13" i="25" s="1"/>
  <c r="F12" i="25"/>
  <c r="F28" i="26"/>
  <c r="G28" i="26" s="1" a="1"/>
  <c r="G28" i="26" s="1"/>
  <c r="F29" i="25"/>
  <c r="F27" i="26"/>
  <c r="G27" i="26" s="1" a="1"/>
  <c r="G27" i="26" s="1"/>
  <c r="F31" i="25"/>
  <c r="F30" i="25"/>
  <c r="F30" i="26"/>
  <c r="G30" i="26" s="1" a="1"/>
  <c r="G30" i="26" s="1"/>
  <c r="F33" i="25"/>
  <c r="K33" i="25" s="1" a="1"/>
  <c r="K33" i="25" s="1"/>
  <c r="F35" i="25"/>
  <c r="F34" i="25"/>
  <c r="G34" i="25" s="1" a="1"/>
  <c r="G34" i="25" s="1"/>
  <c r="F32" i="25"/>
  <c r="I32" i="25" s="1" a="1"/>
  <c r="I32" i="25" s="1"/>
  <c r="F38" i="26"/>
  <c r="I38" i="26" s="1" a="1"/>
  <c r="I38" i="26" s="1"/>
  <c r="F39" i="26"/>
  <c r="F41" i="25"/>
  <c r="F42" i="25"/>
  <c r="F43" i="25"/>
  <c r="I43" i="25" s="1" a="1"/>
  <c r="I43" i="25" s="1"/>
  <c r="F44" i="25"/>
  <c r="F42" i="26"/>
  <c r="F45" i="25"/>
  <c r="F47" i="25"/>
  <c r="F46" i="25"/>
  <c r="F69" i="25"/>
  <c r="F65" i="26"/>
  <c r="G65" i="26" s="1" a="1"/>
  <c r="G65" i="26" s="1"/>
  <c r="F74" i="25"/>
  <c r="F70" i="26"/>
  <c r="I70" i="26" s="1" a="1"/>
  <c r="I70" i="26" s="1"/>
  <c r="F73" i="25"/>
  <c r="H73" i="25" s="1" a="1"/>
  <c r="H73" i="25" s="1"/>
  <c r="F72" i="25"/>
  <c r="F69" i="26"/>
  <c r="F77" i="25"/>
  <c r="I77" i="25" s="1" a="1"/>
  <c r="I77" i="25" s="1"/>
  <c r="F72" i="26"/>
  <c r="F78" i="25"/>
  <c r="K78" i="25" s="1" a="1"/>
  <c r="K78" i="25" s="1"/>
  <c r="F76" i="25"/>
  <c r="F73" i="26"/>
  <c r="G73" i="26" s="1" a="1"/>
  <c r="G73" i="26" s="1"/>
  <c r="F76" i="26"/>
  <c r="F81" i="25"/>
  <c r="F77" i="26"/>
  <c r="F82" i="25"/>
  <c r="F80" i="25"/>
  <c r="F89" i="25"/>
  <c r="F81" i="26"/>
  <c r="I81" i="26" s="1" a="1"/>
  <c r="I81" i="26" s="1"/>
  <c r="F88" i="25"/>
  <c r="I88" i="25" s="1" a="1"/>
  <c r="I88" i="25" s="1"/>
  <c r="F90" i="25"/>
  <c r="K90" i="25" s="1" a="1"/>
  <c r="K90" i="25" s="1"/>
  <c r="F94" i="25"/>
  <c r="F93" i="25"/>
  <c r="F85" i="26"/>
  <c r="F92" i="25"/>
  <c r="F119" i="25"/>
  <c r="F120" i="25"/>
  <c r="F111" i="26"/>
  <c r="F118" i="25"/>
  <c r="F117" i="25"/>
  <c r="F124" i="25"/>
  <c r="K124" i="25" s="1" a="1"/>
  <c r="K124" i="25" s="1"/>
  <c r="F123" i="25"/>
  <c r="K123" i="25" s="1" a="1"/>
  <c r="K123" i="25" s="1"/>
  <c r="F114" i="26"/>
  <c r="F122" i="25"/>
  <c r="I122" i="25" s="1" a="1"/>
  <c r="I122" i="25" s="1"/>
  <c r="AJ637" i="1"/>
  <c r="AJ615" i="1"/>
  <c r="AJ461" i="1"/>
  <c r="AI461" i="1"/>
  <c r="AI109" i="1"/>
  <c r="AI263" i="1"/>
  <c r="AI219" i="1"/>
  <c r="AJ87" i="1"/>
  <c r="AI87" i="1"/>
  <c r="AJ483" i="1"/>
  <c r="AI483" i="1"/>
  <c r="AI373" i="1"/>
  <c r="AJ131" i="1"/>
  <c r="F7" i="24"/>
  <c r="F8" i="24"/>
  <c r="I8" i="24" s="1" a="1"/>
  <c r="I8" i="24" s="1"/>
  <c r="F9" i="25"/>
  <c r="F20" i="24"/>
  <c r="F19" i="24"/>
  <c r="F18" i="24"/>
  <c r="F28" i="25"/>
  <c r="F21" i="24"/>
  <c r="F23" i="24"/>
  <c r="F22" i="24"/>
  <c r="I22" i="24" s="1" a="1"/>
  <c r="I22" i="24" s="1"/>
  <c r="F40" i="25"/>
  <c r="F26" i="24"/>
  <c r="F27" i="24"/>
  <c r="F28" i="24"/>
  <c r="F29" i="24"/>
  <c r="F119" i="23"/>
  <c r="F120" i="23"/>
  <c r="F121" i="23"/>
  <c r="F71" i="25"/>
  <c r="M71" i="25" s="1"/>
  <c r="F122" i="23"/>
  <c r="F47" i="24"/>
  <c r="F46" i="24"/>
  <c r="F45" i="24"/>
  <c r="F126" i="23"/>
  <c r="F75" i="25"/>
  <c r="F49" i="24"/>
  <c r="F50" i="24"/>
  <c r="F48" i="24"/>
  <c r="F130" i="23"/>
  <c r="F129" i="23"/>
  <c r="F128" i="23"/>
  <c r="F127" i="23"/>
  <c r="F125" i="23"/>
  <c r="F52" i="24"/>
  <c r="F53" i="24"/>
  <c r="F51" i="24"/>
  <c r="F79" i="25"/>
  <c r="N79" i="25" s="1"/>
  <c r="F137" i="23"/>
  <c r="F136" i="23"/>
  <c r="F135" i="23"/>
  <c r="F134" i="23"/>
  <c r="F133" i="23"/>
  <c r="F132" i="23"/>
  <c r="F87" i="25"/>
  <c r="F58" i="24"/>
  <c r="F57" i="24"/>
  <c r="I57" i="24" s="1" a="1"/>
  <c r="I57" i="24" s="1"/>
  <c r="F59" i="24"/>
  <c r="F213" i="42"/>
  <c r="F62" i="24"/>
  <c r="F91" i="25"/>
  <c r="F60" i="24"/>
  <c r="F61" i="24"/>
  <c r="F82" i="24"/>
  <c r="F83" i="24"/>
  <c r="F81" i="24"/>
  <c r="F94" i="42"/>
  <c r="L94" i="42" s="1" a="1"/>
  <c r="L94" i="42" s="1"/>
  <c r="F121" i="25"/>
  <c r="J121" i="25" s="1" a="1"/>
  <c r="J121" i="25" s="1"/>
  <c r="F85" i="24"/>
  <c r="F84" i="24"/>
  <c r="F86" i="24"/>
  <c r="F2" i="25"/>
  <c r="F3" i="24"/>
  <c r="F34" i="42"/>
  <c r="F202" i="42"/>
  <c r="F76" i="41"/>
  <c r="F30" i="43"/>
  <c r="F50" i="42"/>
  <c r="F48" i="42"/>
  <c r="F93" i="41"/>
  <c r="F94" i="41"/>
  <c r="F69" i="42"/>
  <c r="F9" i="43"/>
  <c r="F92" i="41"/>
  <c r="F114" i="41"/>
  <c r="F163" i="42"/>
  <c r="F159" i="42"/>
  <c r="F6" i="42"/>
  <c r="F29" i="41"/>
  <c r="F72" i="42"/>
  <c r="F56" i="42"/>
  <c r="F21" i="42"/>
  <c r="F75" i="41"/>
  <c r="F31" i="43"/>
  <c r="F21" i="40"/>
  <c r="F20" i="43"/>
  <c r="F33" i="42"/>
  <c r="F61" i="42"/>
  <c r="J61" i="42" s="1" a="1"/>
  <c r="J61" i="42" s="1"/>
  <c r="F22" i="33"/>
  <c r="F27" i="42"/>
  <c r="K27" i="42" s="1" a="1"/>
  <c r="K27" i="42" s="1"/>
  <c r="F19" i="43"/>
  <c r="F18" i="43"/>
  <c r="F74" i="41"/>
  <c r="F62" i="43"/>
  <c r="F20" i="41"/>
  <c r="F110" i="42"/>
  <c r="F145" i="42"/>
  <c r="F29" i="42"/>
  <c r="F70" i="42"/>
  <c r="F21" i="41"/>
  <c r="F24" i="42"/>
  <c r="K24" i="42" s="1" a="1"/>
  <c r="K24" i="42" s="1"/>
  <c r="F44" i="42"/>
  <c r="F124" i="41"/>
  <c r="F125" i="41"/>
  <c r="F123" i="41"/>
  <c r="F50" i="43"/>
  <c r="F74" i="42"/>
  <c r="F169" i="42"/>
  <c r="L169" i="42" s="1" a="1"/>
  <c r="L169" i="42" s="1"/>
  <c r="F197" i="42"/>
  <c r="L197" i="42" s="1" a="1"/>
  <c r="L197" i="42" s="1"/>
  <c r="F78" i="42"/>
  <c r="L78" i="42" s="1" a="1"/>
  <c r="L78" i="42" s="1"/>
  <c r="F10" i="42"/>
  <c r="L10" i="42" s="1" a="1"/>
  <c r="L10" i="42" s="1"/>
  <c r="F50" i="41"/>
  <c r="F104" i="43"/>
  <c r="F52" i="41"/>
  <c r="F6" i="41"/>
  <c r="F206" i="42"/>
  <c r="L206" i="42" s="1" a="1"/>
  <c r="L206" i="42" s="1"/>
  <c r="F51" i="41"/>
  <c r="F66" i="41"/>
  <c r="F31" i="42"/>
  <c r="L31" i="42" s="1" a="1"/>
  <c r="L31" i="42" s="1"/>
  <c r="F160" i="42"/>
  <c r="L160" i="42" s="1" a="1"/>
  <c r="L160" i="42" s="1"/>
  <c r="F84" i="42"/>
  <c r="L84" i="42" s="1" a="1"/>
  <c r="L84" i="42" s="1"/>
  <c r="F53" i="41"/>
  <c r="F83" i="43"/>
  <c r="F172" i="42"/>
  <c r="L172" i="42" s="1" a="1"/>
  <c r="L172" i="42" s="1"/>
  <c r="F67" i="41"/>
  <c r="F68" i="41"/>
  <c r="F152" i="42"/>
  <c r="L152" i="42" s="1" a="1"/>
  <c r="L152" i="42" s="1"/>
  <c r="F170" i="42"/>
  <c r="F46" i="41"/>
  <c r="F47" i="41"/>
  <c r="F143" i="42"/>
  <c r="F162" i="42"/>
  <c r="F64" i="43"/>
  <c r="F83" i="41"/>
  <c r="F155" i="42"/>
  <c r="J155" i="42" s="1" a="1"/>
  <c r="J155" i="42" s="1"/>
  <c r="F203" i="42"/>
  <c r="F59" i="42"/>
  <c r="L59" i="42" s="1" a="1"/>
  <c r="L59" i="42" s="1"/>
  <c r="F41" i="42"/>
  <c r="F133" i="42"/>
  <c r="F78" i="43"/>
  <c r="F119" i="42"/>
  <c r="F70" i="41"/>
  <c r="F72" i="41"/>
  <c r="F71" i="41"/>
  <c r="F86" i="42"/>
  <c r="F13" i="41"/>
  <c r="F48" i="43"/>
  <c r="F46" i="43"/>
  <c r="F80" i="41"/>
  <c r="F135" i="42"/>
  <c r="K135" i="42" s="1" a="1"/>
  <c r="K135" i="42" s="1"/>
  <c r="F97" i="42"/>
  <c r="F12" i="41"/>
  <c r="F193" i="42"/>
  <c r="J193" i="42" s="1" a="1"/>
  <c r="J193" i="42" s="1"/>
  <c r="F5" i="42"/>
  <c r="F121" i="42"/>
  <c r="F99" i="43"/>
  <c r="F101" i="42"/>
  <c r="L101" i="42" s="1" a="1"/>
  <c r="L101" i="42" s="1"/>
  <c r="F85" i="41"/>
  <c r="F173" i="42"/>
  <c r="L173" i="42" s="1" a="1"/>
  <c r="L173" i="42" s="1"/>
  <c r="F86" i="41"/>
  <c r="F158" i="42"/>
  <c r="L158" i="42" s="1" a="1"/>
  <c r="L158" i="42" s="1"/>
  <c r="F186" i="42"/>
  <c r="L186" i="42" s="1" a="1"/>
  <c r="L186" i="42" s="1"/>
  <c r="F84" i="41"/>
  <c r="F181" i="42"/>
  <c r="L181" i="42" s="1" a="1"/>
  <c r="L181" i="42" s="1"/>
  <c r="F69" i="41"/>
  <c r="F96" i="42"/>
  <c r="L96" i="42" s="1" a="1"/>
  <c r="L96" i="42" s="1"/>
  <c r="F100" i="42"/>
  <c r="J100" i="42" s="1" a="1"/>
  <c r="J100" i="42" s="1"/>
  <c r="F189" i="42"/>
  <c r="F183" i="42"/>
  <c r="L183" i="42" s="1" a="1"/>
  <c r="L183" i="42" s="1"/>
  <c r="F177" i="42"/>
  <c r="L177" i="42" s="1" a="1"/>
  <c r="L177" i="42" s="1"/>
  <c r="F64" i="41"/>
  <c r="F73" i="42"/>
  <c r="L73" i="42" s="1" a="1"/>
  <c r="L73" i="42" s="1"/>
  <c r="F64" i="42"/>
  <c r="L64" i="42" s="1" a="1"/>
  <c r="L64" i="42" s="1"/>
  <c r="F22" i="42"/>
  <c r="L22" i="42" s="1" a="1"/>
  <c r="L22" i="42" s="1"/>
  <c r="F63" i="41"/>
  <c r="F57" i="42"/>
  <c r="L57" i="42" s="1" a="1"/>
  <c r="L57" i="42" s="1"/>
  <c r="F62" i="41"/>
  <c r="F187" i="42"/>
  <c r="L187" i="42" s="1" a="1"/>
  <c r="L187" i="42" s="1"/>
  <c r="F33" i="41"/>
  <c r="F93" i="42"/>
  <c r="J93" i="42" s="1" a="1"/>
  <c r="J93" i="42" s="1"/>
  <c r="F212" i="42"/>
  <c r="F205" i="42"/>
  <c r="J205" i="42" s="1" a="1"/>
  <c r="J205" i="42" s="1"/>
  <c r="F13" i="43"/>
  <c r="F3" i="41"/>
  <c r="F14" i="42"/>
  <c r="F5" i="41"/>
  <c r="F20" i="42"/>
  <c r="F210" i="42"/>
  <c r="F208" i="42"/>
  <c r="F4" i="41"/>
  <c r="F110" i="41"/>
  <c r="F45" i="42"/>
  <c r="F115" i="42"/>
  <c r="F19" i="42"/>
  <c r="F39" i="43"/>
  <c r="F41" i="41"/>
  <c r="F129" i="42"/>
  <c r="J129" i="42" s="1" a="1"/>
  <c r="J129" i="42" s="1"/>
  <c r="F141" i="42"/>
  <c r="F43" i="41"/>
  <c r="F42" i="41"/>
  <c r="F54" i="43"/>
  <c r="F40" i="41"/>
  <c r="F76" i="42"/>
  <c r="F68" i="42"/>
  <c r="F99" i="42"/>
  <c r="K99" i="42" s="1" a="1"/>
  <c r="K99" i="42" s="1"/>
  <c r="F26" i="41"/>
  <c r="F28" i="41"/>
  <c r="F127" i="42"/>
  <c r="F95" i="42"/>
  <c r="J95" i="42" s="1" a="1"/>
  <c r="J95" i="42" s="1"/>
  <c r="F44" i="41"/>
  <c r="F13" i="42"/>
  <c r="F2" i="42"/>
  <c r="L2" i="42" s="1" a="1"/>
  <c r="L2" i="42" s="1"/>
  <c r="F2" i="41"/>
  <c r="F2" i="43"/>
  <c r="F139" i="42"/>
  <c r="F147" i="42"/>
  <c r="F17" i="42"/>
  <c r="F112" i="42"/>
  <c r="K112" i="42" s="1" a="1"/>
  <c r="K112" i="42" s="1"/>
  <c r="F150" i="42"/>
  <c r="L150" i="42" s="1" a="1"/>
  <c r="L150" i="42" s="1"/>
  <c r="F126" i="42"/>
  <c r="L126" i="42" s="1" a="1"/>
  <c r="L126" i="42" s="1"/>
  <c r="F38" i="41"/>
  <c r="F37" i="41"/>
  <c r="F39" i="41"/>
  <c r="F7" i="42"/>
  <c r="F109" i="42"/>
  <c r="F123" i="42"/>
  <c r="K123" i="42" s="1" a="1"/>
  <c r="K123" i="42" s="1"/>
  <c r="F31" i="41"/>
  <c r="F136" i="42"/>
  <c r="L136" i="42" s="1" a="1"/>
  <c r="L136" i="42" s="1"/>
  <c r="F25" i="42"/>
  <c r="J25" i="42" s="1" a="1"/>
  <c r="J25" i="42" s="1"/>
  <c r="F71" i="42"/>
  <c r="F17" i="41"/>
  <c r="F25" i="43"/>
  <c r="F52" i="42"/>
  <c r="L52" i="42" s="1" a="1"/>
  <c r="L52" i="42" s="1"/>
  <c r="F32" i="41"/>
  <c r="F30" i="41"/>
  <c r="F77" i="42"/>
  <c r="K77" i="42" s="1" a="1"/>
  <c r="K77" i="42" s="1"/>
  <c r="F122" i="42"/>
  <c r="L122" i="42" s="1" a="1"/>
  <c r="L122" i="42" s="1"/>
  <c r="F52" i="43"/>
  <c r="F53" i="43"/>
  <c r="F165" i="42"/>
  <c r="L165" i="42" s="1" a="1"/>
  <c r="L165" i="42" s="1"/>
  <c r="F58" i="41"/>
  <c r="F105" i="42"/>
  <c r="L105" i="42" s="1" a="1"/>
  <c r="L105" i="42" s="1"/>
  <c r="F59" i="41"/>
  <c r="F108" i="42"/>
  <c r="L108" i="42" s="1" a="1"/>
  <c r="L108" i="42" s="1"/>
  <c r="F51" i="43"/>
  <c r="F85" i="42"/>
  <c r="L85" i="42" s="1" a="1"/>
  <c r="L85" i="42" s="1"/>
  <c r="F171" i="42"/>
  <c r="L171" i="42" s="1" a="1"/>
  <c r="L171" i="42" s="1"/>
  <c r="F68" i="43"/>
  <c r="F60" i="41"/>
  <c r="F73" i="41"/>
  <c r="F28" i="42"/>
  <c r="F201" i="35"/>
  <c r="F25" i="35"/>
  <c r="F26" i="35"/>
  <c r="F205" i="35"/>
  <c r="F27" i="35"/>
  <c r="F8" i="33"/>
  <c r="F112" i="36"/>
  <c r="F15" i="23"/>
  <c r="F16" i="23"/>
  <c r="F17" i="23"/>
  <c r="F18" i="23"/>
  <c r="F19" i="23"/>
  <c r="F20" i="23"/>
  <c r="F21" i="23"/>
  <c r="F5" i="34"/>
  <c r="F4" i="34"/>
  <c r="F207" i="35"/>
  <c r="F3" i="34"/>
  <c r="F210" i="35"/>
  <c r="F48" i="33"/>
  <c r="T81" i="27"/>
  <c r="U81" i="27" s="1" a="1"/>
  <c r="U81" i="27" s="1"/>
  <c r="F104" i="34"/>
  <c r="L104" i="34" s="1"/>
  <c r="F38" i="34"/>
  <c r="L38" i="34" s="1"/>
  <c r="F114" i="36"/>
  <c r="K114" i="36" s="1"/>
  <c r="F14" i="36"/>
  <c r="F85" i="43"/>
  <c r="F110" i="35"/>
  <c r="F45" i="43"/>
  <c r="F110" i="34"/>
  <c r="F12" i="33"/>
  <c r="F7" i="36"/>
  <c r="T163" i="27"/>
  <c r="U163" i="27" s="1" a="1"/>
  <c r="U163" i="27" s="1"/>
  <c r="F10" i="35"/>
  <c r="F6" i="36"/>
  <c r="F14" i="33"/>
  <c r="F15" i="33"/>
  <c r="F76" i="34"/>
  <c r="F30" i="36"/>
  <c r="L30" i="36" s="1"/>
  <c r="F40" i="23"/>
  <c r="F105" i="36"/>
  <c r="F72" i="33"/>
  <c r="F49" i="35"/>
  <c r="F48" i="35"/>
  <c r="F206" i="35"/>
  <c r="F72" i="34"/>
  <c r="F77" i="34"/>
  <c r="F137" i="35"/>
  <c r="F66" i="34"/>
  <c r="F121" i="35"/>
  <c r="F7" i="34"/>
  <c r="F12" i="35"/>
  <c r="F88" i="34"/>
  <c r="F33" i="35"/>
  <c r="F85" i="35"/>
  <c r="F96" i="35"/>
  <c r="J96" i="35" s="1" a="1"/>
  <c r="J96" i="35" s="1"/>
  <c r="F42" i="23"/>
  <c r="F67" i="35"/>
  <c r="J67" i="35" s="1" a="1"/>
  <c r="J67" i="35" s="1"/>
  <c r="F43" i="23"/>
  <c r="F44" i="23"/>
  <c r="F45" i="23"/>
  <c r="F46" i="23"/>
  <c r="F47" i="23"/>
  <c r="F23" i="36"/>
  <c r="AA84" i="27"/>
  <c r="AB84" i="27" s="1" a="1"/>
  <c r="AB84" i="27" s="1"/>
  <c r="F38" i="36"/>
  <c r="F18" i="36"/>
  <c r="F26" i="34"/>
  <c r="F13" i="35"/>
  <c r="F17" i="33"/>
  <c r="F32" i="36"/>
  <c r="F18" i="33"/>
  <c r="F17" i="43"/>
  <c r="F40" i="34"/>
  <c r="F10" i="36"/>
  <c r="F41" i="34"/>
  <c r="F73" i="34"/>
  <c r="F19" i="34"/>
  <c r="F48" i="23"/>
  <c r="F49" i="23"/>
  <c r="F50" i="23"/>
  <c r="F51" i="23"/>
  <c r="F52" i="23"/>
  <c r="F53" i="23"/>
  <c r="F21" i="33"/>
  <c r="F54" i="23"/>
  <c r="F55" i="23"/>
  <c r="F59" i="35"/>
  <c r="F65" i="36"/>
  <c r="F35" i="36"/>
  <c r="K35" i="36" s="1"/>
  <c r="F61" i="35"/>
  <c r="F58" i="35"/>
  <c r="J58" i="35" s="1" a="1"/>
  <c r="J58" i="35" s="1"/>
  <c r="F113" i="35"/>
  <c r="F60" i="35"/>
  <c r="F13" i="33"/>
  <c r="F20" i="33"/>
  <c r="F68" i="35"/>
  <c r="J68" i="35" s="1" a="1"/>
  <c r="J68" i="35" s="1"/>
  <c r="F38" i="35"/>
  <c r="T201" i="27"/>
  <c r="U201" i="27" s="1" a="1"/>
  <c r="U201" i="27" s="1"/>
  <c r="F71" i="35"/>
  <c r="F41" i="36"/>
  <c r="L41" i="36" s="1"/>
  <c r="F102" i="35"/>
  <c r="F46" i="35"/>
  <c r="F56" i="23"/>
  <c r="F74" i="34"/>
  <c r="F26" i="36"/>
  <c r="K26" i="36" s="1"/>
  <c r="F89" i="35"/>
  <c r="F59" i="23"/>
  <c r="F15" i="34"/>
  <c r="F21" i="35"/>
  <c r="F9" i="33"/>
  <c r="F70" i="34"/>
  <c r="F71" i="34"/>
  <c r="F58" i="23"/>
  <c r="F57" i="23"/>
  <c r="F39" i="35"/>
  <c r="F23" i="33"/>
  <c r="F60" i="23"/>
  <c r="F20" i="36"/>
  <c r="F15" i="36"/>
  <c r="F105" i="34"/>
  <c r="F209" i="35"/>
  <c r="L209" i="35" s="1" a="1"/>
  <c r="L209" i="35" s="1"/>
  <c r="F51" i="35"/>
  <c r="L51" i="35" s="1" a="1"/>
  <c r="L51" i="35" s="1"/>
  <c r="F109" i="36"/>
  <c r="F111" i="36"/>
  <c r="J111" i="36" s="1"/>
  <c r="F38" i="33"/>
  <c r="F25" i="33"/>
  <c r="F107" i="36"/>
  <c r="L107" i="36" s="1"/>
  <c r="F193" i="35"/>
  <c r="L193" i="35" s="1" a="1"/>
  <c r="L193" i="35" s="1"/>
  <c r="F28" i="36"/>
  <c r="L28" i="36" s="1"/>
  <c r="F32" i="27"/>
  <c r="G32" i="27" s="1" a="1"/>
  <c r="G32" i="27" s="1"/>
  <c r="F138" i="35"/>
  <c r="L138" i="35" s="1" a="1"/>
  <c r="L138" i="35" s="1"/>
  <c r="F36" i="34"/>
  <c r="F24" i="35"/>
  <c r="L24" i="35" s="1" a="1"/>
  <c r="L24" i="35" s="1"/>
  <c r="F2" i="34"/>
  <c r="F35" i="34"/>
  <c r="F19" i="35"/>
  <c r="L19" i="35" s="1" a="1"/>
  <c r="L19" i="35" s="1"/>
  <c r="F86" i="36"/>
  <c r="F83" i="36"/>
  <c r="L83" i="36" s="1"/>
  <c r="F22" i="36"/>
  <c r="F17" i="36"/>
  <c r="J17" i="36" s="1"/>
  <c r="F171" i="35"/>
  <c r="L171" i="35" s="1" a="1"/>
  <c r="L171" i="35" s="1"/>
  <c r="F81" i="34"/>
  <c r="F80" i="34"/>
  <c r="F27" i="33"/>
  <c r="F36" i="33"/>
  <c r="T126" i="27"/>
  <c r="U126" i="27" s="1" a="1"/>
  <c r="U126" i="27" s="1"/>
  <c r="F145" i="35"/>
  <c r="L145" i="35" s="1" a="1"/>
  <c r="L145" i="35" s="1"/>
  <c r="F70" i="23"/>
  <c r="F69" i="23"/>
  <c r="F68" i="23"/>
  <c r="F67" i="23"/>
  <c r="F66" i="23"/>
  <c r="F181" i="35"/>
  <c r="L181" i="35" s="1" a="1"/>
  <c r="L181" i="35" s="1"/>
  <c r="F119" i="35"/>
  <c r="L119" i="35" s="1" a="1"/>
  <c r="L119" i="35" s="1"/>
  <c r="F30" i="34"/>
  <c r="F95" i="34"/>
  <c r="F76" i="43"/>
  <c r="F113" i="34"/>
  <c r="F83" i="35"/>
  <c r="L83" i="35" s="1" a="1"/>
  <c r="L83" i="35" s="1"/>
  <c r="F2" i="35"/>
  <c r="L2" i="35" s="1" a="1"/>
  <c r="L2" i="35" s="1"/>
  <c r="T162" i="27"/>
  <c r="U162" i="27" s="1" a="1"/>
  <c r="U162" i="27" s="1"/>
  <c r="F57" i="33"/>
  <c r="F35" i="35"/>
  <c r="L35" i="35" s="1" a="1"/>
  <c r="L35" i="35" s="1"/>
  <c r="F76" i="23"/>
  <c r="F39" i="36"/>
  <c r="L39" i="36" s="1"/>
  <c r="F37" i="35"/>
  <c r="L37" i="35" s="1" a="1"/>
  <c r="L37" i="35" s="1"/>
  <c r="F77" i="23"/>
  <c r="F46" i="34"/>
  <c r="F71" i="23"/>
  <c r="F155" i="35"/>
  <c r="L155" i="35" s="1" a="1"/>
  <c r="L155" i="35" s="1"/>
  <c r="F114" i="34"/>
  <c r="F115" i="34"/>
  <c r="F29" i="33"/>
  <c r="F72" i="23"/>
  <c r="F75" i="23"/>
  <c r="F74" i="23"/>
  <c r="F73" i="23"/>
  <c r="F37" i="43"/>
  <c r="F83" i="23"/>
  <c r="F48" i="36"/>
  <c r="F84" i="23"/>
  <c r="F85" i="23"/>
  <c r="F18" i="35"/>
  <c r="F75" i="35"/>
  <c r="F31" i="33"/>
  <c r="F32" i="33"/>
  <c r="F52" i="36"/>
  <c r="F74" i="35"/>
  <c r="F52" i="34"/>
  <c r="F123" i="34"/>
  <c r="L123" i="34" s="1"/>
  <c r="F72" i="35"/>
  <c r="F73" i="35"/>
  <c r="F8" i="34"/>
  <c r="F65" i="33"/>
  <c r="F73" i="36"/>
  <c r="T55" i="27"/>
  <c r="U55" i="27" s="1" a="1"/>
  <c r="U55" i="27" s="1"/>
  <c r="F9" i="34"/>
  <c r="F132" i="35"/>
  <c r="J132" i="35" s="1" a="1"/>
  <c r="J132" i="35" s="1"/>
  <c r="F80" i="23"/>
  <c r="F79" i="23"/>
  <c r="F78" i="23"/>
  <c r="F10" i="34"/>
  <c r="F167" i="35"/>
  <c r="J167" i="35" s="1" a="1"/>
  <c r="J167" i="35" s="1"/>
  <c r="F14" i="35"/>
  <c r="J14" i="35" s="1" a="1"/>
  <c r="J14" i="35" s="1"/>
  <c r="F59" i="36"/>
  <c r="F81" i="23"/>
  <c r="F82" i="23"/>
  <c r="F36" i="41"/>
  <c r="F78" i="36"/>
  <c r="L78" i="36" s="1"/>
  <c r="F44" i="36"/>
  <c r="F90" i="35"/>
  <c r="J90" i="35" s="1" a="1"/>
  <c r="J90" i="35" s="1"/>
  <c r="F62" i="35"/>
  <c r="F208" i="35"/>
  <c r="F92" i="36"/>
  <c r="F63" i="33"/>
  <c r="F78" i="35"/>
  <c r="F37" i="36"/>
  <c r="F22" i="35"/>
  <c r="F108" i="34"/>
  <c r="F115" i="35"/>
  <c r="F116" i="35"/>
  <c r="F53" i="34"/>
  <c r="F54" i="34"/>
  <c r="F69" i="36"/>
  <c r="F37" i="33"/>
  <c r="F39" i="34"/>
  <c r="F141" i="35"/>
  <c r="T146" i="27"/>
  <c r="U146" i="27" s="1" a="1"/>
  <c r="U146" i="27" s="1"/>
  <c r="F77" i="36"/>
  <c r="F64" i="36"/>
  <c r="F50" i="36"/>
  <c r="T174" i="27"/>
  <c r="U174" i="27" s="1" a="1"/>
  <c r="U174" i="27" s="1"/>
  <c r="F40" i="35"/>
  <c r="F112" i="34"/>
  <c r="F44" i="33"/>
  <c r="F150" i="35"/>
  <c r="F5" i="35"/>
  <c r="J5" i="35" s="1" a="1"/>
  <c r="J5" i="35" s="1"/>
  <c r="F4" i="33"/>
  <c r="F152" i="35"/>
  <c r="K152" i="35" s="1" a="1"/>
  <c r="K152" i="35" s="1"/>
  <c r="F88" i="36"/>
  <c r="F51" i="34"/>
  <c r="F49" i="34"/>
  <c r="F43" i="33"/>
  <c r="F161" i="35"/>
  <c r="F149" i="35"/>
  <c r="J149" i="35" s="1" a="1"/>
  <c r="J149" i="35" s="1"/>
  <c r="F124" i="23"/>
  <c r="F147" i="35"/>
  <c r="L147" i="35" s="1" a="1"/>
  <c r="L147" i="35" s="1"/>
  <c r="F58" i="36"/>
  <c r="L58" i="36" s="1"/>
  <c r="F47" i="33"/>
  <c r="F33" i="33"/>
  <c r="F56" i="34"/>
  <c r="F91" i="34"/>
  <c r="F135" i="35"/>
  <c r="L135" i="35" s="1" a="1"/>
  <c r="L135" i="35" s="1"/>
  <c r="F104" i="36"/>
  <c r="F57" i="34"/>
  <c r="F98" i="36"/>
  <c r="L98" i="36" s="1"/>
  <c r="F184" i="35"/>
  <c r="L184" i="35" s="1" a="1"/>
  <c r="L184" i="35" s="1"/>
  <c r="F185" i="35"/>
  <c r="L185" i="35" s="1" a="1"/>
  <c r="L185" i="35" s="1"/>
  <c r="F182" i="35"/>
  <c r="L182" i="35" s="1" a="1"/>
  <c r="L182" i="35" s="1"/>
  <c r="F173" i="35"/>
  <c r="L173" i="35" s="1" a="1"/>
  <c r="L173" i="35" s="1"/>
  <c r="F46" i="33"/>
  <c r="F37" i="34"/>
  <c r="F166" i="42"/>
  <c r="F166" i="35"/>
  <c r="F63" i="34"/>
  <c r="F49" i="33"/>
  <c r="F42" i="33"/>
  <c r="F50" i="33"/>
  <c r="F144" i="35"/>
  <c r="F31" i="34"/>
  <c r="F190" i="35"/>
  <c r="J190" i="35" s="1" a="1"/>
  <c r="J190" i="35" s="1"/>
  <c r="F143" i="35"/>
  <c r="F101" i="34"/>
  <c r="F140" i="35"/>
  <c r="F87" i="36"/>
  <c r="F129" i="35"/>
  <c r="F62" i="36"/>
  <c r="F75" i="36"/>
  <c r="L75" i="36" s="1"/>
  <c r="F57" i="36"/>
  <c r="F62" i="34"/>
  <c r="F53" i="33"/>
  <c r="F57" i="35"/>
  <c r="F131" i="23"/>
  <c r="F42" i="36"/>
  <c r="F95" i="36"/>
  <c r="L95" i="36" s="1"/>
  <c r="F13" i="36"/>
  <c r="L13" i="36" s="1"/>
  <c r="F168" i="35"/>
  <c r="F169" i="35"/>
  <c r="F170" i="35"/>
  <c r="F76" i="35"/>
  <c r="F32" i="35"/>
  <c r="L32" i="35" s="1" a="1"/>
  <c r="L32" i="35" s="1"/>
  <c r="F95" i="35"/>
  <c r="F52" i="33"/>
  <c r="F89" i="34"/>
  <c r="F83" i="34"/>
  <c r="F16" i="33"/>
  <c r="F90" i="34"/>
  <c r="F22" i="34"/>
  <c r="F21" i="34"/>
  <c r="F100" i="34"/>
  <c r="F203" i="35"/>
  <c r="F50" i="34"/>
  <c r="F55" i="33"/>
  <c r="F56" i="33"/>
  <c r="F2" i="36"/>
  <c r="F202" i="35"/>
  <c r="F20" i="34"/>
  <c r="F143" i="23"/>
  <c r="F114" i="35"/>
  <c r="L114" i="35" s="1" a="1"/>
  <c r="L114" i="35" s="1"/>
  <c r="F68" i="33"/>
  <c r="F115" i="36"/>
  <c r="F191" i="35"/>
  <c r="F23" i="35"/>
  <c r="L23" i="35" s="1" a="1"/>
  <c r="L23" i="35" s="1"/>
  <c r="M83" i="27"/>
  <c r="N83" i="27" s="1" a="1"/>
  <c r="N83" i="27" s="1"/>
  <c r="F180" i="35"/>
  <c r="F204" i="35"/>
  <c r="F24" i="34"/>
  <c r="T193" i="27"/>
  <c r="U193" i="27" s="1" a="1"/>
  <c r="U193" i="27" s="1"/>
  <c r="F78" i="34"/>
  <c r="F58" i="33"/>
  <c r="F59" i="33"/>
  <c r="F47" i="35"/>
  <c r="F34" i="36"/>
  <c r="F60" i="36"/>
  <c r="F74" i="36"/>
  <c r="F84" i="35"/>
  <c r="L84" i="35" s="1" a="1"/>
  <c r="L84" i="35" s="1"/>
  <c r="F148" i="23"/>
  <c r="F147" i="23"/>
  <c r="F146" i="23"/>
  <c r="F145" i="23"/>
  <c r="F43" i="36"/>
  <c r="F151" i="23"/>
  <c r="I151" i="23" s="1" a="1"/>
  <c r="I151" i="23" s="1"/>
  <c r="F150" i="23"/>
  <c r="F149" i="23"/>
  <c r="F48" i="34"/>
  <c r="F47" i="34"/>
  <c r="F117" i="35"/>
  <c r="F19" i="33"/>
  <c r="F86" i="35"/>
  <c r="F87" i="35"/>
  <c r="K87" i="35" s="1" a="1"/>
  <c r="K87" i="35" s="1"/>
  <c r="F88" i="35"/>
  <c r="F31" i="35"/>
  <c r="F115" i="43"/>
  <c r="F11" i="34"/>
  <c r="F33" i="36"/>
  <c r="F7" i="33"/>
  <c r="F62" i="33"/>
  <c r="F156" i="23"/>
  <c r="F154" i="23"/>
  <c r="F75" i="34"/>
  <c r="F155" i="23"/>
  <c r="F211" i="35"/>
  <c r="F212" i="35"/>
  <c r="F213" i="35"/>
  <c r="F157" i="23"/>
  <c r="F158" i="23"/>
  <c r="F159" i="23"/>
  <c r="T196" i="27"/>
  <c r="U196" i="27" s="1" a="1"/>
  <c r="U196" i="27" s="1"/>
  <c r="F121" i="34"/>
  <c r="F61" i="33"/>
  <c r="F112" i="35"/>
  <c r="F117" i="36"/>
  <c r="F153" i="23"/>
  <c r="F214" i="35"/>
  <c r="F70" i="35"/>
  <c r="L70" i="35" s="1" a="1"/>
  <c r="L70" i="35" s="1"/>
  <c r="F152" i="23"/>
  <c r="F122" i="34"/>
  <c r="F82" i="43"/>
  <c r="F64" i="33"/>
  <c r="F195" i="35"/>
  <c r="L195" i="35" s="1" a="1"/>
  <c r="L195" i="35" s="1"/>
  <c r="M88" i="27"/>
  <c r="N88" i="27" s="1" a="1"/>
  <c r="N88" i="27" s="1"/>
  <c r="F163" i="23"/>
  <c r="F162" i="23"/>
  <c r="J162" i="23" s="1" a="1"/>
  <c r="J162" i="23" s="1"/>
  <c r="F161" i="23"/>
  <c r="F160" i="23"/>
  <c r="F81" i="36"/>
  <c r="F71" i="36"/>
  <c r="F94" i="36"/>
  <c r="F56" i="36"/>
  <c r="L56" i="36" s="1"/>
  <c r="F146" i="35"/>
  <c r="L146" i="35" s="1" a="1"/>
  <c r="L146" i="35" s="1"/>
  <c r="F134" i="35"/>
  <c r="L134" i="35" s="1" a="1"/>
  <c r="L134" i="35" s="1"/>
  <c r="F163" i="35"/>
  <c r="L163" i="35" s="1" a="1"/>
  <c r="L163" i="35" s="1"/>
  <c r="F25" i="34"/>
  <c r="F96" i="34"/>
  <c r="F164" i="23"/>
  <c r="F60" i="34"/>
  <c r="F59" i="34"/>
  <c r="F40" i="33"/>
  <c r="F133" i="35"/>
  <c r="L133" i="35" s="1" a="1"/>
  <c r="L133" i="35" s="1"/>
  <c r="F131" i="35"/>
  <c r="L131" i="35" s="1" a="1"/>
  <c r="L131" i="35" s="1"/>
  <c r="F61" i="43"/>
  <c r="F5" i="36"/>
  <c r="F41" i="35"/>
  <c r="J41" i="35" s="1" a="1"/>
  <c r="J41" i="35" s="1"/>
  <c r="F107" i="34"/>
  <c r="F61" i="27"/>
  <c r="G61" i="27" s="1" a="1"/>
  <c r="G61" i="27" s="1"/>
  <c r="F100" i="36"/>
  <c r="F103" i="36"/>
  <c r="J103" i="36" s="1"/>
  <c r="F71" i="33"/>
  <c r="F70" i="33"/>
  <c r="F69" i="33"/>
  <c r="F172" i="35"/>
  <c r="F69" i="35"/>
  <c r="F113" i="36"/>
  <c r="F61" i="34"/>
  <c r="F199" i="35"/>
  <c r="F93" i="34"/>
  <c r="F84" i="33"/>
  <c r="F187" i="35"/>
  <c r="J187" i="35" s="1" a="1"/>
  <c r="J187" i="35" s="1"/>
  <c r="F99" i="35"/>
  <c r="K99" i="35" s="1" a="1"/>
  <c r="K99" i="35" s="1"/>
  <c r="F58" i="34"/>
  <c r="T172" i="27"/>
  <c r="U172" i="27" s="1" a="1"/>
  <c r="U172" i="27" s="1"/>
  <c r="F4" i="36"/>
  <c r="F69" i="34"/>
  <c r="F109" i="35"/>
  <c r="L109" i="35" s="1" a="1"/>
  <c r="L109" i="35" s="1"/>
  <c r="F79" i="36"/>
  <c r="L79" i="36" s="1"/>
  <c r="F4" i="35"/>
  <c r="L4" i="35" s="1" a="1"/>
  <c r="L4" i="35" s="1"/>
  <c r="F80" i="33"/>
  <c r="F2" i="33"/>
  <c r="F97" i="34"/>
  <c r="F68" i="36"/>
  <c r="F8" i="36"/>
  <c r="F194" i="23"/>
  <c r="K194" i="23" s="1" a="1"/>
  <c r="K194" i="23" s="1"/>
  <c r="F6" i="34"/>
  <c r="F28" i="35"/>
  <c r="L28" i="35" s="1" a="1"/>
  <c r="L28" i="35" s="1"/>
  <c r="F98" i="34"/>
  <c r="F20" i="35"/>
  <c r="L20" i="35" s="1" a="1"/>
  <c r="L20" i="35" s="1"/>
  <c r="F106" i="35"/>
  <c r="L106" i="35" s="1" a="1"/>
  <c r="L106" i="35" s="1"/>
  <c r="F105" i="35"/>
  <c r="L105" i="35" s="1" a="1"/>
  <c r="L105" i="35" s="1"/>
  <c r="F107" i="35"/>
  <c r="L107" i="35" s="1" a="1"/>
  <c r="L107" i="35" s="1"/>
  <c r="F108" i="35"/>
  <c r="L108" i="35" s="1" a="1"/>
  <c r="L108" i="35" s="1"/>
  <c r="F11" i="35"/>
  <c r="L11" i="35" s="1" a="1"/>
  <c r="L11" i="35" s="1"/>
  <c r="F202" i="23"/>
  <c r="F205" i="23"/>
  <c r="F40" i="36"/>
  <c r="F207" i="23"/>
  <c r="G207" i="23" s="1" a="1"/>
  <c r="G207" i="23" s="1"/>
  <c r="F93" i="35"/>
  <c r="F11" i="33"/>
  <c r="F206" i="23"/>
  <c r="F52" i="35"/>
  <c r="K52" i="35" s="1" a="1"/>
  <c r="K52" i="35" s="1"/>
  <c r="F12" i="36"/>
  <c r="L12" i="36" s="1"/>
  <c r="F83" i="33"/>
  <c r="F66" i="36"/>
  <c r="F18" i="34"/>
  <c r="F64" i="35"/>
  <c r="F43" i="34"/>
  <c r="F42" i="35"/>
  <c r="F82" i="34"/>
  <c r="F82" i="33"/>
  <c r="F44" i="34"/>
  <c r="T170" i="27"/>
  <c r="U170" i="27" s="1" a="1"/>
  <c r="U170" i="27" s="1"/>
  <c r="F65" i="35"/>
  <c r="J65" i="35" s="1" a="1"/>
  <c r="J65" i="35" s="1"/>
  <c r="F66" i="35"/>
  <c r="F203" i="23"/>
  <c r="F208" i="23"/>
  <c r="I208" i="23" s="1" a="1"/>
  <c r="I208" i="23" s="1"/>
  <c r="F204" i="23"/>
  <c r="F103" i="35"/>
  <c r="J103" i="35" s="1" a="1"/>
  <c r="J103" i="35" s="1"/>
  <c r="F111" i="43"/>
  <c r="F196" i="35"/>
  <c r="L196" i="35" s="1" a="1"/>
  <c r="L196" i="35" s="1"/>
  <c r="F211" i="23"/>
  <c r="F197" i="35"/>
  <c r="L197" i="35" s="1" a="1"/>
  <c r="L197" i="35" s="1"/>
  <c r="F110" i="36"/>
  <c r="F108" i="36"/>
  <c r="F213" i="23"/>
  <c r="F212" i="23"/>
  <c r="F27" i="34"/>
  <c r="F210" i="23"/>
  <c r="F85" i="33"/>
  <c r="F209" i="23"/>
  <c r="I209" i="23" s="1" a="1"/>
  <c r="I209" i="23" s="1"/>
  <c r="F124" i="34"/>
  <c r="F99" i="34"/>
  <c r="F125" i="34"/>
  <c r="F174" i="35"/>
  <c r="L174" i="35" s="1" a="1"/>
  <c r="L174" i="35" s="1"/>
  <c r="F90" i="36"/>
  <c r="F136" i="35"/>
  <c r="L136" i="35" s="1" a="1"/>
  <c r="L136" i="35" s="1"/>
  <c r="F84" i="36"/>
  <c r="L84" i="36" s="1"/>
  <c r="F151" i="35"/>
  <c r="L151" i="35" s="1" a="1"/>
  <c r="L151" i="35" s="1"/>
  <c r="F86" i="33"/>
  <c r="F28" i="33"/>
  <c r="F82" i="36"/>
  <c r="F72" i="36"/>
  <c r="F120" i="35"/>
  <c r="F84" i="34"/>
  <c r="F85" i="34"/>
  <c r="F55" i="35"/>
  <c r="F162" i="35"/>
  <c r="F153" i="35"/>
  <c r="F34" i="34"/>
  <c r="F3" i="33"/>
  <c r="F2" i="26"/>
  <c r="F56" i="35"/>
  <c r="F94" i="34"/>
  <c r="F93" i="36"/>
  <c r="F45" i="33"/>
  <c r="F49" i="36"/>
  <c r="F198" i="35"/>
  <c r="F4" i="23"/>
  <c r="J4" i="23" s="1" a="1"/>
  <c r="J4" i="23" s="1"/>
  <c r="F3" i="23"/>
  <c r="F2" i="23"/>
  <c r="F19" i="41"/>
  <c r="F190" i="42"/>
  <c r="L190" i="42" s="1" a="1"/>
  <c r="L190" i="42" s="1"/>
  <c r="F57" i="41"/>
  <c r="F60" i="42"/>
  <c r="F67" i="43"/>
  <c r="F90" i="42"/>
  <c r="F107" i="42"/>
  <c r="L107" i="42" s="1" a="1"/>
  <c r="L107" i="42" s="1"/>
  <c r="F81" i="42"/>
  <c r="F120" i="42"/>
  <c r="F66" i="43"/>
  <c r="F108" i="43"/>
  <c r="F61" i="41"/>
  <c r="F55" i="41"/>
  <c r="F18" i="41"/>
  <c r="F65" i="43"/>
  <c r="F89" i="43"/>
  <c r="F108" i="41"/>
  <c r="F56" i="41"/>
  <c r="F40" i="42"/>
  <c r="F168" i="42"/>
  <c r="L168" i="42" s="1" a="1"/>
  <c r="L168" i="42" s="1"/>
  <c r="F134" i="42"/>
  <c r="F198" i="42"/>
  <c r="L198" i="42" s="1" a="1"/>
  <c r="L198" i="42" s="1"/>
  <c r="F109" i="41"/>
  <c r="F11" i="41"/>
  <c r="F107" i="41"/>
  <c r="F199" i="42"/>
  <c r="L199" i="42" s="1" a="1"/>
  <c r="L199" i="42" s="1"/>
  <c r="F63" i="43"/>
  <c r="F192" i="35"/>
  <c r="L192" i="35" s="1" a="1"/>
  <c r="L192" i="35" s="1"/>
  <c r="F54" i="41"/>
  <c r="F124" i="42"/>
  <c r="F58" i="42"/>
  <c r="F137" i="42"/>
  <c r="AR10" i="38"/>
  <c r="F14" i="41"/>
  <c r="F4" i="42"/>
  <c r="F30" i="42"/>
  <c r="F209" i="42"/>
  <c r="L209" i="42" s="1" a="1"/>
  <c r="L209" i="42" s="1"/>
  <c r="F120" i="41"/>
  <c r="F65" i="24"/>
  <c r="F26" i="33"/>
  <c r="F54" i="42"/>
  <c r="L54" i="42" s="1" a="1"/>
  <c r="L54" i="42" s="1"/>
  <c r="F34" i="43"/>
  <c r="T125" i="27"/>
  <c r="U125" i="27" s="1" a="1"/>
  <c r="U125" i="27" s="1"/>
  <c r="F23" i="34"/>
  <c r="F111" i="35"/>
  <c r="F11" i="36"/>
  <c r="F81" i="33"/>
  <c r="F32" i="34"/>
  <c r="F45" i="35"/>
  <c r="L45" i="35" s="1" a="1"/>
  <c r="L45" i="35" s="1"/>
  <c r="F34" i="33"/>
  <c r="F33" i="34"/>
  <c r="F23" i="40"/>
  <c r="F35" i="33"/>
  <c r="F79" i="34"/>
  <c r="F53" i="35"/>
  <c r="L53" i="35" s="1" a="1"/>
  <c r="L53" i="35" s="1"/>
  <c r="F43" i="35"/>
  <c r="F67" i="36"/>
  <c r="F86" i="34"/>
  <c r="F91" i="35"/>
  <c r="F83" i="40"/>
  <c r="F38" i="40"/>
  <c r="F112" i="41"/>
  <c r="F154" i="35"/>
  <c r="L154" i="35" s="1" a="1"/>
  <c r="L154" i="35" s="1"/>
  <c r="F92" i="35"/>
  <c r="F94" i="35"/>
  <c r="F84" i="40"/>
  <c r="F25" i="41"/>
  <c r="F111" i="41"/>
  <c r="F16" i="25"/>
  <c r="F25" i="23"/>
  <c r="T69" i="27"/>
  <c r="U69" i="27" s="1" a="1"/>
  <c r="U69" i="27" s="1"/>
  <c r="AA74" i="27"/>
  <c r="AB74" i="27" s="1" a="1"/>
  <c r="AB74" i="27" s="1"/>
  <c r="F186" i="35"/>
  <c r="F5" i="40"/>
  <c r="T101" i="27"/>
  <c r="U101" i="27" s="1" a="1"/>
  <c r="U101" i="27" s="1"/>
  <c r="F79" i="35"/>
  <c r="F3" i="35"/>
  <c r="F70" i="36"/>
  <c r="L70" i="36" s="1"/>
  <c r="F111" i="42"/>
  <c r="F80" i="35"/>
  <c r="F80" i="36"/>
  <c r="F16" i="34"/>
  <c r="P16" i="34" s="1"/>
  <c r="F81" i="35"/>
  <c r="F36" i="40"/>
  <c r="F82" i="35"/>
  <c r="F64" i="34"/>
  <c r="F139" i="35"/>
  <c r="F106" i="34"/>
  <c r="F186" i="23"/>
  <c r="F183" i="35"/>
  <c r="F75" i="40"/>
  <c r="F164" i="42"/>
  <c r="F85" i="36"/>
  <c r="T204" i="27"/>
  <c r="U204" i="27" s="1" a="1"/>
  <c r="U204" i="27" s="1"/>
  <c r="F55" i="34"/>
  <c r="F200" i="35"/>
  <c r="T180" i="27"/>
  <c r="U180" i="27" s="1" a="1"/>
  <c r="U180" i="27" s="1"/>
  <c r="F75" i="33"/>
  <c r="F122" i="35"/>
  <c r="L122" i="35" s="1" a="1"/>
  <c r="L122" i="35" s="1"/>
  <c r="F109" i="34"/>
  <c r="F113" i="41"/>
  <c r="F80" i="42"/>
  <c r="F21" i="43"/>
  <c r="F74" i="43"/>
  <c r="F116" i="42"/>
  <c r="J116" i="42" s="1" a="1"/>
  <c r="J116" i="42" s="1"/>
  <c r="F130" i="42"/>
  <c r="F55" i="42"/>
  <c r="F142" i="42"/>
  <c r="F67" i="42"/>
  <c r="F42" i="42"/>
  <c r="F177" i="35"/>
  <c r="F4" i="40"/>
  <c r="F9" i="36"/>
  <c r="F29" i="34"/>
  <c r="F73" i="33"/>
  <c r="F24" i="33"/>
  <c r="F12" i="34"/>
  <c r="F76" i="36"/>
  <c r="F46" i="36"/>
  <c r="F50" i="35"/>
  <c r="J50" i="35" s="1" a="1"/>
  <c r="J50" i="35" s="1"/>
  <c r="F118" i="42"/>
  <c r="F144" i="42"/>
  <c r="F46" i="42"/>
  <c r="F69" i="43"/>
  <c r="F82" i="41"/>
  <c r="F70" i="43"/>
  <c r="F8" i="26"/>
  <c r="F83" i="42"/>
  <c r="F66" i="42"/>
  <c r="F71" i="43"/>
  <c r="F26" i="40"/>
  <c r="F81" i="41"/>
  <c r="F132" i="42"/>
  <c r="F23" i="42"/>
  <c r="F57" i="43"/>
  <c r="F118" i="34"/>
  <c r="F6" i="33"/>
  <c r="F126" i="35"/>
  <c r="F34" i="35"/>
  <c r="F58" i="40"/>
  <c r="O58" i="40" s="1"/>
  <c r="F5" i="33"/>
  <c r="F125" i="35"/>
  <c r="F57" i="40"/>
  <c r="L57" i="40" s="1"/>
  <c r="F127" i="35"/>
  <c r="J127" i="35" s="1" a="1"/>
  <c r="J127" i="35" s="1"/>
  <c r="F77" i="35"/>
  <c r="F25" i="36"/>
  <c r="F118" i="35"/>
  <c r="AA23" i="27"/>
  <c r="AB23" i="27" s="1" a="1"/>
  <c r="AB23" i="27" s="1"/>
  <c r="F16" i="36"/>
  <c r="F7" i="35"/>
  <c r="L7" i="35" s="1" a="1"/>
  <c r="L7" i="35" s="1"/>
  <c r="F194" i="35"/>
  <c r="L194" i="35" s="1" a="1"/>
  <c r="L194" i="35" s="1"/>
  <c r="F142" i="35"/>
  <c r="L142" i="35" s="1" a="1"/>
  <c r="L142" i="35" s="1"/>
  <c r="F39" i="33"/>
  <c r="F8" i="35"/>
  <c r="L8" i="35" s="1" a="1"/>
  <c r="L8" i="35" s="1"/>
  <c r="F92" i="43"/>
  <c r="T133" i="27"/>
  <c r="U133" i="27" s="1" a="1"/>
  <c r="U133" i="27" s="1"/>
  <c r="F24" i="23"/>
  <c r="J24" i="23" s="1" a="1"/>
  <c r="J24" i="23" s="1"/>
  <c r="F87" i="34"/>
  <c r="F92" i="34"/>
  <c r="F124" i="35"/>
  <c r="F6" i="35"/>
  <c r="L6" i="35" s="1" a="1"/>
  <c r="L6" i="35" s="1"/>
  <c r="F176" i="35"/>
  <c r="F14" i="25"/>
  <c r="I14" i="25" s="1" a="1"/>
  <c r="I14" i="25" s="1"/>
  <c r="AA11" i="27"/>
  <c r="AB11" i="27" s="1" a="1"/>
  <c r="AB11" i="27" s="1"/>
  <c r="T160" i="27"/>
  <c r="U160" i="27" s="1" a="1"/>
  <c r="U160" i="27" s="1"/>
  <c r="F30" i="33"/>
  <c r="F60" i="33"/>
  <c r="F74" i="33"/>
  <c r="F111" i="34"/>
  <c r="L111" i="34" s="1"/>
  <c r="F67" i="34"/>
  <c r="F175" i="35"/>
  <c r="F9" i="35"/>
  <c r="L9" i="35" s="1" a="1"/>
  <c r="L9" i="35" s="1"/>
  <c r="F178" i="35"/>
  <c r="F106" i="36"/>
  <c r="F49" i="41"/>
  <c r="F16" i="43"/>
  <c r="F26" i="23"/>
  <c r="K26" i="23" s="1" a="1"/>
  <c r="K26" i="23" s="1"/>
  <c r="F27" i="23"/>
  <c r="F10" i="24"/>
  <c r="P10" i="24" s="1"/>
  <c r="F13" i="26"/>
  <c r="F10" i="33"/>
  <c r="F68" i="34"/>
  <c r="F130" i="35"/>
  <c r="L130" i="35" s="1" a="1"/>
  <c r="L130" i="35" s="1"/>
  <c r="F97" i="36"/>
  <c r="F53" i="36"/>
  <c r="L53" i="36" s="1"/>
  <c r="F73" i="40"/>
  <c r="O73" i="40" s="1"/>
  <c r="F54" i="33"/>
  <c r="F164" i="35"/>
  <c r="J164" i="35" s="1" a="1"/>
  <c r="J164" i="35" s="1"/>
  <c r="F157" i="35"/>
  <c r="F3" i="36"/>
  <c r="F74" i="40"/>
  <c r="F15" i="25"/>
  <c r="F14" i="26"/>
  <c r="T165" i="27"/>
  <c r="U165" i="27" s="1" a="1"/>
  <c r="U165" i="27" s="1"/>
  <c r="F165" i="35"/>
  <c r="F104" i="35"/>
  <c r="F33" i="40"/>
  <c r="F72" i="43"/>
  <c r="F116" i="34"/>
  <c r="F128" i="35"/>
  <c r="J128" i="35" s="1" a="1"/>
  <c r="J128" i="35" s="1"/>
  <c r="F21" i="36"/>
  <c r="F96" i="36"/>
  <c r="F103" i="41"/>
  <c r="F101" i="41"/>
  <c r="T178" i="27"/>
  <c r="U178" i="27" s="1" a="1"/>
  <c r="U178" i="27" s="1"/>
  <c r="F17" i="35"/>
  <c r="F101" i="36"/>
  <c r="F23" i="23"/>
  <c r="M31" i="27"/>
  <c r="N31" i="27" s="1" a="1"/>
  <c r="N31" i="27" s="1"/>
  <c r="F14" i="34"/>
  <c r="F156" i="35"/>
  <c r="L156" i="35" s="1" a="1"/>
  <c r="L156" i="35" s="1"/>
  <c r="F22" i="40"/>
  <c r="F22" i="23"/>
  <c r="F61" i="25"/>
  <c r="F13" i="34"/>
  <c r="F28" i="34"/>
  <c r="F27" i="36"/>
  <c r="F91" i="36"/>
  <c r="F53" i="40"/>
  <c r="F153" i="42"/>
  <c r="F42" i="34"/>
  <c r="P42" i="34" s="1"/>
  <c r="F78" i="40"/>
  <c r="L78" i="40" s="1"/>
  <c r="F200" i="42"/>
  <c r="F65" i="42"/>
  <c r="F102" i="42"/>
  <c r="F16" i="41"/>
  <c r="F101" i="43"/>
  <c r="F102" i="43"/>
  <c r="F15" i="41"/>
  <c r="F103" i="43"/>
  <c r="F47" i="42"/>
  <c r="F180" i="42"/>
  <c r="K180" i="42" s="1" a="1"/>
  <c r="K180" i="42" s="1"/>
  <c r="F91" i="43"/>
  <c r="F102" i="41"/>
  <c r="F185" i="42"/>
  <c r="F104" i="42"/>
  <c r="F65" i="41"/>
  <c r="F100" i="41"/>
  <c r="F179" i="42"/>
  <c r="F5" i="43"/>
  <c r="F188" i="42"/>
  <c r="F16" i="42"/>
  <c r="F161" i="42"/>
  <c r="F8" i="42"/>
  <c r="J8" i="42" s="1" a="1"/>
  <c r="J8" i="42" s="1"/>
  <c r="F88" i="42"/>
  <c r="F184" i="42"/>
  <c r="F191" i="42"/>
  <c r="F97" i="43"/>
  <c r="F104" i="41"/>
  <c r="F84" i="43"/>
  <c r="F105" i="41"/>
  <c r="F92" i="42"/>
  <c r="L92" i="42" s="1" a="1"/>
  <c r="L92" i="42" s="1"/>
  <c r="F178" i="42"/>
  <c r="F17" i="34"/>
  <c r="F176" i="42"/>
  <c r="T124" i="27"/>
  <c r="U124" i="27" s="1" a="1"/>
  <c r="U124" i="27" s="1"/>
  <c r="M97" i="27"/>
  <c r="N97" i="27" s="1" a="1"/>
  <c r="N97" i="27" s="1"/>
  <c r="F85" i="40"/>
  <c r="F34" i="40"/>
  <c r="F182" i="42"/>
  <c r="F94" i="43"/>
  <c r="F95" i="43"/>
  <c r="F41" i="33"/>
  <c r="F47" i="36"/>
  <c r="F96" i="43"/>
  <c r="F79" i="43"/>
  <c r="F196" i="42"/>
  <c r="F189" i="35"/>
  <c r="F15" i="35"/>
  <c r="L15" i="35" s="1" a="1"/>
  <c r="L15" i="35" s="1"/>
  <c r="F99" i="36"/>
  <c r="F78" i="41"/>
  <c r="F157" i="42"/>
  <c r="F9" i="42"/>
  <c r="M33" i="27"/>
  <c r="N33" i="27" s="1" a="1"/>
  <c r="N33" i="27" s="1"/>
  <c r="F63" i="35"/>
  <c r="F102" i="36"/>
  <c r="F79" i="41"/>
  <c r="F77" i="41"/>
  <c r="F79" i="33"/>
  <c r="F55" i="36"/>
  <c r="F148" i="35"/>
  <c r="F159" i="35"/>
  <c r="F99" i="41"/>
  <c r="F120" i="34"/>
  <c r="F160" i="35"/>
  <c r="F125" i="42"/>
  <c r="J125" i="42" s="1" a="1"/>
  <c r="J125" i="42" s="1"/>
  <c r="F43" i="43"/>
  <c r="F118" i="41"/>
  <c r="F3" i="42"/>
  <c r="F138" i="42"/>
  <c r="F28" i="43"/>
  <c r="F79" i="42"/>
  <c r="F154" i="42"/>
  <c r="F89" i="41"/>
  <c r="F90" i="41"/>
  <c r="F44" i="43"/>
  <c r="F88" i="41"/>
  <c r="F146" i="42"/>
  <c r="F187" i="23"/>
  <c r="I187" i="23" s="1" a="1"/>
  <c r="I187" i="23" s="1"/>
  <c r="F112" i="25"/>
  <c r="F76" i="33"/>
  <c r="F119" i="34"/>
  <c r="F158" i="35"/>
  <c r="F100" i="35"/>
  <c r="L100" i="35" s="1" a="1"/>
  <c r="L100" i="35" s="1"/>
  <c r="F89" i="36"/>
  <c r="F63" i="40"/>
  <c r="F175" i="42"/>
  <c r="J175" i="42" s="1" a="1"/>
  <c r="J175" i="42" s="1"/>
  <c r="F12" i="42"/>
  <c r="J12" i="42" s="1" a="1"/>
  <c r="J12" i="42" s="1"/>
  <c r="F188" i="23"/>
  <c r="F77" i="33"/>
  <c r="F101" i="35"/>
  <c r="F64" i="40"/>
  <c r="F140" i="42"/>
  <c r="F189" i="23"/>
  <c r="F78" i="33"/>
  <c r="F123" i="35"/>
  <c r="J123" i="35" s="1" a="1"/>
  <c r="J123" i="35" s="1"/>
  <c r="F65" i="40"/>
  <c r="F148" i="42"/>
  <c r="K148" i="42" s="1" a="1"/>
  <c r="K148" i="42" s="1"/>
  <c r="F190" i="23"/>
  <c r="M108" i="27"/>
  <c r="N108" i="27" s="1" a="1"/>
  <c r="N108" i="27" s="1"/>
  <c r="F51" i="33"/>
  <c r="F116" i="43"/>
  <c r="F151" i="42"/>
  <c r="F192" i="23"/>
  <c r="F122" i="41"/>
  <c r="F87" i="42"/>
  <c r="F61" i="36"/>
  <c r="F115" i="41"/>
  <c r="F56" i="43"/>
  <c r="F82" i="42"/>
  <c r="F55" i="43"/>
  <c r="F16" i="35"/>
  <c r="AA16" i="27"/>
  <c r="AB16" i="27" s="1" a="1"/>
  <c r="AB16" i="27" s="1"/>
  <c r="F35" i="40"/>
  <c r="F116" i="41"/>
  <c r="F114" i="42"/>
  <c r="J114" i="42" s="1" a="1"/>
  <c r="J114" i="42" s="1"/>
  <c r="T118" i="27"/>
  <c r="U118" i="27" s="1" a="1"/>
  <c r="U118" i="27" s="1"/>
  <c r="F184" i="23"/>
  <c r="F102" i="34"/>
  <c r="F97" i="35"/>
  <c r="K97" i="35" s="1" a="1"/>
  <c r="K97" i="35" s="1"/>
  <c r="F98" i="35"/>
  <c r="K98" i="35" s="1" a="1"/>
  <c r="K98" i="35" s="1"/>
  <c r="F36" i="36"/>
  <c r="J36" i="36" s="1"/>
  <c r="F117" i="41"/>
  <c r="F128" i="42"/>
  <c r="F191" i="23"/>
  <c r="M76" i="27"/>
  <c r="N76" i="27" s="1" a="1"/>
  <c r="N76" i="27" s="1"/>
  <c r="F185" i="23"/>
  <c r="F103" i="34"/>
  <c r="F24" i="41"/>
  <c r="F23" i="41"/>
  <c r="F106" i="42"/>
  <c r="L106" i="42" s="1" a="1"/>
  <c r="L106" i="42" s="1"/>
  <c r="F26" i="42"/>
  <c r="L26" i="42" s="1" a="1"/>
  <c r="L26" i="42" s="1"/>
  <c r="F91" i="42"/>
  <c r="L91" i="42" s="1" a="1"/>
  <c r="L91" i="42" s="1"/>
  <c r="F15" i="43"/>
  <c r="F32" i="42"/>
  <c r="L32" i="42" s="1" a="1"/>
  <c r="L32" i="42" s="1"/>
  <c r="F156" i="42"/>
  <c r="L156" i="42" s="1" a="1"/>
  <c r="L156" i="42" s="1"/>
  <c r="F14" i="43"/>
  <c r="F22" i="41"/>
  <c r="F36" i="42"/>
  <c r="L36" i="42" s="1" a="1"/>
  <c r="L36" i="42" s="1"/>
  <c r="F39" i="42"/>
  <c r="L39" i="42" s="1" a="1"/>
  <c r="L39" i="42" s="1"/>
  <c r="F37" i="42"/>
  <c r="F204" i="42"/>
  <c r="F201" i="42"/>
  <c r="K201" i="42" s="1" a="1"/>
  <c r="K201" i="42" s="1"/>
  <c r="F8" i="41"/>
  <c r="F207" i="42"/>
  <c r="J207" i="42" s="1" a="1"/>
  <c r="J207" i="42" s="1"/>
  <c r="F9" i="41"/>
  <c r="F10" i="41"/>
  <c r="F112" i="43"/>
  <c r="F7" i="41"/>
  <c r="F3" i="43"/>
  <c r="F4" i="43"/>
  <c r="F44" i="35"/>
  <c r="L44" i="35" s="1" a="1"/>
  <c r="L44" i="35" s="1"/>
  <c r="F43" i="42"/>
  <c r="L43" i="42" s="1" a="1"/>
  <c r="L43" i="42" s="1"/>
  <c r="F103" i="42"/>
  <c r="L103" i="42" s="1" a="1"/>
  <c r="L103" i="42" s="1"/>
  <c r="F26" i="43"/>
  <c r="F29" i="36"/>
  <c r="L29" i="36" s="1"/>
  <c r="F174" i="42"/>
  <c r="L174" i="42" s="1" a="1"/>
  <c r="L174" i="42" s="1"/>
  <c r="F66" i="33"/>
  <c r="F45" i="34"/>
  <c r="F65" i="34"/>
  <c r="F39" i="40"/>
  <c r="F87" i="41"/>
  <c r="F35" i="41"/>
  <c r="F34" i="41"/>
  <c r="F31" i="36"/>
  <c r="L31" i="36" s="1"/>
  <c r="F49" i="42"/>
  <c r="L49" i="42" s="1" a="1"/>
  <c r="L49" i="42" s="1"/>
  <c r="F27" i="43"/>
  <c r="F188" i="35"/>
  <c r="L188" i="35" s="1" a="1"/>
  <c r="L188" i="35" s="1"/>
  <c r="F51" i="36"/>
  <c r="F117" i="34"/>
  <c r="P117" i="34" s="1"/>
  <c r="F67" i="33"/>
  <c r="F30" i="35"/>
  <c r="L30" i="35" s="1" a="1"/>
  <c r="L30" i="35" s="1"/>
  <c r="F69" i="40"/>
  <c r="F116" i="36"/>
  <c r="F211" i="42"/>
  <c r="F75" i="42"/>
  <c r="F22" i="43"/>
  <c r="F45" i="36"/>
  <c r="L45" i="36" s="1"/>
  <c r="F12" i="40"/>
  <c r="O12" i="40" s="1"/>
  <c r="F91" i="41"/>
  <c r="F119" i="41"/>
  <c r="F45" i="41"/>
  <c r="F117" i="42"/>
  <c r="F214" i="42"/>
  <c r="F113" i="42"/>
  <c r="F38" i="43"/>
  <c r="F6" i="40"/>
  <c r="F95" i="41"/>
  <c r="F97" i="41"/>
  <c r="F89" i="42"/>
  <c r="F98" i="42"/>
  <c r="F179" i="35"/>
  <c r="L179" i="35" s="1" a="1"/>
  <c r="L179" i="35" s="1"/>
  <c r="F19" i="36"/>
  <c r="F36" i="35"/>
  <c r="L36" i="35" s="1" a="1"/>
  <c r="L36" i="35" s="1"/>
  <c r="F29" i="35"/>
  <c r="L29" i="35" s="1" a="1"/>
  <c r="L29" i="35" s="1"/>
  <c r="F24" i="36"/>
  <c r="J24" i="36" s="1"/>
  <c r="F98" i="41"/>
  <c r="F192" i="42"/>
  <c r="F18" i="42"/>
  <c r="F23" i="43"/>
  <c r="F24" i="43"/>
  <c r="F27" i="41"/>
  <c r="F121" i="41"/>
  <c r="F96" i="41"/>
  <c r="F53" i="42"/>
  <c r="F35" i="42"/>
  <c r="F131" i="42"/>
  <c r="F35" i="43"/>
  <c r="F113" i="43"/>
  <c r="F93" i="43"/>
  <c r="F54" i="35"/>
  <c r="F54" i="36"/>
  <c r="F67" i="40"/>
  <c r="F195" i="42"/>
  <c r="F36" i="43"/>
  <c r="F114" i="43"/>
  <c r="F68" i="40"/>
  <c r="F48" i="41"/>
  <c r="F11" i="42"/>
  <c r="L11" i="42" s="1" a="1"/>
  <c r="L11" i="42" s="1"/>
  <c r="F63" i="42"/>
  <c r="F167" i="42"/>
  <c r="F38" i="42"/>
  <c r="F15" i="42"/>
  <c r="F149" i="42"/>
  <c r="AR18" i="38"/>
  <c r="AR19" i="38"/>
  <c r="AI681" i="1"/>
  <c r="AR33" i="38"/>
  <c r="M496" i="39" a="1"/>
  <c r="M496" i="39" s="1"/>
  <c r="V204" i="39" a="1"/>
  <c r="V204" i="39" s="1"/>
  <c r="AQ9" i="38"/>
  <c r="AR8" i="38"/>
  <c r="AR14" i="38"/>
  <c r="AC27" i="3"/>
  <c r="P62" i="38" s="1"/>
  <c r="V107" i="39" a="1"/>
  <c r="V107" i="39" s="1"/>
  <c r="AQ27" i="38"/>
  <c r="AC26" i="3"/>
  <c r="P61" i="38" s="1"/>
  <c r="AQ30" i="38"/>
  <c r="AS8" i="38"/>
  <c r="AS5" i="38"/>
  <c r="AA5" i="3"/>
  <c r="N40" i="38" s="1"/>
  <c r="AS4" i="38"/>
  <c r="AR4" i="38"/>
  <c r="AQ21" i="38"/>
  <c r="O204" i="39"/>
  <c r="Q204" i="39"/>
  <c r="T288" i="39" a="1"/>
  <c r="T288" i="39" s="1"/>
  <c r="K288" i="39" a="1"/>
  <c r="K288" i="39" s="1"/>
  <c r="R288" i="39" a="1"/>
  <c r="R288" i="39" s="1"/>
  <c r="J288" i="39" a="1"/>
  <c r="J288" i="39" s="1"/>
  <c r="V288" i="39" a="1"/>
  <c r="V288" i="39" s="1"/>
  <c r="N288" i="39" a="1"/>
  <c r="N288" i="39" s="1"/>
  <c r="X288" i="39" s="1"/>
  <c r="U288" i="39" a="1"/>
  <c r="U288" i="39" s="1"/>
  <c r="M288" i="39" a="1"/>
  <c r="M288" i="39" s="1"/>
  <c r="L288" i="39" a="1"/>
  <c r="L288" i="39" s="1"/>
  <c r="S330" i="39" a="1"/>
  <c r="S330" i="39" s="1"/>
  <c r="R330" i="39" a="1"/>
  <c r="R330" i="39" s="1"/>
  <c r="V330" i="39" a="1"/>
  <c r="V330" i="39" s="1"/>
  <c r="K330" i="39" a="1"/>
  <c r="K330" i="39" s="1"/>
  <c r="J330" i="39" a="1"/>
  <c r="J330" i="39" s="1"/>
  <c r="M136" i="39" a="1"/>
  <c r="M136" i="39" s="1"/>
  <c r="V565" i="39" a="1"/>
  <c r="V565" i="39" s="1"/>
  <c r="S136" i="39" a="1"/>
  <c r="S136" i="39" s="1"/>
  <c r="AR15" i="38"/>
  <c r="AS24" i="38"/>
  <c r="AS7" i="38"/>
  <c r="AR29" i="38"/>
  <c r="AS13" i="38"/>
  <c r="AR27" i="38"/>
  <c r="AA31" i="3"/>
  <c r="N66" i="38" s="1"/>
  <c r="AS12" i="38"/>
  <c r="AC32" i="3"/>
  <c r="P67" i="38" s="1"/>
  <c r="AE33" i="3"/>
  <c r="R68" i="38" s="1"/>
  <c r="AQ34" i="38"/>
  <c r="AS25" i="38"/>
  <c r="T175" i="39" a="1"/>
  <c r="T175" i="39" s="1"/>
  <c r="V561" i="39" a="1"/>
  <c r="V561" i="39" s="1"/>
  <c r="R254" i="39" a="1"/>
  <c r="R254" i="39" s="1"/>
  <c r="U222" i="39" a="1"/>
  <c r="U222" i="39" s="1"/>
  <c r="U306" i="39" a="1"/>
  <c r="U306" i="39" s="1"/>
  <c r="U175" i="39" a="1"/>
  <c r="U175" i="39" s="1"/>
  <c r="S175" i="39" a="1"/>
  <c r="S175" i="39" s="1"/>
  <c r="R136" i="39" a="1"/>
  <c r="R136" i="39" s="1"/>
  <c r="K136" i="39" a="1"/>
  <c r="K136" i="39" s="1"/>
  <c r="J136" i="39" a="1"/>
  <c r="J136" i="39" s="1"/>
  <c r="U230" i="39" a="1"/>
  <c r="U230" i="39" s="1"/>
  <c r="U136" i="39" a="1"/>
  <c r="U136" i="39" s="1"/>
  <c r="T136" i="39" a="1"/>
  <c r="T136" i="39" s="1"/>
  <c r="T544" i="39" a="1"/>
  <c r="T544" i="39" s="1"/>
  <c r="V464" i="39" a="1"/>
  <c r="V464" i="39" s="1"/>
  <c r="V222" i="39" a="1"/>
  <c r="V222" i="39" s="1"/>
  <c r="V306" i="39" a="1"/>
  <c r="V306" i="39" s="1"/>
  <c r="V136" i="39" a="1"/>
  <c r="V136" i="39" s="1"/>
  <c r="V567" i="39" a="1"/>
  <c r="V567" i="39" s="1"/>
  <c r="V230" i="39" a="1"/>
  <c r="V230" i="39" s="1"/>
  <c r="V229" i="39" a="1"/>
  <c r="V229" i="39" s="1"/>
  <c r="V175" i="39" a="1"/>
  <c r="V175" i="39" s="1"/>
  <c r="V489" i="39" a="1"/>
  <c r="V489" i="39" s="1"/>
  <c r="T306" i="39" a="1"/>
  <c r="T306" i="39" s="1"/>
  <c r="U529" i="39" a="1"/>
  <c r="U529" i="39" s="1"/>
  <c r="M229" i="39" a="1"/>
  <c r="M229" i="39" s="1"/>
  <c r="S230" i="39" a="1"/>
  <c r="S230" i="39" s="1"/>
  <c r="S561" i="39" a="1"/>
  <c r="S561" i="39" s="1"/>
  <c r="U328" i="39" a="1"/>
  <c r="U328" i="39" s="1"/>
  <c r="U295" i="39" a="1"/>
  <c r="U295" i="39" s="1"/>
  <c r="S328" i="39" a="1"/>
  <c r="S328" i="39" s="1"/>
  <c r="S295" i="39" a="1"/>
  <c r="S295" i="39" s="1"/>
  <c r="T328" i="39" a="1"/>
  <c r="T328" i="39" s="1"/>
  <c r="R328" i="39" a="1"/>
  <c r="R328" i="39" s="1"/>
  <c r="T295" i="39" a="1"/>
  <c r="T295" i="39" s="1"/>
  <c r="R295" i="39" a="1"/>
  <c r="R295" i="39" s="1"/>
  <c r="T230" i="39" a="1"/>
  <c r="T230" i="39" s="1"/>
  <c r="R230" i="39" a="1"/>
  <c r="R230" i="39" s="1"/>
  <c r="M328" i="39" a="1"/>
  <c r="M328" i="39" s="1"/>
  <c r="M230" i="39" a="1"/>
  <c r="M230" i="39" s="1"/>
  <c r="J565" i="39" a="1"/>
  <c r="J565" i="39" s="1"/>
  <c r="U565" i="39" a="1"/>
  <c r="U565" i="39" s="1"/>
  <c r="T254" i="39" a="1"/>
  <c r="T254" i="39" s="1"/>
  <c r="R565" i="39" a="1"/>
  <c r="R565" i="39" s="1"/>
  <c r="U254" i="39" a="1"/>
  <c r="U254" i="39" s="1"/>
  <c r="M565" i="39" a="1"/>
  <c r="M565" i="39" s="1"/>
  <c r="V254" i="39" a="1"/>
  <c r="V254" i="39" s="1"/>
  <c r="S565" i="39" a="1"/>
  <c r="S565" i="39" s="1"/>
  <c r="M254" i="39" a="1"/>
  <c r="M254" i="39" s="1"/>
  <c r="L254" i="39" a="1"/>
  <c r="L254" i="39" s="1"/>
  <c r="T565" i="39" a="1"/>
  <c r="T565" i="39" s="1"/>
  <c r="S254" i="39" a="1"/>
  <c r="S254" i="39" s="1"/>
  <c r="K254" i="39" a="1"/>
  <c r="K254" i="39" s="1"/>
  <c r="V276" i="39" a="1"/>
  <c r="V276" i="39" s="1"/>
  <c r="J504" i="39" a="1"/>
  <c r="J504" i="39" s="1"/>
  <c r="V496" i="39" a="1"/>
  <c r="V496" i="39" s="1"/>
  <c r="V504" i="39" a="1"/>
  <c r="V504" i="39" s="1"/>
  <c r="R229" i="39" a="1"/>
  <c r="R229" i="39" s="1"/>
  <c r="S306" i="39" a="1"/>
  <c r="S306" i="39" s="1"/>
  <c r="S229" i="39" a="1"/>
  <c r="S229" i="39" s="1"/>
  <c r="T229" i="39" a="1"/>
  <c r="T229" i="39" s="1"/>
  <c r="L229" i="39" a="1"/>
  <c r="L229" i="39" s="1"/>
  <c r="U229" i="39" a="1"/>
  <c r="U229" i="39" s="1"/>
  <c r="S529" i="39" a="1"/>
  <c r="S529" i="39" s="1"/>
  <c r="K229" i="39" a="1"/>
  <c r="K229" i="39" s="1"/>
  <c r="M187" i="39" a="1"/>
  <c r="M187" i="39" s="1"/>
  <c r="R561" i="39" a="1"/>
  <c r="R561" i="39" s="1"/>
  <c r="U561" i="39" a="1"/>
  <c r="U561" i="39" s="1"/>
  <c r="T561" i="39" a="1"/>
  <c r="T561" i="39" s="1"/>
  <c r="V536" i="39" a="1"/>
  <c r="V536" i="39" s="1"/>
  <c r="R242" i="39" a="1"/>
  <c r="R242" i="39" s="1"/>
  <c r="T242" i="39" a="1"/>
  <c r="T242" i="39" s="1"/>
  <c r="V242" i="39" a="1"/>
  <c r="V242" i="39" s="1"/>
  <c r="U489" i="39" a="1"/>
  <c r="U489" i="39" s="1"/>
  <c r="S480" i="39" a="1"/>
  <c r="S480" i="39" s="1"/>
  <c r="T187" i="39" a="1"/>
  <c r="T187" i="39" s="1"/>
  <c r="S536" i="39" a="1"/>
  <c r="S536" i="39" s="1"/>
  <c r="K276" i="39" a="1"/>
  <c r="K276" i="39" s="1"/>
  <c r="T504" i="39" a="1"/>
  <c r="T504" i="39" s="1"/>
  <c r="M242" i="39" a="1"/>
  <c r="M242" i="39" s="1"/>
  <c r="L567" i="39" a="1"/>
  <c r="L567" i="39" s="1"/>
  <c r="U567" i="39" a="1"/>
  <c r="U567" i="39" s="1"/>
  <c r="M276" i="39" a="1"/>
  <c r="M276" i="39" s="1"/>
  <c r="J567" i="39" a="1"/>
  <c r="J567" i="39" s="1"/>
  <c r="U276" i="39" a="1"/>
  <c r="U276" i="39" s="1"/>
  <c r="R276" i="39" a="1"/>
  <c r="R276" i="39" s="1"/>
  <c r="S187" i="39" a="1"/>
  <c r="S187" i="39" s="1"/>
  <c r="K187" i="39" a="1"/>
  <c r="K187" i="39" s="1"/>
  <c r="T567" i="39" a="1"/>
  <c r="T567" i="39" s="1"/>
  <c r="T276" i="39" a="1"/>
  <c r="T276" i="39" s="1"/>
  <c r="R187" i="39" a="1"/>
  <c r="R187" i="39" s="1"/>
  <c r="M567" i="39" a="1"/>
  <c r="M567" i="39" s="1"/>
  <c r="K567" i="39" a="1"/>
  <c r="K567" i="39" s="1"/>
  <c r="U187" i="39" a="1"/>
  <c r="U187" i="39" s="1"/>
  <c r="S276" i="39" a="1"/>
  <c r="S276" i="39" s="1"/>
  <c r="S567" i="39" a="1"/>
  <c r="S567" i="39" s="1"/>
  <c r="R567" i="39" a="1"/>
  <c r="R567" i="39" s="1"/>
  <c r="L242" i="39" a="1"/>
  <c r="L242" i="39" s="1"/>
  <c r="J187" i="39" a="1"/>
  <c r="J187" i="39" s="1"/>
  <c r="L276" i="39" a="1"/>
  <c r="L276" i="39" s="1"/>
  <c r="U536" i="39" a="1"/>
  <c r="U536" i="39" s="1"/>
  <c r="K169" i="39" a="1"/>
  <c r="K169" i="39" s="1"/>
  <c r="M561" i="39" a="1"/>
  <c r="M561" i="39" s="1"/>
  <c r="L536" i="39" a="1"/>
  <c r="L536" i="39" s="1"/>
  <c r="K504" i="39" a="1"/>
  <c r="K504" i="39" s="1"/>
  <c r="R536" i="39" a="1"/>
  <c r="R536" i="39" s="1"/>
  <c r="M536" i="39" a="1"/>
  <c r="M536" i="39" s="1"/>
  <c r="L504" i="39" a="1"/>
  <c r="L504" i="39" s="1"/>
  <c r="U242" i="39" a="1"/>
  <c r="U242" i="39" s="1"/>
  <c r="S242" i="39" a="1"/>
  <c r="S242" i="39" s="1"/>
  <c r="T536" i="39" a="1"/>
  <c r="T536" i="39" s="1"/>
  <c r="S504" i="39" a="1"/>
  <c r="S504" i="39" s="1"/>
  <c r="J242" i="39" a="1"/>
  <c r="J242" i="39" s="1"/>
  <c r="U504" i="39" a="1"/>
  <c r="U504" i="39" s="1"/>
  <c r="J536" i="39" a="1"/>
  <c r="J536" i="39" s="1"/>
  <c r="R504" i="39" a="1"/>
  <c r="R504" i="39" s="1"/>
  <c r="U311" i="39" a="1"/>
  <c r="U311" i="39" s="1"/>
  <c r="T169" i="39" a="1"/>
  <c r="T169" i="39" s="1"/>
  <c r="M529" i="39" a="1"/>
  <c r="M529" i="39" s="1"/>
  <c r="T529" i="39" a="1"/>
  <c r="T529" i="39" s="1"/>
  <c r="S334" i="39" a="1"/>
  <c r="S334" i="39" s="1"/>
  <c r="R306" i="39" a="1"/>
  <c r="R306" i="39" s="1"/>
  <c r="L311" i="39" a="1"/>
  <c r="L311" i="39" s="1"/>
  <c r="K311" i="39" a="1"/>
  <c r="K311" i="39" s="1"/>
  <c r="M334" i="39" a="1"/>
  <c r="M334" i="39" s="1"/>
  <c r="U169" i="39" a="1"/>
  <c r="U169" i="39" s="1"/>
  <c r="R311" i="39" a="1"/>
  <c r="R311" i="39" s="1"/>
  <c r="R169" i="39" a="1"/>
  <c r="R169" i="39" s="1"/>
  <c r="L334" i="39" a="1"/>
  <c r="L334" i="39" s="1"/>
  <c r="K529" i="39" a="1"/>
  <c r="K529" i="39" s="1"/>
  <c r="J334" i="39" a="1"/>
  <c r="J334" i="39" s="1"/>
  <c r="T334" i="39" a="1"/>
  <c r="T334" i="39" s="1"/>
  <c r="K334" i="39" a="1"/>
  <c r="K334" i="39" s="1"/>
  <c r="S311" i="39" a="1"/>
  <c r="S311" i="39" s="1"/>
  <c r="M306" i="39" a="1"/>
  <c r="M306" i="39" s="1"/>
  <c r="V311" i="39" a="1"/>
  <c r="V311" i="39" s="1"/>
  <c r="V169" i="39" a="1"/>
  <c r="V169" i="39" s="1"/>
  <c r="L306" i="39" a="1"/>
  <c r="L306" i="39" s="1"/>
  <c r="U334" i="39" a="1"/>
  <c r="U334" i="39" s="1"/>
  <c r="M311" i="39" a="1"/>
  <c r="M311" i="39" s="1"/>
  <c r="M169" i="39" a="1"/>
  <c r="M169" i="39" s="1"/>
  <c r="L169" i="39" a="1"/>
  <c r="L169" i="39" s="1"/>
  <c r="K306" i="39" a="1"/>
  <c r="K306" i="39" s="1"/>
  <c r="T311" i="39" a="1"/>
  <c r="T311" i="39" s="1"/>
  <c r="S169" i="39" a="1"/>
  <c r="S169" i="39" s="1"/>
  <c r="AR13" i="38"/>
  <c r="J300" i="39" a="1"/>
  <c r="J300" i="39" s="1"/>
  <c r="R300" i="39" a="1"/>
  <c r="R300" i="39" s="1"/>
  <c r="S300" i="39" a="1"/>
  <c r="S300" i="39" s="1"/>
  <c r="T300" i="39" a="1"/>
  <c r="T300" i="39" s="1"/>
  <c r="R529" i="39" a="1"/>
  <c r="R529" i="39" s="1"/>
  <c r="U300" i="39" a="1"/>
  <c r="U300" i="39" s="1"/>
  <c r="R222" i="39" a="1"/>
  <c r="R222" i="39" s="1"/>
  <c r="L529" i="39" a="1"/>
  <c r="L529" i="39" s="1"/>
  <c r="S222" i="39" a="1"/>
  <c r="S222" i="39" s="1"/>
  <c r="T222" i="39" a="1"/>
  <c r="T222" i="39" s="1"/>
  <c r="M300" i="39" a="1"/>
  <c r="M300" i="39" s="1"/>
  <c r="AS21" i="38"/>
  <c r="AC21" i="3"/>
  <c r="P56" i="38" s="1"/>
  <c r="AQ10" i="38"/>
  <c r="AB25" i="3"/>
  <c r="O60" i="38" s="1"/>
  <c r="AQ8" i="38"/>
  <c r="AE12" i="3"/>
  <c r="R47" i="38" s="1"/>
  <c r="AQ12" i="38"/>
  <c r="AS11" i="38"/>
  <c r="AS34" i="38"/>
  <c r="AE4" i="3"/>
  <c r="R39" i="38" s="1"/>
  <c r="AR16" i="38"/>
  <c r="AE19" i="3"/>
  <c r="R54" i="38" s="1"/>
  <c r="T489" i="39" a="1"/>
  <c r="T489" i="39" s="1"/>
  <c r="R480" i="39" a="1"/>
  <c r="R480" i="39" s="1"/>
  <c r="L561" i="39" a="1"/>
  <c r="L561" i="39" s="1"/>
  <c r="S489" i="39" a="1"/>
  <c r="S489" i="39" s="1"/>
  <c r="M489" i="39" a="1"/>
  <c r="M489" i="39" s="1"/>
  <c r="R489" i="39" a="1"/>
  <c r="R489" i="39" s="1"/>
  <c r="U496" i="39" a="1"/>
  <c r="U496" i="39" s="1"/>
  <c r="T496" i="39" a="1"/>
  <c r="T496" i="39" s="1"/>
  <c r="U480" i="39" a="1"/>
  <c r="U480" i="39" s="1"/>
  <c r="S496" i="39" a="1"/>
  <c r="S496" i="39" s="1"/>
  <c r="R496" i="39" a="1"/>
  <c r="R496" i="39" s="1"/>
  <c r="M480" i="39" a="1"/>
  <c r="M480" i="39" s="1"/>
  <c r="T480" i="39" a="1"/>
  <c r="T480" i="39" s="1"/>
  <c r="AR20" i="38"/>
  <c r="BA38" i="3" a="1"/>
  <c r="BA38" i="3" s="1"/>
  <c r="AS6" i="38"/>
  <c r="AQ5" i="38"/>
  <c r="V488" i="39" a="1"/>
  <c r="V488" i="39" s="1"/>
  <c r="V329" i="39" a="1"/>
  <c r="V329" i="39" s="1"/>
  <c r="V101" i="39" a="1"/>
  <c r="V101" i="39" s="1"/>
  <c r="U540" i="39" a="1"/>
  <c r="U540" i="39" s="1"/>
  <c r="U324" i="39" a="1"/>
  <c r="U324" i="39" s="1"/>
  <c r="M540" i="39" a="1"/>
  <c r="M540" i="39" s="1"/>
  <c r="S324" i="39" a="1"/>
  <c r="S324" i="39" s="1"/>
  <c r="L480" i="39" a="1"/>
  <c r="L480" i="39" s="1"/>
  <c r="V347" i="39" a="1"/>
  <c r="V347" i="39" s="1"/>
  <c r="V473" i="39" a="1"/>
  <c r="V473" i="39" s="1"/>
  <c r="V517" i="39" a="1"/>
  <c r="V517" i="39" s="1"/>
  <c r="V275" i="39" a="1"/>
  <c r="V275" i="39" s="1"/>
  <c r="V249" i="39" a="1"/>
  <c r="V249" i="39" s="1"/>
  <c r="V327" i="39" a="1"/>
  <c r="V327" i="39" s="1"/>
  <c r="R175" i="39" a="1"/>
  <c r="R175" i="39" s="1"/>
  <c r="M295" i="39" a="1"/>
  <c r="M295" i="39" s="1"/>
  <c r="L295" i="39" a="1"/>
  <c r="L295" i="39" s="1"/>
  <c r="J175" i="39" a="1"/>
  <c r="J175" i="39" s="1"/>
  <c r="K295" i="39" a="1"/>
  <c r="K295" i="39" s="1"/>
  <c r="V223" i="39" a="1"/>
  <c r="V223" i="39" s="1"/>
  <c r="L175" i="39" a="1"/>
  <c r="L175" i="39" s="1"/>
  <c r="L489" i="39" a="1"/>
  <c r="L489" i="39" s="1"/>
  <c r="K175" i="39" a="1"/>
  <c r="K175" i="39" s="1"/>
  <c r="V467" i="39" a="1"/>
  <c r="V467" i="39" s="1"/>
  <c r="V345" i="39" a="1"/>
  <c r="V345" i="39" s="1"/>
  <c r="K544" i="39" a="1"/>
  <c r="K544" i="39" s="1"/>
  <c r="T299" i="39" a="1"/>
  <c r="T299" i="39" s="1"/>
  <c r="L544" i="39" a="1"/>
  <c r="L544" i="39" s="1"/>
  <c r="K230" i="39" a="1"/>
  <c r="K230" i="39" s="1"/>
  <c r="L230" i="39" a="1"/>
  <c r="L230" i="39" s="1"/>
  <c r="J328" i="39" a="1"/>
  <c r="J328" i="39" s="1"/>
  <c r="V544" i="39" a="1"/>
  <c r="V544" i="39" s="1"/>
  <c r="S299" i="39" a="1"/>
  <c r="S299" i="39" s="1"/>
  <c r="K565" i="39" a="1"/>
  <c r="K565" i="39" s="1"/>
  <c r="S544" i="39" a="1"/>
  <c r="S544" i="39" s="1"/>
  <c r="L328" i="39" a="1"/>
  <c r="L328" i="39" s="1"/>
  <c r="R299" i="39" a="1"/>
  <c r="R299" i="39" s="1"/>
  <c r="K299" i="39" a="1"/>
  <c r="K299" i="39" s="1"/>
  <c r="U544" i="39" a="1"/>
  <c r="U544" i="39" s="1"/>
  <c r="U299" i="39" a="1"/>
  <c r="U299" i="39" s="1"/>
  <c r="R544" i="39" a="1"/>
  <c r="R544" i="39" s="1"/>
  <c r="M299" i="39" a="1"/>
  <c r="M299" i="39" s="1"/>
  <c r="M544" i="39" a="1"/>
  <c r="M544" i="39" s="1"/>
  <c r="L299" i="39" a="1"/>
  <c r="L299" i="39" s="1"/>
  <c r="K480" i="39" a="1"/>
  <c r="K480" i="39" s="1"/>
  <c r="J561" i="39" a="1"/>
  <c r="J561" i="39" s="1"/>
  <c r="S540" i="39" a="1"/>
  <c r="S540" i="39" s="1"/>
  <c r="M324" i="39" a="1"/>
  <c r="M324" i="39" s="1"/>
  <c r="V460" i="39" a="1"/>
  <c r="V460" i="39" s="1"/>
  <c r="V313" i="39" a="1"/>
  <c r="V313" i="39" s="1"/>
  <c r="M222" i="39" a="1"/>
  <c r="M222" i="39" s="1"/>
  <c r="V418" i="39" a="1"/>
  <c r="V418" i="39" s="1"/>
  <c r="V446" i="39" a="1"/>
  <c r="V446" i="39" s="1"/>
  <c r="V93" i="39" a="1"/>
  <c r="V93" i="39" s="1"/>
  <c r="V528" i="39" a="1"/>
  <c r="V528" i="39" s="1"/>
  <c r="V377" i="39" a="1"/>
  <c r="V377" i="39" s="1"/>
  <c r="V102" i="39" a="1"/>
  <c r="V102" i="39" s="1"/>
  <c r="R540" i="39" a="1"/>
  <c r="R540" i="39" s="1"/>
  <c r="V405" i="39" a="1"/>
  <c r="V405" i="39" s="1"/>
  <c r="R324" i="39" a="1"/>
  <c r="R324" i="39" s="1"/>
  <c r="L300" i="39" a="1"/>
  <c r="L300" i="39" s="1"/>
  <c r="V540" i="39" a="1"/>
  <c r="V540" i="39" s="1"/>
  <c r="T540" i="39" a="1"/>
  <c r="T540" i="39" s="1"/>
  <c r="L324" i="39" a="1"/>
  <c r="L324" i="39" s="1"/>
  <c r="J222" i="39" a="1"/>
  <c r="J222" i="39" s="1"/>
  <c r="V387" i="39" a="1"/>
  <c r="V387" i="39" s="1"/>
  <c r="V153" i="39" a="1"/>
  <c r="V153" i="39" s="1"/>
  <c r="T324" i="39" a="1"/>
  <c r="T324" i="39" s="1"/>
  <c r="L222" i="39" a="1"/>
  <c r="L222" i="39" s="1"/>
  <c r="V491" i="39" a="1"/>
  <c r="V491" i="39" s="1"/>
  <c r="V507" i="39" a="1"/>
  <c r="V507" i="39" s="1"/>
  <c r="V439" i="39" a="1"/>
  <c r="V439" i="39" s="1"/>
  <c r="V241" i="39" a="1"/>
  <c r="V241" i="39" s="1"/>
  <c r="L540" i="39" a="1"/>
  <c r="L540" i="39" s="1"/>
  <c r="K496" i="39" a="1"/>
  <c r="K496" i="39" s="1"/>
  <c r="K489" i="39" a="1"/>
  <c r="K489" i="39" s="1"/>
  <c r="J496" i="39" a="1"/>
  <c r="J496" i="39" s="1"/>
  <c r="K540" i="39" a="1"/>
  <c r="K540" i="39" s="1"/>
  <c r="K324" i="39" a="1"/>
  <c r="K324" i="39" s="1"/>
  <c r="V265" i="39" a="1"/>
  <c r="V265" i="39" s="1"/>
  <c r="V320" i="39" a="1"/>
  <c r="V320" i="39" s="1"/>
  <c r="V503" i="39" a="1"/>
  <c r="V503" i="39" s="1"/>
  <c r="V70" i="39" a="1"/>
  <c r="V70" i="39" s="1"/>
  <c r="N403" i="39" a="1"/>
  <c r="N403" i="39" s="1"/>
  <c r="X403" i="39" s="1"/>
  <c r="V212" i="39" a="1"/>
  <c r="V212" i="39" s="1"/>
  <c r="V257" i="39" a="1"/>
  <c r="V257" i="39" s="1"/>
  <c r="V196" i="39" a="1"/>
  <c r="V196" i="39" s="1"/>
  <c r="N265" i="39" a="1"/>
  <c r="N265" i="39" s="1"/>
  <c r="X265" i="39" s="1"/>
  <c r="N206" i="39" a="1"/>
  <c r="N206" i="39" s="1"/>
  <c r="X206" i="39" s="1"/>
  <c r="V262" i="39" a="1"/>
  <c r="V262" i="39" s="1"/>
  <c r="V548" i="39" a="1"/>
  <c r="V548" i="39" s="1"/>
  <c r="V135" i="39" a="1"/>
  <c r="V135" i="39" s="1"/>
  <c r="L552" i="39" a="1"/>
  <c r="L552" i="39" s="1"/>
  <c r="N552" i="39" a="1"/>
  <c r="N552" i="39" s="1"/>
  <c r="X552" i="39" s="1"/>
  <c r="V552" i="39" a="1"/>
  <c r="V552" i="39" s="1"/>
  <c r="V131" i="39" a="1"/>
  <c r="V131" i="39" s="1"/>
  <c r="L515" i="39" a="1"/>
  <c r="L515" i="39" s="1"/>
  <c r="V515" i="39" a="1"/>
  <c r="V515" i="39" s="1"/>
  <c r="N515" i="39" a="1"/>
  <c r="N515" i="39" s="1"/>
  <c r="X515" i="39" s="1"/>
  <c r="L551" i="39" a="1"/>
  <c r="L551" i="39" s="1"/>
  <c r="N551" i="39" a="1"/>
  <c r="N551" i="39" s="1"/>
  <c r="X551" i="39" s="1"/>
  <c r="V551" i="39" a="1"/>
  <c r="V551" i="39" s="1"/>
  <c r="V285" i="39" a="1"/>
  <c r="V285" i="39" s="1"/>
  <c r="L502" i="39" a="1"/>
  <c r="L502" i="39" s="1"/>
  <c r="V502" i="39" a="1"/>
  <c r="V502" i="39" s="1"/>
  <c r="N502" i="39" a="1"/>
  <c r="N502" i="39" s="1"/>
  <c r="X502" i="39" s="1"/>
  <c r="V65" i="39" a="1"/>
  <c r="V65" i="39" s="1"/>
  <c r="L237" i="39" a="1"/>
  <c r="L237" i="39" s="1"/>
  <c r="V237" i="39" a="1"/>
  <c r="V237" i="39" s="1"/>
  <c r="V77" i="39" a="1"/>
  <c r="V77" i="39" s="1"/>
  <c r="V37" i="39" a="1"/>
  <c r="V37" i="39" s="1"/>
  <c r="L564" i="39" a="1"/>
  <c r="L564" i="39" s="1"/>
  <c r="N564" i="39" a="1"/>
  <c r="N564" i="39" s="1"/>
  <c r="X564" i="39" s="1"/>
  <c r="V564" i="39" a="1"/>
  <c r="V564" i="39" s="1"/>
  <c r="L514" i="39" a="1"/>
  <c r="L514" i="39" s="1"/>
  <c r="V514" i="39" a="1"/>
  <c r="V514" i="39" s="1"/>
  <c r="N514" i="39" a="1"/>
  <c r="N514" i="39" s="1"/>
  <c r="X514" i="39" s="1"/>
  <c r="L563" i="39" a="1"/>
  <c r="L563" i="39" s="1"/>
  <c r="V563" i="39" a="1"/>
  <c r="V563" i="39" s="1"/>
  <c r="N563" i="39" a="1"/>
  <c r="N563" i="39" s="1"/>
  <c r="X563" i="39" s="1"/>
  <c r="V312" i="39" a="1"/>
  <c r="V312" i="39" s="1"/>
  <c r="L539" i="39" a="1"/>
  <c r="L539" i="39" s="1"/>
  <c r="N539" i="39" a="1"/>
  <c r="N539" i="39" s="1"/>
  <c r="X539" i="39" s="1"/>
  <c r="V539" i="39" a="1"/>
  <c r="V539" i="39" s="1"/>
  <c r="L526" i="39" a="1"/>
  <c r="L526" i="39" s="1"/>
  <c r="V526" i="39" a="1"/>
  <c r="V526" i="39" s="1"/>
  <c r="N526" i="39" a="1"/>
  <c r="N526" i="39" s="1"/>
  <c r="X526" i="39" s="1"/>
  <c r="L513" i="39" a="1"/>
  <c r="L513" i="39" s="1"/>
  <c r="N513" i="39" a="1"/>
  <c r="N513" i="39" s="1"/>
  <c r="X513" i="39" s="1"/>
  <c r="V513" i="39" a="1"/>
  <c r="V513" i="39" s="1"/>
  <c r="V149" i="39" a="1"/>
  <c r="V149" i="39" s="1"/>
  <c r="L475" i="39" a="1"/>
  <c r="L475" i="39" s="1"/>
  <c r="N475" i="39" a="1"/>
  <c r="N475" i="39" s="1"/>
  <c r="X475" i="39" s="1"/>
  <c r="V475" i="39" a="1"/>
  <c r="V475" i="39" s="1"/>
  <c r="L463" i="39" a="1"/>
  <c r="L463" i="39" s="1"/>
  <c r="N463" i="39" a="1"/>
  <c r="N463" i="39" s="1"/>
  <c r="X463" i="39" s="1"/>
  <c r="V463" i="39" a="1"/>
  <c r="V463" i="39" s="1"/>
  <c r="L424" i="39" a="1"/>
  <c r="L424" i="39" s="1"/>
  <c r="N424" i="39" a="1"/>
  <c r="N424" i="39" s="1"/>
  <c r="X424" i="39" s="1"/>
  <c r="V424" i="39" a="1"/>
  <c r="V424" i="39" s="1"/>
  <c r="V55" i="39" a="1"/>
  <c r="V55" i="39" s="1"/>
  <c r="L385" i="39" a="1"/>
  <c r="L385" i="39" s="1"/>
  <c r="N385" i="39" a="1"/>
  <c r="N385" i="39" s="1"/>
  <c r="X385" i="39" s="1"/>
  <c r="V385" i="39" a="1"/>
  <c r="V385" i="39" s="1"/>
  <c r="V270" i="39" a="1"/>
  <c r="V270" i="39" s="1"/>
  <c r="L335" i="39" a="1"/>
  <c r="L335" i="39" s="1"/>
  <c r="N335" i="39" a="1"/>
  <c r="N335" i="39" s="1"/>
  <c r="X335" i="39" s="1"/>
  <c r="L322" i="39" a="1"/>
  <c r="L322" i="39" s="1"/>
  <c r="N322" i="39" a="1"/>
  <c r="N322" i="39" s="1"/>
  <c r="X322" i="39" s="1"/>
  <c r="V322" i="39" a="1"/>
  <c r="V322" i="39" s="1"/>
  <c r="L309" i="39" a="1"/>
  <c r="L309" i="39" s="1"/>
  <c r="N309" i="39" a="1"/>
  <c r="N309" i="39" s="1"/>
  <c r="X309" i="39" s="1"/>
  <c r="V309" i="39" a="1"/>
  <c r="V309" i="39" s="1"/>
  <c r="V553" i="39" a="1"/>
  <c r="V553" i="39" s="1"/>
  <c r="L537" i="39" a="1"/>
  <c r="L537" i="39" s="1"/>
  <c r="V436" i="39" a="1"/>
  <c r="V436" i="39" s="1"/>
  <c r="L245" i="39" a="1"/>
  <c r="L245" i="39" s="1"/>
  <c r="N245" i="39" a="1"/>
  <c r="N245" i="39" s="1"/>
  <c r="X245" i="39" s="1"/>
  <c r="V245" i="39" a="1"/>
  <c r="V245" i="39" s="1"/>
  <c r="L220" i="39" a="1"/>
  <c r="L220" i="39" s="1"/>
  <c r="N220" i="39" a="1"/>
  <c r="N220" i="39" s="1"/>
  <c r="X220" i="39" s="1"/>
  <c r="V220" i="39" a="1"/>
  <c r="V220" i="39" s="1"/>
  <c r="L207" i="39" a="1"/>
  <c r="L207" i="39" s="1"/>
  <c r="N207" i="39" a="1"/>
  <c r="N207" i="39" s="1"/>
  <c r="X207" i="39" s="1"/>
  <c r="V207" i="39" a="1"/>
  <c r="V207" i="39" s="1"/>
  <c r="L195" i="39" a="1"/>
  <c r="L195" i="39" s="1"/>
  <c r="N195" i="39" a="1"/>
  <c r="N195" i="39" s="1"/>
  <c r="X195" i="39" s="1"/>
  <c r="V195" i="39" a="1"/>
  <c r="V195" i="39" s="1"/>
  <c r="V117" i="39" a="1"/>
  <c r="V117" i="39" s="1"/>
  <c r="V157" i="39" a="1"/>
  <c r="V157" i="39" s="1"/>
  <c r="L144" i="39" a="1"/>
  <c r="L144" i="39" s="1"/>
  <c r="N144" i="39" a="1"/>
  <c r="N144" i="39" s="1"/>
  <c r="X144" i="39" s="1"/>
  <c r="V144" i="39" a="1"/>
  <c r="V144" i="39" s="1"/>
  <c r="V197" i="39" a="1"/>
  <c r="V197" i="39" s="1"/>
  <c r="L105" i="39" a="1"/>
  <c r="L105" i="39" s="1"/>
  <c r="N105" i="39" a="1"/>
  <c r="N105" i="39" s="1"/>
  <c r="X105" i="39" s="1"/>
  <c r="L80" i="39" a="1"/>
  <c r="L80" i="39" s="1"/>
  <c r="V80" i="39" a="1"/>
  <c r="V80" i="39" s="1"/>
  <c r="N80" i="39" a="1"/>
  <c r="N80" i="39" s="1"/>
  <c r="X80" i="39" s="1"/>
  <c r="V549" i="39" a="1"/>
  <c r="V549" i="39" s="1"/>
  <c r="L54" i="39" a="1"/>
  <c r="L54" i="39" s="1"/>
  <c r="N54" i="39" a="1"/>
  <c r="N54" i="39" s="1"/>
  <c r="X54" i="39" s="1"/>
  <c r="V54" i="39" a="1"/>
  <c r="V54" i="39" s="1"/>
  <c r="L42" i="39" a="1"/>
  <c r="L42" i="39" s="1"/>
  <c r="N42" i="39" a="1"/>
  <c r="N42" i="39" s="1"/>
  <c r="X42" i="39" s="1"/>
  <c r="L30" i="39" a="1"/>
  <c r="L30" i="39" s="1"/>
  <c r="N30" i="39" a="1"/>
  <c r="N30" i="39" s="1"/>
  <c r="X30" i="39" s="1"/>
  <c r="V30" i="39" a="1"/>
  <c r="V30" i="39" s="1"/>
  <c r="V289" i="39" a="1"/>
  <c r="V289" i="39" s="1"/>
  <c r="L5" i="39" a="1"/>
  <c r="L5" i="39" s="1"/>
  <c r="V5" i="39" a="1"/>
  <c r="V5" i="39" s="1"/>
  <c r="N5" i="39" a="1"/>
  <c r="N5" i="39" s="1"/>
  <c r="X5" i="39" s="1"/>
  <c r="L396" i="39" a="1"/>
  <c r="L396" i="39" s="1"/>
  <c r="N396" i="39" a="1"/>
  <c r="N396" i="39" s="1"/>
  <c r="X396" i="39" s="1"/>
  <c r="V396" i="39" a="1"/>
  <c r="V396" i="39" s="1"/>
  <c r="L384" i="39" a="1"/>
  <c r="L384" i="39" s="1"/>
  <c r="N384" i="39" a="1"/>
  <c r="N384" i="39" s="1"/>
  <c r="X384" i="39" s="1"/>
  <c r="V384" i="39" a="1"/>
  <c r="V384" i="39" s="1"/>
  <c r="M372" i="39" a="1"/>
  <c r="M372" i="39" s="1"/>
  <c r="N372" i="39" a="1"/>
  <c r="N372" i="39" s="1"/>
  <c r="X372" i="39" s="1"/>
  <c r="V372" i="39" a="1"/>
  <c r="V372" i="39" s="1"/>
  <c r="L317" i="39" a="1"/>
  <c r="L317" i="39" s="1"/>
  <c r="V317" i="39" a="1"/>
  <c r="V317" i="39" s="1"/>
  <c r="L308" i="39" a="1"/>
  <c r="L308" i="39" s="1"/>
  <c r="V308" i="39" a="1"/>
  <c r="V308" i="39" s="1"/>
  <c r="N308" i="39" a="1"/>
  <c r="N308" i="39" s="1"/>
  <c r="X308" i="39" s="1"/>
  <c r="V519" i="39" a="1"/>
  <c r="V519" i="39" s="1"/>
  <c r="V100" i="39" a="1"/>
  <c r="V100" i="39" s="1"/>
  <c r="L268" i="39" a="1"/>
  <c r="L268" i="39" s="1"/>
  <c r="N268" i="39" a="1"/>
  <c r="N268" i="39" s="1"/>
  <c r="X268" i="39" s="1"/>
  <c r="V268" i="39" a="1"/>
  <c r="V268" i="39" s="1"/>
  <c r="M256" i="39" a="1"/>
  <c r="M256" i="39" s="1"/>
  <c r="N256" i="39" a="1"/>
  <c r="N256" i="39" s="1"/>
  <c r="X256" i="39" s="1"/>
  <c r="V256" i="39" a="1"/>
  <c r="V256" i="39" s="1"/>
  <c r="V316" i="39" a="1"/>
  <c r="V316" i="39" s="1"/>
  <c r="L232" i="39" a="1"/>
  <c r="L232" i="39" s="1"/>
  <c r="N232" i="39" a="1"/>
  <c r="N232" i="39" s="1"/>
  <c r="X232" i="39" s="1"/>
  <c r="V232" i="39" a="1"/>
  <c r="V232" i="39" s="1"/>
  <c r="M219" i="39" a="1"/>
  <c r="M219" i="39" s="1"/>
  <c r="N219" i="39" a="1"/>
  <c r="N219" i="39" s="1"/>
  <c r="X219" i="39" s="1"/>
  <c r="V219" i="39" a="1"/>
  <c r="V219" i="39" s="1"/>
  <c r="V484" i="39" a="1"/>
  <c r="V484" i="39" s="1"/>
  <c r="L168" i="39" a="1"/>
  <c r="L168" i="39" s="1"/>
  <c r="V168" i="39" a="1"/>
  <c r="V168" i="39" s="1"/>
  <c r="N168" i="39" a="1"/>
  <c r="N168" i="39" s="1"/>
  <c r="X168" i="39" s="1"/>
  <c r="V266" i="39" a="1"/>
  <c r="V266" i="39" s="1"/>
  <c r="L161" i="39" a="1"/>
  <c r="L161" i="39" s="1"/>
  <c r="V161" i="39" a="1"/>
  <c r="V161" i="39" s="1"/>
  <c r="L130" i="39" a="1"/>
  <c r="L130" i="39" s="1"/>
  <c r="N130" i="39" a="1"/>
  <c r="N130" i="39" s="1"/>
  <c r="X130" i="39" s="1"/>
  <c r="V130" i="39" a="1"/>
  <c r="V130" i="39" s="1"/>
  <c r="V134" i="39" a="1"/>
  <c r="V134" i="39" s="1"/>
  <c r="L104" i="39" a="1"/>
  <c r="L104" i="39" s="1"/>
  <c r="N104" i="39" a="1"/>
  <c r="N104" i="39" s="1"/>
  <c r="X104" i="39" s="1"/>
  <c r="V104" i="39" a="1"/>
  <c r="V104" i="39" s="1"/>
  <c r="L92" i="39" a="1"/>
  <c r="L92" i="39" s="1"/>
  <c r="N92" i="39" a="1"/>
  <c r="N92" i="39" s="1"/>
  <c r="X92" i="39" s="1"/>
  <c r="V92" i="39" a="1"/>
  <c r="V92" i="39" s="1"/>
  <c r="L79" i="39" a="1"/>
  <c r="L79" i="39" s="1"/>
  <c r="N79" i="39" a="1"/>
  <c r="N79" i="39" s="1"/>
  <c r="X79" i="39" s="1"/>
  <c r="V79" i="39" a="1"/>
  <c r="V79" i="39" s="1"/>
  <c r="V509" i="39" a="1"/>
  <c r="V509" i="39" s="1"/>
  <c r="R53" i="39" a="1"/>
  <c r="R53" i="39" s="1"/>
  <c r="N53" i="39" a="1"/>
  <c r="N53" i="39" s="1"/>
  <c r="X53" i="39" s="1"/>
  <c r="M29" i="39" a="1"/>
  <c r="M29" i="39" s="1"/>
  <c r="N29" i="39" a="1"/>
  <c r="N29" i="39" s="1"/>
  <c r="X29" i="39" s="1"/>
  <c r="V29" i="39" a="1"/>
  <c r="V29" i="39" s="1"/>
  <c r="V263" i="39" a="1"/>
  <c r="V263" i="39" s="1"/>
  <c r="M487" i="39" a="1"/>
  <c r="M487" i="39" s="1"/>
  <c r="N487" i="39" a="1"/>
  <c r="N487" i="39" s="1"/>
  <c r="X487" i="39" s="1"/>
  <c r="V487" i="39" a="1"/>
  <c r="V487" i="39" s="1"/>
  <c r="L116" i="39" a="1"/>
  <c r="L116" i="39" s="1"/>
  <c r="N116" i="39" a="1"/>
  <c r="N116" i="39" s="1"/>
  <c r="X116" i="39" s="1"/>
  <c r="V116" i="39" a="1"/>
  <c r="V116" i="39" s="1"/>
  <c r="V106" i="39" a="1"/>
  <c r="V106" i="39" s="1"/>
  <c r="V406" i="39" a="1"/>
  <c r="V406" i="39" s="1"/>
  <c r="L408" i="39" a="1"/>
  <c r="L408" i="39" s="1"/>
  <c r="V408" i="39" a="1"/>
  <c r="V408" i="39" s="1"/>
  <c r="R566" i="39" a="1"/>
  <c r="R566" i="39" s="1"/>
  <c r="V566" i="39" a="1"/>
  <c r="V566" i="39" s="1"/>
  <c r="L358" i="39" a="1"/>
  <c r="L358" i="39" s="1"/>
  <c r="N358" i="39" a="1"/>
  <c r="N358" i="39" s="1"/>
  <c r="X358" i="39" s="1"/>
  <c r="V358" i="39" a="1"/>
  <c r="V358" i="39" s="1"/>
  <c r="L331" i="39" a="1"/>
  <c r="L331" i="39" s="1"/>
  <c r="V331" i="39" a="1"/>
  <c r="V331" i="39" s="1"/>
  <c r="N331" i="39" a="1"/>
  <c r="N331" i="39" s="1"/>
  <c r="X331" i="39" s="1"/>
  <c r="L294" i="39" a="1"/>
  <c r="L294" i="39" s="1"/>
  <c r="V294" i="39" a="1"/>
  <c r="V294" i="39" s="1"/>
  <c r="L192" i="39" a="1"/>
  <c r="L192" i="39" s="1"/>
  <c r="N192" i="39" a="1"/>
  <c r="N192" i="39" s="1"/>
  <c r="X192" i="39" s="1"/>
  <c r="V192" i="39" a="1"/>
  <c r="V192" i="39" s="1"/>
  <c r="V66" i="39" a="1"/>
  <c r="V66" i="39" s="1"/>
  <c r="M507" i="39" a="1"/>
  <c r="M507" i="39" s="1"/>
  <c r="T264" i="39" a="1"/>
  <c r="T264" i="39" s="1"/>
  <c r="V264" i="39" a="1"/>
  <c r="V264" i="39" s="1"/>
  <c r="L559" i="39" a="1"/>
  <c r="L559" i="39" s="1"/>
  <c r="V559" i="39" a="1"/>
  <c r="V559" i="39" s="1"/>
  <c r="N559" i="39" a="1"/>
  <c r="N559" i="39" s="1"/>
  <c r="X559" i="39" s="1"/>
  <c r="V113" i="39" a="1"/>
  <c r="V113" i="39" s="1"/>
  <c r="L535" i="39" a="1"/>
  <c r="L535" i="39" s="1"/>
  <c r="N535" i="39" a="1"/>
  <c r="N535" i="39" s="1"/>
  <c r="X535" i="39" s="1"/>
  <c r="V535" i="39" a="1"/>
  <c r="V535" i="39" s="1"/>
  <c r="T522" i="39" a="1"/>
  <c r="T522" i="39" s="1"/>
  <c r="N522" i="39" a="1"/>
  <c r="N522" i="39" s="1"/>
  <c r="X522" i="39" s="1"/>
  <c r="V522" i="39" a="1"/>
  <c r="V522" i="39" s="1"/>
  <c r="V450" i="39" a="1"/>
  <c r="V450" i="39" s="1"/>
  <c r="L497" i="39" a="1"/>
  <c r="L497" i="39" s="1"/>
  <c r="N497" i="39" a="1"/>
  <c r="N497" i="39" s="1"/>
  <c r="X497" i="39" s="1"/>
  <c r="V497" i="39" a="1"/>
  <c r="V497" i="39" s="1"/>
  <c r="L458" i="39" a="1"/>
  <c r="L458" i="39" s="1"/>
  <c r="N458" i="39" a="1"/>
  <c r="N458" i="39" s="1"/>
  <c r="X458" i="39" s="1"/>
  <c r="V458" i="39" a="1"/>
  <c r="V458" i="39" s="1"/>
  <c r="L445" i="39" a="1"/>
  <c r="L445" i="39" s="1"/>
  <c r="N445" i="39" a="1"/>
  <c r="N445" i="39" s="1"/>
  <c r="X445" i="39" s="1"/>
  <c r="V445" i="39" a="1"/>
  <c r="V445" i="39" s="1"/>
  <c r="V283" i="39" a="1"/>
  <c r="V283" i="39" s="1"/>
  <c r="L407" i="39" a="1"/>
  <c r="L407" i="39" s="1"/>
  <c r="N407" i="39" a="1"/>
  <c r="N407" i="39" s="1"/>
  <c r="X407" i="39" s="1"/>
  <c r="V407" i="39" a="1"/>
  <c r="V407" i="39" s="1"/>
  <c r="V472" i="39" a="1"/>
  <c r="V472" i="39" s="1"/>
  <c r="L368" i="39" a="1"/>
  <c r="L368" i="39" s="1"/>
  <c r="V368" i="39" a="1"/>
  <c r="V368" i="39" s="1"/>
  <c r="T343" i="39" a="1"/>
  <c r="T343" i="39" s="1"/>
  <c r="N343" i="39" a="1"/>
  <c r="N343" i="39" s="1"/>
  <c r="X343" i="39" s="1"/>
  <c r="V343" i="39" a="1"/>
  <c r="V343" i="39" s="1"/>
  <c r="V310" i="39" a="1"/>
  <c r="V310" i="39" s="1"/>
  <c r="L318" i="39" a="1"/>
  <c r="L318" i="39" s="1"/>
  <c r="N318" i="39" a="1"/>
  <c r="N318" i="39" s="1"/>
  <c r="X318" i="39" s="1"/>
  <c r="V318" i="39" a="1"/>
  <c r="V318" i="39" s="1"/>
  <c r="L305" i="39" a="1"/>
  <c r="L305" i="39" s="1"/>
  <c r="V305" i="39" a="1"/>
  <c r="V305" i="39" s="1"/>
  <c r="N305" i="39" a="1"/>
  <c r="N305" i="39" s="1"/>
  <c r="X305" i="39" s="1"/>
  <c r="L292" i="39" a="1"/>
  <c r="L292" i="39" s="1"/>
  <c r="N292" i="39" a="1"/>
  <c r="N292" i="39" s="1"/>
  <c r="X292" i="39" s="1"/>
  <c r="V292" i="39" a="1"/>
  <c r="V292" i="39" s="1"/>
  <c r="L279" i="39" a="1"/>
  <c r="L279" i="39" s="1"/>
  <c r="N279" i="39" a="1"/>
  <c r="N279" i="39" s="1"/>
  <c r="X279" i="39" s="1"/>
  <c r="V279" i="39" a="1"/>
  <c r="V279" i="39" s="1"/>
  <c r="L462" i="39" a="1"/>
  <c r="L462" i="39" s="1"/>
  <c r="N462" i="39" a="1"/>
  <c r="N462" i="39" s="1"/>
  <c r="X462" i="39" s="1"/>
  <c r="V462" i="39" a="1"/>
  <c r="V462" i="39" s="1"/>
  <c r="L560" i="39" a="1"/>
  <c r="L560" i="39" s="1"/>
  <c r="V560" i="39" a="1"/>
  <c r="V560" i="39" s="1"/>
  <c r="N560" i="39" a="1"/>
  <c r="N560" i="39" s="1"/>
  <c r="X560" i="39" s="1"/>
  <c r="L498" i="39" a="1"/>
  <c r="L498" i="39" s="1"/>
  <c r="V498" i="39" a="1"/>
  <c r="V498" i="39" s="1"/>
  <c r="N498" i="39" a="1"/>
  <c r="N498" i="39" s="1"/>
  <c r="X498" i="39" s="1"/>
  <c r="L491" i="39" a="1"/>
  <c r="L491" i="39" s="1"/>
  <c r="L39" i="39" a="1"/>
  <c r="L39" i="39" s="1"/>
  <c r="N39" i="39" a="1"/>
  <c r="N39" i="39" s="1"/>
  <c r="X39" i="39" s="1"/>
  <c r="V39" i="39" a="1"/>
  <c r="V39" i="39" s="1"/>
  <c r="M259" i="39" a="1"/>
  <c r="M259" i="39" s="1"/>
  <c r="L546" i="39" a="1"/>
  <c r="L546" i="39" s="1"/>
  <c r="N546" i="39" a="1"/>
  <c r="N546" i="39" s="1"/>
  <c r="X546" i="39" s="1"/>
  <c r="V546" i="39" a="1"/>
  <c r="V546" i="39" s="1"/>
  <c r="L534" i="39" a="1"/>
  <c r="L534" i="39" s="1"/>
  <c r="N534" i="39" a="1"/>
  <c r="N534" i="39" s="1"/>
  <c r="X534" i="39" s="1"/>
  <c r="L521" i="39" a="1"/>
  <c r="L521" i="39" s="1"/>
  <c r="N521" i="39" a="1"/>
  <c r="N521" i="39" s="1"/>
  <c r="X521" i="39" s="1"/>
  <c r="V454" i="39" a="1"/>
  <c r="V454" i="39" s="1"/>
  <c r="L456" i="39" a="1"/>
  <c r="L456" i="39" s="1"/>
  <c r="V456" i="39" a="1"/>
  <c r="V456" i="39" s="1"/>
  <c r="L483" i="39" a="1"/>
  <c r="L483" i="39" s="1"/>
  <c r="N483" i="39" a="1"/>
  <c r="N483" i="39" s="1"/>
  <c r="X483" i="39" s="1"/>
  <c r="V483" i="39" a="1"/>
  <c r="V483" i="39" s="1"/>
  <c r="L470" i="39" a="1"/>
  <c r="L470" i="39" s="1"/>
  <c r="N470" i="39" a="1"/>
  <c r="N470" i="39" s="1"/>
  <c r="X470" i="39" s="1"/>
  <c r="L457" i="39" a="1"/>
  <c r="L457" i="39" s="1"/>
  <c r="N457" i="39" a="1"/>
  <c r="N457" i="39" s="1"/>
  <c r="X457" i="39" s="1"/>
  <c r="L444" i="39" a="1"/>
  <c r="L444" i="39" s="1"/>
  <c r="V444" i="39" a="1"/>
  <c r="V444" i="39" s="1"/>
  <c r="N444" i="39" a="1"/>
  <c r="N444" i="39" s="1"/>
  <c r="X444" i="39" s="1"/>
  <c r="L431" i="39" a="1"/>
  <c r="L431" i="39" s="1"/>
  <c r="N431" i="39" a="1"/>
  <c r="N431" i="39" s="1"/>
  <c r="X431" i="39" s="1"/>
  <c r="V431" i="39" a="1"/>
  <c r="V431" i="39" s="1"/>
  <c r="V457" i="39" a="1"/>
  <c r="V457" i="39" s="1"/>
  <c r="M538" i="39" a="1"/>
  <c r="M538" i="39" s="1"/>
  <c r="N538" i="39" a="1"/>
  <c r="N538" i="39" s="1"/>
  <c r="X538" i="39" s="1"/>
  <c r="V538" i="39" a="1"/>
  <c r="V538" i="39" s="1"/>
  <c r="L448" i="39" a="1"/>
  <c r="L448" i="39" s="1"/>
  <c r="N448" i="39" a="1"/>
  <c r="N448" i="39" s="1"/>
  <c r="X448" i="39" s="1"/>
  <c r="V61" i="39" a="1"/>
  <c r="V61" i="39" s="1"/>
  <c r="V554" i="39" a="1"/>
  <c r="V554" i="39" s="1"/>
  <c r="V421" i="39" a="1"/>
  <c r="V421" i="39" s="1"/>
  <c r="L500" i="39" a="1"/>
  <c r="L500" i="39" s="1"/>
  <c r="V500" i="39" a="1"/>
  <c r="V500" i="39" s="1"/>
  <c r="L344" i="39" a="1"/>
  <c r="L344" i="39" s="1"/>
  <c r="N344" i="39" a="1"/>
  <c r="N344" i="39" s="1"/>
  <c r="X344" i="39" s="1"/>
  <c r="V344" i="39" a="1"/>
  <c r="V344" i="39" s="1"/>
  <c r="M319" i="39" a="1"/>
  <c r="M319" i="39" s="1"/>
  <c r="N319" i="39" a="1"/>
  <c r="N319" i="39" s="1"/>
  <c r="X319" i="39" s="1"/>
  <c r="V319" i="39" a="1"/>
  <c r="V319" i="39" s="1"/>
  <c r="V401" i="39" a="1"/>
  <c r="V401" i="39" s="1"/>
  <c r="L280" i="39" a="1"/>
  <c r="L280" i="39" s="1"/>
  <c r="N280" i="39" a="1"/>
  <c r="N280" i="39" s="1"/>
  <c r="X280" i="39" s="1"/>
  <c r="V280" i="39" a="1"/>
  <c r="V280" i="39" s="1"/>
  <c r="S110" i="39" a="1"/>
  <c r="S110" i="39" s="1"/>
  <c r="V110" i="39" a="1"/>
  <c r="V110" i="39" s="1"/>
  <c r="V205" i="39" a="1"/>
  <c r="V205" i="39" s="1"/>
  <c r="R179" i="39" a="1"/>
  <c r="R179" i="39" s="1"/>
  <c r="N179" i="39" a="1"/>
  <c r="N179" i="39" s="1"/>
  <c r="X179" i="39" s="1"/>
  <c r="V179" i="39" a="1"/>
  <c r="V179" i="39" s="1"/>
  <c r="L140" i="39" a="1"/>
  <c r="L140" i="39" s="1"/>
  <c r="N140" i="39" a="1"/>
  <c r="N140" i="39" s="1"/>
  <c r="X140" i="39" s="1"/>
  <c r="S523" i="39" a="1"/>
  <c r="S523" i="39" s="1"/>
  <c r="V523" i="39" a="1"/>
  <c r="V523" i="39" s="1"/>
  <c r="V471" i="39" a="1"/>
  <c r="V471" i="39" s="1"/>
  <c r="V51" i="39" a="1"/>
  <c r="V51" i="39" s="1"/>
  <c r="L569" i="39" a="1"/>
  <c r="L569" i="39" s="1"/>
  <c r="N569" i="39" a="1"/>
  <c r="N569" i="39" s="1"/>
  <c r="X569" i="39" s="1"/>
  <c r="V569" i="39" a="1"/>
  <c r="V569" i="39" s="1"/>
  <c r="L533" i="39" a="1"/>
  <c r="L533" i="39" s="1"/>
  <c r="N533" i="39" a="1"/>
  <c r="N533" i="39" s="1"/>
  <c r="X533" i="39" s="1"/>
  <c r="V413" i="39" a="1"/>
  <c r="V413" i="39" s="1"/>
  <c r="L494" i="39" a="1"/>
  <c r="L494" i="39" s="1"/>
  <c r="N494" i="39" a="1"/>
  <c r="N494" i="39" s="1"/>
  <c r="X494" i="39" s="1"/>
  <c r="V494" i="39" a="1"/>
  <c r="V494" i="39" s="1"/>
  <c r="M482" i="39" a="1"/>
  <c r="M482" i="39" s="1"/>
  <c r="N482" i="39" a="1"/>
  <c r="N482" i="39" s="1"/>
  <c r="X482" i="39" s="1"/>
  <c r="L469" i="39" a="1"/>
  <c r="L469" i="39" s="1"/>
  <c r="N469" i="39" a="1"/>
  <c r="N469" i="39" s="1"/>
  <c r="X469" i="39" s="1"/>
  <c r="V469" i="39" a="1"/>
  <c r="V469" i="39" s="1"/>
  <c r="V530" i="39" a="1"/>
  <c r="V530" i="39" s="1"/>
  <c r="V534" i="39" a="1"/>
  <c r="V534" i="39" s="1"/>
  <c r="V448" i="39" a="1"/>
  <c r="V448" i="39" s="1"/>
  <c r="V533" i="39" a="1"/>
  <c r="V533" i="39" s="1"/>
  <c r="V296" i="39" a="1"/>
  <c r="V296" i="39" s="1"/>
  <c r="V53" i="39" a="1"/>
  <c r="V53" i="39" s="1"/>
  <c r="M525" i="39" a="1"/>
  <c r="M525" i="39" s="1"/>
  <c r="V525" i="39" a="1"/>
  <c r="V525" i="39" s="1"/>
  <c r="L435" i="39" a="1"/>
  <c r="L435" i="39" s="1"/>
  <c r="N435" i="39" a="1"/>
  <c r="N435" i="39" s="1"/>
  <c r="X435" i="39" s="1"/>
  <c r="V435" i="39" a="1"/>
  <c r="V435" i="39" s="1"/>
  <c r="V570" i="39" a="1"/>
  <c r="V570" i="39" s="1"/>
  <c r="L555" i="39" a="1"/>
  <c r="L555" i="39" s="1"/>
  <c r="N555" i="39" a="1"/>
  <c r="N555" i="39" s="1"/>
  <c r="X555" i="39" s="1"/>
  <c r="V555" i="39" a="1"/>
  <c r="V555" i="39" s="1"/>
  <c r="L543" i="39" a="1"/>
  <c r="L543" i="39" s="1"/>
  <c r="N543" i="39" a="1"/>
  <c r="N543" i="39" s="1"/>
  <c r="X543" i="39" s="1"/>
  <c r="V531" i="39" a="1"/>
  <c r="V531" i="39" s="1"/>
  <c r="V90" i="39" a="1"/>
  <c r="V90" i="39" s="1"/>
  <c r="V42" i="39" a="1"/>
  <c r="V42" i="39" s="1"/>
  <c r="L512" i="39" a="1"/>
  <c r="L512" i="39" s="1"/>
  <c r="N512" i="39" a="1"/>
  <c r="N512" i="39" s="1"/>
  <c r="X512" i="39" s="1"/>
  <c r="L423" i="39" a="1"/>
  <c r="L423" i="39" s="1"/>
  <c r="N423" i="39" a="1"/>
  <c r="N423" i="39" s="1"/>
  <c r="X423" i="39" s="1"/>
  <c r="V171" i="39" a="1"/>
  <c r="V171" i="39" s="1"/>
  <c r="L159" i="39" a="1"/>
  <c r="L159" i="39" s="1"/>
  <c r="L542" i="39" a="1"/>
  <c r="L542" i="39" s="1"/>
  <c r="N542" i="39" a="1"/>
  <c r="N542" i="39" s="1"/>
  <c r="X542" i="39" s="1"/>
  <c r="V542" i="39" a="1"/>
  <c r="V542" i="39" s="1"/>
  <c r="L191" i="39" a="1"/>
  <c r="L191" i="39" s="1"/>
  <c r="V191" i="39" a="1"/>
  <c r="V191" i="39" s="1"/>
  <c r="V277" i="39" a="1"/>
  <c r="V277" i="39" s="1"/>
  <c r="L479" i="39" a="1"/>
  <c r="L479" i="39" s="1"/>
  <c r="N479" i="39" a="1"/>
  <c r="N479" i="39" s="1"/>
  <c r="X479" i="39" s="1"/>
  <c r="V479" i="39" a="1"/>
  <c r="V479" i="39" s="1"/>
  <c r="L466" i="39" a="1"/>
  <c r="L466" i="39" s="1"/>
  <c r="N466" i="39" a="1"/>
  <c r="N466" i="39" s="1"/>
  <c r="X466" i="39" s="1"/>
  <c r="V466" i="39" a="1"/>
  <c r="V466" i="39" s="1"/>
  <c r="V438" i="39" a="1"/>
  <c r="V438" i="39" s="1"/>
  <c r="V346" i="39" a="1"/>
  <c r="V346" i="39" s="1"/>
  <c r="L427" i="39" a="1"/>
  <c r="L427" i="39" s="1"/>
  <c r="N427" i="39" a="1"/>
  <c r="N427" i="39" s="1"/>
  <c r="X427" i="39" s="1"/>
  <c r="L389" i="39" a="1"/>
  <c r="L389" i="39" s="1"/>
  <c r="N389" i="39" a="1"/>
  <c r="N389" i="39" s="1"/>
  <c r="X389" i="39" s="1"/>
  <c r="L376" i="39" a="1"/>
  <c r="L376" i="39" s="1"/>
  <c r="N376" i="39" a="1"/>
  <c r="N376" i="39" s="1"/>
  <c r="X376" i="39" s="1"/>
  <c r="V145" i="39" a="1"/>
  <c r="V145" i="39" s="1"/>
  <c r="L350" i="39" a="1"/>
  <c r="L350" i="39" s="1"/>
  <c r="V350" i="39" a="1"/>
  <c r="V350" i="39" s="1"/>
  <c r="N350" i="39" a="1"/>
  <c r="N350" i="39" s="1"/>
  <c r="X350" i="39" s="1"/>
  <c r="V482" i="39" a="1"/>
  <c r="V482" i="39" s="1"/>
  <c r="V143" i="39" a="1"/>
  <c r="V143" i="39" s="1"/>
  <c r="V389" i="39" a="1"/>
  <c r="V389" i="39" s="1"/>
  <c r="V335" i="39" a="1"/>
  <c r="V335" i="39" s="1"/>
  <c r="N367" i="39" a="1"/>
  <c r="N367" i="39" s="1"/>
  <c r="X367" i="39" s="1"/>
  <c r="N199" i="39" a="1"/>
  <c r="N199" i="39" s="1"/>
  <c r="X199" i="39" s="1"/>
  <c r="L224" i="39" a="1"/>
  <c r="L224" i="39" s="1"/>
  <c r="M511" i="39" a="1"/>
  <c r="M511" i="39" s="1"/>
  <c r="N511" i="39" a="1"/>
  <c r="N511" i="39" s="1"/>
  <c r="X511" i="39" s="1"/>
  <c r="L499" i="39" a="1"/>
  <c r="L499" i="39" s="1"/>
  <c r="N499" i="39" a="1"/>
  <c r="N499" i="39" s="1"/>
  <c r="X499" i="39" s="1"/>
  <c r="L486" i="39" a="1"/>
  <c r="L486" i="39" s="1"/>
  <c r="N486" i="39" a="1"/>
  <c r="N486" i="39" s="1"/>
  <c r="X486" i="39" s="1"/>
  <c r="M434" i="39" a="1"/>
  <c r="M434" i="39" s="1"/>
  <c r="N434" i="39" a="1"/>
  <c r="N434" i="39" s="1"/>
  <c r="X434" i="39" s="1"/>
  <c r="L422" i="39" a="1"/>
  <c r="L422" i="39" s="1"/>
  <c r="V422" i="39" a="1"/>
  <c r="V422" i="39" s="1"/>
  <c r="L383" i="39" a="1"/>
  <c r="L383" i="39" s="1"/>
  <c r="N383" i="39" a="1"/>
  <c r="N383" i="39" s="1"/>
  <c r="X383" i="39" s="1"/>
  <c r="V383" i="39" a="1"/>
  <c r="V383" i="39" s="1"/>
  <c r="L371" i="39" a="1"/>
  <c r="L371" i="39" s="1"/>
  <c r="N371" i="39" a="1"/>
  <c r="N371" i="39" s="1"/>
  <c r="X371" i="39" s="1"/>
  <c r="L332" i="39" a="1"/>
  <c r="L332" i="39" s="1"/>
  <c r="N332" i="39" a="1"/>
  <c r="N332" i="39" s="1"/>
  <c r="X332" i="39" s="1"/>
  <c r="V409" i="39" a="1"/>
  <c r="V409" i="39" s="1"/>
  <c r="M281" i="39" a="1"/>
  <c r="M281" i="39" s="1"/>
  <c r="N281" i="39" a="1"/>
  <c r="N281" i="39" s="1"/>
  <c r="X281" i="39" s="1"/>
  <c r="V281" i="39" a="1"/>
  <c r="V281" i="39" s="1"/>
  <c r="L269" i="39" a="1"/>
  <c r="L269" i="39" s="1"/>
  <c r="N269" i="39" a="1"/>
  <c r="N269" i="39" s="1"/>
  <c r="X269" i="39" s="1"/>
  <c r="L231" i="39" a="1"/>
  <c r="L231" i="39" s="1"/>
  <c r="N231" i="39" a="1"/>
  <c r="N231" i="39" s="1"/>
  <c r="X231" i="39" s="1"/>
  <c r="L180" i="39" a="1"/>
  <c r="L180" i="39" s="1"/>
  <c r="V180" i="39" a="1"/>
  <c r="V180" i="39" s="1"/>
  <c r="L167" i="39" a="1"/>
  <c r="L167" i="39" s="1"/>
  <c r="V167" i="39" a="1"/>
  <c r="V167" i="39" s="1"/>
  <c r="N167" i="39" a="1"/>
  <c r="N167" i="39" s="1"/>
  <c r="X167" i="39" s="1"/>
  <c r="V293" i="39" a="1"/>
  <c r="V293" i="39" s="1"/>
  <c r="L141" i="39" a="1"/>
  <c r="L141" i="39" s="1"/>
  <c r="N141" i="39" a="1"/>
  <c r="N141" i="39" s="1"/>
  <c r="X141" i="39" s="1"/>
  <c r="V141" i="39" a="1"/>
  <c r="V141" i="39" s="1"/>
  <c r="L129" i="39" a="1"/>
  <c r="L129" i="39" s="1"/>
  <c r="N129" i="39" a="1"/>
  <c r="N129" i="39" s="1"/>
  <c r="X129" i="39" s="1"/>
  <c r="V129" i="39" a="1"/>
  <c r="V129" i="39" s="1"/>
  <c r="L52" i="39" a="1"/>
  <c r="L52" i="39" s="1"/>
  <c r="N52" i="39" a="1"/>
  <c r="N52" i="39" s="1"/>
  <c r="X52" i="39" s="1"/>
  <c r="V511" i="39" a="1"/>
  <c r="V511" i="39" s="1"/>
  <c r="V260" i="39" a="1"/>
  <c r="V260" i="39" s="1"/>
  <c r="V388" i="39" a="1"/>
  <c r="V388" i="39" s="1"/>
  <c r="V91" i="39" a="1"/>
  <c r="V91" i="39" s="1"/>
  <c r="N503" i="39" a="1"/>
  <c r="N503" i="39" s="1"/>
  <c r="X503" i="39" s="1"/>
  <c r="N404" i="39" a="1"/>
  <c r="N404" i="39" s="1"/>
  <c r="X404" i="39" s="1"/>
  <c r="N196" i="39" a="1"/>
  <c r="N196" i="39" s="1"/>
  <c r="X196" i="39" s="1"/>
  <c r="L449" i="39" a="1"/>
  <c r="L449" i="39" s="1"/>
  <c r="N449" i="39" a="1"/>
  <c r="N449" i="39" s="1"/>
  <c r="X449" i="39" s="1"/>
  <c r="L216" i="39" a="1"/>
  <c r="L216" i="39" s="1"/>
  <c r="N216" i="39" a="1"/>
  <c r="N216" i="39" s="1"/>
  <c r="X216" i="39" s="1"/>
  <c r="V550" i="39" a="1"/>
  <c r="V550" i="39" s="1"/>
  <c r="L476" i="39" a="1"/>
  <c r="L476" i="39" s="1"/>
  <c r="V476" i="39" a="1"/>
  <c r="V476" i="39" s="1"/>
  <c r="M139" i="39" a="1"/>
  <c r="M139" i="39" s="1"/>
  <c r="N139" i="39" a="1"/>
  <c r="N139" i="39" s="1"/>
  <c r="X139" i="39" s="1"/>
  <c r="L115" i="39" a="1"/>
  <c r="L115" i="39" s="1"/>
  <c r="N115" i="39" a="1"/>
  <c r="N115" i="39" s="1"/>
  <c r="X115" i="39" s="1"/>
  <c r="L88" i="39" a="1"/>
  <c r="L88" i="39" s="1"/>
  <c r="N88" i="39" a="1"/>
  <c r="N88" i="39" s="1"/>
  <c r="X88" i="39" s="1"/>
  <c r="M76" i="39" a="1"/>
  <c r="M76" i="39" s="1"/>
  <c r="N76" i="39" a="1"/>
  <c r="N76" i="39" s="1"/>
  <c r="X76" i="39" s="1"/>
  <c r="L63" i="39" a="1"/>
  <c r="L63" i="39" s="1"/>
  <c r="N63" i="39" a="1"/>
  <c r="N63" i="39" s="1"/>
  <c r="X63" i="39" s="1"/>
  <c r="V221" i="39" a="1"/>
  <c r="V221" i="39" s="1"/>
  <c r="L201" i="39" a="1"/>
  <c r="L201" i="39" s="1"/>
  <c r="V201" i="39" a="1"/>
  <c r="V201" i="39" s="1"/>
  <c r="L26" i="39" a="1"/>
  <c r="L26" i="39" s="1"/>
  <c r="V26" i="39" a="1"/>
  <c r="V26" i="39" s="1"/>
  <c r="L13" i="39" a="1"/>
  <c r="L13" i="39" s="1"/>
  <c r="N13" i="39" a="1"/>
  <c r="N13" i="39" s="1"/>
  <c r="X13" i="39" s="1"/>
  <c r="V89" i="39" a="1"/>
  <c r="V89" i="39" s="1"/>
  <c r="V233" i="39" a="1"/>
  <c r="V233" i="39" s="1"/>
  <c r="V557" i="39" a="1"/>
  <c r="V557" i="39" s="1"/>
  <c r="V210" i="39" a="1"/>
  <c r="V210" i="39" s="1"/>
  <c r="V139" i="39" a="1"/>
  <c r="V139" i="39" s="1"/>
  <c r="V88" i="39" a="1"/>
  <c r="V88" i="39" s="1"/>
  <c r="V52" i="39" a="1"/>
  <c r="V52" i="39" s="1"/>
  <c r="N180" i="39" a="1"/>
  <c r="N180" i="39" s="1"/>
  <c r="X180" i="39" s="1"/>
  <c r="L393" i="39" a="1"/>
  <c r="L393" i="39" s="1"/>
  <c r="N393" i="39" a="1"/>
  <c r="N393" i="39" s="1"/>
  <c r="X393" i="39" s="1"/>
  <c r="L137" i="39" a="1"/>
  <c r="L137" i="39" s="1"/>
  <c r="L253" i="39" a="1"/>
  <c r="L253" i="39" s="1"/>
  <c r="N253" i="39" a="1"/>
  <c r="N253" i="39" s="1"/>
  <c r="X253" i="39" s="1"/>
  <c r="L240" i="39" a="1"/>
  <c r="L240" i="39" s="1"/>
  <c r="N240" i="39" a="1"/>
  <c r="N240" i="39" s="1"/>
  <c r="X240" i="39" s="1"/>
  <c r="L227" i="39" a="1"/>
  <c r="L227" i="39" s="1"/>
  <c r="N227" i="39" a="1"/>
  <c r="N227" i="39" s="1"/>
  <c r="X227" i="39" s="1"/>
  <c r="L215" i="39" a="1"/>
  <c r="L215" i="39" s="1"/>
  <c r="N215" i="39" a="1"/>
  <c r="N215" i="39" s="1"/>
  <c r="X215" i="39" s="1"/>
  <c r="V215" i="39" a="1"/>
  <c r="V215" i="39" s="1"/>
  <c r="V459" i="39" a="1"/>
  <c r="V459" i="39" s="1"/>
  <c r="L189" i="39" a="1"/>
  <c r="L189" i="39" s="1"/>
  <c r="N189" i="39" a="1"/>
  <c r="N189" i="39" s="1"/>
  <c r="X189" i="39" s="1"/>
  <c r="V189" i="39" a="1"/>
  <c r="V189" i="39" s="1"/>
  <c r="M164" i="39" a="1"/>
  <c r="M164" i="39" s="1"/>
  <c r="N164" i="39" a="1"/>
  <c r="N164" i="39" s="1"/>
  <c r="X164" i="39" s="1"/>
  <c r="L151" i="39" a="1"/>
  <c r="L151" i="39" s="1"/>
  <c r="N151" i="39" a="1"/>
  <c r="N151" i="39" s="1"/>
  <c r="X151" i="39" s="1"/>
  <c r="L126" i="39" a="1"/>
  <c r="L126" i="39" s="1"/>
  <c r="N126" i="39" a="1"/>
  <c r="N126" i="39" s="1"/>
  <c r="X126" i="39" s="1"/>
  <c r="L87" i="39" a="1"/>
  <c r="L87" i="39" s="1"/>
  <c r="N87" i="39" a="1"/>
  <c r="N87" i="39" s="1"/>
  <c r="X87" i="39" s="1"/>
  <c r="L75" i="39" a="1"/>
  <c r="L75" i="39" s="1"/>
  <c r="N75" i="39" a="1"/>
  <c r="N75" i="39" s="1"/>
  <c r="X75" i="39" s="1"/>
  <c r="V172" i="39" a="1"/>
  <c r="V172" i="39" s="1"/>
  <c r="M36" i="39" a="1"/>
  <c r="M36" i="39" s="1"/>
  <c r="V36" i="39" a="1"/>
  <c r="V36" i="39" s="1"/>
  <c r="L12" i="39" a="1"/>
  <c r="L12" i="39" s="1"/>
  <c r="N12" i="39" a="1"/>
  <c r="N12" i="39" s="1"/>
  <c r="X12" i="39" s="1"/>
  <c r="V12" i="39" a="1"/>
  <c r="V12" i="39" s="1"/>
  <c r="V499" i="39" a="1"/>
  <c r="V499" i="39" s="1"/>
  <c r="V371" i="39" a="1"/>
  <c r="V371" i="39" s="1"/>
  <c r="V208" i="39" a="1"/>
  <c r="V208" i="39" s="1"/>
  <c r="V399" i="39" a="1"/>
  <c r="V399" i="39" s="1"/>
  <c r="V228" i="39" a="1"/>
  <c r="V228" i="39" s="1"/>
  <c r="V138" i="39" a="1"/>
  <c r="V138" i="39" s="1"/>
  <c r="V282" i="39" a="1"/>
  <c r="V282" i="39" s="1"/>
  <c r="V510" i="39" a="1"/>
  <c r="V510" i="39" s="1"/>
  <c r="V87" i="39" a="1"/>
  <c r="V87" i="39" s="1"/>
  <c r="V13" i="39" a="1"/>
  <c r="V13" i="39" s="1"/>
  <c r="N518" i="39" a="1"/>
  <c r="N518" i="39" s="1"/>
  <c r="X518" i="39" s="1"/>
  <c r="N239" i="39" a="1"/>
  <c r="N239" i="39" s="1"/>
  <c r="X239" i="39" s="1"/>
  <c r="N91" i="39" a="1"/>
  <c r="N91" i="39" s="1"/>
  <c r="X91" i="39" s="1"/>
  <c r="L430" i="39" a="1"/>
  <c r="L430" i="39" s="1"/>
  <c r="N430" i="39" a="1"/>
  <c r="N430" i="39" s="1"/>
  <c r="X430" i="39" s="1"/>
  <c r="L392" i="39" a="1"/>
  <c r="L392" i="39" s="1"/>
  <c r="N392" i="39" a="1"/>
  <c r="N392" i="39" s="1"/>
  <c r="X392" i="39" s="1"/>
  <c r="V392" i="39" a="1"/>
  <c r="V392" i="39" s="1"/>
  <c r="L366" i="39" a="1"/>
  <c r="L366" i="39" s="1"/>
  <c r="N366" i="39" a="1"/>
  <c r="N366" i="39" s="1"/>
  <c r="X366" i="39" s="1"/>
  <c r="L354" i="39" a="1"/>
  <c r="L354" i="39" s="1"/>
  <c r="N354" i="39" a="1"/>
  <c r="N354" i="39" s="1"/>
  <c r="X354" i="39" s="1"/>
  <c r="L315" i="39" a="1"/>
  <c r="L315" i="39" s="1"/>
  <c r="N315" i="39" a="1"/>
  <c r="N315" i="39" s="1"/>
  <c r="X315" i="39" s="1"/>
  <c r="L156" i="39" a="1"/>
  <c r="L156" i="39" s="1"/>
  <c r="L226" i="39" a="1"/>
  <c r="L226" i="39" s="1"/>
  <c r="V226" i="39" a="1"/>
  <c r="V226" i="39" s="1"/>
  <c r="N226" i="39" a="1"/>
  <c r="N226" i="39" s="1"/>
  <c r="X226" i="39" s="1"/>
  <c r="L214" i="39" a="1"/>
  <c r="L214" i="39" s="1"/>
  <c r="N214" i="39" a="1"/>
  <c r="N214" i="39" s="1"/>
  <c r="X214" i="39" s="1"/>
  <c r="V214" i="39" a="1"/>
  <c r="V214" i="39" s="1"/>
  <c r="V379" i="39" a="1"/>
  <c r="V379" i="39" s="1"/>
  <c r="V303" i="39" a="1"/>
  <c r="V303" i="39" s="1"/>
  <c r="L176" i="39" a="1"/>
  <c r="L176" i="39" s="1"/>
  <c r="N176" i="39" a="1"/>
  <c r="N176" i="39" s="1"/>
  <c r="X176" i="39" s="1"/>
  <c r="L163" i="39" a="1"/>
  <c r="L163" i="39" s="1"/>
  <c r="N163" i="39" a="1"/>
  <c r="N163" i="39" s="1"/>
  <c r="X163" i="39" s="1"/>
  <c r="L125" i="39" a="1"/>
  <c r="L125" i="39" s="1"/>
  <c r="N125" i="39" a="1"/>
  <c r="N125" i="39" s="1"/>
  <c r="X125" i="39" s="1"/>
  <c r="L99" i="39" a="1"/>
  <c r="L99" i="39" s="1"/>
  <c r="N99" i="39" a="1"/>
  <c r="N99" i="39" s="1"/>
  <c r="X99" i="39" s="1"/>
  <c r="L86" i="39" a="1"/>
  <c r="L86" i="39" s="1"/>
  <c r="N86" i="39" a="1"/>
  <c r="N86" i="39" s="1"/>
  <c r="X86" i="39" s="1"/>
  <c r="V120" i="39" a="1"/>
  <c r="V120" i="39" s="1"/>
  <c r="L35" i="39" a="1"/>
  <c r="L35" i="39" s="1"/>
  <c r="V35" i="39" a="1"/>
  <c r="V35" i="39" s="1"/>
  <c r="N35" i="39" a="1"/>
  <c r="N35" i="39" s="1"/>
  <c r="X35" i="39" s="1"/>
  <c r="V495" i="39" a="1"/>
  <c r="V495" i="39" s="1"/>
  <c r="V278" i="39" a="1"/>
  <c r="V278" i="39" s="1"/>
  <c r="V244" i="39" a="1"/>
  <c r="V244" i="39" s="1"/>
  <c r="V227" i="39" a="1"/>
  <c r="V227" i="39" s="1"/>
  <c r="V337" i="39" a="1"/>
  <c r="V337" i="39" s="1"/>
  <c r="V86" i="39" a="1"/>
  <c r="V86" i="39" s="1"/>
  <c r="N461" i="39" a="1"/>
  <c r="N461" i="39" s="1"/>
  <c r="X461" i="39" s="1"/>
  <c r="L556" i="39" a="1"/>
  <c r="L556" i="39" s="1"/>
  <c r="N556" i="39" a="1"/>
  <c r="N556" i="39" s="1"/>
  <c r="X556" i="39" s="1"/>
  <c r="L532" i="39" a="1"/>
  <c r="L532" i="39" s="1"/>
  <c r="N532" i="39" a="1"/>
  <c r="N532" i="39" s="1"/>
  <c r="X532" i="39" s="1"/>
  <c r="L493" i="39" a="1"/>
  <c r="L493" i="39" s="1"/>
  <c r="N493" i="39" a="1"/>
  <c r="N493" i="39" s="1"/>
  <c r="X493" i="39" s="1"/>
  <c r="L441" i="39" a="1"/>
  <c r="L441" i="39" s="1"/>
  <c r="N441" i="39" a="1"/>
  <c r="N441" i="39" s="1"/>
  <c r="X441" i="39" s="1"/>
  <c r="L416" i="39" a="1"/>
  <c r="L416" i="39" s="1"/>
  <c r="N416" i="39" a="1"/>
  <c r="N416" i="39" s="1"/>
  <c r="X416" i="39" s="1"/>
  <c r="L353" i="39" a="1"/>
  <c r="L353" i="39" s="1"/>
  <c r="V353" i="39" a="1"/>
  <c r="V353" i="39" s="1"/>
  <c r="N353" i="39" a="1"/>
  <c r="N353" i="39" s="1"/>
  <c r="X353" i="39" s="1"/>
  <c r="L340" i="39" a="1"/>
  <c r="L340" i="39" s="1"/>
  <c r="N340" i="39" a="1"/>
  <c r="N340" i="39" s="1"/>
  <c r="X340" i="39" s="1"/>
  <c r="L314" i="39" a="1"/>
  <c r="L314" i="39" s="1"/>
  <c r="N314" i="39" a="1"/>
  <c r="N314" i="39" s="1"/>
  <c r="X314" i="39" s="1"/>
  <c r="L302" i="39" a="1"/>
  <c r="L302" i="39" s="1"/>
  <c r="N302" i="39" a="1"/>
  <c r="N302" i="39" s="1"/>
  <c r="X302" i="39" s="1"/>
  <c r="L225" i="39" a="1"/>
  <c r="L225" i="39" s="1"/>
  <c r="V225" i="39" a="1"/>
  <c r="V225" i="39" s="1"/>
  <c r="L200" i="39" a="1"/>
  <c r="L200" i="39" s="1"/>
  <c r="N200" i="39" a="1"/>
  <c r="N200" i="39" s="1"/>
  <c r="X200" i="39" s="1"/>
  <c r="V200" i="39" a="1"/>
  <c r="V200" i="39" s="1"/>
  <c r="L217" i="39" a="1"/>
  <c r="L217" i="39" s="1"/>
  <c r="L204" i="39" a="1"/>
  <c r="L204" i="39" s="1"/>
  <c r="L112" i="39" a="1"/>
  <c r="L112" i="39" s="1"/>
  <c r="N112" i="39" a="1"/>
  <c r="N112" i="39" s="1"/>
  <c r="X112" i="39" s="1"/>
  <c r="L85" i="39" a="1"/>
  <c r="L85" i="39" s="1"/>
  <c r="N85" i="39" a="1"/>
  <c r="N85" i="39" s="1"/>
  <c r="X85" i="39" s="1"/>
  <c r="V85" i="39" a="1"/>
  <c r="V85" i="39" s="1"/>
  <c r="L60" i="39" a="1"/>
  <c r="L60" i="39" s="1"/>
  <c r="V60" i="39" a="1"/>
  <c r="V60" i="39" s="1"/>
  <c r="L47" i="39" a="1"/>
  <c r="L47" i="39" s="1"/>
  <c r="N47" i="39" a="1"/>
  <c r="N47" i="39" s="1"/>
  <c r="X47" i="39" s="1"/>
  <c r="V47" i="39" a="1"/>
  <c r="V47" i="39" s="1"/>
  <c r="V348" i="39" a="1"/>
  <c r="V348" i="39" s="1"/>
  <c r="L23" i="39" a="1"/>
  <c r="L23" i="39" s="1"/>
  <c r="N23" i="39" a="1"/>
  <c r="N23" i="39" s="1"/>
  <c r="X23" i="39" s="1"/>
  <c r="V23" i="39" a="1"/>
  <c r="V23" i="39" s="1"/>
  <c r="V518" i="39" a="1"/>
  <c r="V518" i="39" s="1"/>
  <c r="V441" i="39" a="1"/>
  <c r="V441" i="39" s="1"/>
  <c r="V430" i="39" a="1"/>
  <c r="V430" i="39" s="1"/>
  <c r="V202" i="39" a="1"/>
  <c r="V202" i="39" s="1"/>
  <c r="V340" i="39" a="1"/>
  <c r="V340" i="39" s="1"/>
  <c r="V453" i="39" a="1"/>
  <c r="V453" i="39" s="1"/>
  <c r="V341" i="39" a="1"/>
  <c r="V341" i="39" s="1"/>
  <c r="V243" i="39" a="1"/>
  <c r="V243" i="39" s="1"/>
  <c r="V333" i="39" a="1"/>
  <c r="V333" i="39" s="1"/>
  <c r="V152" i="39" a="1"/>
  <c r="V152" i="39" s="1"/>
  <c r="V188" i="39" a="1"/>
  <c r="V188" i="39" s="1"/>
  <c r="V455" i="39" a="1"/>
  <c r="V455" i="39" s="1"/>
  <c r="N388" i="39" a="1"/>
  <c r="N388" i="39" s="1"/>
  <c r="X388" i="39" s="1"/>
  <c r="T492" i="39" a="1"/>
  <c r="T492" i="39" s="1"/>
  <c r="N492" i="39" a="1"/>
  <c r="N492" i="39" s="1"/>
  <c r="X492" i="39" s="1"/>
  <c r="T440" i="39" a="1"/>
  <c r="T440" i="39" s="1"/>
  <c r="N440" i="39" a="1"/>
  <c r="N440" i="39" s="1"/>
  <c r="X440" i="39" s="1"/>
  <c r="L402" i="39" a="1"/>
  <c r="L402" i="39" s="1"/>
  <c r="N402" i="39" a="1"/>
  <c r="N402" i="39" s="1"/>
  <c r="X402" i="39" s="1"/>
  <c r="V402" i="39" a="1"/>
  <c r="V402" i="39" s="1"/>
  <c r="V209" i="39" a="1"/>
  <c r="V209" i="39" s="1"/>
  <c r="L274" i="39" a="1"/>
  <c r="L274" i="39" s="1"/>
  <c r="L339" i="39" a="1"/>
  <c r="L339" i="39" s="1"/>
  <c r="N339" i="39" a="1"/>
  <c r="N339" i="39" s="1"/>
  <c r="X339" i="39" s="1"/>
  <c r="L326" i="39" a="1"/>
  <c r="L326" i="39" s="1"/>
  <c r="N326" i="39" a="1"/>
  <c r="N326" i="39" s="1"/>
  <c r="X326" i="39" s="1"/>
  <c r="L301" i="39" a="1"/>
  <c r="L301" i="39" s="1"/>
  <c r="N301" i="39" a="1"/>
  <c r="N301" i="39" s="1"/>
  <c r="X301" i="39" s="1"/>
  <c r="L287" i="39" a="1"/>
  <c r="L287" i="39" s="1"/>
  <c r="N287" i="39" a="1"/>
  <c r="N287" i="39" s="1"/>
  <c r="X287" i="39" s="1"/>
  <c r="L261" i="39" a="1"/>
  <c r="L261" i="39" s="1"/>
  <c r="N261" i="39" a="1"/>
  <c r="N261" i="39" s="1"/>
  <c r="X261" i="39" s="1"/>
  <c r="L250" i="39" a="1"/>
  <c r="L250" i="39" s="1"/>
  <c r="V250" i="39" a="1"/>
  <c r="V250" i="39" s="1"/>
  <c r="N250" i="39" a="1"/>
  <c r="N250" i="39" s="1"/>
  <c r="X250" i="39" s="1"/>
  <c r="V547" i="39" a="1"/>
  <c r="V547" i="39" s="1"/>
  <c r="L173" i="39" a="1"/>
  <c r="L173" i="39" s="1"/>
  <c r="N173" i="39" a="1"/>
  <c r="N173" i="39" s="1"/>
  <c r="X173" i="39" s="1"/>
  <c r="V508" i="39" a="1"/>
  <c r="V508" i="39" s="1"/>
  <c r="L72" i="39" a="1"/>
  <c r="L72" i="39" s="1"/>
  <c r="N72" i="39" a="1"/>
  <c r="N72" i="39" s="1"/>
  <c r="X72" i="39" s="1"/>
  <c r="V72" i="39" a="1"/>
  <c r="V72" i="39" s="1"/>
  <c r="L22" i="39" a="1"/>
  <c r="L22" i="39" s="1"/>
  <c r="N22" i="39" a="1"/>
  <c r="N22" i="39" s="1"/>
  <c r="X22" i="39" s="1"/>
  <c r="L9" i="39" a="1"/>
  <c r="L9" i="39" s="1"/>
  <c r="N9" i="39" a="1"/>
  <c r="N9" i="39" s="1"/>
  <c r="X9" i="39" s="1"/>
  <c r="V9" i="39" a="1"/>
  <c r="V9" i="39" s="1"/>
  <c r="V224" i="39" a="1"/>
  <c r="V224" i="39" s="1"/>
  <c r="V486" i="39" a="1"/>
  <c r="V486" i="39" s="1"/>
  <c r="V440" i="39" a="1"/>
  <c r="V440" i="39" s="1"/>
  <c r="V103" i="39" a="1"/>
  <c r="V103" i="39" s="1"/>
  <c r="V339" i="39" a="1"/>
  <c r="V339" i="39" s="1"/>
  <c r="V380" i="39" a="1"/>
  <c r="V380" i="39" s="1"/>
  <c r="V190" i="39" a="1"/>
  <c r="V190" i="39" s="1"/>
  <c r="V155" i="39" a="1"/>
  <c r="V155" i="39" s="1"/>
  <c r="V206" i="39" a="1"/>
  <c r="V206" i="39" s="1"/>
  <c r="V186" i="39" a="1"/>
  <c r="V186" i="39" s="1"/>
  <c r="V251" i="39" a="1"/>
  <c r="V251" i="39" s="1"/>
  <c r="V151" i="39" a="1"/>
  <c r="V151" i="39" s="1"/>
  <c r="V174" i="39" a="1"/>
  <c r="V174" i="39" s="1"/>
  <c r="V81" i="39" a="1"/>
  <c r="V81" i="39" s="1"/>
  <c r="V442" i="39" a="1"/>
  <c r="V442" i="39" s="1"/>
  <c r="N422" i="39" a="1"/>
  <c r="N422" i="39" s="1"/>
  <c r="X422" i="39" s="1"/>
  <c r="N291" i="39" a="1"/>
  <c r="N291" i="39" s="1"/>
  <c r="X291" i="39" s="1"/>
  <c r="N228" i="39" a="1"/>
  <c r="N228" i="39" s="1"/>
  <c r="X228" i="39" s="1"/>
  <c r="N152" i="39" a="1"/>
  <c r="N152" i="39" s="1"/>
  <c r="X152" i="39" s="1"/>
  <c r="L460" i="39" a="1"/>
  <c r="L460" i="39" s="1"/>
  <c r="M273" i="39" a="1"/>
  <c r="M273" i="39" s="1"/>
  <c r="N273" i="39" a="1"/>
  <c r="N273" i="39" s="1"/>
  <c r="X273" i="39" s="1"/>
  <c r="V273" i="39" a="1"/>
  <c r="V273" i="39" s="1"/>
  <c r="V527" i="39" a="1"/>
  <c r="V527" i="39" s="1"/>
  <c r="L477" i="39" a="1"/>
  <c r="L477" i="39" s="1"/>
  <c r="V477" i="39" a="1"/>
  <c r="V477" i="39" s="1"/>
  <c r="M236" i="39" a="1"/>
  <c r="M236" i="39" s="1"/>
  <c r="V236" i="39" a="1"/>
  <c r="V236" i="39" s="1"/>
  <c r="V516" i="39" a="1"/>
  <c r="V516" i="39" s="1"/>
  <c r="L211" i="39" a="1"/>
  <c r="L211" i="39" s="1"/>
  <c r="N211" i="39" a="1"/>
  <c r="N211" i="39" s="1"/>
  <c r="X211" i="39" s="1"/>
  <c r="L160" i="39" a="1"/>
  <c r="L160" i="39" s="1"/>
  <c r="N160" i="39" a="1"/>
  <c r="N160" i="39" s="1"/>
  <c r="X160" i="39" s="1"/>
  <c r="L122" i="39" a="1"/>
  <c r="L122" i="39" s="1"/>
  <c r="V122" i="39" a="1"/>
  <c r="V122" i="39" s="1"/>
  <c r="N122" i="39" a="1"/>
  <c r="N122" i="39" s="1"/>
  <c r="X122" i="39" s="1"/>
  <c r="L96" i="39" a="1"/>
  <c r="L96" i="39" s="1"/>
  <c r="V96" i="39" a="1"/>
  <c r="V96" i="39" s="1"/>
  <c r="N96" i="39" a="1"/>
  <c r="N96" i="39" s="1"/>
  <c r="X96" i="39" s="1"/>
  <c r="L490" i="39" a="1"/>
  <c r="L490" i="39" s="1"/>
  <c r="V490" i="39" a="1"/>
  <c r="V490" i="39" s="1"/>
  <c r="M313" i="39" a="1"/>
  <c r="M313" i="39" s="1"/>
  <c r="L8" i="39" a="1"/>
  <c r="L8" i="39" s="1"/>
  <c r="N8" i="39" a="1"/>
  <c r="N8" i="39" s="1"/>
  <c r="X8" i="39" s="1"/>
  <c r="V393" i="39" a="1"/>
  <c r="V393" i="39" s="1"/>
  <c r="V417" i="39" a="1"/>
  <c r="V417" i="39" s="1"/>
  <c r="V367" i="39" a="1"/>
  <c r="V367" i="39" s="1"/>
  <c r="V354" i="39" a="1"/>
  <c r="V354" i="39" s="1"/>
  <c r="V291" i="39" a="1"/>
  <c r="V291" i="39" s="1"/>
  <c r="V158" i="39" a="1"/>
  <c r="V158" i="39" s="1"/>
  <c r="V240" i="39" a="1"/>
  <c r="V240" i="39" s="1"/>
  <c r="V154" i="39" a="1"/>
  <c r="V154" i="39" s="1"/>
  <c r="V123" i="39" a="1"/>
  <c r="V123" i="39" s="1"/>
  <c r="V381" i="39" a="1"/>
  <c r="V381" i="39" s="1"/>
  <c r="N225" i="39" a="1"/>
  <c r="N225" i="39" s="1"/>
  <c r="X225" i="39" s="1"/>
  <c r="N148" i="39" a="1"/>
  <c r="N148" i="39" s="1"/>
  <c r="X148" i="39" s="1"/>
  <c r="N60" i="39" a="1"/>
  <c r="N60" i="39" s="1"/>
  <c r="X60" i="39" s="1"/>
  <c r="L478" i="39" a="1"/>
  <c r="L478" i="39" s="1"/>
  <c r="N478" i="39" a="1"/>
  <c r="N478" i="39" s="1"/>
  <c r="X478" i="39" s="1"/>
  <c r="L452" i="39" a="1"/>
  <c r="L452" i="39" s="1"/>
  <c r="N452" i="39" a="1"/>
  <c r="N452" i="39" s="1"/>
  <c r="X452" i="39" s="1"/>
  <c r="L223" i="39" a="1"/>
  <c r="L223" i="39" s="1"/>
  <c r="L375" i="39" a="1"/>
  <c r="L375" i="39" s="1"/>
  <c r="N375" i="39" a="1"/>
  <c r="N375" i="39" s="1"/>
  <c r="X375" i="39" s="1"/>
  <c r="V375" i="39" a="1"/>
  <c r="V375" i="39" s="1"/>
  <c r="V84" i="39" a="1"/>
  <c r="V84" i="39" s="1"/>
  <c r="L349" i="39" a="1"/>
  <c r="L349" i="39" s="1"/>
  <c r="N349" i="39" a="1"/>
  <c r="N349" i="39" s="1"/>
  <c r="X349" i="39" s="1"/>
  <c r="L298" i="39" a="1"/>
  <c r="L298" i="39" s="1"/>
  <c r="N298" i="39" a="1"/>
  <c r="N298" i="39" s="1"/>
  <c r="X298" i="39" s="1"/>
  <c r="L272" i="39" a="1"/>
  <c r="L272" i="39" s="1"/>
  <c r="N272" i="39" a="1"/>
  <c r="N272" i="39" s="1"/>
  <c r="X272" i="39" s="1"/>
  <c r="V272" i="39" a="1"/>
  <c r="V272" i="39" s="1"/>
  <c r="V568" i="39" a="1"/>
  <c r="V568" i="39" s="1"/>
  <c r="L247" i="39" a="1"/>
  <c r="L247" i="39" s="1"/>
  <c r="N247" i="39" a="1"/>
  <c r="N247" i="39" s="1"/>
  <c r="X247" i="39" s="1"/>
  <c r="V247" i="39" a="1"/>
  <c r="V247" i="39" s="1"/>
  <c r="L235" i="39" a="1"/>
  <c r="L235" i="39" s="1"/>
  <c r="N235" i="39" a="1"/>
  <c r="N235" i="39" s="1"/>
  <c r="X235" i="39" s="1"/>
  <c r="L184" i="39" a="1"/>
  <c r="L184" i="39" s="1"/>
  <c r="N184" i="39" a="1"/>
  <c r="N184" i="39" s="1"/>
  <c r="X184" i="39" s="1"/>
  <c r="L203" i="39" a="1"/>
  <c r="L203" i="39" s="1"/>
  <c r="T133" i="39" a="1"/>
  <c r="T133" i="39" s="1"/>
  <c r="N133" i="39" a="1"/>
  <c r="N133" i="39" s="1"/>
  <c r="X133" i="39" s="1"/>
  <c r="L121" i="39" a="1"/>
  <c r="L121" i="39" s="1"/>
  <c r="N121" i="39" a="1"/>
  <c r="N121" i="39" s="1"/>
  <c r="X121" i="39" s="1"/>
  <c r="V121" i="39" a="1"/>
  <c r="V121" i="39" s="1"/>
  <c r="L108" i="39" a="1"/>
  <c r="L108" i="39" s="1"/>
  <c r="V108" i="39" a="1"/>
  <c r="V108" i="39" s="1"/>
  <c r="N108" i="39" a="1"/>
  <c r="N108" i="39" s="1"/>
  <c r="X108" i="39" s="1"/>
  <c r="L95" i="39" a="1"/>
  <c r="L95" i="39" s="1"/>
  <c r="N95" i="39" a="1"/>
  <c r="N95" i="39" s="1"/>
  <c r="X95" i="39" s="1"/>
  <c r="V95" i="39" a="1"/>
  <c r="V95" i="39" s="1"/>
  <c r="L69" i="39" a="1"/>
  <c r="L69" i="39" s="1"/>
  <c r="N69" i="39" a="1"/>
  <c r="N69" i="39" s="1"/>
  <c r="X69" i="39" s="1"/>
  <c r="L57" i="39" a="1"/>
  <c r="L57" i="39" s="1"/>
  <c r="N57" i="39" a="1"/>
  <c r="N57" i="39" s="1"/>
  <c r="X57" i="39" s="1"/>
  <c r="L44" i="39" a="1"/>
  <c r="L44" i="39" s="1"/>
  <c r="N44" i="39" a="1"/>
  <c r="N44" i="39" s="1"/>
  <c r="X44" i="39" s="1"/>
  <c r="L19" i="39" a="1"/>
  <c r="L19" i="39" s="1"/>
  <c r="N19" i="39" a="1"/>
  <c r="N19" i="39" s="1"/>
  <c r="X19" i="39" s="1"/>
  <c r="V416" i="39" a="1"/>
  <c r="V416" i="39" s="1"/>
  <c r="V404" i="39" a="1"/>
  <c r="V404" i="39" s="1"/>
  <c r="V437" i="39" a="1"/>
  <c r="V437" i="39" s="1"/>
  <c r="V366" i="39" a="1"/>
  <c r="V366" i="39" s="1"/>
  <c r="V239" i="39" a="1"/>
  <c r="V239" i="39" s="1"/>
  <c r="V48" i="39" a="1"/>
  <c r="V48" i="39" s="1"/>
  <c r="V133" i="39" a="1"/>
  <c r="V133" i="39" s="1"/>
  <c r="V115" i="39" a="1"/>
  <c r="V115" i="39" s="1"/>
  <c r="V99" i="39" a="1"/>
  <c r="V99" i="39" s="1"/>
  <c r="V63" i="39" a="1"/>
  <c r="V63" i="39" s="1"/>
  <c r="V44" i="39" a="1"/>
  <c r="V44" i="39" s="1"/>
  <c r="N210" i="39" a="1"/>
  <c r="N210" i="39" s="1"/>
  <c r="X210" i="39" s="1"/>
  <c r="M412" i="39" a="1"/>
  <c r="M412" i="39" s="1"/>
  <c r="N412" i="39" a="1"/>
  <c r="N412" i="39" s="1"/>
  <c r="X412" i="39" s="1"/>
  <c r="L361" i="39" a="1"/>
  <c r="L361" i="39" s="1"/>
  <c r="N361" i="39" a="1"/>
  <c r="N361" i="39" s="1"/>
  <c r="X361" i="39" s="1"/>
  <c r="L336" i="39" a="1"/>
  <c r="L336" i="39" s="1"/>
  <c r="N336" i="39" a="1"/>
  <c r="N336" i="39" s="1"/>
  <c r="X336" i="39" s="1"/>
  <c r="L323" i="39" a="1"/>
  <c r="L323" i="39" s="1"/>
  <c r="N323" i="39" a="1"/>
  <c r="N323" i="39" s="1"/>
  <c r="X323" i="39" s="1"/>
  <c r="M297" i="39" a="1"/>
  <c r="M297" i="39" s="1"/>
  <c r="N297" i="39" a="1"/>
  <c r="N297" i="39" s="1"/>
  <c r="X297" i="39" s="1"/>
  <c r="L284" i="39" a="1"/>
  <c r="L284" i="39" s="1"/>
  <c r="N284" i="39" a="1"/>
  <c r="N284" i="39" s="1"/>
  <c r="X284" i="39" s="1"/>
  <c r="V284" i="39" a="1"/>
  <c r="V284" i="39" s="1"/>
  <c r="V258" i="39" a="1"/>
  <c r="V258" i="39" s="1"/>
  <c r="L246" i="39" a="1"/>
  <c r="L246" i="39" s="1"/>
  <c r="N246" i="39" a="1"/>
  <c r="N246" i="39" s="1"/>
  <c r="X246" i="39" s="1"/>
  <c r="L528" i="39" a="1"/>
  <c r="L528" i="39" s="1"/>
  <c r="L183" i="39" a="1"/>
  <c r="L183" i="39" s="1"/>
  <c r="N183" i="39" a="1"/>
  <c r="N183" i="39" s="1"/>
  <c r="X183" i="39" s="1"/>
  <c r="L109" i="39" a="1"/>
  <c r="L109" i="39" s="1"/>
  <c r="V109" i="39" a="1"/>
  <c r="V109" i="39" s="1"/>
  <c r="L68" i="39" a="1"/>
  <c r="L68" i="39" s="1"/>
  <c r="N68" i="39" a="1"/>
  <c r="N68" i="39" s="1"/>
  <c r="X68" i="39" s="1"/>
  <c r="L464" i="39" a="1"/>
  <c r="L464" i="39" s="1"/>
  <c r="M43" i="39" a="1"/>
  <c r="M43" i="39" s="1"/>
  <c r="N43" i="39" a="1"/>
  <c r="N43" i="39" s="1"/>
  <c r="X43" i="39" s="1"/>
  <c r="L18" i="39" a="1"/>
  <c r="L18" i="39" s="1"/>
  <c r="N18" i="39" a="1"/>
  <c r="N18" i="39" s="1"/>
  <c r="X18" i="39" s="1"/>
  <c r="V461" i="39" a="1"/>
  <c r="V461" i="39" s="1"/>
  <c r="V415" i="39" a="1"/>
  <c r="V415" i="39" s="1"/>
  <c r="V403" i="39" a="1"/>
  <c r="V403" i="39" s="1"/>
  <c r="V349" i="39" a="1"/>
  <c r="V349" i="39" s="1"/>
  <c r="V235" i="39" a="1"/>
  <c r="V235" i="39" s="1"/>
  <c r="V199" i="39" a="1"/>
  <c r="V199" i="39" s="1"/>
  <c r="V184" i="39" a="1"/>
  <c r="V184" i="39" s="1"/>
  <c r="V164" i="39" a="1"/>
  <c r="V164" i="39" s="1"/>
  <c r="V148" i="39" a="1"/>
  <c r="V148" i="39" s="1"/>
  <c r="V43" i="39" a="1"/>
  <c r="V43" i="39" s="1"/>
  <c r="V22" i="39" a="1"/>
  <c r="V22" i="39" s="1"/>
  <c r="N415" i="39" a="1"/>
  <c r="N415" i="39" s="1"/>
  <c r="X415" i="39" s="1"/>
  <c r="N138" i="39" a="1"/>
  <c r="N138" i="39" s="1"/>
  <c r="X138" i="39" s="1"/>
  <c r="U345" i="39" a="1"/>
  <c r="U345" i="39" s="1"/>
  <c r="K345" i="39" a="1"/>
  <c r="K345" i="39" s="1"/>
  <c r="L345" i="39" a="1"/>
  <c r="L345" i="39" s="1"/>
  <c r="M345" i="39" a="1"/>
  <c r="M345" i="39" s="1"/>
  <c r="R345" i="39" a="1"/>
  <c r="R345" i="39" s="1"/>
  <c r="S345" i="39" a="1"/>
  <c r="S345" i="39" s="1"/>
  <c r="T345" i="39" a="1"/>
  <c r="T345" i="39" s="1"/>
  <c r="U467" i="39" a="1"/>
  <c r="U467" i="39" s="1"/>
  <c r="K467" i="39" a="1"/>
  <c r="K467" i="39" s="1"/>
  <c r="L467" i="39" a="1"/>
  <c r="L467" i="39" s="1"/>
  <c r="M467" i="39" a="1"/>
  <c r="M467" i="39" s="1"/>
  <c r="R467" i="39" a="1"/>
  <c r="R467" i="39" s="1"/>
  <c r="S467" i="39" a="1"/>
  <c r="S467" i="39" s="1"/>
  <c r="T467" i="39" a="1"/>
  <c r="T467" i="39" s="1"/>
  <c r="J345" i="39" a="1"/>
  <c r="J345" i="39" s="1"/>
  <c r="J467" i="39" a="1"/>
  <c r="J467" i="39" s="1"/>
  <c r="S248" i="39" a="1"/>
  <c r="S248" i="39" s="1"/>
  <c r="R248" i="39" a="1"/>
  <c r="R248" i="39" s="1"/>
  <c r="L248" i="39" a="1"/>
  <c r="L248" i="39" s="1"/>
  <c r="U248" i="39" a="1"/>
  <c r="U248" i="39" s="1"/>
  <c r="T248" i="39" a="1"/>
  <c r="T248" i="39" s="1"/>
  <c r="K248" i="39" a="1"/>
  <c r="K248" i="39" s="1"/>
  <c r="J248" i="39" a="1"/>
  <c r="J248" i="39" s="1"/>
  <c r="M546" i="39" a="1"/>
  <c r="M546" i="39" s="1"/>
  <c r="M223" i="39" a="1"/>
  <c r="M223" i="39" s="1"/>
  <c r="L206" i="39" a="1"/>
  <c r="L206" i="39" s="1"/>
  <c r="M105" i="39" a="1"/>
  <c r="M105" i="39" s="1"/>
  <c r="M533" i="39" a="1"/>
  <c r="M533" i="39" s="1"/>
  <c r="M305" i="39" a="1"/>
  <c r="M305" i="39" s="1"/>
  <c r="L518" i="39" a="1"/>
  <c r="L518" i="39" s="1"/>
  <c r="L412" i="39" a="1"/>
  <c r="L412" i="39" s="1"/>
  <c r="L297" i="39" a="1"/>
  <c r="L297" i="39" s="1"/>
  <c r="L511" i="39" a="1"/>
  <c r="L511" i="39" s="1"/>
  <c r="M403" i="39" a="1"/>
  <c r="M403" i="39" s="1"/>
  <c r="M180" i="39" a="1"/>
  <c r="M180" i="39" s="1"/>
  <c r="L76" i="39" a="1"/>
  <c r="L76" i="39" s="1"/>
  <c r="L503" i="39" a="1"/>
  <c r="L503" i="39" s="1"/>
  <c r="L281" i="39" a="1"/>
  <c r="L281" i="39" s="1"/>
  <c r="M494" i="39" a="1"/>
  <c r="M494" i="39" s="1"/>
  <c r="M388" i="39" a="1"/>
  <c r="M388" i="39" s="1"/>
  <c r="L273" i="39" a="1"/>
  <c r="L273" i="39" s="1"/>
  <c r="L164" i="39" a="1"/>
  <c r="L164" i="39" s="1"/>
  <c r="L265" i="39" a="1"/>
  <c r="L265" i="39" s="1"/>
  <c r="M54" i="39" a="1"/>
  <c r="M54" i="39" s="1"/>
  <c r="M466" i="39" a="1"/>
  <c r="M466" i="39" s="1"/>
  <c r="M477" i="39" a="1"/>
  <c r="M477" i="39" s="1"/>
  <c r="L148" i="39" a="1"/>
  <c r="L148" i="39" s="1"/>
  <c r="M458" i="39" a="1"/>
  <c r="M458" i="39" s="1"/>
  <c r="L139" i="39" a="1"/>
  <c r="L139" i="39" s="1"/>
  <c r="L43" i="39" a="1"/>
  <c r="L43" i="39" s="1"/>
  <c r="M349" i="39" a="1"/>
  <c r="M349" i="39" s="1"/>
  <c r="L236" i="39" a="1"/>
  <c r="L236" i="39" s="1"/>
  <c r="L36" i="39" a="1"/>
  <c r="L36" i="39" s="1"/>
  <c r="M441" i="39" a="1"/>
  <c r="M441" i="39" s="1"/>
  <c r="M326" i="39" a="1"/>
  <c r="M326" i="39" s="1"/>
  <c r="M227" i="39" a="1"/>
  <c r="M227" i="39" s="1"/>
  <c r="L282" i="39" a="1"/>
  <c r="L282" i="39" s="1"/>
  <c r="L313" i="39" a="1"/>
  <c r="L313" i="39" s="1"/>
  <c r="M552" i="39" a="1"/>
  <c r="M552" i="39" s="1"/>
  <c r="L434" i="39" a="1"/>
  <c r="L434" i="39" s="1"/>
  <c r="L319" i="39" a="1"/>
  <c r="L319" i="39" s="1"/>
  <c r="M211" i="39" a="1"/>
  <c r="M211" i="39" s="1"/>
  <c r="M115" i="39" a="1"/>
  <c r="M115" i="39" s="1"/>
  <c r="M12" i="39" a="1"/>
  <c r="M12" i="39" s="1"/>
  <c r="L507" i="39" a="1"/>
  <c r="L507" i="39" s="1"/>
  <c r="L29" i="39" a="1"/>
  <c r="L29" i="39" s="1"/>
  <c r="M317" i="39" a="1"/>
  <c r="M317" i="39" s="1"/>
  <c r="M191" i="39" a="1"/>
  <c r="M191" i="39" s="1"/>
  <c r="M502" i="39" a="1"/>
  <c r="M502" i="39" s="1"/>
  <c r="L487" i="39" a="1"/>
  <c r="L487" i="39" s="1"/>
  <c r="L482" i="39" a="1"/>
  <c r="L482" i="39" s="1"/>
  <c r="M371" i="39" a="1"/>
  <c r="M371" i="39" s="1"/>
  <c r="M358" i="39" a="1"/>
  <c r="M358" i="39" s="1"/>
  <c r="M318" i="39" a="1"/>
  <c r="M318" i="39" s="1"/>
  <c r="M280" i="39" a="1"/>
  <c r="M280" i="39" s="1"/>
  <c r="M272" i="39" a="1"/>
  <c r="M272" i="39" s="1"/>
  <c r="M156" i="39" a="1"/>
  <c r="M156" i="39" s="1"/>
  <c r="L256" i="39" a="1"/>
  <c r="L256" i="39" s="1"/>
  <c r="M235" i="39" a="1"/>
  <c r="M235" i="39" s="1"/>
  <c r="L219" i="39" a="1"/>
  <c r="L219" i="39" s="1"/>
  <c r="M163" i="39" a="1"/>
  <c r="M163" i="39" s="1"/>
  <c r="M138" i="39" a="1"/>
  <c r="M138" i="39" s="1"/>
  <c r="M130" i="39" a="1"/>
  <c r="M130" i="39" s="1"/>
  <c r="M122" i="39" a="1"/>
  <c r="M122" i="39" s="1"/>
  <c r="M75" i="39" a="1"/>
  <c r="M75" i="39" s="1"/>
  <c r="M42" i="39" a="1"/>
  <c r="M42" i="39" s="1"/>
  <c r="M35" i="39" a="1"/>
  <c r="M35" i="39" s="1"/>
  <c r="M560" i="39" a="1"/>
  <c r="M560" i="39" s="1"/>
  <c r="M551" i="39" a="1"/>
  <c r="M551" i="39" s="1"/>
  <c r="L538" i="39" a="1"/>
  <c r="L538" i="39" s="1"/>
  <c r="M532" i="39" a="1"/>
  <c r="M532" i="39" s="1"/>
  <c r="M493" i="39" a="1"/>
  <c r="M493" i="39" s="1"/>
  <c r="M486" i="39" a="1"/>
  <c r="M486" i="39" s="1"/>
  <c r="M479" i="39" a="1"/>
  <c r="M479" i="39" s="1"/>
  <c r="M463" i="39" a="1"/>
  <c r="M463" i="39" s="1"/>
  <c r="M457" i="39" a="1"/>
  <c r="M457" i="39" s="1"/>
  <c r="M448" i="39" a="1"/>
  <c r="M448" i="39" s="1"/>
  <c r="M440" i="39" a="1"/>
  <c r="M440" i="39" s="1"/>
  <c r="M402" i="39" a="1"/>
  <c r="M402" i="39" s="1"/>
  <c r="M212" i="39" a="1"/>
  <c r="M212" i="39" s="1"/>
  <c r="M332" i="39" a="1"/>
  <c r="M332" i="39" s="1"/>
  <c r="M309" i="39" a="1"/>
  <c r="M309" i="39" s="1"/>
  <c r="M287" i="39" a="1"/>
  <c r="M287" i="39" s="1"/>
  <c r="M240" i="39" a="1"/>
  <c r="M240" i="39" s="1"/>
  <c r="M226" i="39" a="1"/>
  <c r="M226" i="39" s="1"/>
  <c r="M196" i="39" a="1"/>
  <c r="M196" i="39" s="1"/>
  <c r="M179" i="39" a="1"/>
  <c r="M179" i="39" s="1"/>
  <c r="M152" i="39" a="1"/>
  <c r="M152" i="39" s="1"/>
  <c r="M104" i="39" a="1"/>
  <c r="M104" i="39" s="1"/>
  <c r="M96" i="39" a="1"/>
  <c r="M96" i="39" s="1"/>
  <c r="M88" i="39" a="1"/>
  <c r="M88" i="39" s="1"/>
  <c r="M60" i="39" a="1"/>
  <c r="M60" i="39" s="1"/>
  <c r="M53" i="39" a="1"/>
  <c r="M53" i="39" s="1"/>
  <c r="M19" i="39" a="1"/>
  <c r="M19" i="39" s="1"/>
  <c r="M224" i="39" a="1"/>
  <c r="M224" i="39" s="1"/>
  <c r="M515" i="39" a="1"/>
  <c r="M515" i="39" s="1"/>
  <c r="M499" i="39" a="1"/>
  <c r="M499" i="39" s="1"/>
  <c r="M470" i="39" a="1"/>
  <c r="M470" i="39" s="1"/>
  <c r="L440" i="39" a="1"/>
  <c r="L440" i="39" s="1"/>
  <c r="M416" i="39" a="1"/>
  <c r="M416" i="39" s="1"/>
  <c r="M408" i="39" a="1"/>
  <c r="M408" i="39" s="1"/>
  <c r="M500" i="39" a="1"/>
  <c r="M500" i="39" s="1"/>
  <c r="M354" i="39" a="1"/>
  <c r="M354" i="39" s="1"/>
  <c r="M137" i="39" a="1"/>
  <c r="M137" i="39" s="1"/>
  <c r="M302" i="39" a="1"/>
  <c r="M302" i="39" s="1"/>
  <c r="M279" i="39" a="1"/>
  <c r="M279" i="39" s="1"/>
  <c r="M247" i="39" a="1"/>
  <c r="M247" i="39" s="1"/>
  <c r="M232" i="39" a="1"/>
  <c r="M232" i="39" s="1"/>
  <c r="M210" i="39" a="1"/>
  <c r="M210" i="39" s="1"/>
  <c r="L179" i="39" a="1"/>
  <c r="L179" i="39" s="1"/>
  <c r="M168" i="39" a="1"/>
  <c r="M168" i="39" s="1"/>
  <c r="M160" i="39" a="1"/>
  <c r="M160" i="39" s="1"/>
  <c r="M144" i="39" a="1"/>
  <c r="M144" i="39" s="1"/>
  <c r="M129" i="39" a="1"/>
  <c r="M129" i="39" s="1"/>
  <c r="M80" i="39" a="1"/>
  <c r="M80" i="39" s="1"/>
  <c r="M72" i="39" a="1"/>
  <c r="M72" i="39" s="1"/>
  <c r="L53" i="39" a="1"/>
  <c r="L53" i="39" s="1"/>
  <c r="M47" i="39" a="1"/>
  <c r="M47" i="39" s="1"/>
  <c r="L525" i="39" a="1"/>
  <c r="L525" i="39" s="1"/>
  <c r="M564" i="39" a="1"/>
  <c r="M564" i="39" s="1"/>
  <c r="M559" i="39" a="1"/>
  <c r="M559" i="39" s="1"/>
  <c r="M492" i="39" a="1"/>
  <c r="M492" i="39" s="1"/>
  <c r="M478" i="39" a="1"/>
  <c r="M478" i="39" s="1"/>
  <c r="M462" i="39" a="1"/>
  <c r="M462" i="39" s="1"/>
  <c r="M445" i="39" a="1"/>
  <c r="M445" i="39" s="1"/>
  <c r="M385" i="39" a="1"/>
  <c r="M385" i="39" s="1"/>
  <c r="M361" i="39" a="1"/>
  <c r="M361" i="39" s="1"/>
  <c r="M340" i="39" a="1"/>
  <c r="M340" i="39" s="1"/>
  <c r="M308" i="39" a="1"/>
  <c r="M308" i="39" s="1"/>
  <c r="M284" i="39" a="1"/>
  <c r="M284" i="39" s="1"/>
  <c r="M239" i="39" a="1"/>
  <c r="M239" i="39" s="1"/>
  <c r="M225" i="39" a="1"/>
  <c r="M225" i="39" s="1"/>
  <c r="M195" i="39" a="1"/>
  <c r="M195" i="39" s="1"/>
  <c r="M184" i="39" a="1"/>
  <c r="M184" i="39" s="1"/>
  <c r="M176" i="39" a="1"/>
  <c r="M176" i="39" s="1"/>
  <c r="M151" i="39" a="1"/>
  <c r="M151" i="39" s="1"/>
  <c r="M121" i="39" a="1"/>
  <c r="M121" i="39" s="1"/>
  <c r="M87" i="39" a="1"/>
  <c r="M87" i="39" s="1"/>
  <c r="M52" i="39" a="1"/>
  <c r="M52" i="39" s="1"/>
  <c r="M18" i="39" a="1"/>
  <c r="M18" i="39" s="1"/>
  <c r="M514" i="39" a="1"/>
  <c r="M514" i="39" s="1"/>
  <c r="M498" i="39" a="1"/>
  <c r="M498" i="39" s="1"/>
  <c r="L492" i="39" a="1"/>
  <c r="L492" i="39" s="1"/>
  <c r="M469" i="39" a="1"/>
  <c r="M469" i="39" s="1"/>
  <c r="M424" i="39" a="1"/>
  <c r="M424" i="39" s="1"/>
  <c r="M415" i="39" a="1"/>
  <c r="M415" i="39" s="1"/>
  <c r="M407" i="39" a="1"/>
  <c r="M407" i="39" s="1"/>
  <c r="M393" i="39" a="1"/>
  <c r="M393" i="39" s="1"/>
  <c r="M368" i="39" a="1"/>
  <c r="M368" i="39" s="1"/>
  <c r="M353" i="39" a="1"/>
  <c r="M353" i="39" s="1"/>
  <c r="M331" i="39" a="1"/>
  <c r="M331" i="39" s="1"/>
  <c r="M315" i="39" a="1"/>
  <c r="M315" i="39" s="1"/>
  <c r="M301" i="39" a="1"/>
  <c r="M301" i="39" s="1"/>
  <c r="M261" i="39" a="1"/>
  <c r="M261" i="39" s="1"/>
  <c r="M246" i="39" a="1"/>
  <c r="M246" i="39" s="1"/>
  <c r="M231" i="39" a="1"/>
  <c r="M231" i="39" s="1"/>
  <c r="M528" i="39" a="1"/>
  <c r="M528" i="39" s="1"/>
  <c r="M167" i="39" a="1"/>
  <c r="M167" i="39" s="1"/>
  <c r="M203" i="39" a="1"/>
  <c r="M203" i="39" s="1"/>
  <c r="M161" i="39" a="1"/>
  <c r="M161" i="39" s="1"/>
  <c r="M126" i="39" a="1"/>
  <c r="M126" i="39" s="1"/>
  <c r="M95" i="39" a="1"/>
  <c r="M95" i="39" s="1"/>
  <c r="M79" i="39" a="1"/>
  <c r="M79" i="39" s="1"/>
  <c r="M490" i="39" a="1"/>
  <c r="M490" i="39" s="1"/>
  <c r="M26" i="39" a="1"/>
  <c r="M26" i="39" s="1"/>
  <c r="L372" i="39" a="1"/>
  <c r="L372" i="39" s="1"/>
  <c r="M556" i="39" a="1"/>
  <c r="M556" i="39" s="1"/>
  <c r="M543" i="39" a="1"/>
  <c r="M543" i="39" s="1"/>
  <c r="M522" i="39" a="1"/>
  <c r="M522" i="39" s="1"/>
  <c r="M237" i="39" a="1"/>
  <c r="M237" i="39" s="1"/>
  <c r="M444" i="39" a="1"/>
  <c r="M444" i="39" s="1"/>
  <c r="M431" i="39" a="1"/>
  <c r="M431" i="39" s="1"/>
  <c r="M384" i="39" a="1"/>
  <c r="M384" i="39" s="1"/>
  <c r="M344" i="39" a="1"/>
  <c r="M344" i="39" s="1"/>
  <c r="M339" i="39" a="1"/>
  <c r="M339" i="39" s="1"/>
  <c r="M323" i="39" a="1"/>
  <c r="M323" i="39" s="1"/>
  <c r="M292" i="39" a="1"/>
  <c r="M292" i="39" s="1"/>
  <c r="M537" i="39" a="1"/>
  <c r="M537" i="39" s="1"/>
  <c r="M449" i="39" a="1"/>
  <c r="M449" i="39" s="1"/>
  <c r="M216" i="39" a="1"/>
  <c r="M216" i="39" s="1"/>
  <c r="M200" i="39" a="1"/>
  <c r="M200" i="39" s="1"/>
  <c r="M192" i="39" a="1"/>
  <c r="M192" i="39" s="1"/>
  <c r="M183" i="39" a="1"/>
  <c r="M183" i="39" s="1"/>
  <c r="M217" i="39" a="1"/>
  <c r="M217" i="39" s="1"/>
  <c r="M112" i="39" a="1"/>
  <c r="M112" i="39" s="1"/>
  <c r="M86" i="39" a="1"/>
  <c r="M86" i="39" s="1"/>
  <c r="M9" i="39" a="1"/>
  <c r="M9" i="39" s="1"/>
  <c r="R435" i="39" a="1"/>
  <c r="R435" i="39" s="1"/>
  <c r="L259" i="39" a="1"/>
  <c r="L259" i="39" s="1"/>
  <c r="M563" i="39" a="1"/>
  <c r="M563" i="39" s="1"/>
  <c r="L522" i="39" a="1"/>
  <c r="L522" i="39" s="1"/>
  <c r="M513" i="39" a="1"/>
  <c r="M513" i="39" s="1"/>
  <c r="M497" i="39" a="1"/>
  <c r="M497" i="39" s="1"/>
  <c r="M461" i="39" a="1"/>
  <c r="M461" i="39" s="1"/>
  <c r="M423" i="39" a="1"/>
  <c r="M423" i="39" s="1"/>
  <c r="M58" i="39" a="1"/>
  <c r="M58" i="39" s="1"/>
  <c r="M392" i="39" a="1"/>
  <c r="M392" i="39" s="1"/>
  <c r="M376" i="39" a="1"/>
  <c r="M376" i="39" s="1"/>
  <c r="M367" i="39" a="1"/>
  <c r="M367" i="39" s="1"/>
  <c r="M274" i="39" a="1"/>
  <c r="M274" i="39" s="1"/>
  <c r="M314" i="39" a="1"/>
  <c r="M314" i="39" s="1"/>
  <c r="M460" i="39" a="1"/>
  <c r="M460" i="39" s="1"/>
  <c r="M268" i="39" a="1"/>
  <c r="M268" i="39" s="1"/>
  <c r="M245" i="39" a="1"/>
  <c r="M245" i="39" s="1"/>
  <c r="M294" i="39" a="1"/>
  <c r="M294" i="39" s="1"/>
  <c r="M207" i="39" a="1"/>
  <c r="M207" i="39" s="1"/>
  <c r="M141" i="39" a="1"/>
  <c r="M141" i="39" s="1"/>
  <c r="M133" i="39" a="1"/>
  <c r="M133" i="39" s="1"/>
  <c r="M125" i="39" a="1"/>
  <c r="M125" i="39" s="1"/>
  <c r="M92" i="39" a="1"/>
  <c r="M92" i="39" s="1"/>
  <c r="M69" i="39" a="1"/>
  <c r="M69" i="39" s="1"/>
  <c r="M39" i="39" a="1"/>
  <c r="M39" i="39" s="1"/>
  <c r="M23" i="39" a="1"/>
  <c r="M23" i="39" s="1"/>
  <c r="M555" i="39" a="1"/>
  <c r="M555" i="39" s="1"/>
  <c r="M542" i="39" a="1"/>
  <c r="M542" i="39" s="1"/>
  <c r="M535" i="39" a="1"/>
  <c r="M535" i="39" s="1"/>
  <c r="M521" i="39" a="1"/>
  <c r="M521" i="39" s="1"/>
  <c r="M475" i="39" a="1"/>
  <c r="M475" i="39" s="1"/>
  <c r="M452" i="39" a="1"/>
  <c r="M452" i="39" s="1"/>
  <c r="M430" i="39" a="1"/>
  <c r="M430" i="39" s="1"/>
  <c r="M396" i="39" a="1"/>
  <c r="M396" i="39" s="1"/>
  <c r="M383" i="39" a="1"/>
  <c r="M383" i="39" s="1"/>
  <c r="M336" i="39" a="1"/>
  <c r="M336" i="39" s="1"/>
  <c r="M322" i="39" a="1"/>
  <c r="M322" i="39" s="1"/>
  <c r="M291" i="39" a="1"/>
  <c r="M291" i="39" s="1"/>
  <c r="M253" i="39" a="1"/>
  <c r="M253" i="39" s="1"/>
  <c r="M215" i="39" a="1"/>
  <c r="M215" i="39" s="1"/>
  <c r="M199" i="39" a="1"/>
  <c r="M199" i="39" s="1"/>
  <c r="M476" i="39" a="1"/>
  <c r="M476" i="39" s="1"/>
  <c r="M173" i="39" a="1"/>
  <c r="M173" i="39" s="1"/>
  <c r="L133" i="39" a="1"/>
  <c r="L133" i="39" s="1"/>
  <c r="M108" i="39" a="1"/>
  <c r="M108" i="39" s="1"/>
  <c r="M99" i="39" a="1"/>
  <c r="M99" i="39" s="1"/>
  <c r="M85" i="39" a="1"/>
  <c r="M85" i="39" s="1"/>
  <c r="M63" i="39" a="1"/>
  <c r="M63" i="39" s="1"/>
  <c r="M57" i="39" a="1"/>
  <c r="M57" i="39" s="1"/>
  <c r="M8" i="39" a="1"/>
  <c r="M8" i="39" s="1"/>
  <c r="M569" i="39" a="1"/>
  <c r="M569" i="39" s="1"/>
  <c r="M526" i="39" a="1"/>
  <c r="M526" i="39" s="1"/>
  <c r="M512" i="39" a="1"/>
  <c r="M512" i="39" s="1"/>
  <c r="M456" i="39" a="1"/>
  <c r="M456" i="39" s="1"/>
  <c r="M483" i="39" a="1"/>
  <c r="M483" i="39" s="1"/>
  <c r="M491" i="39" a="1"/>
  <c r="M491" i="39" s="1"/>
  <c r="M474" i="39" a="1"/>
  <c r="M474" i="39" s="1"/>
  <c r="M435" i="39" a="1"/>
  <c r="M435" i="39" s="1"/>
  <c r="M422" i="39" a="1"/>
  <c r="M422" i="39" s="1"/>
  <c r="M404" i="39" a="1"/>
  <c r="M404" i="39" s="1"/>
  <c r="M375" i="39" a="1"/>
  <c r="M375" i="39" s="1"/>
  <c r="M366" i="39" a="1"/>
  <c r="M366" i="39" s="1"/>
  <c r="M343" i="39" a="1"/>
  <c r="M343" i="39" s="1"/>
  <c r="M298" i="39" a="1"/>
  <c r="M298" i="39" s="1"/>
  <c r="L291" i="39" a="1"/>
  <c r="L291" i="39" s="1"/>
  <c r="M269" i="39" a="1"/>
  <c r="M269" i="39" s="1"/>
  <c r="M140" i="39" a="1"/>
  <c r="M140" i="39" s="1"/>
  <c r="M204" i="39" a="1"/>
  <c r="M204" i="39" s="1"/>
  <c r="M91" i="39" a="1"/>
  <c r="M91" i="39" s="1"/>
  <c r="M68" i="39" a="1"/>
  <c r="M68" i="39" s="1"/>
  <c r="M44" i="39" a="1"/>
  <c r="M44" i="39" s="1"/>
  <c r="M201" i="39" a="1"/>
  <c r="M201" i="39" s="1"/>
  <c r="M30" i="39" a="1"/>
  <c r="M30" i="39" s="1"/>
  <c r="M22" i="39" a="1"/>
  <c r="M22" i="39" s="1"/>
  <c r="M159" i="39" a="1"/>
  <c r="M159" i="39" s="1"/>
  <c r="M539" i="39" a="1"/>
  <c r="M539" i="39" s="1"/>
  <c r="M534" i="39" a="1"/>
  <c r="M534" i="39" s="1"/>
  <c r="M427" i="39" a="1"/>
  <c r="M427" i="39" s="1"/>
  <c r="M389" i="39" a="1"/>
  <c r="M389" i="39" s="1"/>
  <c r="M350" i="39" a="1"/>
  <c r="M350" i="39" s="1"/>
  <c r="L343" i="39" a="1"/>
  <c r="L343" i="39" s="1"/>
  <c r="M335" i="39" a="1"/>
  <c r="M335" i="39" s="1"/>
  <c r="M250" i="39" a="1"/>
  <c r="M250" i="39" s="1"/>
  <c r="M228" i="39" a="1"/>
  <c r="M228" i="39" s="1"/>
  <c r="M220" i="39" a="1"/>
  <c r="M220" i="39" s="1"/>
  <c r="M214" i="39" a="1"/>
  <c r="M214" i="39" s="1"/>
  <c r="M189" i="39" a="1"/>
  <c r="M189" i="39" s="1"/>
  <c r="M116" i="39" a="1"/>
  <c r="M116" i="39" s="1"/>
  <c r="M109" i="39" a="1"/>
  <c r="M109" i="39" s="1"/>
  <c r="M464" i="39" a="1"/>
  <c r="M464" i="39" s="1"/>
  <c r="M13" i="39" a="1"/>
  <c r="M13" i="39" s="1"/>
  <c r="M5" i="39" a="1"/>
  <c r="M5" i="39" s="1"/>
  <c r="L228" i="39" a="1"/>
  <c r="L228" i="39" s="1"/>
  <c r="T407" i="39" a="1"/>
  <c r="T407" i="39" s="1"/>
  <c r="U402" i="39" a="1"/>
  <c r="U402" i="39" s="1"/>
  <c r="T301" i="39" a="1"/>
  <c r="T301" i="39" s="1"/>
  <c r="U301" i="39" a="1"/>
  <c r="U301" i="39" s="1"/>
  <c r="U547" i="39" a="1"/>
  <c r="U547" i="39" s="1"/>
  <c r="T547" i="39" a="1"/>
  <c r="T547" i="39" s="1"/>
  <c r="T241" i="39" a="1"/>
  <c r="T241" i="39" s="1"/>
  <c r="U241" i="39" a="1"/>
  <c r="U241" i="39" s="1"/>
  <c r="U503" i="39" a="1"/>
  <c r="U503" i="39" s="1"/>
  <c r="T503" i="39" a="1"/>
  <c r="T503" i="39" s="1"/>
  <c r="T298" i="39" a="1"/>
  <c r="T298" i="39" s="1"/>
  <c r="U298" i="39" a="1"/>
  <c r="U298" i="39" s="1"/>
  <c r="U184" i="39" a="1"/>
  <c r="U184" i="39" s="1"/>
  <c r="T184" i="39" a="1"/>
  <c r="T184" i="39" s="1"/>
  <c r="U69" i="39" a="1"/>
  <c r="U69" i="39" s="1"/>
  <c r="T69" i="39" a="1"/>
  <c r="T69" i="39" s="1"/>
  <c r="U556" i="39" a="1"/>
  <c r="U556" i="39" s="1"/>
  <c r="T556" i="39" a="1"/>
  <c r="T556" i="39" s="1"/>
  <c r="U532" i="39" a="1"/>
  <c r="U532" i="39" s="1"/>
  <c r="T532" i="39" a="1"/>
  <c r="T532" i="39" s="1"/>
  <c r="T493" i="39" a="1"/>
  <c r="T493" i="39" s="1"/>
  <c r="U493" i="39" a="1"/>
  <c r="U493" i="39" s="1"/>
  <c r="U441" i="39" a="1"/>
  <c r="U441" i="39" s="1"/>
  <c r="T441" i="39" a="1"/>
  <c r="T441" i="39" s="1"/>
  <c r="U416" i="39" a="1"/>
  <c r="U416" i="39" s="1"/>
  <c r="T416" i="39" a="1"/>
  <c r="T416" i="39" s="1"/>
  <c r="U403" i="39" a="1"/>
  <c r="U403" i="39" s="1"/>
  <c r="T353" i="39" a="1"/>
  <c r="T353" i="39" s="1"/>
  <c r="U353" i="39" a="1"/>
  <c r="U353" i="39" s="1"/>
  <c r="U340" i="39" a="1"/>
  <c r="U340" i="39" s="1"/>
  <c r="T340" i="39" a="1"/>
  <c r="T340" i="39" s="1"/>
  <c r="U314" i="39" a="1"/>
  <c r="U314" i="39" s="1"/>
  <c r="T314" i="39" a="1"/>
  <c r="T314" i="39" s="1"/>
  <c r="U302" i="39" a="1"/>
  <c r="U302" i="39" s="1"/>
  <c r="T302" i="39" a="1"/>
  <c r="T302" i="39" s="1"/>
  <c r="T399" i="39" a="1"/>
  <c r="T399" i="39" s="1"/>
  <c r="U399" i="39" a="1"/>
  <c r="U399" i="39" s="1"/>
  <c r="U225" i="39" a="1"/>
  <c r="U225" i="39" s="1"/>
  <c r="T225" i="39" a="1"/>
  <c r="T225" i="39" s="1"/>
  <c r="U200" i="39" a="1"/>
  <c r="U200" i="39" s="1"/>
  <c r="T200" i="39" a="1"/>
  <c r="T200" i="39" s="1"/>
  <c r="U217" i="39" a="1"/>
  <c r="U217" i="39" s="1"/>
  <c r="T217" i="39" a="1"/>
  <c r="T217" i="39" s="1"/>
  <c r="U188" i="39" a="1"/>
  <c r="U188" i="39" s="1"/>
  <c r="T188" i="39" a="1"/>
  <c r="T188" i="39" s="1"/>
  <c r="U204" i="39" a="1"/>
  <c r="U204" i="39" s="1"/>
  <c r="T204" i="39" a="1"/>
  <c r="T204" i="39" s="1"/>
  <c r="T112" i="39" a="1"/>
  <c r="T112" i="39" s="1"/>
  <c r="U112" i="39" a="1"/>
  <c r="U112" i="39" s="1"/>
  <c r="S386" i="39" a="1"/>
  <c r="S386" i="39" s="1"/>
  <c r="U85" i="39" a="1"/>
  <c r="U85" i="39" s="1"/>
  <c r="T85" i="39" a="1"/>
  <c r="T85" i="39" s="1"/>
  <c r="U60" i="39" a="1"/>
  <c r="U60" i="39" s="1"/>
  <c r="T60" i="39" a="1"/>
  <c r="T60" i="39" s="1"/>
  <c r="U47" i="39" a="1"/>
  <c r="U47" i="39" s="1"/>
  <c r="T348" i="39" a="1"/>
  <c r="T348" i="39" s="1"/>
  <c r="U348" i="39" a="1"/>
  <c r="U348" i="39" s="1"/>
  <c r="T23" i="39" a="1"/>
  <c r="T23" i="39" s="1"/>
  <c r="U23" i="39" a="1"/>
  <c r="U23" i="39" s="1"/>
  <c r="T106" i="39" a="1"/>
  <c r="T106" i="39" s="1"/>
  <c r="U543" i="39" a="1"/>
  <c r="U543" i="39" s="1"/>
  <c r="T543" i="39" a="1"/>
  <c r="T543" i="39" s="1"/>
  <c r="U557" i="39" a="1"/>
  <c r="U557" i="39" s="1"/>
  <c r="T557" i="39" a="1"/>
  <c r="T557" i="39" s="1"/>
  <c r="U199" i="39" a="1"/>
  <c r="U199" i="39" s="1"/>
  <c r="T199" i="39" a="1"/>
  <c r="T199" i="39" s="1"/>
  <c r="U72" i="39" a="1"/>
  <c r="U72" i="39" s="1"/>
  <c r="T72" i="39" a="1"/>
  <c r="T72" i="39" s="1"/>
  <c r="U159" i="39" a="1"/>
  <c r="U159" i="39" s="1"/>
  <c r="T159" i="39" a="1"/>
  <c r="T159" i="39" s="1"/>
  <c r="U542" i="39" a="1"/>
  <c r="U542" i="39" s="1"/>
  <c r="T542" i="39" a="1"/>
  <c r="T542" i="39" s="1"/>
  <c r="U347" i="39" a="1"/>
  <c r="U347" i="39" s="1"/>
  <c r="T347" i="39" a="1"/>
  <c r="T347" i="39" s="1"/>
  <c r="U191" i="39" a="1"/>
  <c r="U191" i="39" s="1"/>
  <c r="T191" i="39" a="1"/>
  <c r="T191" i="39" s="1"/>
  <c r="U277" i="39" a="1"/>
  <c r="U277" i="39" s="1"/>
  <c r="T277" i="39" a="1"/>
  <c r="T277" i="39" s="1"/>
  <c r="U479" i="39" a="1"/>
  <c r="U479" i="39" s="1"/>
  <c r="T479" i="39" a="1"/>
  <c r="T479" i="39" s="1"/>
  <c r="U466" i="39" a="1"/>
  <c r="U466" i="39" s="1"/>
  <c r="T466" i="39" a="1"/>
  <c r="T466" i="39" s="1"/>
  <c r="U346" i="39" a="1"/>
  <c r="U346" i="39" s="1"/>
  <c r="T346" i="39" a="1"/>
  <c r="T346" i="39" s="1"/>
  <c r="T427" i="39" a="1"/>
  <c r="T427" i="39" s="1"/>
  <c r="U427" i="39" a="1"/>
  <c r="U427" i="39" s="1"/>
  <c r="U296" i="39" a="1"/>
  <c r="U296" i="39" s="1"/>
  <c r="T296" i="39" a="1"/>
  <c r="T296" i="39" s="1"/>
  <c r="U389" i="39" a="1"/>
  <c r="U389" i="39" s="1"/>
  <c r="T389" i="39" a="1"/>
  <c r="T389" i="39" s="1"/>
  <c r="T376" i="39" a="1"/>
  <c r="T376" i="39" s="1"/>
  <c r="U376" i="39" a="1"/>
  <c r="U376" i="39" s="1"/>
  <c r="U350" i="39" a="1"/>
  <c r="U350" i="39" s="1"/>
  <c r="T350" i="39" a="1"/>
  <c r="T350" i="39" s="1"/>
  <c r="T473" i="39" a="1"/>
  <c r="T473" i="39" s="1"/>
  <c r="U473" i="39" a="1"/>
  <c r="U473" i="39" s="1"/>
  <c r="T460" i="39" a="1"/>
  <c r="T460" i="39" s="1"/>
  <c r="U460" i="39" a="1"/>
  <c r="U460" i="39" s="1"/>
  <c r="U273" i="39" a="1"/>
  <c r="U273" i="39" s="1"/>
  <c r="T273" i="39" a="1"/>
  <c r="T273" i="39" s="1"/>
  <c r="U527" i="39" a="1"/>
  <c r="U527" i="39" s="1"/>
  <c r="T527" i="39" a="1"/>
  <c r="T527" i="39" s="1"/>
  <c r="T477" i="39" a="1"/>
  <c r="T477" i="39" s="1"/>
  <c r="U477" i="39" a="1"/>
  <c r="U477" i="39" s="1"/>
  <c r="U236" i="39" a="1"/>
  <c r="U236" i="39" s="1"/>
  <c r="T236" i="39" a="1"/>
  <c r="T236" i="39" s="1"/>
  <c r="S516" i="39" a="1"/>
  <c r="S516" i="39" s="1"/>
  <c r="U516" i="39" a="1"/>
  <c r="U516" i="39" s="1"/>
  <c r="T516" i="39" a="1"/>
  <c r="T516" i="39" s="1"/>
  <c r="U211" i="39" a="1"/>
  <c r="U211" i="39" s="1"/>
  <c r="T211" i="39" a="1"/>
  <c r="T211" i="39" s="1"/>
  <c r="S48" i="39" a="1"/>
  <c r="S48" i="39" s="1"/>
  <c r="U160" i="39" a="1"/>
  <c r="U160" i="39" s="1"/>
  <c r="T160" i="39" a="1"/>
  <c r="T160" i="39" s="1"/>
  <c r="R123" i="39" a="1"/>
  <c r="R123" i="39" s="1"/>
  <c r="T123" i="39" a="1"/>
  <c r="T123" i="39" s="1"/>
  <c r="U123" i="39" a="1"/>
  <c r="U123" i="39" s="1"/>
  <c r="R122" i="39" a="1"/>
  <c r="R122" i="39" s="1"/>
  <c r="T122" i="39" a="1"/>
  <c r="T122" i="39" s="1"/>
  <c r="U122" i="39" a="1"/>
  <c r="U122" i="39" s="1"/>
  <c r="U96" i="39" a="1"/>
  <c r="U96" i="39" s="1"/>
  <c r="T96" i="39" a="1"/>
  <c r="T96" i="39" s="1"/>
  <c r="S517" i="39" a="1"/>
  <c r="S517" i="39" s="1"/>
  <c r="U517" i="39" a="1"/>
  <c r="U517" i="39" s="1"/>
  <c r="T517" i="39" a="1"/>
  <c r="T517" i="39" s="1"/>
  <c r="U490" i="39" a="1"/>
  <c r="U490" i="39" s="1"/>
  <c r="T490" i="39" a="1"/>
  <c r="T490" i="39" s="1"/>
  <c r="S56" i="39" a="1"/>
  <c r="S56" i="39" s="1"/>
  <c r="T313" i="39" a="1"/>
  <c r="T313" i="39" s="1"/>
  <c r="U313" i="39" a="1"/>
  <c r="U313" i="39" s="1"/>
  <c r="S8" i="39" a="1"/>
  <c r="S8" i="39" s="1"/>
  <c r="U8" i="39" a="1"/>
  <c r="U8" i="39" s="1"/>
  <c r="T8" i="39" a="1"/>
  <c r="T8" i="39" s="1"/>
  <c r="T431" i="39" a="1"/>
  <c r="T431" i="39" s="1"/>
  <c r="U285" i="39" a="1"/>
  <c r="U285" i="39" s="1"/>
  <c r="T285" i="39" a="1"/>
  <c r="T285" i="39" s="1"/>
  <c r="U514" i="39" a="1"/>
  <c r="U514" i="39" s="1"/>
  <c r="U502" i="39" a="1"/>
  <c r="U502" i="39" s="1"/>
  <c r="T502" i="39" a="1"/>
  <c r="T502" i="39" s="1"/>
  <c r="U65" i="39" a="1"/>
  <c r="U65" i="39" s="1"/>
  <c r="U237" i="39" a="1"/>
  <c r="U237" i="39" s="1"/>
  <c r="T237" i="39" a="1"/>
  <c r="T237" i="39" s="1"/>
  <c r="U77" i="39" a="1"/>
  <c r="U77" i="39" s="1"/>
  <c r="T77" i="39" a="1"/>
  <c r="T77" i="39" s="1"/>
  <c r="T212" i="39" a="1"/>
  <c r="T212" i="39" s="1"/>
  <c r="U212" i="39" a="1"/>
  <c r="U212" i="39" s="1"/>
  <c r="U361" i="39" a="1"/>
  <c r="U361" i="39" s="1"/>
  <c r="T361" i="39" a="1"/>
  <c r="T361" i="39" s="1"/>
  <c r="U320" i="39" a="1"/>
  <c r="U320" i="39" s="1"/>
  <c r="T320" i="39" a="1"/>
  <c r="T320" i="39" s="1"/>
  <c r="U336" i="39" a="1"/>
  <c r="U336" i="39" s="1"/>
  <c r="T336" i="39" a="1"/>
  <c r="T336" i="39" s="1"/>
  <c r="U323" i="39" a="1"/>
  <c r="U323" i="39" s="1"/>
  <c r="T323" i="39" a="1"/>
  <c r="T323" i="39" s="1"/>
  <c r="T380" i="39" a="1"/>
  <c r="T380" i="39" s="1"/>
  <c r="U380" i="39" a="1"/>
  <c r="U380" i="39" s="1"/>
  <c r="T297" i="39" a="1"/>
  <c r="T297" i="39" s="1"/>
  <c r="U297" i="39" a="1"/>
  <c r="U297" i="39" s="1"/>
  <c r="U284" i="39" a="1"/>
  <c r="U284" i="39" s="1"/>
  <c r="T284" i="39" a="1"/>
  <c r="T284" i="39" s="1"/>
  <c r="U258" i="39" a="1"/>
  <c r="U258" i="39" s="1"/>
  <c r="T258" i="39" a="1"/>
  <c r="T258" i="39" s="1"/>
  <c r="U246" i="39" a="1"/>
  <c r="U246" i="39" s="1"/>
  <c r="T246" i="39" a="1"/>
  <c r="T246" i="39" s="1"/>
  <c r="U405" i="39" a="1"/>
  <c r="U405" i="39" s="1"/>
  <c r="T405" i="39" a="1"/>
  <c r="T405" i="39" s="1"/>
  <c r="U528" i="39" a="1"/>
  <c r="U528" i="39" s="1"/>
  <c r="T528" i="39" a="1"/>
  <c r="T528" i="39" s="1"/>
  <c r="U196" i="39" a="1"/>
  <c r="U196" i="39" s="1"/>
  <c r="T196" i="39" a="1"/>
  <c r="T196" i="39" s="1"/>
  <c r="U183" i="39" a="1"/>
  <c r="U183" i="39" s="1"/>
  <c r="T183" i="39" a="1"/>
  <c r="T183" i="39" s="1"/>
  <c r="T107" i="39" a="1"/>
  <c r="T107" i="39" s="1"/>
  <c r="U107" i="39" a="1"/>
  <c r="U107" i="39" s="1"/>
  <c r="U249" i="39" a="1"/>
  <c r="U249" i="39" s="1"/>
  <c r="T249" i="39" a="1"/>
  <c r="T249" i="39" s="1"/>
  <c r="U109" i="39" a="1"/>
  <c r="U109" i="39" s="1"/>
  <c r="T109" i="39" a="1"/>
  <c r="T109" i="39" s="1"/>
  <c r="U377" i="39" a="1"/>
  <c r="U377" i="39" s="1"/>
  <c r="T377" i="39" a="1"/>
  <c r="T377" i="39" s="1"/>
  <c r="U68" i="39" a="1"/>
  <c r="U68" i="39" s="1"/>
  <c r="T68" i="39" a="1"/>
  <c r="T68" i="39" s="1"/>
  <c r="U464" i="39" a="1"/>
  <c r="U464" i="39" s="1"/>
  <c r="T464" i="39" a="1"/>
  <c r="T464" i="39" s="1"/>
  <c r="U43" i="39" a="1"/>
  <c r="U43" i="39" s="1"/>
  <c r="T43" i="39" a="1"/>
  <c r="T43" i="39" s="1"/>
  <c r="T102" i="39" a="1"/>
  <c r="T102" i="39" s="1"/>
  <c r="U102" i="39" a="1"/>
  <c r="U102" i="39" s="1"/>
  <c r="U18" i="39" a="1"/>
  <c r="U18" i="39" s="1"/>
  <c r="T18" i="39" a="1"/>
  <c r="T18" i="39" s="1"/>
  <c r="T514" i="39" a="1"/>
  <c r="T514" i="39" s="1"/>
  <c r="T403" i="39" a="1"/>
  <c r="T403" i="39" s="1"/>
  <c r="U250" i="39" a="1"/>
  <c r="U250" i="39" s="1"/>
  <c r="T250" i="39" a="1"/>
  <c r="T250" i="39" s="1"/>
  <c r="U173" i="39" a="1"/>
  <c r="U173" i="39" s="1"/>
  <c r="T173" i="39" a="1"/>
  <c r="T173" i="39" s="1"/>
  <c r="U257" i="39" a="1"/>
  <c r="U257" i="39" s="1"/>
  <c r="T257" i="39" a="1"/>
  <c r="T257" i="39" s="1"/>
  <c r="U388" i="39" a="1"/>
  <c r="U388" i="39" s="1"/>
  <c r="T388" i="39" a="1"/>
  <c r="T388" i="39" s="1"/>
  <c r="U247" i="39" a="1"/>
  <c r="U247" i="39" s="1"/>
  <c r="T247" i="39" a="1"/>
  <c r="T247" i="39" s="1"/>
  <c r="U446" i="39" a="1"/>
  <c r="U446" i="39" s="1"/>
  <c r="T446" i="39" a="1"/>
  <c r="T446" i="39" s="1"/>
  <c r="T412" i="39" a="1"/>
  <c r="T412" i="39" s="1"/>
  <c r="U412" i="39" a="1"/>
  <c r="U412" i="39" s="1"/>
  <c r="U563" i="39" a="1"/>
  <c r="U563" i="39" s="1"/>
  <c r="T563" i="39" a="1"/>
  <c r="T563" i="39" s="1"/>
  <c r="U312" i="39" a="1"/>
  <c r="U312" i="39" s="1"/>
  <c r="T312" i="39" a="1"/>
  <c r="T312" i="39" s="1"/>
  <c r="U539" i="39" a="1"/>
  <c r="U539" i="39" s="1"/>
  <c r="T539" i="39" a="1"/>
  <c r="T539" i="39" s="1"/>
  <c r="U526" i="39" a="1"/>
  <c r="U526" i="39" s="1"/>
  <c r="T526" i="39" a="1"/>
  <c r="T526" i="39" s="1"/>
  <c r="U513" i="39" a="1"/>
  <c r="U513" i="39" s="1"/>
  <c r="U149" i="39" a="1"/>
  <c r="U149" i="39" s="1"/>
  <c r="T475" i="39" a="1"/>
  <c r="T475" i="39" s="1"/>
  <c r="U475" i="39" a="1"/>
  <c r="U475" i="39" s="1"/>
  <c r="U463" i="39" a="1"/>
  <c r="U463" i="39" s="1"/>
  <c r="T463" i="39" a="1"/>
  <c r="T463" i="39" s="1"/>
  <c r="U143" i="39" a="1"/>
  <c r="U143" i="39" s="1"/>
  <c r="T143" i="39" a="1"/>
  <c r="T143" i="39" s="1"/>
  <c r="U424" i="39" a="1"/>
  <c r="U424" i="39" s="1"/>
  <c r="T424" i="39" a="1"/>
  <c r="T424" i="39" s="1"/>
  <c r="U55" i="39" a="1"/>
  <c r="U55" i="39" s="1"/>
  <c r="T55" i="39" a="1"/>
  <c r="T55" i="39" s="1"/>
  <c r="U385" i="39" a="1"/>
  <c r="U385" i="39" s="1"/>
  <c r="T385" i="39" a="1"/>
  <c r="T385" i="39" s="1"/>
  <c r="U270" i="39" a="1"/>
  <c r="U270" i="39" s="1"/>
  <c r="U335" i="39" a="1"/>
  <c r="U335" i="39" s="1"/>
  <c r="T335" i="39" a="1"/>
  <c r="T335" i="39" s="1"/>
  <c r="U322" i="39" a="1"/>
  <c r="U322" i="39" s="1"/>
  <c r="T322" i="39" a="1"/>
  <c r="T322" i="39" s="1"/>
  <c r="T309" i="39" a="1"/>
  <c r="T309" i="39" s="1"/>
  <c r="U309" i="39" a="1"/>
  <c r="U309" i="39" s="1"/>
  <c r="U537" i="39" a="1"/>
  <c r="U537" i="39" s="1"/>
  <c r="U436" i="39" a="1"/>
  <c r="U436" i="39" s="1"/>
  <c r="T436" i="39" a="1"/>
  <c r="T436" i="39" s="1"/>
  <c r="U245" i="39" a="1"/>
  <c r="U245" i="39" s="1"/>
  <c r="T245" i="39" a="1"/>
  <c r="T245" i="39" s="1"/>
  <c r="U220" i="39" a="1"/>
  <c r="U220" i="39" s="1"/>
  <c r="T220" i="39" a="1"/>
  <c r="T220" i="39" s="1"/>
  <c r="U207" i="39" a="1"/>
  <c r="U207" i="39" s="1"/>
  <c r="T207" i="39" a="1"/>
  <c r="T207" i="39" s="1"/>
  <c r="U195" i="39" a="1"/>
  <c r="U195" i="39" s="1"/>
  <c r="T195" i="39" a="1"/>
  <c r="T195" i="39" s="1"/>
  <c r="T157" i="39" a="1"/>
  <c r="T157" i="39" s="1"/>
  <c r="U157" i="39" a="1"/>
  <c r="U157" i="39" s="1"/>
  <c r="U144" i="39" a="1"/>
  <c r="U144" i="39" s="1"/>
  <c r="T144" i="39" a="1"/>
  <c r="T144" i="39" s="1"/>
  <c r="U197" i="39" a="1"/>
  <c r="U197" i="39" s="1"/>
  <c r="T197" i="39" a="1"/>
  <c r="T197" i="39" s="1"/>
  <c r="U105" i="39" a="1"/>
  <c r="U105" i="39" s="1"/>
  <c r="T105" i="39" a="1"/>
  <c r="T105" i="39" s="1"/>
  <c r="U80" i="39" a="1"/>
  <c r="U80" i="39" s="1"/>
  <c r="T80" i="39" a="1"/>
  <c r="T80" i="39" s="1"/>
  <c r="U549" i="39" a="1"/>
  <c r="U549" i="39" s="1"/>
  <c r="T549" i="39" a="1"/>
  <c r="T549" i="39" s="1"/>
  <c r="U54" i="39" a="1"/>
  <c r="U54" i="39" s="1"/>
  <c r="T54" i="39" a="1"/>
  <c r="T54" i="39" s="1"/>
  <c r="T42" i="39" a="1"/>
  <c r="T42" i="39" s="1"/>
  <c r="U42" i="39" a="1"/>
  <c r="U42" i="39" s="1"/>
  <c r="U30" i="39" a="1"/>
  <c r="U30" i="39" s="1"/>
  <c r="T30" i="39" a="1"/>
  <c r="T30" i="39" s="1"/>
  <c r="U5" i="39" a="1"/>
  <c r="U5" i="39" s="1"/>
  <c r="T5" i="39" a="1"/>
  <c r="T5" i="39" s="1"/>
  <c r="T513" i="39" a="1"/>
  <c r="T513" i="39" s="1"/>
  <c r="T402" i="39" a="1"/>
  <c r="T402" i="39" s="1"/>
  <c r="U531" i="39" a="1"/>
  <c r="U531" i="39" s="1"/>
  <c r="T531" i="39" a="1"/>
  <c r="T531" i="39" s="1"/>
  <c r="U415" i="39" a="1"/>
  <c r="U415" i="39" s="1"/>
  <c r="T415" i="39" a="1"/>
  <c r="T415" i="39" s="1"/>
  <c r="U261" i="39" a="1"/>
  <c r="U261" i="39" s="1"/>
  <c r="T261" i="39" a="1"/>
  <c r="T261" i="39" s="1"/>
  <c r="U349" i="39" a="1"/>
  <c r="U349" i="39" s="1"/>
  <c r="T349" i="39" a="1"/>
  <c r="T349" i="39" s="1"/>
  <c r="T568" i="39" a="1"/>
  <c r="T568" i="39" s="1"/>
  <c r="U568" i="39" a="1"/>
  <c r="U568" i="39" s="1"/>
  <c r="T203" i="39" a="1"/>
  <c r="T203" i="39" s="1"/>
  <c r="U203" i="39" a="1"/>
  <c r="U203" i="39" s="1"/>
  <c r="U95" i="39" a="1"/>
  <c r="U95" i="39" s="1"/>
  <c r="T95" i="39" a="1"/>
  <c r="T95" i="39" s="1"/>
  <c r="U564" i="39" a="1"/>
  <c r="U564" i="39" s="1"/>
  <c r="T564" i="39" a="1"/>
  <c r="T564" i="39" s="1"/>
  <c r="U70" i="39" a="1"/>
  <c r="U70" i="39" s="1"/>
  <c r="T70" i="39" a="1"/>
  <c r="T70" i="39" s="1"/>
  <c r="U327" i="39" a="1"/>
  <c r="U327" i="39" s="1"/>
  <c r="T327" i="39" a="1"/>
  <c r="T327" i="39" s="1"/>
  <c r="U538" i="39" a="1"/>
  <c r="U538" i="39" s="1"/>
  <c r="T538" i="39" a="1"/>
  <c r="T538" i="39" s="1"/>
  <c r="U525" i="39" a="1"/>
  <c r="U525" i="39" s="1"/>
  <c r="T525" i="39" a="1"/>
  <c r="T525" i="39" s="1"/>
  <c r="U512" i="39" a="1"/>
  <c r="U512" i="39" s="1"/>
  <c r="T512" i="39" a="1"/>
  <c r="T512" i="39" s="1"/>
  <c r="U487" i="39" a="1"/>
  <c r="U487" i="39" s="1"/>
  <c r="T487" i="39" a="1"/>
  <c r="T487" i="39" s="1"/>
  <c r="U548" i="39" a="1"/>
  <c r="U548" i="39" s="1"/>
  <c r="T548" i="39" a="1"/>
  <c r="T548" i="39" s="1"/>
  <c r="T462" i="39" a="1"/>
  <c r="T462" i="39" s="1"/>
  <c r="U462" i="39" a="1"/>
  <c r="U462" i="39" s="1"/>
  <c r="U448" i="39" a="1"/>
  <c r="U448" i="39" s="1"/>
  <c r="T448" i="39" a="1"/>
  <c r="T448" i="39" s="1"/>
  <c r="U435" i="39" a="1"/>
  <c r="U435" i="39" s="1"/>
  <c r="T435" i="39" a="1"/>
  <c r="T435" i="39" s="1"/>
  <c r="U423" i="39" a="1"/>
  <c r="U423" i="39" s="1"/>
  <c r="T423" i="39" a="1"/>
  <c r="T423" i="39" s="1"/>
  <c r="U396" i="39" a="1"/>
  <c r="U396" i="39" s="1"/>
  <c r="T396" i="39" a="1"/>
  <c r="T396" i="39" s="1"/>
  <c r="U384" i="39" a="1"/>
  <c r="U384" i="39" s="1"/>
  <c r="T384" i="39" a="1"/>
  <c r="T384" i="39" s="1"/>
  <c r="U372" i="39" a="1"/>
  <c r="U372" i="39" s="1"/>
  <c r="T372" i="39" a="1"/>
  <c r="T372" i="39" s="1"/>
  <c r="U90" i="39" a="1"/>
  <c r="U90" i="39" s="1"/>
  <c r="T90" i="39" a="1"/>
  <c r="T90" i="39" s="1"/>
  <c r="U317" i="39" a="1"/>
  <c r="U317" i="39" s="1"/>
  <c r="T317" i="39" a="1"/>
  <c r="T317" i="39" s="1"/>
  <c r="U308" i="39" a="1"/>
  <c r="U308" i="39" s="1"/>
  <c r="T308" i="39" a="1"/>
  <c r="T308" i="39" s="1"/>
  <c r="U268" i="39" a="1"/>
  <c r="U268" i="39" s="1"/>
  <c r="T268" i="39" a="1"/>
  <c r="T268" i="39" s="1"/>
  <c r="U256" i="39" a="1"/>
  <c r="U256" i="39" s="1"/>
  <c r="T256" i="39" a="1"/>
  <c r="T256" i="39" s="1"/>
  <c r="U316" i="39" a="1"/>
  <c r="U316" i="39" s="1"/>
  <c r="T316" i="39" a="1"/>
  <c r="T316" i="39" s="1"/>
  <c r="U232" i="39" a="1"/>
  <c r="U232" i="39" s="1"/>
  <c r="T232" i="39" a="1"/>
  <c r="T232" i="39" s="1"/>
  <c r="U219" i="39" a="1"/>
  <c r="U219" i="39" s="1"/>
  <c r="T219" i="39" a="1"/>
  <c r="T219" i="39" s="1"/>
  <c r="U484" i="39" a="1"/>
  <c r="U484" i="39" s="1"/>
  <c r="T484" i="39" a="1"/>
  <c r="T484" i="39" s="1"/>
  <c r="T168" i="39" a="1"/>
  <c r="T168" i="39" s="1"/>
  <c r="U168" i="39" a="1"/>
  <c r="U168" i="39" s="1"/>
  <c r="T266" i="39" a="1"/>
  <c r="T266" i="39" s="1"/>
  <c r="U266" i="39" a="1"/>
  <c r="U266" i="39" s="1"/>
  <c r="T161" i="39" a="1"/>
  <c r="T161" i="39" s="1"/>
  <c r="U161" i="39" a="1"/>
  <c r="U161" i="39" s="1"/>
  <c r="U130" i="39" a="1"/>
  <c r="U130" i="39" s="1"/>
  <c r="T130" i="39" a="1"/>
  <c r="T130" i="39" s="1"/>
  <c r="U134" i="39" a="1"/>
  <c r="U134" i="39" s="1"/>
  <c r="T134" i="39" a="1"/>
  <c r="T134" i="39" s="1"/>
  <c r="U104" i="39" a="1"/>
  <c r="U104" i="39" s="1"/>
  <c r="T104" i="39" a="1"/>
  <c r="T104" i="39" s="1"/>
  <c r="U92" i="39" a="1"/>
  <c r="U92" i="39" s="1"/>
  <c r="T92" i="39" a="1"/>
  <c r="T92" i="39" s="1"/>
  <c r="U79" i="39" a="1"/>
  <c r="U79" i="39" s="1"/>
  <c r="T79" i="39" a="1"/>
  <c r="T79" i="39" s="1"/>
  <c r="U509" i="39" a="1"/>
  <c r="U509" i="39" s="1"/>
  <c r="T509" i="39" a="1"/>
  <c r="T509" i="39" s="1"/>
  <c r="U53" i="39" a="1"/>
  <c r="U53" i="39" s="1"/>
  <c r="T53" i="39" a="1"/>
  <c r="T53" i="39" s="1"/>
  <c r="U29" i="39" a="1"/>
  <c r="U29" i="39" s="1"/>
  <c r="T29" i="39" a="1"/>
  <c r="T29" i="39" s="1"/>
  <c r="U555" i="39" a="1"/>
  <c r="U555" i="39" s="1"/>
  <c r="T555" i="39" a="1"/>
  <c r="T555" i="39" s="1"/>
  <c r="U508" i="39" a="1"/>
  <c r="U508" i="39" s="1"/>
  <c r="T508" i="39" a="1"/>
  <c r="T508" i="39" s="1"/>
  <c r="U131" i="39" a="1"/>
  <c r="U131" i="39" s="1"/>
  <c r="T131" i="39" a="1"/>
  <c r="T131" i="39" s="1"/>
  <c r="U275" i="39" a="1"/>
  <c r="U275" i="39" s="1"/>
  <c r="T275" i="39" a="1"/>
  <c r="T275" i="39" s="1"/>
  <c r="U235" i="39" a="1"/>
  <c r="U235" i="39" s="1"/>
  <c r="T235" i="39" a="1"/>
  <c r="T235" i="39" s="1"/>
  <c r="U57" i="39" a="1"/>
  <c r="U57" i="39" s="1"/>
  <c r="T57" i="39" a="1"/>
  <c r="T57" i="39" s="1"/>
  <c r="T551" i="39" a="1"/>
  <c r="T551" i="39" s="1"/>
  <c r="U551" i="39" a="1"/>
  <c r="U551" i="39" s="1"/>
  <c r="U224" i="39" a="1"/>
  <c r="U224" i="39" s="1"/>
  <c r="T224" i="39" a="1"/>
  <c r="T224" i="39" s="1"/>
  <c r="T511" i="39" a="1"/>
  <c r="T511" i="39" s="1"/>
  <c r="U499" i="39" a="1"/>
  <c r="U499" i="39" s="1"/>
  <c r="T499" i="39" a="1"/>
  <c r="T499" i="39" s="1"/>
  <c r="U486" i="39" a="1"/>
  <c r="U486" i="39" s="1"/>
  <c r="T486" i="39" a="1"/>
  <c r="T486" i="39" s="1"/>
  <c r="T488" i="39" a="1"/>
  <c r="T488" i="39" s="1"/>
  <c r="U461" i="39" a="1"/>
  <c r="U461" i="39" s="1"/>
  <c r="T461" i="39" a="1"/>
  <c r="T461" i="39" s="1"/>
  <c r="U434" i="39" a="1"/>
  <c r="U434" i="39" s="1"/>
  <c r="T434" i="39" a="1"/>
  <c r="T434" i="39" s="1"/>
  <c r="U422" i="39" a="1"/>
  <c r="U422" i="39" s="1"/>
  <c r="T422" i="39" a="1"/>
  <c r="T422" i="39" s="1"/>
  <c r="U383" i="39" a="1"/>
  <c r="U383" i="39" s="1"/>
  <c r="T383" i="39" a="1"/>
  <c r="T383" i="39" s="1"/>
  <c r="U371" i="39" a="1"/>
  <c r="U371" i="39" s="1"/>
  <c r="T371" i="39" a="1"/>
  <c r="T371" i="39" s="1"/>
  <c r="U89" i="39" a="1"/>
  <c r="U89" i="39" s="1"/>
  <c r="T89" i="39" a="1"/>
  <c r="T89" i="39" s="1"/>
  <c r="U332" i="39" a="1"/>
  <c r="U332" i="39" s="1"/>
  <c r="T332" i="39" a="1"/>
  <c r="T332" i="39" s="1"/>
  <c r="U281" i="39" a="1"/>
  <c r="U281" i="39" s="1"/>
  <c r="T281" i="39" a="1"/>
  <c r="T281" i="39" s="1"/>
  <c r="U269" i="39" a="1"/>
  <c r="U269" i="39" s="1"/>
  <c r="T269" i="39" a="1"/>
  <c r="T269" i="39" s="1"/>
  <c r="T244" i="39" a="1"/>
  <c r="T244" i="39" s="1"/>
  <c r="U244" i="39" a="1"/>
  <c r="U244" i="39" s="1"/>
  <c r="T231" i="39" a="1"/>
  <c r="T231" i="39" s="1"/>
  <c r="U231" i="39" a="1"/>
  <c r="U231" i="39" s="1"/>
  <c r="T206" i="39" a="1"/>
  <c r="T206" i="39" s="1"/>
  <c r="U206" i="39" a="1"/>
  <c r="U206" i="39" s="1"/>
  <c r="U180" i="39" a="1"/>
  <c r="U180" i="39" s="1"/>
  <c r="T180" i="39" a="1"/>
  <c r="T180" i="39" s="1"/>
  <c r="T167" i="39" a="1"/>
  <c r="T167" i="39" s="1"/>
  <c r="U167" i="39" a="1"/>
  <c r="U167" i="39" s="1"/>
  <c r="U293" i="39" a="1"/>
  <c r="U293" i="39" s="1"/>
  <c r="T293" i="39" a="1"/>
  <c r="T293" i="39" s="1"/>
  <c r="U141" i="39" a="1"/>
  <c r="U141" i="39" s="1"/>
  <c r="T141" i="39" a="1"/>
  <c r="T141" i="39" s="1"/>
  <c r="U129" i="39" a="1"/>
  <c r="U129" i="39" s="1"/>
  <c r="T129" i="39" a="1"/>
  <c r="T129" i="39" s="1"/>
  <c r="U81" i="39" a="1"/>
  <c r="U81" i="39" s="1"/>
  <c r="T81" i="39" a="1"/>
  <c r="T81" i="39" s="1"/>
  <c r="U510" i="39" a="1"/>
  <c r="U510" i="39" s="1"/>
  <c r="T510" i="39" a="1"/>
  <c r="T510" i="39" s="1"/>
  <c r="U91" i="39" a="1"/>
  <c r="U91" i="39" s="1"/>
  <c r="T91" i="39" a="1"/>
  <c r="T91" i="39" s="1"/>
  <c r="U455" i="39" a="1"/>
  <c r="U455" i="39" s="1"/>
  <c r="T455" i="39" a="1"/>
  <c r="T455" i="39" s="1"/>
  <c r="U52" i="39" a="1"/>
  <c r="U52" i="39" s="1"/>
  <c r="T52" i="39" a="1"/>
  <c r="T52" i="39" s="1"/>
  <c r="T65" i="39" a="1"/>
  <c r="T65" i="39" s="1"/>
  <c r="T270" i="39" a="1"/>
  <c r="T270" i="39" s="1"/>
  <c r="U440" i="39" a="1"/>
  <c r="U440" i="39" s="1"/>
  <c r="U326" i="39" a="1"/>
  <c r="U326" i="39" s="1"/>
  <c r="T326" i="39" a="1"/>
  <c r="T326" i="39" s="1"/>
  <c r="U552" i="39" a="1"/>
  <c r="U552" i="39" s="1"/>
  <c r="T552" i="39" a="1"/>
  <c r="T552" i="39" s="1"/>
  <c r="T260" i="39" a="1"/>
  <c r="T260" i="39" s="1"/>
  <c r="U260" i="39" a="1"/>
  <c r="U260" i="39" s="1"/>
  <c r="U418" i="39" a="1"/>
  <c r="U418" i="39" s="1"/>
  <c r="T418" i="39" a="1"/>
  <c r="T418" i="39" s="1"/>
  <c r="T44" i="39" a="1"/>
  <c r="T44" i="39" s="1"/>
  <c r="U44" i="39" a="1"/>
  <c r="U44" i="39" s="1"/>
  <c r="U560" i="39" a="1"/>
  <c r="U560" i="39" s="1"/>
  <c r="T560" i="39" a="1"/>
  <c r="T560" i="39" s="1"/>
  <c r="U106" i="39" a="1"/>
  <c r="U106" i="39" s="1"/>
  <c r="U61" i="39" a="1"/>
  <c r="U61" i="39" s="1"/>
  <c r="T61" i="39" a="1"/>
  <c r="T61" i="39" s="1"/>
  <c r="U554" i="39" a="1"/>
  <c r="U554" i="39" s="1"/>
  <c r="T554" i="39" a="1"/>
  <c r="T554" i="39" s="1"/>
  <c r="U498" i="39" a="1"/>
  <c r="U498" i="39" s="1"/>
  <c r="T498" i="39" a="1"/>
  <c r="T498" i="39" s="1"/>
  <c r="U406" i="39" a="1"/>
  <c r="U406" i="39" s="1"/>
  <c r="T406" i="39" a="1"/>
  <c r="T406" i="39" s="1"/>
  <c r="U491" i="39" a="1"/>
  <c r="U491" i="39" s="1"/>
  <c r="T491" i="39" a="1"/>
  <c r="T491" i="39" s="1"/>
  <c r="U421" i="39" a="1"/>
  <c r="U421" i="39" s="1"/>
  <c r="T421" i="39" a="1"/>
  <c r="T421" i="39" s="1"/>
  <c r="U408" i="39" a="1"/>
  <c r="U408" i="39" s="1"/>
  <c r="T408" i="39" a="1"/>
  <c r="T408" i="39" s="1"/>
  <c r="U566" i="39" a="1"/>
  <c r="U566" i="39" s="1"/>
  <c r="T566" i="39" a="1"/>
  <c r="T566" i="39" s="1"/>
  <c r="U500" i="39" a="1"/>
  <c r="U500" i="39" s="1"/>
  <c r="T500" i="39" a="1"/>
  <c r="T500" i="39" s="1"/>
  <c r="U358" i="39" a="1"/>
  <c r="U358" i="39" s="1"/>
  <c r="T358" i="39" a="1"/>
  <c r="T358" i="39" s="1"/>
  <c r="U344" i="39" a="1"/>
  <c r="U344" i="39" s="1"/>
  <c r="T344" i="39" a="1"/>
  <c r="T344" i="39" s="1"/>
  <c r="U331" i="39" a="1"/>
  <c r="U331" i="39" s="1"/>
  <c r="T331" i="39" a="1"/>
  <c r="T331" i="39" s="1"/>
  <c r="U319" i="39" a="1"/>
  <c r="U319" i="39" s="1"/>
  <c r="T319" i="39" a="1"/>
  <c r="T319" i="39" s="1"/>
  <c r="U280" i="39" a="1"/>
  <c r="U280" i="39" s="1"/>
  <c r="T280" i="39" a="1"/>
  <c r="T280" i="39" s="1"/>
  <c r="T110" i="39" a="1"/>
  <c r="T110" i="39" s="1"/>
  <c r="U110" i="39" a="1"/>
  <c r="U110" i="39" s="1"/>
  <c r="T294" i="39" a="1"/>
  <c r="T294" i="39" s="1"/>
  <c r="U294" i="39" a="1"/>
  <c r="U294" i="39" s="1"/>
  <c r="U205" i="39" a="1"/>
  <c r="U205" i="39" s="1"/>
  <c r="T205" i="39" a="1"/>
  <c r="T205" i="39" s="1"/>
  <c r="U192" i="39" a="1"/>
  <c r="U192" i="39" s="1"/>
  <c r="T192" i="39" a="1"/>
  <c r="T192" i="39" s="1"/>
  <c r="T179" i="39" a="1"/>
  <c r="T179" i="39" s="1"/>
  <c r="U179" i="39" a="1"/>
  <c r="U179" i="39" s="1"/>
  <c r="T66" i="39" a="1"/>
  <c r="T66" i="39" s="1"/>
  <c r="U66" i="39" a="1"/>
  <c r="U66" i="39" s="1"/>
  <c r="U140" i="39" a="1"/>
  <c r="U140" i="39" s="1"/>
  <c r="T140" i="39" a="1"/>
  <c r="T140" i="39" s="1"/>
  <c r="U116" i="39" a="1"/>
  <c r="U116" i="39" s="1"/>
  <c r="T116" i="39" a="1"/>
  <c r="T116" i="39" s="1"/>
  <c r="U523" i="39" a="1"/>
  <c r="U523" i="39" s="1"/>
  <c r="T523" i="39" a="1"/>
  <c r="T523" i="39" s="1"/>
  <c r="U507" i="39" a="1"/>
  <c r="U507" i="39" s="1"/>
  <c r="T507" i="39" a="1"/>
  <c r="T507" i="39" s="1"/>
  <c r="U471" i="39" a="1"/>
  <c r="U471" i="39" s="1"/>
  <c r="T471" i="39" a="1"/>
  <c r="T471" i="39" s="1"/>
  <c r="U264" i="39" a="1"/>
  <c r="U264" i="39" s="1"/>
  <c r="U39" i="39" a="1"/>
  <c r="U39" i="39" s="1"/>
  <c r="T39" i="39" a="1"/>
  <c r="T39" i="39" s="1"/>
  <c r="T149" i="39" a="1"/>
  <c r="T149" i="39" s="1"/>
  <c r="T47" i="39" a="1"/>
  <c r="T47" i="39" s="1"/>
  <c r="U506" i="39" a="1"/>
  <c r="U506" i="39" s="1"/>
  <c r="U274" i="39" a="1"/>
  <c r="U274" i="39" s="1"/>
  <c r="T274" i="39" a="1"/>
  <c r="T274" i="39" s="1"/>
  <c r="U174" i="39" a="1"/>
  <c r="U174" i="39" s="1"/>
  <c r="T174" i="39" a="1"/>
  <c r="T174" i="39" s="1"/>
  <c r="U478" i="39" a="1"/>
  <c r="U478" i="39" s="1"/>
  <c r="T478" i="39" a="1"/>
  <c r="T478" i="39" s="1"/>
  <c r="T375" i="39" a="1"/>
  <c r="T375" i="39" s="1"/>
  <c r="U375" i="39" a="1"/>
  <c r="U375" i="39" s="1"/>
  <c r="U272" i="39" a="1"/>
  <c r="U272" i="39" s="1"/>
  <c r="T272" i="39" a="1"/>
  <c r="T272" i="39" s="1"/>
  <c r="U133" i="39" a="1"/>
  <c r="U133" i="39" s="1"/>
  <c r="U93" i="39" a="1"/>
  <c r="U93" i="39" s="1"/>
  <c r="T93" i="39" a="1"/>
  <c r="T93" i="39" s="1"/>
  <c r="U559" i="39" a="1"/>
  <c r="U559" i="39" s="1"/>
  <c r="T559" i="39" a="1"/>
  <c r="T559" i="39" s="1"/>
  <c r="U113" i="39" a="1"/>
  <c r="U113" i="39" s="1"/>
  <c r="T113" i="39" a="1"/>
  <c r="T113" i="39" s="1"/>
  <c r="U535" i="39" a="1"/>
  <c r="U535" i="39" s="1"/>
  <c r="T535" i="39" a="1"/>
  <c r="T535" i="39" s="1"/>
  <c r="U522" i="39" a="1"/>
  <c r="U522" i="39" s="1"/>
  <c r="T450" i="39" a="1"/>
  <c r="T450" i="39" s="1"/>
  <c r="U450" i="39" a="1"/>
  <c r="U450" i="39" s="1"/>
  <c r="U497" i="39" a="1"/>
  <c r="U497" i="39" s="1"/>
  <c r="T497" i="39" a="1"/>
  <c r="T497" i="39" s="1"/>
  <c r="U439" i="39" a="1"/>
  <c r="U439" i="39" s="1"/>
  <c r="T439" i="39" a="1"/>
  <c r="T439" i="39" s="1"/>
  <c r="U458" i="39" a="1"/>
  <c r="U458" i="39" s="1"/>
  <c r="U445" i="39" a="1"/>
  <c r="U445" i="39" s="1"/>
  <c r="T445" i="39" a="1"/>
  <c r="T445" i="39" s="1"/>
  <c r="U407" i="39" a="1"/>
  <c r="U407" i="39" s="1"/>
  <c r="U472" i="39" a="1"/>
  <c r="U472" i="39" s="1"/>
  <c r="T472" i="39" a="1"/>
  <c r="T472" i="39" s="1"/>
  <c r="U368" i="39" a="1"/>
  <c r="U368" i="39" s="1"/>
  <c r="T368" i="39" a="1"/>
  <c r="T368" i="39" s="1"/>
  <c r="U343" i="39" a="1"/>
  <c r="U343" i="39" s="1"/>
  <c r="T318" i="39" a="1"/>
  <c r="T318" i="39" s="1"/>
  <c r="U318" i="39" a="1"/>
  <c r="U318" i="39" s="1"/>
  <c r="U305" i="39" a="1"/>
  <c r="U305" i="39" s="1"/>
  <c r="T305" i="39" a="1"/>
  <c r="T305" i="39" s="1"/>
  <c r="T292" i="39" a="1"/>
  <c r="T292" i="39" s="1"/>
  <c r="U292" i="39" a="1"/>
  <c r="U292" i="39" s="1"/>
  <c r="T279" i="39" a="1"/>
  <c r="T279" i="39" s="1"/>
  <c r="U279" i="39" a="1"/>
  <c r="U279" i="39" s="1"/>
  <c r="T449" i="39" a="1"/>
  <c r="T449" i="39" s="1"/>
  <c r="U449" i="39" a="1"/>
  <c r="U449" i="39" s="1"/>
  <c r="T155" i="39" a="1"/>
  <c r="T155" i="39" s="1"/>
  <c r="U155" i="39" a="1"/>
  <c r="U155" i="39" s="1"/>
  <c r="U228" i="39" a="1"/>
  <c r="U228" i="39" s="1"/>
  <c r="U216" i="39" a="1"/>
  <c r="U216" i="39" s="1"/>
  <c r="T216" i="39" a="1"/>
  <c r="T216" i="39" s="1"/>
  <c r="U550" i="39" a="1"/>
  <c r="U550" i="39" s="1"/>
  <c r="T550" i="39" a="1"/>
  <c r="T550" i="39" s="1"/>
  <c r="U476" i="39" a="1"/>
  <c r="U476" i="39" s="1"/>
  <c r="T476" i="39" a="1"/>
  <c r="T476" i="39" s="1"/>
  <c r="U152" i="39" a="1"/>
  <c r="U152" i="39" s="1"/>
  <c r="T152" i="39" a="1"/>
  <c r="T152" i="39" s="1"/>
  <c r="U139" i="39" a="1"/>
  <c r="U139" i="39" s="1"/>
  <c r="T139" i="39" a="1"/>
  <c r="T139" i="39" s="1"/>
  <c r="U115" i="39" a="1"/>
  <c r="U115" i="39" s="1"/>
  <c r="T115" i="39" a="1"/>
  <c r="T115" i="39" s="1"/>
  <c r="U442" i="39" a="1"/>
  <c r="U442" i="39" s="1"/>
  <c r="T442" i="39" a="1"/>
  <c r="T442" i="39" s="1"/>
  <c r="U88" i="39" a="1"/>
  <c r="U88" i="39" s="1"/>
  <c r="T88" i="39" a="1"/>
  <c r="T88" i="39" s="1"/>
  <c r="U76" i="39" a="1"/>
  <c r="U76" i="39" s="1"/>
  <c r="T76" i="39" a="1"/>
  <c r="T76" i="39" s="1"/>
  <c r="T63" i="39" a="1"/>
  <c r="T63" i="39" s="1"/>
  <c r="U63" i="39" a="1"/>
  <c r="U63" i="39" s="1"/>
  <c r="U221" i="39" a="1"/>
  <c r="U221" i="39" s="1"/>
  <c r="T221" i="39" a="1"/>
  <c r="T221" i="39" s="1"/>
  <c r="T201" i="39" a="1"/>
  <c r="T201" i="39" s="1"/>
  <c r="U201" i="39" a="1"/>
  <c r="U201" i="39" s="1"/>
  <c r="T26" i="39" a="1"/>
  <c r="T26" i="39" s="1"/>
  <c r="U26" i="39" a="1"/>
  <c r="U26" i="39" s="1"/>
  <c r="T13" i="39" a="1"/>
  <c r="T13" i="39" s="1"/>
  <c r="U13" i="39" a="1"/>
  <c r="U13" i="39" s="1"/>
  <c r="U511" i="39" a="1"/>
  <c r="U511" i="39" s="1"/>
  <c r="T518" i="39" a="1"/>
  <c r="T518" i="39" s="1"/>
  <c r="U518" i="39" a="1"/>
  <c r="U518" i="39" s="1"/>
  <c r="U339" i="39" a="1"/>
  <c r="U339" i="39" s="1"/>
  <c r="T339" i="39" a="1"/>
  <c r="T339" i="39" s="1"/>
  <c r="U148" i="39" a="1"/>
  <c r="U148" i="39" s="1"/>
  <c r="T148" i="39" a="1"/>
  <c r="T148" i="39" s="1"/>
  <c r="U9" i="39" a="1"/>
  <c r="U9" i="39" s="1"/>
  <c r="T9" i="39" a="1"/>
  <c r="T9" i="39" s="1"/>
  <c r="U223" i="39" a="1"/>
  <c r="U223" i="39" s="1"/>
  <c r="T223" i="39" a="1"/>
  <c r="T223" i="39" s="1"/>
  <c r="T453" i="39" a="1"/>
  <c r="T453" i="39" s="1"/>
  <c r="U453" i="39" a="1"/>
  <c r="U453" i="39" s="1"/>
  <c r="U210" i="39" a="1"/>
  <c r="U210" i="39" s="1"/>
  <c r="T210" i="39" a="1"/>
  <c r="T210" i="39" s="1"/>
  <c r="T121" i="39" a="1"/>
  <c r="T121" i="39" s="1"/>
  <c r="U121" i="39" a="1"/>
  <c r="U121" i="39" s="1"/>
  <c r="U19" i="39" a="1"/>
  <c r="U19" i="39" s="1"/>
  <c r="T19" i="39" a="1"/>
  <c r="T19" i="39" s="1"/>
  <c r="U259" i="39" a="1"/>
  <c r="U259" i="39" s="1"/>
  <c r="T259" i="39" a="1"/>
  <c r="T259" i="39" s="1"/>
  <c r="U546" i="39" a="1"/>
  <c r="U546" i="39" s="1"/>
  <c r="T546" i="39" a="1"/>
  <c r="T546" i="39" s="1"/>
  <c r="U534" i="39" a="1"/>
  <c r="U534" i="39" s="1"/>
  <c r="T534" i="39" a="1"/>
  <c r="T534" i="39" s="1"/>
  <c r="U521" i="39" a="1"/>
  <c r="U521" i="39" s="1"/>
  <c r="T521" i="39" a="1"/>
  <c r="T521" i="39" s="1"/>
  <c r="U454" i="39" a="1"/>
  <c r="U454" i="39" s="1"/>
  <c r="T454" i="39" a="1"/>
  <c r="T454" i="39" s="1"/>
  <c r="U456" i="39" a="1"/>
  <c r="U456" i="39" s="1"/>
  <c r="T456" i="39" a="1"/>
  <c r="T456" i="39" s="1"/>
  <c r="U483" i="39" a="1"/>
  <c r="U483" i="39" s="1"/>
  <c r="T483" i="39" a="1"/>
  <c r="T483" i="39" s="1"/>
  <c r="U470" i="39" a="1"/>
  <c r="U470" i="39" s="1"/>
  <c r="T470" i="39" a="1"/>
  <c r="T470" i="39" s="1"/>
  <c r="U457" i="39" a="1"/>
  <c r="U457" i="39" s="1"/>
  <c r="T457" i="39" a="1"/>
  <c r="T457" i="39" s="1"/>
  <c r="U444" i="39" a="1"/>
  <c r="U444" i="39" s="1"/>
  <c r="T444" i="39" a="1"/>
  <c r="T444" i="39" s="1"/>
  <c r="U431" i="39" a="1"/>
  <c r="U431" i="39" s="1"/>
  <c r="U58" i="39" a="1"/>
  <c r="U58" i="39" s="1"/>
  <c r="T58" i="39" a="1"/>
  <c r="T58" i="39" s="1"/>
  <c r="U393" i="39" a="1"/>
  <c r="U393" i="39" s="1"/>
  <c r="T393" i="39" a="1"/>
  <c r="T393" i="39" s="1"/>
  <c r="U417" i="39" a="1"/>
  <c r="U417" i="39" s="1"/>
  <c r="T417" i="39" a="1"/>
  <c r="T417" i="39" s="1"/>
  <c r="U367" i="39" a="1"/>
  <c r="U367" i="39" s="1"/>
  <c r="T367" i="39" a="1"/>
  <c r="T367" i="39" s="1"/>
  <c r="U137" i="39" a="1"/>
  <c r="U137" i="39" s="1"/>
  <c r="T137" i="39" a="1"/>
  <c r="T137" i="39" s="1"/>
  <c r="U291" i="39" a="1"/>
  <c r="U291" i="39" s="1"/>
  <c r="U278" i="39" a="1"/>
  <c r="U278" i="39" s="1"/>
  <c r="T278" i="39" a="1"/>
  <c r="T278" i="39" s="1"/>
  <c r="T265" i="39" a="1"/>
  <c r="T265" i="39" s="1"/>
  <c r="U265" i="39" a="1"/>
  <c r="U265" i="39" s="1"/>
  <c r="T253" i="39" a="1"/>
  <c r="T253" i="39" s="1"/>
  <c r="U253" i="39" a="1"/>
  <c r="U253" i="39" s="1"/>
  <c r="T240" i="39" a="1"/>
  <c r="T240" i="39" s="1"/>
  <c r="U240" i="39" a="1"/>
  <c r="U240" i="39" s="1"/>
  <c r="U227" i="39" a="1"/>
  <c r="U227" i="39" s="1"/>
  <c r="T227" i="39" a="1"/>
  <c r="T227" i="39" s="1"/>
  <c r="T215" i="39" a="1"/>
  <c r="T215" i="39" s="1"/>
  <c r="U215" i="39" a="1"/>
  <c r="U215" i="39" s="1"/>
  <c r="U459" i="39" a="1"/>
  <c r="U459" i="39" s="1"/>
  <c r="T459" i="39" a="1"/>
  <c r="T459" i="39" s="1"/>
  <c r="U189" i="39" a="1"/>
  <c r="U189" i="39" s="1"/>
  <c r="T189" i="39" a="1"/>
  <c r="T189" i="39" s="1"/>
  <c r="T164" i="39" a="1"/>
  <c r="T164" i="39" s="1"/>
  <c r="U164" i="39" a="1"/>
  <c r="U164" i="39" s="1"/>
  <c r="U151" i="39" a="1"/>
  <c r="U151" i="39" s="1"/>
  <c r="T151" i="39" a="1"/>
  <c r="T151" i="39" s="1"/>
  <c r="U138" i="39" a="1"/>
  <c r="U138" i="39" s="1"/>
  <c r="T138" i="39" a="1"/>
  <c r="T138" i="39" s="1"/>
  <c r="U126" i="39" a="1"/>
  <c r="U126" i="39" s="1"/>
  <c r="T126" i="39" a="1"/>
  <c r="T126" i="39" s="1"/>
  <c r="U381" i="39" a="1"/>
  <c r="U381" i="39" s="1"/>
  <c r="T381" i="39" a="1"/>
  <c r="T381" i="39" s="1"/>
  <c r="U87" i="39" a="1"/>
  <c r="U87" i="39" s="1"/>
  <c r="T87" i="39" a="1"/>
  <c r="T87" i="39" s="1"/>
  <c r="U75" i="39" a="1"/>
  <c r="U75" i="39" s="1"/>
  <c r="T75" i="39" a="1"/>
  <c r="T75" i="39" s="1"/>
  <c r="U172" i="39" a="1"/>
  <c r="U172" i="39" s="1"/>
  <c r="T172" i="39" a="1"/>
  <c r="T172" i="39" s="1"/>
  <c r="U36" i="39" a="1"/>
  <c r="U36" i="39" s="1"/>
  <c r="T36" i="39" a="1"/>
  <c r="T36" i="39" s="1"/>
  <c r="T12" i="39" a="1"/>
  <c r="T12" i="39" s="1"/>
  <c r="U12" i="39" a="1"/>
  <c r="U12" i="39" s="1"/>
  <c r="T537" i="39" a="1"/>
  <c r="T537" i="39" s="1"/>
  <c r="U488" i="39" a="1"/>
  <c r="U488" i="39" s="1"/>
  <c r="U492" i="39" a="1"/>
  <c r="U492" i="39" s="1"/>
  <c r="T287" i="39" a="1"/>
  <c r="T287" i="39" s="1"/>
  <c r="U287" i="39" a="1"/>
  <c r="U287" i="39" s="1"/>
  <c r="U282" i="39" a="1"/>
  <c r="U282" i="39" s="1"/>
  <c r="T282" i="39" a="1"/>
  <c r="T282" i="39" s="1"/>
  <c r="U22" i="39" a="1"/>
  <c r="U22" i="39" s="1"/>
  <c r="T22" i="39" a="1"/>
  <c r="T22" i="39" s="1"/>
  <c r="U515" i="39" a="1"/>
  <c r="U515" i="39" s="1"/>
  <c r="T515" i="39" a="1"/>
  <c r="T515" i="39" s="1"/>
  <c r="U452" i="39" a="1"/>
  <c r="U452" i="39" s="1"/>
  <c r="T452" i="39" a="1"/>
  <c r="T452" i="39" s="1"/>
  <c r="R428" i="39" a="1"/>
  <c r="R428" i="39" s="1"/>
  <c r="U108" i="39" a="1"/>
  <c r="U108" i="39" s="1"/>
  <c r="T108" i="39" a="1"/>
  <c r="T108" i="39" s="1"/>
  <c r="U569" i="39" a="1"/>
  <c r="U569" i="39" s="1"/>
  <c r="T569" i="39" a="1"/>
  <c r="T569" i="39" s="1"/>
  <c r="U533" i="39" a="1"/>
  <c r="U533" i="39" s="1"/>
  <c r="T533" i="39" a="1"/>
  <c r="T533" i="39" s="1"/>
  <c r="U413" i="39" a="1"/>
  <c r="U413" i="39" s="1"/>
  <c r="T413" i="39" a="1"/>
  <c r="T413" i="39" s="1"/>
  <c r="U494" i="39" a="1"/>
  <c r="U494" i="39" s="1"/>
  <c r="T494" i="39" a="1"/>
  <c r="T494" i="39" s="1"/>
  <c r="U482" i="39" a="1"/>
  <c r="U482" i="39" s="1"/>
  <c r="T482" i="39" a="1"/>
  <c r="T482" i="39" s="1"/>
  <c r="U469" i="39" a="1"/>
  <c r="U469" i="39" s="1"/>
  <c r="T469" i="39" a="1"/>
  <c r="T469" i="39" s="1"/>
  <c r="U474" i="39" a="1"/>
  <c r="U474" i="39" s="1"/>
  <c r="T474" i="39" a="1"/>
  <c r="T474" i="39" s="1"/>
  <c r="U430" i="39" a="1"/>
  <c r="U430" i="39" s="1"/>
  <c r="T430" i="39" a="1"/>
  <c r="T430" i="39" s="1"/>
  <c r="U404" i="39" a="1"/>
  <c r="U404" i="39" s="1"/>
  <c r="T404" i="39" a="1"/>
  <c r="T404" i="39" s="1"/>
  <c r="U392" i="39" a="1"/>
  <c r="U392" i="39" s="1"/>
  <c r="T392" i="39" a="1"/>
  <c r="T392" i="39" s="1"/>
  <c r="U437" i="39" a="1"/>
  <c r="U437" i="39" s="1"/>
  <c r="T437" i="39" a="1"/>
  <c r="T437" i="39" s="1"/>
  <c r="U366" i="39" a="1"/>
  <c r="U366" i="39" s="1"/>
  <c r="T366" i="39" a="1"/>
  <c r="T366" i="39" s="1"/>
  <c r="U354" i="39" a="1"/>
  <c r="U354" i="39" s="1"/>
  <c r="T354" i="39" a="1"/>
  <c r="T354" i="39" s="1"/>
  <c r="T315" i="39" a="1"/>
  <c r="T315" i="39" s="1"/>
  <c r="U315" i="39" a="1"/>
  <c r="U315" i="39" s="1"/>
  <c r="T156" i="39" a="1"/>
  <c r="T156" i="39" s="1"/>
  <c r="U156" i="39" a="1"/>
  <c r="U156" i="39" s="1"/>
  <c r="U239" i="39" a="1"/>
  <c r="U239" i="39" s="1"/>
  <c r="T239" i="39" a="1"/>
  <c r="T239" i="39" s="1"/>
  <c r="T226" i="39" a="1"/>
  <c r="T226" i="39" s="1"/>
  <c r="U226" i="39" a="1"/>
  <c r="U226" i="39" s="1"/>
  <c r="U214" i="39" a="1"/>
  <c r="U214" i="39" s="1"/>
  <c r="T214" i="39" a="1"/>
  <c r="T214" i="39" s="1"/>
  <c r="U379" i="39" a="1"/>
  <c r="U379" i="39" s="1"/>
  <c r="T379" i="39" a="1"/>
  <c r="T379" i="39" s="1"/>
  <c r="U176" i="39" a="1"/>
  <c r="U176" i="39" s="1"/>
  <c r="T176" i="39" a="1"/>
  <c r="T176" i="39" s="1"/>
  <c r="U163" i="39" a="1"/>
  <c r="U163" i="39" s="1"/>
  <c r="T163" i="39" a="1"/>
  <c r="T163" i="39" s="1"/>
  <c r="U337" i="39" a="1"/>
  <c r="U337" i="39" s="1"/>
  <c r="T337" i="39" a="1"/>
  <c r="T337" i="39" s="1"/>
  <c r="U125" i="39" a="1"/>
  <c r="U125" i="39" s="1"/>
  <c r="T125" i="39" a="1"/>
  <c r="T125" i="39" s="1"/>
  <c r="U99" i="39" a="1"/>
  <c r="U99" i="39" s="1"/>
  <c r="T99" i="39" a="1"/>
  <c r="T99" i="39" s="1"/>
  <c r="U86" i="39" a="1"/>
  <c r="U86" i="39" s="1"/>
  <c r="T86" i="39" a="1"/>
  <c r="T86" i="39" s="1"/>
  <c r="U120" i="39" a="1"/>
  <c r="U120" i="39" s="1"/>
  <c r="T120" i="39" a="1"/>
  <c r="T120" i="39" s="1"/>
  <c r="T35" i="39" a="1"/>
  <c r="T35" i="39" s="1"/>
  <c r="U35" i="39" a="1"/>
  <c r="U35" i="39" s="1"/>
  <c r="T458" i="39" a="1"/>
  <c r="T458" i="39" s="1"/>
  <c r="R516" i="39" a="1"/>
  <c r="R516" i="39" s="1"/>
  <c r="S122" i="39" a="1"/>
  <c r="S122" i="39" s="1"/>
  <c r="R8" i="39" a="1"/>
  <c r="R8" i="39" s="1"/>
  <c r="S171" i="39" a="1"/>
  <c r="S171" i="39" s="1"/>
  <c r="J542" i="39" a="1"/>
  <c r="J542" i="39" s="1"/>
  <c r="K347" i="39" a="1"/>
  <c r="K347" i="39" s="1"/>
  <c r="R505" i="39" a="1"/>
  <c r="R505" i="39" s="1"/>
  <c r="K277" i="39" a="1"/>
  <c r="K277" i="39" s="1"/>
  <c r="R438" i="39" a="1"/>
  <c r="R438" i="39" s="1"/>
  <c r="R346" i="39" a="1"/>
  <c r="R346" i="39" s="1"/>
  <c r="S414" i="39" a="1"/>
  <c r="S414" i="39" s="1"/>
  <c r="R296" i="39" a="1"/>
  <c r="R296" i="39" s="1"/>
  <c r="R145" i="39" a="1"/>
  <c r="R145" i="39" s="1"/>
  <c r="R325" i="39" a="1"/>
  <c r="R325" i="39" s="1"/>
  <c r="S473" i="39" a="1"/>
  <c r="S473" i="39" s="1"/>
  <c r="S527" i="39" a="1"/>
  <c r="S527" i="39" s="1"/>
  <c r="R48" i="39" a="1"/>
  <c r="R48" i="39" s="1"/>
  <c r="S135" i="39" a="1"/>
  <c r="S135" i="39" s="1"/>
  <c r="K552" i="39" a="1"/>
  <c r="K552" i="39" s="1"/>
  <c r="R257" i="39" a="1"/>
  <c r="R257" i="39" s="1"/>
  <c r="R275" i="39" a="1"/>
  <c r="R275" i="39" s="1"/>
  <c r="R127" i="39" a="1"/>
  <c r="R127" i="39" s="1"/>
  <c r="R260" i="39" a="1"/>
  <c r="R260" i="39" s="1"/>
  <c r="R388" i="39" a="1"/>
  <c r="R388" i="39" s="1"/>
  <c r="S375" i="39" a="1"/>
  <c r="S375" i="39" s="1"/>
  <c r="R84" i="39" a="1"/>
  <c r="R84" i="39" s="1"/>
  <c r="S349" i="39" a="1"/>
  <c r="S349" i="39" s="1"/>
  <c r="R170" i="39" a="1"/>
  <c r="R170" i="39" s="1"/>
  <c r="R298" i="39" a="1"/>
  <c r="R298" i="39" s="1"/>
  <c r="S568" i="39" a="1"/>
  <c r="S568" i="39" s="1"/>
  <c r="R235" i="39" a="1"/>
  <c r="R235" i="39" s="1"/>
  <c r="S418" i="39" a="1"/>
  <c r="S418" i="39" s="1"/>
  <c r="R184" i="39" a="1"/>
  <c r="R184" i="39" s="1"/>
  <c r="R251" i="39" a="1"/>
  <c r="R251" i="39" s="1"/>
  <c r="S121" i="39" a="1"/>
  <c r="S121" i="39" s="1"/>
  <c r="S446" i="39" a="1"/>
  <c r="S446" i="39" s="1"/>
  <c r="S44" i="39" a="1"/>
  <c r="S44" i="39" s="1"/>
  <c r="K285" i="39" a="1"/>
  <c r="K285" i="39" s="1"/>
  <c r="K502" i="39" a="1"/>
  <c r="K502" i="39" s="1"/>
  <c r="S65" i="39" a="1"/>
  <c r="S65" i="39" s="1"/>
  <c r="S77" i="39" a="1"/>
  <c r="S77" i="39" s="1"/>
  <c r="R412" i="39" a="1"/>
  <c r="R412" i="39" s="1"/>
  <c r="R70" i="39" a="1"/>
  <c r="R70" i="39" s="1"/>
  <c r="R361" i="39" a="1"/>
  <c r="R361" i="39" s="1"/>
  <c r="S323" i="39" a="1"/>
  <c r="S323" i="39" s="1"/>
  <c r="S380" i="39" a="1"/>
  <c r="S380" i="39" s="1"/>
  <c r="S297" i="39" a="1"/>
  <c r="S297" i="39" s="1"/>
  <c r="S271" i="39" a="1"/>
  <c r="S271" i="39" s="1"/>
  <c r="S258" i="39" a="1"/>
  <c r="S258" i="39" s="1"/>
  <c r="S246" i="39" a="1"/>
  <c r="S246" i="39" s="1"/>
  <c r="R405" i="39" a="1"/>
  <c r="R405" i="39" s="1"/>
  <c r="S528" i="39" a="1"/>
  <c r="S528" i="39" s="1"/>
  <c r="R196" i="39" a="1"/>
  <c r="R196" i="39" s="1"/>
  <c r="S183" i="39" a="1"/>
  <c r="S183" i="39" s="1"/>
  <c r="S154" i="39" a="1"/>
  <c r="S154" i="39" s="1"/>
  <c r="R107" i="39" a="1"/>
  <c r="R107" i="39" s="1"/>
  <c r="S132" i="39" a="1"/>
  <c r="S132" i="39" s="1"/>
  <c r="S249" i="39" a="1"/>
  <c r="S249" i="39" s="1"/>
  <c r="S377" i="39" a="1"/>
  <c r="S377" i="39" s="1"/>
  <c r="R68" i="39" a="1"/>
  <c r="R68" i="39" s="1"/>
  <c r="S43" i="39" a="1"/>
  <c r="S43" i="39" s="1"/>
  <c r="S102" i="39" a="1"/>
  <c r="S102" i="39" s="1"/>
  <c r="S18" i="39" a="1"/>
  <c r="S18" i="39" s="1"/>
  <c r="R149" i="39" a="1"/>
  <c r="R149" i="39" s="1"/>
  <c r="R390" i="39" a="1"/>
  <c r="R390" i="39" s="1"/>
  <c r="S143" i="39" a="1"/>
  <c r="S143" i="39" s="1"/>
  <c r="S424" i="39" a="1"/>
  <c r="S424" i="39" s="1"/>
  <c r="R55" i="39" a="1"/>
  <c r="R55" i="39" s="1"/>
  <c r="S360" i="39" a="1"/>
  <c r="S360" i="39" s="1"/>
  <c r="R270" i="39" a="1"/>
  <c r="R270" i="39" s="1"/>
  <c r="R322" i="39" a="1"/>
  <c r="R322" i="39" s="1"/>
  <c r="R309" i="39" a="1"/>
  <c r="R309" i="39" s="1"/>
  <c r="S553" i="39" a="1"/>
  <c r="S553" i="39" s="1"/>
  <c r="S83" i="39" a="1"/>
  <c r="S83" i="39" s="1"/>
  <c r="S436" i="39" a="1"/>
  <c r="S436" i="39" s="1"/>
  <c r="R245" i="39" a="1"/>
  <c r="R245" i="39" s="1"/>
  <c r="R220" i="39" a="1"/>
  <c r="R220" i="39" s="1"/>
  <c r="S207" i="39" a="1"/>
  <c r="S207" i="39" s="1"/>
  <c r="R195" i="39" a="1"/>
  <c r="R195" i="39" s="1"/>
  <c r="S182" i="39" a="1"/>
  <c r="S182" i="39" s="1"/>
  <c r="S117" i="39" a="1"/>
  <c r="S117" i="39" s="1"/>
  <c r="R157" i="39" a="1"/>
  <c r="R157" i="39" s="1"/>
  <c r="R144" i="39" a="1"/>
  <c r="R144" i="39" s="1"/>
  <c r="S31" i="39" a="1"/>
  <c r="S31" i="39" s="1"/>
  <c r="R197" i="39" a="1"/>
  <c r="R197" i="39" s="1"/>
  <c r="R105" i="39" a="1"/>
  <c r="R105" i="39" s="1"/>
  <c r="S80" i="39" a="1"/>
  <c r="S80" i="39" s="1"/>
  <c r="S549" i="39" a="1"/>
  <c r="S549" i="39" s="1"/>
  <c r="R54" i="39" a="1"/>
  <c r="R54" i="39" s="1"/>
  <c r="S42" i="39" a="1"/>
  <c r="S42" i="39" s="1"/>
  <c r="R30" i="39" a="1"/>
  <c r="R30" i="39" s="1"/>
  <c r="S289" i="39" a="1"/>
  <c r="S289" i="39" s="1"/>
  <c r="R327" i="39" a="1"/>
  <c r="R327" i="39" s="1"/>
  <c r="R448" i="39" a="1"/>
  <c r="R448" i="39" s="1"/>
  <c r="R142" i="39" a="1"/>
  <c r="R142" i="39" s="1"/>
  <c r="R90" i="39" a="1"/>
  <c r="R90" i="39" s="1"/>
  <c r="R100" i="39" a="1"/>
  <c r="R100" i="39" s="1"/>
  <c r="R268" i="39" a="1"/>
  <c r="R268" i="39" s="1"/>
  <c r="S256" i="39" a="1"/>
  <c r="S256" i="39" s="1"/>
  <c r="R168" i="39" a="1"/>
  <c r="R168" i="39" s="1"/>
  <c r="S266" i="39" a="1"/>
  <c r="S266" i="39" s="1"/>
  <c r="R263" i="39" a="1"/>
  <c r="R263" i="39" s="1"/>
  <c r="K193" i="39" a="1"/>
  <c r="K193" i="39" s="1"/>
  <c r="S395" i="39" a="1"/>
  <c r="S395" i="39" s="1"/>
  <c r="S383" i="39" a="1"/>
  <c r="S383" i="39" s="1"/>
  <c r="S332" i="39" a="1"/>
  <c r="S332" i="39" s="1"/>
  <c r="S307" i="39" a="1"/>
  <c r="S307" i="39" s="1"/>
  <c r="R409" i="39" a="1"/>
  <c r="R409" i="39" s="1"/>
  <c r="S269" i="39" a="1"/>
  <c r="S269" i="39" s="1"/>
  <c r="R255" i="39" a="1"/>
  <c r="R255" i="39" s="1"/>
  <c r="S244" i="39" a="1"/>
  <c r="S244" i="39" s="1"/>
  <c r="R218" i="39" a="1"/>
  <c r="R218" i="39" s="1"/>
  <c r="S206" i="39" a="1"/>
  <c r="S206" i="39" s="1"/>
  <c r="S180" i="39" a="1"/>
  <c r="S180" i="39" s="1"/>
  <c r="S293" i="39" a="1"/>
  <c r="S293" i="39" s="1"/>
  <c r="R141" i="39" a="1"/>
  <c r="R141" i="39" s="1"/>
  <c r="S129" i="39" a="1"/>
  <c r="S129" i="39" s="1"/>
  <c r="S81" i="39" a="1"/>
  <c r="S81" i="39" s="1"/>
  <c r="S510" i="39" a="1"/>
  <c r="S510" i="39" s="1"/>
  <c r="S78" i="39" a="1"/>
  <c r="S78" i="39" s="1"/>
  <c r="S455" i="39" a="1"/>
  <c r="S455" i="39" s="1"/>
  <c r="S52" i="39" a="1"/>
  <c r="S52" i="39" s="1"/>
  <c r="S28" i="39" a="1"/>
  <c r="S28" i="39" s="1"/>
  <c r="S153" i="39" a="1"/>
  <c r="S153" i="39" s="1"/>
  <c r="R106" i="39" a="1"/>
  <c r="R106" i="39" s="1"/>
  <c r="R64" i="39" a="1"/>
  <c r="R64" i="39" s="1"/>
  <c r="K554" i="39" a="1"/>
  <c r="K554" i="39" s="1"/>
  <c r="J498" i="39" a="1"/>
  <c r="J498" i="39" s="1"/>
  <c r="R485" i="39" a="1"/>
  <c r="R485" i="39" s="1"/>
  <c r="R406" i="39" a="1"/>
  <c r="R406" i="39" s="1"/>
  <c r="S433" i="39" a="1"/>
  <c r="S433" i="39" s="1"/>
  <c r="S421" i="39" a="1"/>
  <c r="S421" i="39" s="1"/>
  <c r="S397" i="39" a="1"/>
  <c r="S397" i="39" s="1"/>
  <c r="S500" i="39" a="1"/>
  <c r="S500" i="39" s="1"/>
  <c r="R358" i="39" a="1"/>
  <c r="R358" i="39" s="1"/>
  <c r="R344" i="39" a="1"/>
  <c r="R344" i="39" s="1"/>
  <c r="S331" i="39" a="1"/>
  <c r="S331" i="39" s="1"/>
  <c r="S419" i="39" a="1"/>
  <c r="S419" i="39" s="1"/>
  <c r="S401" i="39" a="1"/>
  <c r="S401" i="39" s="1"/>
  <c r="S425" i="39" a="1"/>
  <c r="S425" i="39" s="1"/>
  <c r="R110" i="39" a="1"/>
  <c r="R110" i="39" s="1"/>
  <c r="R420" i="39" a="1"/>
  <c r="R420" i="39" s="1"/>
  <c r="R205" i="39" a="1"/>
  <c r="R205" i="39" s="1"/>
  <c r="R192" i="39" a="1"/>
  <c r="R192" i="39" s="1"/>
  <c r="S179" i="39" a="1"/>
  <c r="S179" i="39" s="1"/>
  <c r="S166" i="39" a="1"/>
  <c r="S166" i="39" s="1"/>
  <c r="S66" i="39" a="1"/>
  <c r="S66" i="39" s="1"/>
  <c r="S140" i="39" a="1"/>
  <c r="S140" i="39" s="1"/>
  <c r="S116" i="39" a="1"/>
  <c r="S116" i="39" s="1"/>
  <c r="R523" i="39" a="1"/>
  <c r="R523" i="39" s="1"/>
  <c r="R394" i="39" a="1"/>
  <c r="R394" i="39" s="1"/>
  <c r="R471" i="39" a="1"/>
  <c r="R471" i="39" s="1"/>
  <c r="S264" i="39" a="1"/>
  <c r="S264" i="39" s="1"/>
  <c r="S39" i="39" a="1"/>
  <c r="S39" i="39" s="1"/>
  <c r="S181" i="39" a="1"/>
  <c r="S181" i="39" s="1"/>
  <c r="S51" i="39" a="1"/>
  <c r="S51" i="39" s="1"/>
  <c r="S67" i="39" a="1"/>
  <c r="S67" i="39" s="1"/>
  <c r="S439" i="39" a="1"/>
  <c r="S439" i="39" s="1"/>
  <c r="S458" i="39" a="1"/>
  <c r="S458" i="39" s="1"/>
  <c r="R445" i="39" a="1"/>
  <c r="R445" i="39" s="1"/>
  <c r="R124" i="39" a="1"/>
  <c r="R124" i="39" s="1"/>
  <c r="R177" i="39" a="1"/>
  <c r="R177" i="39" s="1"/>
  <c r="S472" i="39" a="1"/>
  <c r="S472" i="39" s="1"/>
  <c r="S368" i="39" a="1"/>
  <c r="S368" i="39" s="1"/>
  <c r="S310" i="39" a="1"/>
  <c r="S310" i="39" s="1"/>
  <c r="R305" i="39" a="1"/>
  <c r="R305" i="39" s="1"/>
  <c r="R279" i="39" a="1"/>
  <c r="R279" i="39" s="1"/>
  <c r="S449" i="39" a="1"/>
  <c r="S449" i="39" s="1"/>
  <c r="R155" i="39" a="1"/>
  <c r="R155" i="39" s="1"/>
  <c r="S228" i="39" a="1"/>
  <c r="S228" i="39" s="1"/>
  <c r="R185" i="39" a="1"/>
  <c r="R185" i="39" s="1"/>
  <c r="R152" i="39" a="1"/>
  <c r="R152" i="39" s="1"/>
  <c r="S139" i="39" a="1"/>
  <c r="S139" i="39" s="1"/>
  <c r="S115" i="39" a="1"/>
  <c r="S115" i="39" s="1"/>
  <c r="S442" i="39" a="1"/>
  <c r="S442" i="39" s="1"/>
  <c r="R88" i="39" a="1"/>
  <c r="R88" i="39" s="1"/>
  <c r="S76" i="39" a="1"/>
  <c r="S76" i="39" s="1"/>
  <c r="R63" i="39" a="1"/>
  <c r="R63" i="39" s="1"/>
  <c r="S221" i="39" a="1"/>
  <c r="S221" i="39" s="1"/>
  <c r="R26" i="39" a="1"/>
  <c r="R26" i="39" s="1"/>
  <c r="S13" i="39" a="1"/>
  <c r="S13" i="39" s="1"/>
  <c r="K546" i="39" a="1"/>
  <c r="K546" i="39" s="1"/>
  <c r="S483" i="39" a="1"/>
  <c r="S483" i="39" s="1"/>
  <c r="R393" i="39" a="1"/>
  <c r="R393" i="39" s="1"/>
  <c r="R417" i="39" a="1"/>
  <c r="R417" i="39" s="1"/>
  <c r="S291" i="39" a="1"/>
  <c r="S291" i="39" s="1"/>
  <c r="S278" i="39" a="1"/>
  <c r="S278" i="39" s="1"/>
  <c r="R253" i="39" a="1"/>
  <c r="R253" i="39" s="1"/>
  <c r="R240" i="39" a="1"/>
  <c r="R240" i="39" s="1"/>
  <c r="R189" i="39" a="1"/>
  <c r="R189" i="39" s="1"/>
  <c r="R164" i="39" a="1"/>
  <c r="R164" i="39" s="1"/>
  <c r="S151" i="39" a="1"/>
  <c r="S151" i="39" s="1"/>
  <c r="S138" i="39" a="1"/>
  <c r="S138" i="39" s="1"/>
  <c r="S114" i="39" a="1"/>
  <c r="S114" i="39" s="1"/>
  <c r="R381" i="39" a="1"/>
  <c r="R381" i="39" s="1"/>
  <c r="S87" i="39" a="1"/>
  <c r="S87" i="39" s="1"/>
  <c r="R75" i="39" a="1"/>
  <c r="R75" i="39" s="1"/>
  <c r="S62" i="39" a="1"/>
  <c r="S62" i="39" s="1"/>
  <c r="R172" i="39" a="1"/>
  <c r="R172" i="39" s="1"/>
  <c r="S36" i="39" a="1"/>
  <c r="S36" i="39" s="1"/>
  <c r="R12" i="39" a="1"/>
  <c r="R12" i="39" s="1"/>
  <c r="K569" i="39" a="1"/>
  <c r="K569" i="39" s="1"/>
  <c r="K545" i="39" a="1"/>
  <c r="K545" i="39" s="1"/>
  <c r="S413" i="39" a="1"/>
  <c r="S413" i="39" s="1"/>
  <c r="R530" i="39" a="1"/>
  <c r="R530" i="39" s="1"/>
  <c r="R430" i="39" a="1"/>
  <c r="R430" i="39" s="1"/>
  <c r="R103" i="39" a="1"/>
  <c r="R103" i="39" s="1"/>
  <c r="R437" i="39" a="1"/>
  <c r="R437" i="39" s="1"/>
  <c r="R341" i="39" a="1"/>
  <c r="R341" i="39" s="1"/>
  <c r="S156" i="39" a="1"/>
  <c r="S156" i="39" s="1"/>
  <c r="R150" i="39" a="1"/>
  <c r="R150" i="39" s="1"/>
  <c r="R97" i="39" a="1"/>
  <c r="R97" i="39" s="1"/>
  <c r="R86" i="39" a="1"/>
  <c r="R86" i="39" s="1"/>
  <c r="S120" i="39" a="1"/>
  <c r="S120" i="39" s="1"/>
  <c r="R11" i="39" a="1"/>
  <c r="R11" i="39" s="1"/>
  <c r="R73" i="39" a="1"/>
  <c r="R73" i="39" s="1"/>
  <c r="S400" i="39" a="1"/>
  <c r="S400" i="39" s="1"/>
  <c r="R495" i="39" a="1"/>
  <c r="R495" i="39" s="1"/>
  <c r="S441" i="39" a="1"/>
  <c r="S441" i="39" s="1"/>
  <c r="S416" i="39" a="1"/>
  <c r="S416" i="39" s="1"/>
  <c r="S403" i="39" a="1"/>
  <c r="S403" i="39" s="1"/>
  <c r="S378" i="39" a="1"/>
  <c r="S378" i="39" s="1"/>
  <c r="S262" i="39" a="1"/>
  <c r="S262" i="39" s="1"/>
  <c r="R101" i="39" a="1"/>
  <c r="R101" i="39" s="1"/>
  <c r="R426" i="39" a="1"/>
  <c r="R426" i="39" s="1"/>
  <c r="S190" i="39" a="1"/>
  <c r="S190" i="39" s="1"/>
  <c r="R399" i="39" a="1"/>
  <c r="R399" i="39" s="1"/>
  <c r="S238" i="39" a="1"/>
  <c r="S238" i="39" s="1"/>
  <c r="S225" i="39" a="1"/>
  <c r="S225" i="39" s="1"/>
  <c r="R200" i="39" a="1"/>
  <c r="R200" i="39" s="1"/>
  <c r="R243" i="39" a="1"/>
  <c r="R243" i="39" s="1"/>
  <c r="R165" i="39" a="1"/>
  <c r="R165" i="39" s="1"/>
  <c r="R188" i="39" a="1"/>
  <c r="R188" i="39" s="1"/>
  <c r="R112" i="39" a="1"/>
  <c r="R112" i="39" s="1"/>
  <c r="R386" i="39" a="1"/>
  <c r="R386" i="39" s="1"/>
  <c r="S60" i="39" a="1"/>
  <c r="S60" i="39" s="1"/>
  <c r="S47" i="39" a="1"/>
  <c r="S47" i="39" s="1"/>
  <c r="R348" i="39" a="1"/>
  <c r="R348" i="39" s="1"/>
  <c r="S82" i="39" a="1"/>
  <c r="S82" i="39" s="1"/>
  <c r="S570" i="39" a="1"/>
  <c r="S570" i="39" s="1"/>
  <c r="S531" i="39" a="1"/>
  <c r="S531" i="39" s="1"/>
  <c r="K518" i="39" a="1"/>
  <c r="K518" i="39" s="1"/>
  <c r="S506" i="39" a="1"/>
  <c r="S506" i="39" s="1"/>
  <c r="R468" i="39" a="1"/>
  <c r="R468" i="39" s="1"/>
  <c r="R387" i="39" a="1"/>
  <c r="R387" i="39" s="1"/>
  <c r="S402" i="39" a="1"/>
  <c r="S402" i="39" s="1"/>
  <c r="R398" i="39" a="1"/>
  <c r="R398" i="39" s="1"/>
  <c r="S209" i="39" a="1"/>
  <c r="S209" i="39" s="1"/>
  <c r="R339" i="39" a="1"/>
  <c r="R339" i="39" s="1"/>
  <c r="S326" i="39" a="1"/>
  <c r="S326" i="39" s="1"/>
  <c r="S557" i="39" a="1"/>
  <c r="S557" i="39" s="1"/>
  <c r="R287" i="39" a="1"/>
  <c r="R287" i="39" s="1"/>
  <c r="S158" i="39" a="1"/>
  <c r="S158" i="39" s="1"/>
  <c r="R261" i="39" a="1"/>
  <c r="R261" i="39" s="1"/>
  <c r="S71" i="39" a="1"/>
  <c r="S71" i="39" s="1"/>
  <c r="S547" i="39" a="1"/>
  <c r="S547" i="39" s="1"/>
  <c r="S199" i="39" a="1"/>
  <c r="S199" i="39" s="1"/>
  <c r="S186" i="39" a="1"/>
  <c r="S186" i="39" s="1"/>
  <c r="S173" i="39" a="1"/>
  <c r="S173" i="39" s="1"/>
  <c r="R148" i="39" a="1"/>
  <c r="R148" i="39" s="1"/>
  <c r="S174" i="39" a="1"/>
  <c r="S174" i="39" s="1"/>
  <c r="S98" i="39" a="1"/>
  <c r="S98" i="39" s="1"/>
  <c r="S508" i="39" a="1"/>
  <c r="S508" i="39" s="1"/>
  <c r="S46" i="39" a="1"/>
  <c r="S46" i="39" s="1"/>
  <c r="S241" i="39" a="1"/>
  <c r="S241" i="39" s="1"/>
  <c r="S9" i="39" a="1"/>
  <c r="S9" i="39" s="1"/>
  <c r="R340" i="39" a="1"/>
  <c r="R340" i="39" s="1"/>
  <c r="R166" i="39" a="1"/>
  <c r="R166" i="39" s="1"/>
  <c r="R264" i="39" a="1"/>
  <c r="R264" i="39" s="1"/>
  <c r="R419" i="39" a="1"/>
  <c r="R419" i="39" s="1"/>
  <c r="R66" i="39" a="1"/>
  <c r="R66" i="39" s="1"/>
  <c r="R181" i="39" a="1"/>
  <c r="R181" i="39" s="1"/>
  <c r="S420" i="39" a="1"/>
  <c r="S420" i="39" s="1"/>
  <c r="R401" i="39" a="1"/>
  <c r="R401" i="39" s="1"/>
  <c r="R51" i="39" a="1"/>
  <c r="R51" i="39" s="1"/>
  <c r="S205" i="39" a="1"/>
  <c r="S205" i="39" s="1"/>
  <c r="S394" i="39" a="1"/>
  <c r="S394" i="39" s="1"/>
  <c r="S471" i="39" a="1"/>
  <c r="S471" i="39" s="1"/>
  <c r="R425" i="39" a="1"/>
  <c r="R425" i="39" s="1"/>
  <c r="S358" i="39" a="1"/>
  <c r="S358" i="39" s="1"/>
  <c r="R140" i="39" a="1"/>
  <c r="R140" i="39" s="1"/>
  <c r="R319" i="39" a="1"/>
  <c r="R319" i="39" s="1"/>
  <c r="R116" i="39" a="1"/>
  <c r="R116" i="39" s="1"/>
  <c r="S344" i="39" a="1"/>
  <c r="S344" i="39" s="1"/>
  <c r="R433" i="39" a="1"/>
  <c r="R433" i="39" s="1"/>
  <c r="R280" i="39" a="1"/>
  <c r="R280" i="39" s="1"/>
  <c r="R421" i="39" a="1"/>
  <c r="R421" i="39" s="1"/>
  <c r="S280" i="39" a="1"/>
  <c r="S280" i="39" s="1"/>
  <c r="R397" i="39" a="1"/>
  <c r="R397" i="39" s="1"/>
  <c r="L62" i="42" a="1"/>
  <c r="L62" i="42" s="1"/>
  <c r="L194" i="42" a="1"/>
  <c r="L194" i="42" s="1"/>
  <c r="L51" i="42" a="1"/>
  <c r="L51" i="42" s="1"/>
  <c r="R402" i="39" a="1"/>
  <c r="R402" i="39" s="1"/>
  <c r="S85" i="39" a="1"/>
  <c r="S85" i="39" s="1"/>
  <c r="S348" i="39" a="1"/>
  <c r="S348" i="39" s="1"/>
  <c r="R190" i="39" a="1"/>
  <c r="R190" i="39" s="1"/>
  <c r="R238" i="39" a="1"/>
  <c r="R238" i="39" s="1"/>
  <c r="R225" i="39" a="1"/>
  <c r="R225" i="39" s="1"/>
  <c r="S165" i="39" a="1"/>
  <c r="S165" i="39" s="1"/>
  <c r="S426" i="39" a="1"/>
  <c r="S426" i="39" s="1"/>
  <c r="S270" i="39" a="1"/>
  <c r="S270" i="39" s="1"/>
  <c r="S141" i="39" a="1"/>
  <c r="S141" i="39" s="1"/>
  <c r="S322" i="39" a="1"/>
  <c r="S322" i="39" s="1"/>
  <c r="R525" i="39" a="1"/>
  <c r="R525" i="39" s="1"/>
  <c r="R475" i="39" a="1"/>
  <c r="R475" i="39" s="1"/>
  <c r="R31" i="39" a="1"/>
  <c r="R31" i="39" s="1"/>
  <c r="S245" i="39" a="1"/>
  <c r="S245" i="39" s="1"/>
  <c r="R385" i="39" a="1"/>
  <c r="R385" i="39" s="1"/>
  <c r="R80" i="39" a="1"/>
  <c r="R80" i="39" s="1"/>
  <c r="R360" i="39" a="1"/>
  <c r="R360" i="39" s="1"/>
  <c r="R549" i="39" a="1"/>
  <c r="R549" i="39" s="1"/>
  <c r="R143" i="39" a="1"/>
  <c r="R143" i="39" s="1"/>
  <c r="R83" i="39" a="1"/>
  <c r="R83" i="39" s="1"/>
  <c r="R207" i="39" a="1"/>
  <c r="R207" i="39" s="1"/>
  <c r="S149" i="39" a="1"/>
  <c r="S149" i="39" s="1"/>
  <c r="S309" i="39" a="1"/>
  <c r="S309" i="39" s="1"/>
  <c r="S475" i="39" a="1"/>
  <c r="S475" i="39" s="1"/>
  <c r="R312" i="39" a="1"/>
  <c r="R312" i="39" s="1"/>
  <c r="R424" i="39" a="1"/>
  <c r="R424" i="39" s="1"/>
  <c r="R436" i="39" a="1"/>
  <c r="R436" i="39" s="1"/>
  <c r="S197" i="39" a="1"/>
  <c r="S197" i="39" s="1"/>
  <c r="R182" i="39" a="1"/>
  <c r="R182" i="39" s="1"/>
  <c r="R42" i="39" a="1"/>
  <c r="R42" i="39" s="1"/>
  <c r="R526" i="39" a="1"/>
  <c r="R526" i="39" s="1"/>
  <c r="S55" i="39" a="1"/>
  <c r="S55" i="39" s="1"/>
  <c r="S105" i="39" a="1"/>
  <c r="S105" i="39" s="1"/>
  <c r="R117" i="39" a="1"/>
  <c r="R117" i="39" s="1"/>
  <c r="S385" i="39" a="1"/>
  <c r="S385" i="39" s="1"/>
  <c r="S390" i="39" a="1"/>
  <c r="S390" i="39" s="1"/>
  <c r="R553" i="39" a="1"/>
  <c r="R553" i="39" s="1"/>
  <c r="R289" i="39" a="1"/>
  <c r="R289" i="39" s="1"/>
  <c r="R139" i="39" a="1"/>
  <c r="R139" i="39" s="1"/>
  <c r="S526" i="39" a="1"/>
  <c r="S526" i="39" s="1"/>
  <c r="S155" i="39" a="1"/>
  <c r="S155" i="39" s="1"/>
  <c r="R52" i="39" a="1"/>
  <c r="R52" i="39" s="1"/>
  <c r="R331" i="39" a="1"/>
  <c r="R331" i="39" s="1"/>
  <c r="S68" i="39" a="1"/>
  <c r="S68" i="39" s="1"/>
  <c r="R246" i="39" a="1"/>
  <c r="R246" i="39" s="1"/>
  <c r="O491" i="39"/>
  <c r="R378" i="39" a="1"/>
  <c r="R378" i="39" s="1"/>
  <c r="R314" i="39" a="1"/>
  <c r="R314" i="39" s="1"/>
  <c r="S340" i="39" a="1"/>
  <c r="S340" i="39" s="1"/>
  <c r="S399" i="39" a="1"/>
  <c r="S399" i="39" s="1"/>
  <c r="S200" i="39" a="1"/>
  <c r="S200" i="39" s="1"/>
  <c r="S188" i="39" a="1"/>
  <c r="S188" i="39" s="1"/>
  <c r="S302" i="39" a="1"/>
  <c r="S302" i="39" s="1"/>
  <c r="R262" i="39" a="1"/>
  <c r="R262" i="39" s="1"/>
  <c r="R47" i="39" a="1"/>
  <c r="R47" i="39" s="1"/>
  <c r="S243" i="39" a="1"/>
  <c r="S243" i="39" s="1"/>
  <c r="S101" i="39" a="1"/>
  <c r="S101" i="39" s="1"/>
  <c r="R85" i="39" a="1"/>
  <c r="R85" i="39" s="1"/>
  <c r="S314" i="39" a="1"/>
  <c r="S314" i="39" s="1"/>
  <c r="S112" i="39" a="1"/>
  <c r="S112" i="39" s="1"/>
  <c r="R403" i="39" a="1"/>
  <c r="R403" i="39" s="1"/>
  <c r="R183" i="39" a="1"/>
  <c r="R183" i="39" s="1"/>
  <c r="R154" i="39" a="1"/>
  <c r="R154" i="39" s="1"/>
  <c r="R132" i="39" a="1"/>
  <c r="R132" i="39" s="1"/>
  <c r="R258" i="39" a="1"/>
  <c r="R258" i="39" s="1"/>
  <c r="R493" i="39" a="1"/>
  <c r="R493" i="39" s="1"/>
  <c r="R502" i="39" a="1"/>
  <c r="R502" i="39" s="1"/>
  <c r="R43" i="39" a="1"/>
  <c r="R43" i="39" s="1"/>
  <c r="S284" i="39" a="1"/>
  <c r="S284" i="39" s="1"/>
  <c r="R228" i="39" a="1"/>
  <c r="R228" i="39" s="1"/>
  <c r="R18" i="39" a="1"/>
  <c r="R18" i="39" s="1"/>
  <c r="R285" i="39" a="1"/>
  <c r="R285" i="39" s="1"/>
  <c r="R313" i="39" a="1"/>
  <c r="R313" i="39" s="1"/>
  <c r="R400" i="39" a="1"/>
  <c r="R400" i="39" s="1"/>
  <c r="S495" i="39" a="1"/>
  <c r="S495" i="39" s="1"/>
  <c r="R532" i="39" a="1"/>
  <c r="R532" i="39" s="1"/>
  <c r="R441" i="39" a="1"/>
  <c r="R441" i="39" s="1"/>
  <c r="R443" i="39" a="1"/>
  <c r="R443" i="39" s="1"/>
  <c r="R61" i="39" a="1"/>
  <c r="R61" i="39" s="1"/>
  <c r="R554" i="39" a="1"/>
  <c r="R554" i="39" s="1"/>
  <c r="R560" i="39" a="1"/>
  <c r="R560" i="39" s="1"/>
  <c r="S409" i="39" a="1"/>
  <c r="S409" i="39" s="1"/>
  <c r="R416" i="39" a="1"/>
  <c r="R416" i="39" s="1"/>
  <c r="R563" i="39" a="1"/>
  <c r="R563" i="39" s="1"/>
  <c r="AS18" i="38"/>
  <c r="AQ18" i="38"/>
  <c r="AS14" i="38"/>
  <c r="AQ14" i="38"/>
  <c r="AA13" i="3"/>
  <c r="N48" i="38" s="1"/>
  <c r="AQ6" i="38"/>
  <c r="AQ4" i="38"/>
  <c r="AC8" i="3"/>
  <c r="P43" i="38" s="1"/>
  <c r="AB34" i="3"/>
  <c r="O69" i="38" s="1"/>
  <c r="AC31" i="3"/>
  <c r="P66" i="38" s="1"/>
  <c r="AQ33" i="38"/>
  <c r="AB33" i="3"/>
  <c r="O68" i="38" s="1"/>
  <c r="AR21" i="38"/>
  <c r="AS20" i="38"/>
  <c r="AQ20" i="38"/>
  <c r="AR17" i="38"/>
  <c r="AR30" i="38"/>
  <c r="AB30" i="3"/>
  <c r="O65" i="38" s="1"/>
  <c r="AQ29" i="38"/>
  <c r="AS29" i="38"/>
  <c r="AS10" i="38"/>
  <c r="AE10" i="3"/>
  <c r="R45" i="38" s="1"/>
  <c r="AE7" i="3"/>
  <c r="R42" i="38" s="1"/>
  <c r="AR7" i="38"/>
  <c r="AA23" i="3"/>
  <c r="N58" i="38" s="1"/>
  <c r="AQ23" i="38"/>
  <c r="AS27" i="38"/>
  <c r="AA27" i="3"/>
  <c r="N62" i="38" s="1"/>
  <c r="AB28" i="3"/>
  <c r="O63" i="38" s="1"/>
  <c r="AR26" i="38"/>
  <c r="AQ22" i="38"/>
  <c r="AS19" i="38"/>
  <c r="AQ19" i="38"/>
  <c r="AB19" i="3"/>
  <c r="O54" i="38" s="1"/>
  <c r="AS15" i="38"/>
  <c r="AQ15" i="38"/>
  <c r="AC15" i="3"/>
  <c r="P50" i="38" s="1"/>
  <c r="AS16" i="38"/>
  <c r="AC16" i="3"/>
  <c r="P51" i="38" s="1"/>
  <c r="S563" i="39" a="1"/>
  <c r="S563" i="39" s="1"/>
  <c r="R513" i="39" a="1"/>
  <c r="R513" i="39" s="1"/>
  <c r="S513" i="39" a="1"/>
  <c r="S513" i="39" s="1"/>
  <c r="S361" i="39" a="1"/>
  <c r="S361" i="39" s="1"/>
  <c r="R440" i="39" a="1"/>
  <c r="R440" i="39" s="1"/>
  <c r="R71" i="39" a="1"/>
  <c r="R71" i="39" s="1"/>
  <c r="R535" i="39" a="1"/>
  <c r="R535" i="39" s="1"/>
  <c r="R492" i="39" a="1"/>
  <c r="R492" i="39" s="1"/>
  <c r="S177" i="39" a="1"/>
  <c r="S177" i="39" s="1"/>
  <c r="R508" i="39" a="1"/>
  <c r="R508" i="39" s="1"/>
  <c r="R209" i="39" a="1"/>
  <c r="R209" i="39" s="1"/>
  <c r="R557" i="39" a="1"/>
  <c r="R557" i="39" s="1"/>
  <c r="S468" i="39" a="1"/>
  <c r="S468" i="39" s="1"/>
  <c r="R570" i="39" a="1"/>
  <c r="R570" i="39" s="1"/>
  <c r="R439" i="39" a="1"/>
  <c r="R439" i="39" s="1"/>
  <c r="S11" i="39" a="1"/>
  <c r="S11" i="39" s="1"/>
  <c r="R531" i="39" a="1"/>
  <c r="R531" i="39" s="1"/>
  <c r="R415" i="39" a="1"/>
  <c r="R415" i="39" s="1"/>
  <c r="R326" i="39" a="1"/>
  <c r="R326" i="39" s="1"/>
  <c r="R174" i="39" a="1"/>
  <c r="R174" i="39" s="1"/>
  <c r="R98" i="39" a="1"/>
  <c r="R98" i="39" s="1"/>
  <c r="S492" i="39" a="1"/>
  <c r="S492" i="39" s="1"/>
  <c r="S261" i="39" a="1"/>
  <c r="S261" i="39" s="1"/>
  <c r="R158" i="39" a="1"/>
  <c r="R158" i="39" s="1"/>
  <c r="R199" i="39" a="1"/>
  <c r="R199" i="39" s="1"/>
  <c r="R46" i="39" a="1"/>
  <c r="R46" i="39" s="1"/>
  <c r="S148" i="39" a="1"/>
  <c r="S148" i="39" s="1"/>
  <c r="R9" i="39" a="1"/>
  <c r="R9" i="39" s="1"/>
  <c r="S387" i="39" a="1"/>
  <c r="S387" i="39" s="1"/>
  <c r="S339" i="39" a="1"/>
  <c r="S339" i="39" s="1"/>
  <c r="R392" i="39" a="1"/>
  <c r="R392" i="39" s="1"/>
  <c r="R186" i="39" a="1"/>
  <c r="R186" i="39" s="1"/>
  <c r="R241" i="39" a="1"/>
  <c r="R241" i="39" s="1"/>
  <c r="S392" i="39" a="1"/>
  <c r="S392" i="39" s="1"/>
  <c r="S287" i="39" a="1"/>
  <c r="S287" i="39" s="1"/>
  <c r="R413" i="39" a="1"/>
  <c r="R413" i="39" s="1"/>
  <c r="R547" i="39" a="1"/>
  <c r="R547" i="39" s="1"/>
  <c r="S543" i="39" a="1"/>
  <c r="S543" i="39" s="1"/>
  <c r="S440" i="39" a="1"/>
  <c r="S440" i="39" s="1"/>
  <c r="R543" i="39" a="1"/>
  <c r="R543" i="39" s="1"/>
  <c r="R506" i="39" a="1"/>
  <c r="R506" i="39" s="1"/>
  <c r="S398" i="39" a="1"/>
  <c r="S398" i="39" s="1"/>
  <c r="R173" i="39" a="1"/>
  <c r="R173" i="39" s="1"/>
  <c r="S415" i="39" a="1"/>
  <c r="S415" i="39" s="1"/>
  <c r="R552" i="39" a="1"/>
  <c r="R552" i="39" s="1"/>
  <c r="S514" i="39" a="1"/>
  <c r="S514" i="39" s="1"/>
  <c r="S124" i="39" a="1"/>
  <c r="S124" i="39" s="1"/>
  <c r="S184" i="39" a="1"/>
  <c r="S184" i="39" s="1"/>
  <c r="S127" i="39" a="1"/>
  <c r="S127" i="39" s="1"/>
  <c r="R503" i="39" a="1"/>
  <c r="R503" i="39" s="1"/>
  <c r="R121" i="39" a="1"/>
  <c r="R121" i="39" s="1"/>
  <c r="R418" i="39" a="1"/>
  <c r="R418" i="39" s="1"/>
  <c r="P10" i="40"/>
  <c r="S503" i="39" a="1"/>
  <c r="S503" i="39" s="1"/>
  <c r="R135" i="39" a="1"/>
  <c r="R135" i="39" s="1"/>
  <c r="R349" i="39" a="1"/>
  <c r="R349" i="39" s="1"/>
  <c r="S542" i="39" a="1"/>
  <c r="S542" i="39" s="1"/>
  <c r="S466" i="39" a="1"/>
  <c r="S466" i="39" s="1"/>
  <c r="AA18" i="3"/>
  <c r="N53" i="38" s="1"/>
  <c r="AS17" i="38"/>
  <c r="AQ17" i="38"/>
  <c r="R470" i="39" a="1"/>
  <c r="R470" i="39" s="1"/>
  <c r="S393" i="39" a="1"/>
  <c r="S393" i="39" s="1"/>
  <c r="R422" i="39" a="1"/>
  <c r="R422" i="39" s="1"/>
  <c r="R138" i="39" a="1"/>
  <c r="R138" i="39" s="1"/>
  <c r="R67" i="39" a="1"/>
  <c r="R67" i="39" s="1"/>
  <c r="R310" i="39" a="1"/>
  <c r="R310" i="39" s="1"/>
  <c r="S559" i="39" a="1"/>
  <c r="S559" i="39" s="1"/>
  <c r="S253" i="39" a="1"/>
  <c r="S253" i="39" s="1"/>
  <c r="R450" i="39" a="1"/>
  <c r="R450" i="39" s="1"/>
  <c r="R283" i="39" a="1"/>
  <c r="R283" i="39" s="1"/>
  <c r="R292" i="39" a="1"/>
  <c r="R292" i="39" s="1"/>
  <c r="R550" i="39" a="1"/>
  <c r="R550" i="39" s="1"/>
  <c r="S113" i="39" a="1"/>
  <c r="S113" i="39" s="1"/>
  <c r="S279" i="39" a="1"/>
  <c r="S279" i="39" s="1"/>
  <c r="S63" i="39" a="1"/>
  <c r="S63" i="39" s="1"/>
  <c r="S497" i="39" a="1"/>
  <c r="S497" i="39" s="1"/>
  <c r="R115" i="39" a="1"/>
  <c r="R115" i="39" s="1"/>
  <c r="R221" i="39" a="1"/>
  <c r="R221" i="39" s="1"/>
  <c r="S550" i="39" a="1"/>
  <c r="S550" i="39" s="1"/>
  <c r="S185" i="39" a="1"/>
  <c r="S185" i="39" s="1"/>
  <c r="S88" i="39" a="1"/>
  <c r="S88" i="39" s="1"/>
  <c r="S26" i="39" a="1"/>
  <c r="S26" i="39" s="1"/>
  <c r="R472" i="39" a="1"/>
  <c r="R472" i="39" s="1"/>
  <c r="R76" i="39" a="1"/>
  <c r="R76" i="39" s="1"/>
  <c r="R13" i="39" a="1"/>
  <c r="R13" i="39" s="1"/>
  <c r="S283" i="39" a="1"/>
  <c r="S283" i="39" s="1"/>
  <c r="S343" i="39" a="1"/>
  <c r="S343" i="39" s="1"/>
  <c r="S305" i="39" a="1"/>
  <c r="S305" i="39" s="1"/>
  <c r="S152" i="39" a="1"/>
  <c r="S152" i="39" s="1"/>
  <c r="S535" i="39" a="1"/>
  <c r="S535" i="39" s="1"/>
  <c r="R559" i="39" a="1"/>
  <c r="R559" i="39" s="1"/>
  <c r="R449" i="39" a="1"/>
  <c r="R449" i="39" s="1"/>
  <c r="R458" i="39" a="1"/>
  <c r="R458" i="39" s="1"/>
  <c r="R442" i="39" a="1"/>
  <c r="R442" i="39" s="1"/>
  <c r="S522" i="39" a="1"/>
  <c r="S522" i="39" s="1"/>
  <c r="R343" i="39" a="1"/>
  <c r="R343" i="39" s="1"/>
  <c r="R368" i="39" a="1"/>
  <c r="R368" i="39" s="1"/>
  <c r="S292" i="39" a="1"/>
  <c r="S292" i="39" s="1"/>
  <c r="R522" i="39" a="1"/>
  <c r="R522" i="39" s="1"/>
  <c r="R216" i="39" a="1"/>
  <c r="R216" i="39" s="1"/>
  <c r="S450" i="39" a="1"/>
  <c r="S450" i="39" s="1"/>
  <c r="R113" i="39" a="1"/>
  <c r="R113" i="39" s="1"/>
  <c r="S216" i="39" a="1"/>
  <c r="S216" i="39" s="1"/>
  <c r="S312" i="39" a="1"/>
  <c r="S312" i="39" s="1"/>
  <c r="R488" i="39" a="1"/>
  <c r="R488" i="39" s="1"/>
  <c r="R395" i="39" a="1"/>
  <c r="R395" i="39" s="1"/>
  <c r="R281" i="39" a="1"/>
  <c r="R281" i="39" s="1"/>
  <c r="R206" i="39" a="1"/>
  <c r="R206" i="39" s="1"/>
  <c r="R293" i="39" a="1"/>
  <c r="R293" i="39" s="1"/>
  <c r="S488" i="39" a="1"/>
  <c r="S488" i="39" s="1"/>
  <c r="R307" i="39" a="1"/>
  <c r="R307" i="39" s="1"/>
  <c r="R180" i="39" a="1"/>
  <c r="R180" i="39" s="1"/>
  <c r="R78" i="39" a="1"/>
  <c r="R78" i="39" s="1"/>
  <c r="S422" i="39" a="1"/>
  <c r="S422" i="39" s="1"/>
  <c r="S167" i="39" a="1"/>
  <c r="S167" i="39" s="1"/>
  <c r="R510" i="39" a="1"/>
  <c r="R510" i="39" s="1"/>
  <c r="R332" i="39" a="1"/>
  <c r="R332" i="39" s="1"/>
  <c r="S202" i="39" a="1"/>
  <c r="S202" i="39" s="1"/>
  <c r="R524" i="39" a="1"/>
  <c r="R524" i="39" s="1"/>
  <c r="R129" i="39" a="1"/>
  <c r="R129" i="39" s="1"/>
  <c r="R153" i="39" a="1"/>
  <c r="R153" i="39" s="1"/>
  <c r="S281" i="39" a="1"/>
  <c r="S281" i="39" s="1"/>
  <c r="S255" i="39" a="1"/>
  <c r="S255" i="39" s="1"/>
  <c r="R383" i="39" a="1"/>
  <c r="R383" i="39" s="1"/>
  <c r="R455" i="39" a="1"/>
  <c r="R455" i="39" s="1"/>
  <c r="S89" i="39" a="1"/>
  <c r="S89" i="39" s="1"/>
  <c r="R434" i="39" a="1"/>
  <c r="R434" i="39" s="1"/>
  <c r="S218" i="39" a="1"/>
  <c r="S218" i="39" s="1"/>
  <c r="S511" i="39" a="1"/>
  <c r="S511" i="39" s="1"/>
  <c r="R511" i="39" a="1"/>
  <c r="R511" i="39" s="1"/>
  <c r="R486" i="39" a="1"/>
  <c r="R486" i="39" s="1"/>
  <c r="R269" i="39" a="1"/>
  <c r="R269" i="39" s="1"/>
  <c r="R244" i="39" a="1"/>
  <c r="R244" i="39" s="1"/>
  <c r="R167" i="39" a="1"/>
  <c r="R167" i="39" s="1"/>
  <c r="R81" i="39" a="1"/>
  <c r="R81" i="39" s="1"/>
  <c r="R28" i="39" a="1"/>
  <c r="R28" i="39" s="1"/>
  <c r="S486" i="39" a="1"/>
  <c r="S486" i="39" s="1"/>
  <c r="R193" i="39" a="1"/>
  <c r="R193" i="39" s="1"/>
  <c r="R89" i="39" a="1"/>
  <c r="R89" i="39" s="1"/>
  <c r="S524" i="39" a="1"/>
  <c r="S524" i="39" s="1"/>
  <c r="S434" i="39" a="1"/>
  <c r="S434" i="39" s="1"/>
  <c r="S532" i="39" a="1"/>
  <c r="S532" i="39" s="1"/>
  <c r="S493" i="39" a="1"/>
  <c r="S493" i="39" s="1"/>
  <c r="S566" i="39" a="1"/>
  <c r="S566" i="39" s="1"/>
  <c r="S73" i="39" a="1"/>
  <c r="S73" i="39" s="1"/>
  <c r="R329" i="39" a="1"/>
  <c r="R329" i="39" s="1"/>
  <c r="S443" i="39" a="1"/>
  <c r="S443" i="39" s="1"/>
  <c r="R521" i="39" a="1"/>
  <c r="R521" i="39" s="1"/>
  <c r="R202" i="39" a="1"/>
  <c r="R202" i="39" s="1"/>
  <c r="R459" i="39" a="1"/>
  <c r="R459" i="39" s="1"/>
  <c r="R114" i="39" a="1"/>
  <c r="R114" i="39" s="1"/>
  <c r="R87" i="39" a="1"/>
  <c r="R87" i="39" s="1"/>
  <c r="S189" i="39" a="1"/>
  <c r="S189" i="39" s="1"/>
  <c r="R367" i="39" a="1"/>
  <c r="R367" i="39" s="1"/>
  <c r="R291" i="39" a="1"/>
  <c r="R291" i="39" s="1"/>
  <c r="R62" i="39" a="1"/>
  <c r="R62" i="39" s="1"/>
  <c r="R36" i="39" a="1"/>
  <c r="R36" i="39" s="1"/>
  <c r="S164" i="39" a="1"/>
  <c r="S164" i="39" s="1"/>
  <c r="S12" i="39" a="1"/>
  <c r="S12" i="39" s="1"/>
  <c r="S233" i="39" a="1"/>
  <c r="S233" i="39" s="1"/>
  <c r="S215" i="39" a="1"/>
  <c r="S215" i="39" s="1"/>
  <c r="S454" i="39" a="1"/>
  <c r="S454" i="39" s="1"/>
  <c r="S240" i="39" a="1"/>
  <c r="S240" i="39" s="1"/>
  <c r="R151" i="39" a="1"/>
  <c r="R151" i="39" s="1"/>
  <c r="R454" i="39" a="1"/>
  <c r="R454" i="39" s="1"/>
  <c r="S470" i="39" a="1"/>
  <c r="S470" i="39" s="1"/>
  <c r="S417" i="39" a="1"/>
  <c r="S417" i="39" s="1"/>
  <c r="R457" i="39" a="1"/>
  <c r="R457" i="39" s="1"/>
  <c r="R483" i="39" a="1"/>
  <c r="R483" i="39" s="1"/>
  <c r="R431" i="39" a="1"/>
  <c r="R431" i="39" s="1"/>
  <c r="S381" i="39" a="1"/>
  <c r="S381" i="39" s="1"/>
  <c r="S172" i="39" a="1"/>
  <c r="S172" i="39" s="1"/>
  <c r="R534" i="39" a="1"/>
  <c r="R534" i="39" s="1"/>
  <c r="R342" i="39" a="1"/>
  <c r="R342" i="39" s="1"/>
  <c r="R215" i="39" a="1"/>
  <c r="R215" i="39" s="1"/>
  <c r="S431" i="39" a="1"/>
  <c r="S431" i="39" s="1"/>
  <c r="S75" i="39" a="1"/>
  <c r="S75" i="39" s="1"/>
  <c r="R278" i="39" a="1"/>
  <c r="R278" i="39" s="1"/>
  <c r="S342" i="39" a="1"/>
  <c r="S342" i="39" s="1"/>
  <c r="S227" i="39" a="1"/>
  <c r="S227" i="39" s="1"/>
  <c r="S459" i="39" a="1"/>
  <c r="S459" i="39" s="1"/>
  <c r="R233" i="39" a="1"/>
  <c r="R233" i="39" s="1"/>
  <c r="S367" i="39" a="1"/>
  <c r="S367" i="39" s="1"/>
  <c r="R546" i="39" a="1"/>
  <c r="R546" i="39" s="1"/>
  <c r="R227" i="39" a="1"/>
  <c r="R227" i="39" s="1"/>
  <c r="S457" i="39" a="1"/>
  <c r="S457" i="39" s="1"/>
  <c r="R297" i="39" a="1"/>
  <c r="R297" i="39" s="1"/>
  <c r="S564" i="39" a="1"/>
  <c r="S564" i="39" s="1"/>
  <c r="S61" i="39" a="1"/>
  <c r="S61" i="39" s="1"/>
  <c r="S107" i="39" a="1"/>
  <c r="S107" i="39" s="1"/>
  <c r="R564" i="39" a="1"/>
  <c r="R564" i="39" s="1"/>
  <c r="S412" i="39" a="1"/>
  <c r="S412" i="39" s="1"/>
  <c r="R451" i="39" a="1"/>
  <c r="R451" i="39" s="1"/>
  <c r="R323" i="39" a="1"/>
  <c r="R323" i="39" s="1"/>
  <c r="R377" i="39" a="1"/>
  <c r="R377" i="39" s="1"/>
  <c r="S560" i="39" a="1"/>
  <c r="S560" i="39" s="1"/>
  <c r="S534" i="39" a="1"/>
  <c r="S534" i="39" s="1"/>
  <c r="S554" i="39" a="1"/>
  <c r="S554" i="39" s="1"/>
  <c r="S485" i="39" a="1"/>
  <c r="S485" i="39" s="1"/>
  <c r="S37" i="39" a="1"/>
  <c r="S37" i="39" s="1"/>
  <c r="S320" i="39" a="1"/>
  <c r="S320" i="39" s="1"/>
  <c r="R514" i="39" a="1"/>
  <c r="R514" i="39" s="1"/>
  <c r="R37" i="39" a="1"/>
  <c r="R37" i="39" s="1"/>
  <c r="R271" i="39" a="1"/>
  <c r="R271" i="39" s="1"/>
  <c r="R249" i="39" a="1"/>
  <c r="R249" i="39" s="1"/>
  <c r="R102" i="39" a="1"/>
  <c r="R102" i="39" s="1"/>
  <c r="S551" i="39" a="1"/>
  <c r="S551" i="39" s="1"/>
  <c r="S285" i="39" a="1"/>
  <c r="S285" i="39" s="1"/>
  <c r="S451" i="39" a="1"/>
  <c r="S451" i="39" s="1"/>
  <c r="S70" i="39" a="1"/>
  <c r="S70" i="39" s="1"/>
  <c r="R65" i="39" a="1"/>
  <c r="R65" i="39" s="1"/>
  <c r="R380" i="39" a="1"/>
  <c r="R380" i="39" s="1"/>
  <c r="S406" i="39" a="1"/>
  <c r="S406" i="39" s="1"/>
  <c r="S405" i="39" a="1"/>
  <c r="S405" i="39" s="1"/>
  <c r="S196" i="39" a="1"/>
  <c r="S196" i="39" s="1"/>
  <c r="R551" i="39" a="1"/>
  <c r="R551" i="39" s="1"/>
  <c r="S106" i="39" a="1"/>
  <c r="S106" i="39" s="1"/>
  <c r="R77" i="39" a="1"/>
  <c r="R77" i="39" s="1"/>
  <c r="S64" i="39" a="1"/>
  <c r="S64" i="39" s="1"/>
  <c r="S502" i="39" a="1"/>
  <c r="S502" i="39" s="1"/>
  <c r="R320" i="39" a="1"/>
  <c r="R320" i="39" s="1"/>
  <c r="S329" i="39" a="1"/>
  <c r="S329" i="39" s="1"/>
  <c r="S521" i="39" a="1"/>
  <c r="S521" i="39" s="1"/>
  <c r="S193" i="39" a="1"/>
  <c r="S193" i="39" s="1"/>
  <c r="S346" i="39" a="1"/>
  <c r="S346" i="39" s="1"/>
  <c r="R542" i="39" a="1"/>
  <c r="R542" i="39" s="1"/>
  <c r="S505" i="39" a="1"/>
  <c r="S505" i="39" s="1"/>
  <c r="J287" i="39" a="1"/>
  <c r="J287" i="39" s="1"/>
  <c r="J547" i="39" a="1"/>
  <c r="J547" i="39" s="1"/>
  <c r="K241" i="39" a="1"/>
  <c r="K241" i="39" s="1"/>
  <c r="K57" i="39" a="1"/>
  <c r="K57" i="39" s="1"/>
  <c r="K251" i="39" a="1"/>
  <c r="K251" i="39" s="1"/>
  <c r="J19" i="39" a="1"/>
  <c r="J19" i="39" s="1"/>
  <c r="R515" i="39" a="1"/>
  <c r="R515" i="39" s="1"/>
  <c r="R568" i="39" a="1"/>
  <c r="R568" i="39" s="1"/>
  <c r="R517" i="39" a="1"/>
  <c r="R517" i="39" s="1"/>
  <c r="R56" i="39" a="1"/>
  <c r="R56" i="39" s="1"/>
  <c r="S515" i="39" a="1"/>
  <c r="S515" i="39" s="1"/>
  <c r="S438" i="39" a="1"/>
  <c r="S438" i="39" s="1"/>
  <c r="S325" i="39" a="1"/>
  <c r="S325" i="39" s="1"/>
  <c r="K70" i="39" a="1"/>
  <c r="K70" i="39" s="1"/>
  <c r="K380" i="39" a="1"/>
  <c r="K380" i="39" s="1"/>
  <c r="K297" i="39" a="1"/>
  <c r="K297" i="39" s="1"/>
  <c r="K388" i="39" a="1"/>
  <c r="K388" i="39" s="1"/>
  <c r="R198" i="39" a="1"/>
  <c r="R198" i="39" s="1"/>
  <c r="R446" i="39" a="1"/>
  <c r="R446" i="39" s="1"/>
  <c r="R44" i="39" a="1"/>
  <c r="R44" i="39" s="1"/>
  <c r="S552" i="39" a="1"/>
  <c r="S552" i="39" s="1"/>
  <c r="S452" i="39" a="1"/>
  <c r="S452" i="39" s="1"/>
  <c r="S170" i="39" a="1"/>
  <c r="S170" i="39" s="1"/>
  <c r="S298" i="39" a="1"/>
  <c r="S298" i="39" s="1"/>
  <c r="J149" i="39" a="1"/>
  <c r="J149" i="39" s="1"/>
  <c r="K322" i="39" a="1"/>
  <c r="K322" i="39" s="1"/>
  <c r="S220" i="39" a="1"/>
  <c r="S220" i="39" s="1"/>
  <c r="S198" i="39" a="1"/>
  <c r="S198" i="39" s="1"/>
  <c r="S157" i="39" a="1"/>
  <c r="S157" i="39" s="1"/>
  <c r="S96" i="39" a="1"/>
  <c r="S96" i="39" s="1"/>
  <c r="S54" i="39" a="1"/>
  <c r="S54" i="39" s="1"/>
  <c r="S19" i="39" a="1"/>
  <c r="S19" i="39" s="1"/>
  <c r="J118" i="39" a="1"/>
  <c r="J118" i="39" s="1"/>
  <c r="R347" i="39" a="1"/>
  <c r="R347" i="39" s="1"/>
  <c r="R277" i="39" a="1"/>
  <c r="R277" i="39" s="1"/>
  <c r="R452" i="39" a="1"/>
  <c r="R452" i="39" s="1"/>
  <c r="R376" i="39" a="1"/>
  <c r="R376" i="39" s="1"/>
  <c r="R473" i="39" a="1"/>
  <c r="R473" i="39" s="1"/>
  <c r="R273" i="39" a="1"/>
  <c r="R273" i="39" s="1"/>
  <c r="R96" i="39" a="1"/>
  <c r="R96" i="39" s="1"/>
  <c r="S257" i="39" a="1"/>
  <c r="S257" i="39" s="1"/>
  <c r="S84" i="39" a="1"/>
  <c r="S84" i="39" s="1"/>
  <c r="S428" i="39" a="1"/>
  <c r="S428" i="39" s="1"/>
  <c r="S95" i="39" a="1"/>
  <c r="S95" i="39" s="1"/>
  <c r="K231" i="39" a="1"/>
  <c r="K231" i="39" s="1"/>
  <c r="K206" i="39" a="1"/>
  <c r="K206" i="39" s="1"/>
  <c r="J167" i="39" a="1"/>
  <c r="J167" i="39" s="1"/>
  <c r="K91" i="39" a="1"/>
  <c r="K91" i="39" s="1"/>
  <c r="S277" i="39" a="1"/>
  <c r="S277" i="39" s="1"/>
  <c r="S145" i="39" a="1"/>
  <c r="S145" i="39" s="1"/>
  <c r="R171" i="39" a="1"/>
  <c r="R171" i="39" s="1"/>
  <c r="R131" i="39" a="1"/>
  <c r="R131" i="39" s="1"/>
  <c r="R414" i="39" a="1"/>
  <c r="R414" i="39" s="1"/>
  <c r="R375" i="39" a="1"/>
  <c r="R375" i="39" s="1"/>
  <c r="R350" i="39" a="1"/>
  <c r="R350" i="39" s="1"/>
  <c r="R453" i="39" a="1"/>
  <c r="R453" i="39" s="1"/>
  <c r="R272" i="39" a="1"/>
  <c r="R272" i="39" s="1"/>
  <c r="R236" i="39" a="1"/>
  <c r="R236" i="39" s="1"/>
  <c r="R333" i="39" a="1"/>
  <c r="R333" i="39" s="1"/>
  <c r="R95" i="39" a="1"/>
  <c r="R95" i="39" s="1"/>
  <c r="R19" i="39" a="1"/>
  <c r="R19" i="39" s="1"/>
  <c r="S347" i="39" a="1"/>
  <c r="S347" i="39" s="1"/>
  <c r="S296" i="39" a="1"/>
  <c r="S296" i="39" s="1"/>
  <c r="S273" i="39" a="1"/>
  <c r="S273" i="39" s="1"/>
  <c r="K406" i="39" a="1"/>
  <c r="K406" i="39" s="1"/>
  <c r="K344" i="39" a="1"/>
  <c r="K344" i="39" s="1"/>
  <c r="K331" i="39" a="1"/>
  <c r="K331" i="39" s="1"/>
  <c r="J264" i="39" a="1"/>
  <c r="J264" i="39" s="1"/>
  <c r="S131" i="39" a="1"/>
  <c r="S131" i="39" s="1"/>
  <c r="S260" i="39" a="1"/>
  <c r="S260" i="39" s="1"/>
  <c r="S272" i="39" a="1"/>
  <c r="S272" i="39" s="1"/>
  <c r="S236" i="39" a="1"/>
  <c r="S236" i="39" s="1"/>
  <c r="S195" i="39" a="1"/>
  <c r="S195" i="39" s="1"/>
  <c r="S333" i="39" a="1"/>
  <c r="S333" i="39" s="1"/>
  <c r="S123" i="39" a="1"/>
  <c r="S123" i="39" s="1"/>
  <c r="K445" i="39" a="1"/>
  <c r="K445" i="39" s="1"/>
  <c r="K407" i="39" a="1"/>
  <c r="K407" i="39" s="1"/>
  <c r="J279" i="39" a="1"/>
  <c r="J279" i="39" s="1"/>
  <c r="K442" i="39" a="1"/>
  <c r="K442" i="39" s="1"/>
  <c r="J221" i="39" a="1"/>
  <c r="J221" i="39" s="1"/>
  <c r="S133" i="39" a="1"/>
  <c r="S133" i="39" s="1"/>
  <c r="S69" i="39" a="1"/>
  <c r="S69" i="39" s="1"/>
  <c r="S93" i="39" a="1"/>
  <c r="S93" i="39" s="1"/>
  <c r="K483" i="39" a="1"/>
  <c r="K483" i="39" s="1"/>
  <c r="K444" i="39" a="1"/>
  <c r="K444" i="39" s="1"/>
  <c r="J393" i="39" a="1"/>
  <c r="J393" i="39" s="1"/>
  <c r="K367" i="39" a="1"/>
  <c r="K367" i="39" s="1"/>
  <c r="J342" i="39" a="1"/>
  <c r="J342" i="39" s="1"/>
  <c r="K265" i="39" a="1"/>
  <c r="K265" i="39" s="1"/>
  <c r="K12" i="39" a="1"/>
  <c r="K12" i="39" s="1"/>
  <c r="R466" i="39" a="1"/>
  <c r="R466" i="39" s="1"/>
  <c r="R247" i="39" a="1"/>
  <c r="R247" i="39" s="1"/>
  <c r="S546" i="39" a="1"/>
  <c r="S546" i="39" s="1"/>
  <c r="S275" i="39" a="1"/>
  <c r="S275" i="39" s="1"/>
  <c r="S453" i="39" a="1"/>
  <c r="S453" i="39" s="1"/>
  <c r="R469" i="39" a="1"/>
  <c r="R469" i="39" s="1"/>
  <c r="K530" i="39" a="1"/>
  <c r="K530" i="39" s="1"/>
  <c r="K103" i="39" a="1"/>
  <c r="K103" i="39" s="1"/>
  <c r="K354" i="39" a="1"/>
  <c r="K354" i="39" s="1"/>
  <c r="R119" i="39" a="1"/>
  <c r="R119" i="39" s="1"/>
  <c r="R337" i="39" a="1"/>
  <c r="R337" i="39" s="1"/>
  <c r="J11" i="39" a="1"/>
  <c r="J11" i="39" s="1"/>
  <c r="R133" i="39" a="1"/>
  <c r="R133" i="39" s="1"/>
  <c r="S235" i="39" a="1"/>
  <c r="S235" i="39" s="1"/>
  <c r="S251" i="39" a="1"/>
  <c r="S251" i="39" s="1"/>
  <c r="R69" i="39" a="1"/>
  <c r="R69" i="39" s="1"/>
  <c r="R93" i="39" a="1"/>
  <c r="R93" i="39" s="1"/>
  <c r="S376" i="39" a="1"/>
  <c r="S376" i="39" s="1"/>
  <c r="S350" i="39" a="1"/>
  <c r="S350" i="39" s="1"/>
  <c r="S247" i="39" a="1"/>
  <c r="S247" i="39" s="1"/>
  <c r="S30" i="39" a="1"/>
  <c r="S30" i="39" s="1"/>
  <c r="K378" i="39" a="1"/>
  <c r="K378" i="39" s="1"/>
  <c r="K262" i="39" a="1"/>
  <c r="K262" i="39" s="1"/>
  <c r="K190" i="39" a="1"/>
  <c r="K190" i="39" s="1"/>
  <c r="K399" i="39" a="1"/>
  <c r="K399" i="39" s="1"/>
  <c r="K188" i="39" a="1"/>
  <c r="K188" i="39" s="1"/>
  <c r="K23" i="39" a="1"/>
  <c r="K23" i="39" s="1"/>
  <c r="K82" i="39" a="1"/>
  <c r="K82" i="39" s="1"/>
  <c r="J552" i="39" a="1"/>
  <c r="J552" i="39" s="1"/>
  <c r="J444" i="39" a="1"/>
  <c r="J444" i="39" s="1"/>
  <c r="J388" i="39" a="1"/>
  <c r="J388" i="39" s="1"/>
  <c r="J367" i="39" a="1"/>
  <c r="J367" i="39" s="1"/>
  <c r="J231" i="39" a="1"/>
  <c r="J231" i="39" s="1"/>
  <c r="J12" i="39" a="1"/>
  <c r="J12" i="39" s="1"/>
  <c r="K279" i="39" a="1"/>
  <c r="K279" i="39" s="1"/>
  <c r="K221" i="39" a="1"/>
  <c r="K221" i="39" s="1"/>
  <c r="R226" i="39" a="1"/>
  <c r="R226" i="39" s="1"/>
  <c r="S430" i="39" a="1"/>
  <c r="S430" i="39" s="1"/>
  <c r="J534" i="39" a="1"/>
  <c r="J534" i="39" s="1"/>
  <c r="K534" i="39" a="1"/>
  <c r="K534" i="39" s="1"/>
  <c r="K521" i="39" a="1"/>
  <c r="K521" i="39" s="1"/>
  <c r="J521" i="39" a="1"/>
  <c r="J521" i="39" s="1"/>
  <c r="K454" i="39" a="1"/>
  <c r="K454" i="39" s="1"/>
  <c r="J454" i="39" a="1"/>
  <c r="J454" i="39" s="1"/>
  <c r="K456" i="39" a="1"/>
  <c r="K456" i="39" s="1"/>
  <c r="K470" i="39" a="1"/>
  <c r="K470" i="39" s="1"/>
  <c r="J470" i="39" a="1"/>
  <c r="J470" i="39" s="1"/>
  <c r="K457" i="39" a="1"/>
  <c r="K457" i="39" s="1"/>
  <c r="J457" i="39" a="1"/>
  <c r="J457" i="39" s="1"/>
  <c r="K431" i="39" a="1"/>
  <c r="K431" i="39" s="1"/>
  <c r="J431" i="39" a="1"/>
  <c r="J431" i="39" s="1"/>
  <c r="K202" i="39" a="1"/>
  <c r="K202" i="39" s="1"/>
  <c r="J202" i="39" a="1"/>
  <c r="J202" i="39" s="1"/>
  <c r="K58" i="39" a="1"/>
  <c r="K58" i="39" s="1"/>
  <c r="K417" i="39" a="1"/>
  <c r="K417" i="39" s="1"/>
  <c r="J417" i="39" a="1"/>
  <c r="J417" i="39" s="1"/>
  <c r="K233" i="39" a="1"/>
  <c r="K233" i="39" s="1"/>
  <c r="J233" i="39" a="1"/>
  <c r="J233" i="39" s="1"/>
  <c r="K137" i="39" a="1"/>
  <c r="K137" i="39" s="1"/>
  <c r="K291" i="39" a="1"/>
  <c r="K291" i="39" s="1"/>
  <c r="J291" i="39" a="1"/>
  <c r="J291" i="39" s="1"/>
  <c r="K278" i="39" a="1"/>
  <c r="K278" i="39" s="1"/>
  <c r="J278" i="39" a="1"/>
  <c r="J278" i="39" s="1"/>
  <c r="K253" i="39" a="1"/>
  <c r="K253" i="39" s="1"/>
  <c r="J253" i="39" a="1"/>
  <c r="J253" i="39" s="1"/>
  <c r="J240" i="39" a="1"/>
  <c r="J240" i="39" s="1"/>
  <c r="K240" i="39" a="1"/>
  <c r="K240" i="39" s="1"/>
  <c r="K227" i="39" a="1"/>
  <c r="K227" i="39" s="1"/>
  <c r="J227" i="39" a="1"/>
  <c r="J227" i="39" s="1"/>
  <c r="K215" i="39" a="1"/>
  <c r="K215" i="39" s="1"/>
  <c r="J215" i="39" a="1"/>
  <c r="J215" i="39" s="1"/>
  <c r="K459" i="39" a="1"/>
  <c r="K459" i="39" s="1"/>
  <c r="J459" i="39" a="1"/>
  <c r="J459" i="39" s="1"/>
  <c r="K189" i="39" a="1"/>
  <c r="K189" i="39" s="1"/>
  <c r="J189" i="39" a="1"/>
  <c r="J189" i="39" s="1"/>
  <c r="J164" i="39" a="1"/>
  <c r="J164" i="39" s="1"/>
  <c r="K164" i="39" a="1"/>
  <c r="K164" i="39" s="1"/>
  <c r="J151" i="39" a="1"/>
  <c r="J151" i="39" s="1"/>
  <c r="K151" i="39" a="1"/>
  <c r="K151" i="39" s="1"/>
  <c r="K138" i="39" a="1"/>
  <c r="K138" i="39" s="1"/>
  <c r="J138" i="39" a="1"/>
  <c r="J138" i="39" s="1"/>
  <c r="J126" i="39" a="1"/>
  <c r="J126" i="39" s="1"/>
  <c r="K126" i="39" a="1"/>
  <c r="K126" i="39" s="1"/>
  <c r="K114" i="39" a="1"/>
  <c r="K114" i="39" s="1"/>
  <c r="J114" i="39" a="1"/>
  <c r="J114" i="39" s="1"/>
  <c r="K381" i="39" a="1"/>
  <c r="K381" i="39" s="1"/>
  <c r="J381" i="39" a="1"/>
  <c r="J381" i="39" s="1"/>
  <c r="K87" i="39" a="1"/>
  <c r="K87" i="39" s="1"/>
  <c r="J87" i="39" a="1"/>
  <c r="J87" i="39" s="1"/>
  <c r="J502" i="39" a="1"/>
  <c r="J502" i="39" s="1"/>
  <c r="J445" i="39" a="1"/>
  <c r="J445" i="39" s="1"/>
  <c r="J322" i="39" a="1"/>
  <c r="J322" i="39" s="1"/>
  <c r="K342" i="39" a="1"/>
  <c r="K342" i="39" s="1"/>
  <c r="K533" i="39" a="1"/>
  <c r="K533" i="39" s="1"/>
  <c r="J533" i="39" a="1"/>
  <c r="J533" i="39" s="1"/>
  <c r="K413" i="39" a="1"/>
  <c r="K413" i="39" s="1"/>
  <c r="J413" i="39" a="1"/>
  <c r="J413" i="39" s="1"/>
  <c r="K494" i="39" a="1"/>
  <c r="K494" i="39" s="1"/>
  <c r="J494" i="39" a="1"/>
  <c r="J494" i="39" s="1"/>
  <c r="K482" i="39" a="1"/>
  <c r="K482" i="39" s="1"/>
  <c r="J482" i="39" a="1"/>
  <c r="J482" i="39" s="1"/>
  <c r="K469" i="39" a="1"/>
  <c r="K469" i="39" s="1"/>
  <c r="J469" i="39" a="1"/>
  <c r="J469" i="39" s="1"/>
  <c r="K474" i="39" a="1"/>
  <c r="K474" i="39" s="1"/>
  <c r="K430" i="39" a="1"/>
  <c r="K430" i="39" s="1"/>
  <c r="J430" i="39" a="1"/>
  <c r="J430" i="39" s="1"/>
  <c r="K404" i="39" a="1"/>
  <c r="K404" i="39" s="1"/>
  <c r="J404" i="39" a="1"/>
  <c r="J404" i="39" s="1"/>
  <c r="K392" i="39" a="1"/>
  <c r="K392" i="39" s="1"/>
  <c r="J392" i="39" a="1"/>
  <c r="J392" i="39" s="1"/>
  <c r="K437" i="39" a="1"/>
  <c r="K437" i="39" s="1"/>
  <c r="J437" i="39" a="1"/>
  <c r="J437" i="39" s="1"/>
  <c r="K366" i="39" a="1"/>
  <c r="K366" i="39" s="1"/>
  <c r="J366" i="39" a="1"/>
  <c r="J366" i="39" s="1"/>
  <c r="K119" i="39" a="1"/>
  <c r="K119" i="39" s="1"/>
  <c r="J119" i="39" a="1"/>
  <c r="J119" i="39" s="1"/>
  <c r="K208" i="39" a="1"/>
  <c r="K208" i="39" s="1"/>
  <c r="J208" i="39" a="1"/>
  <c r="J208" i="39" s="1"/>
  <c r="J315" i="39" a="1"/>
  <c r="J315" i="39" s="1"/>
  <c r="K315" i="39" a="1"/>
  <c r="K315" i="39" s="1"/>
  <c r="K290" i="39" a="1"/>
  <c r="K290" i="39" s="1"/>
  <c r="J290" i="39" a="1"/>
  <c r="J290" i="39" s="1"/>
  <c r="K341" i="39" a="1"/>
  <c r="K341" i="39" s="1"/>
  <c r="J341" i="39" a="1"/>
  <c r="J341" i="39" s="1"/>
  <c r="K156" i="39" a="1"/>
  <c r="K156" i="39" s="1"/>
  <c r="K239" i="39" a="1"/>
  <c r="K239" i="39" s="1"/>
  <c r="J239" i="39" a="1"/>
  <c r="J239" i="39" s="1"/>
  <c r="K226" i="39" a="1"/>
  <c r="K226" i="39" s="1"/>
  <c r="J226" i="39" a="1"/>
  <c r="J226" i="39" s="1"/>
  <c r="K214" i="39" a="1"/>
  <c r="K214" i="39" s="1"/>
  <c r="J214" i="39" a="1"/>
  <c r="J214" i="39" s="1"/>
  <c r="K379" i="39" a="1"/>
  <c r="K379" i="39" s="1"/>
  <c r="J379" i="39" a="1"/>
  <c r="J379" i="39" s="1"/>
  <c r="K303" i="39" a="1"/>
  <c r="K303" i="39" s="1"/>
  <c r="J303" i="39" a="1"/>
  <c r="J303" i="39" s="1"/>
  <c r="J176" i="39" a="1"/>
  <c r="J176" i="39" s="1"/>
  <c r="K176" i="39" a="1"/>
  <c r="K176" i="39" s="1"/>
  <c r="J163" i="39" a="1"/>
  <c r="J163" i="39" s="1"/>
  <c r="K163" i="39" a="1"/>
  <c r="K163" i="39" s="1"/>
  <c r="J150" i="39" a="1"/>
  <c r="J150" i="39" s="1"/>
  <c r="K150" i="39" a="1"/>
  <c r="K150" i="39" s="1"/>
  <c r="J337" i="39" a="1"/>
  <c r="J337" i="39" s="1"/>
  <c r="K337" i="39" a="1"/>
  <c r="K337" i="39" s="1"/>
  <c r="K125" i="39" a="1"/>
  <c r="K125" i="39" s="1"/>
  <c r="J125" i="39" a="1"/>
  <c r="J125" i="39" s="1"/>
  <c r="K97" i="39" a="1"/>
  <c r="K97" i="39" s="1"/>
  <c r="J97" i="39" a="1"/>
  <c r="J97" i="39" s="1"/>
  <c r="K99" i="39" a="1"/>
  <c r="K99" i="39" s="1"/>
  <c r="J99" i="39" a="1"/>
  <c r="J99" i="39" s="1"/>
  <c r="J86" i="39" a="1"/>
  <c r="J86" i="39" s="1"/>
  <c r="K86" i="39" a="1"/>
  <c r="K86" i="39" s="1"/>
  <c r="K432" i="39" a="1"/>
  <c r="K432" i="39" s="1"/>
  <c r="J432" i="39" a="1"/>
  <c r="J432" i="39" s="1"/>
  <c r="J120" i="39" a="1"/>
  <c r="J120" i="39" s="1"/>
  <c r="K120" i="39" a="1"/>
  <c r="K120" i="39" s="1"/>
  <c r="J35" i="39" a="1"/>
  <c r="J35" i="39" s="1"/>
  <c r="K35" i="39" a="1"/>
  <c r="K35" i="39" s="1"/>
  <c r="R315" i="39" a="1"/>
  <c r="R315" i="39" s="1"/>
  <c r="R303" i="39" a="1"/>
  <c r="R303" i="39" s="1"/>
  <c r="R432" i="39" a="1"/>
  <c r="R432" i="39" s="1"/>
  <c r="S404" i="39" a="1"/>
  <c r="S404" i="39" s="1"/>
  <c r="S366" i="39" a="1"/>
  <c r="S366" i="39" s="1"/>
  <c r="S208" i="39" a="1"/>
  <c r="S208" i="39" s="1"/>
  <c r="S290" i="39" a="1"/>
  <c r="S290" i="39" s="1"/>
  <c r="S163" i="39" a="1"/>
  <c r="S163" i="39" s="1"/>
  <c r="S86" i="39" a="1"/>
  <c r="S86" i="39" s="1"/>
  <c r="K329" i="39" a="1"/>
  <c r="K329" i="39" s="1"/>
  <c r="J329" i="39" a="1"/>
  <c r="J329" i="39" s="1"/>
  <c r="K556" i="39" a="1"/>
  <c r="K556" i="39" s="1"/>
  <c r="J556" i="39" a="1"/>
  <c r="J556" i="39" s="1"/>
  <c r="K73" i="39" a="1"/>
  <c r="K73" i="39" s="1"/>
  <c r="J73" i="39" a="1"/>
  <c r="J73" i="39" s="1"/>
  <c r="K532" i="39" a="1"/>
  <c r="K532" i="39" s="1"/>
  <c r="J532" i="39" a="1"/>
  <c r="J532" i="39" s="1"/>
  <c r="K443" i="39" a="1"/>
  <c r="K443" i="39" s="1"/>
  <c r="J443" i="39" a="1"/>
  <c r="J443" i="39" s="1"/>
  <c r="K493" i="39" a="1"/>
  <c r="K493" i="39" s="1"/>
  <c r="J493" i="39" a="1"/>
  <c r="J493" i="39" s="1"/>
  <c r="K400" i="39" a="1"/>
  <c r="K400" i="39" s="1"/>
  <c r="J400" i="39" a="1"/>
  <c r="J400" i="39" s="1"/>
  <c r="K495" i="39" a="1"/>
  <c r="K495" i="39" s="1"/>
  <c r="J495" i="39" a="1"/>
  <c r="J495" i="39" s="1"/>
  <c r="K441" i="39" a="1"/>
  <c r="K441" i="39" s="1"/>
  <c r="J441" i="39" a="1"/>
  <c r="J441" i="39" s="1"/>
  <c r="K416" i="39" a="1"/>
  <c r="K416" i="39" s="1"/>
  <c r="J416" i="39" a="1"/>
  <c r="J416" i="39" s="1"/>
  <c r="K403" i="39" a="1"/>
  <c r="K403" i="39" s="1"/>
  <c r="J403" i="39" a="1"/>
  <c r="J403" i="39" s="1"/>
  <c r="K353" i="39" a="1"/>
  <c r="K353" i="39" s="1"/>
  <c r="J353" i="39" a="1"/>
  <c r="J353" i="39" s="1"/>
  <c r="K340" i="39" a="1"/>
  <c r="K340" i="39" s="1"/>
  <c r="J340" i="39" a="1"/>
  <c r="J340" i="39" s="1"/>
  <c r="K101" i="39" a="1"/>
  <c r="K101" i="39" s="1"/>
  <c r="J101" i="39" a="1"/>
  <c r="J101" i="39" s="1"/>
  <c r="K314" i="39" a="1"/>
  <c r="K314" i="39" s="1"/>
  <c r="J314" i="39" a="1"/>
  <c r="J314" i="39" s="1"/>
  <c r="K302" i="39" a="1"/>
  <c r="K302" i="39" s="1"/>
  <c r="J302" i="39" a="1"/>
  <c r="J302" i="39" s="1"/>
  <c r="K426" i="39" a="1"/>
  <c r="K426" i="39" s="1"/>
  <c r="J426" i="39" a="1"/>
  <c r="J426" i="39" s="1"/>
  <c r="K238" i="39" a="1"/>
  <c r="K238" i="39" s="1"/>
  <c r="J238" i="39" a="1"/>
  <c r="J238" i="39" s="1"/>
  <c r="J225" i="39" a="1"/>
  <c r="J225" i="39" s="1"/>
  <c r="K225" i="39" a="1"/>
  <c r="K225" i="39" s="1"/>
  <c r="K200" i="39" a="1"/>
  <c r="K200" i="39" s="1"/>
  <c r="J200" i="39" a="1"/>
  <c r="J200" i="39" s="1"/>
  <c r="K243" i="39" a="1"/>
  <c r="K243" i="39" s="1"/>
  <c r="J243" i="39" a="1"/>
  <c r="J243" i="39" s="1"/>
  <c r="K217" i="39" a="1"/>
  <c r="K217" i="39" s="1"/>
  <c r="J165" i="39" a="1"/>
  <c r="J165" i="39" s="1"/>
  <c r="K165" i="39" a="1"/>
  <c r="K165" i="39" s="1"/>
  <c r="K204" i="39" a="1"/>
  <c r="K204" i="39" s="1"/>
  <c r="K112" i="39" a="1"/>
  <c r="K112" i="39" s="1"/>
  <c r="J112" i="39" a="1"/>
  <c r="J112" i="39" s="1"/>
  <c r="K386" i="39" a="1"/>
  <c r="K386" i="39" s="1"/>
  <c r="J386" i="39" a="1"/>
  <c r="J386" i="39" s="1"/>
  <c r="J85" i="39" a="1"/>
  <c r="J85" i="39" s="1"/>
  <c r="K85" i="39" a="1"/>
  <c r="K85" i="39" s="1"/>
  <c r="K60" i="39" a="1"/>
  <c r="K60" i="39" s="1"/>
  <c r="J60" i="39" a="1"/>
  <c r="J60" i="39" s="1"/>
  <c r="J47" i="39" a="1"/>
  <c r="J47" i="39" s="1"/>
  <c r="K47" i="39" a="1"/>
  <c r="K47" i="39" s="1"/>
  <c r="K348" i="39" a="1"/>
  <c r="K348" i="39" s="1"/>
  <c r="J348" i="39" a="1"/>
  <c r="J348" i="39" s="1"/>
  <c r="J546" i="39" a="1"/>
  <c r="J546" i="39" s="1"/>
  <c r="J378" i="39" a="1"/>
  <c r="J378" i="39" s="1"/>
  <c r="J380" i="39" a="1"/>
  <c r="J380" i="39" s="1"/>
  <c r="K287" i="39" a="1"/>
  <c r="K287" i="39" s="1"/>
  <c r="J570" i="39" a="1"/>
  <c r="J570" i="39" s="1"/>
  <c r="K570" i="39" a="1"/>
  <c r="K570" i="39" s="1"/>
  <c r="K555" i="39" a="1"/>
  <c r="K555" i="39" s="1"/>
  <c r="J555" i="39" a="1"/>
  <c r="J555" i="39" s="1"/>
  <c r="J543" i="39" a="1"/>
  <c r="J543" i="39" s="1"/>
  <c r="K543" i="39" a="1"/>
  <c r="K543" i="39" s="1"/>
  <c r="K531" i="39" a="1"/>
  <c r="K531" i="39" s="1"/>
  <c r="J531" i="39" a="1"/>
  <c r="J531" i="39" s="1"/>
  <c r="K506" i="39" a="1"/>
  <c r="K506" i="39" s="1"/>
  <c r="J506" i="39" a="1"/>
  <c r="J506" i="39" s="1"/>
  <c r="K492" i="39" a="1"/>
  <c r="K492" i="39" s="1"/>
  <c r="J492" i="39" a="1"/>
  <c r="J492" i="39" s="1"/>
  <c r="K468" i="39" a="1"/>
  <c r="K468" i="39" s="1"/>
  <c r="J468" i="39" a="1"/>
  <c r="J468" i="39" s="1"/>
  <c r="K387" i="39" a="1"/>
  <c r="K387" i="39" s="1"/>
  <c r="J387" i="39" a="1"/>
  <c r="J387" i="39" s="1"/>
  <c r="K440" i="39" a="1"/>
  <c r="K440" i="39" s="1"/>
  <c r="J440" i="39" a="1"/>
  <c r="J440" i="39" s="1"/>
  <c r="K415" i="39" a="1"/>
  <c r="K415" i="39" s="1"/>
  <c r="J415" i="39" a="1"/>
  <c r="J415" i="39" s="1"/>
  <c r="K402" i="39" a="1"/>
  <c r="K402" i="39" s="1"/>
  <c r="J402" i="39" a="1"/>
  <c r="J402" i="39" s="1"/>
  <c r="K398" i="39" a="1"/>
  <c r="K398" i="39" s="1"/>
  <c r="J398" i="39" a="1"/>
  <c r="J398" i="39" s="1"/>
  <c r="K209" i="39" a="1"/>
  <c r="K209" i="39" s="1"/>
  <c r="J209" i="39" a="1"/>
  <c r="J209" i="39" s="1"/>
  <c r="K274" i="39" a="1"/>
  <c r="K274" i="39" s="1"/>
  <c r="K339" i="39" a="1"/>
  <c r="K339" i="39" s="1"/>
  <c r="J339" i="39" a="1"/>
  <c r="J339" i="39" s="1"/>
  <c r="K326" i="39" a="1"/>
  <c r="K326" i="39" s="1"/>
  <c r="J326" i="39" a="1"/>
  <c r="J326" i="39" s="1"/>
  <c r="K557" i="39" a="1"/>
  <c r="K557" i="39" s="1"/>
  <c r="J557" i="39" a="1"/>
  <c r="J557" i="39" s="1"/>
  <c r="K301" i="39" a="1"/>
  <c r="K301" i="39" s="1"/>
  <c r="J301" i="39" a="1"/>
  <c r="J301" i="39" s="1"/>
  <c r="K158" i="39" a="1"/>
  <c r="K158" i="39" s="1"/>
  <c r="J158" i="39" a="1"/>
  <c r="J158" i="39" s="1"/>
  <c r="K261" i="39" a="1"/>
  <c r="K261" i="39" s="1"/>
  <c r="J261" i="39" a="1"/>
  <c r="J261" i="39" s="1"/>
  <c r="K250" i="39" a="1"/>
  <c r="K250" i="39" s="1"/>
  <c r="J250" i="39" a="1"/>
  <c r="J250" i="39" s="1"/>
  <c r="K71" i="39" a="1"/>
  <c r="K71" i="39" s="1"/>
  <c r="J71" i="39" a="1"/>
  <c r="J71" i="39" s="1"/>
  <c r="K199" i="39" a="1"/>
  <c r="K199" i="39" s="1"/>
  <c r="J199" i="39" a="1"/>
  <c r="J199" i="39" s="1"/>
  <c r="J186" i="39" a="1"/>
  <c r="J186" i="39" s="1"/>
  <c r="K186" i="39" a="1"/>
  <c r="K186" i="39" s="1"/>
  <c r="J173" i="39" a="1"/>
  <c r="J173" i="39" s="1"/>
  <c r="K173" i="39" a="1"/>
  <c r="K173" i="39" s="1"/>
  <c r="K148" i="39" a="1"/>
  <c r="K148" i="39" s="1"/>
  <c r="J148" i="39" a="1"/>
  <c r="J148" i="39" s="1"/>
  <c r="K174" i="39" a="1"/>
  <c r="K174" i="39" s="1"/>
  <c r="J174" i="39" a="1"/>
  <c r="J174" i="39" s="1"/>
  <c r="K282" i="39" a="1"/>
  <c r="K282" i="39" s="1"/>
  <c r="J98" i="39" a="1"/>
  <c r="J98" i="39" s="1"/>
  <c r="K98" i="39" a="1"/>
  <c r="K98" i="39" s="1"/>
  <c r="J508" i="39" a="1"/>
  <c r="J508" i="39" s="1"/>
  <c r="K508" i="39" a="1"/>
  <c r="K508" i="39" s="1"/>
  <c r="K72" i="39" a="1"/>
  <c r="K72" i="39" s="1"/>
  <c r="J72" i="39" a="1"/>
  <c r="J72" i="39" s="1"/>
  <c r="J545" i="39" a="1"/>
  <c r="J545" i="39" s="1"/>
  <c r="J277" i="39" a="1"/>
  <c r="J277" i="39" s="1"/>
  <c r="K259" i="39" a="1"/>
  <c r="K259" i="39" s="1"/>
  <c r="K171" i="39" a="1"/>
  <c r="K171" i="39" s="1"/>
  <c r="J171" i="39" a="1"/>
  <c r="J171" i="39" s="1"/>
  <c r="K159" i="39" a="1"/>
  <c r="K159" i="39" s="1"/>
  <c r="K191" i="39" a="1"/>
  <c r="K191" i="39" s="1"/>
  <c r="K505" i="39" a="1"/>
  <c r="K505" i="39" s="1"/>
  <c r="J505" i="39" a="1"/>
  <c r="J505" i="39" s="1"/>
  <c r="K479" i="39" a="1"/>
  <c r="K479" i="39" s="1"/>
  <c r="J479" i="39" a="1"/>
  <c r="J479" i="39" s="1"/>
  <c r="K466" i="39" a="1"/>
  <c r="K466" i="39" s="1"/>
  <c r="J466" i="39" a="1"/>
  <c r="J466" i="39" s="1"/>
  <c r="K438" i="39" a="1"/>
  <c r="K438" i="39" s="1"/>
  <c r="J438" i="39" a="1"/>
  <c r="J438" i="39" s="1"/>
  <c r="K346" i="39" a="1"/>
  <c r="K346" i="39" s="1"/>
  <c r="J346" i="39" a="1"/>
  <c r="J346" i="39" s="1"/>
  <c r="K427" i="39" a="1"/>
  <c r="K427" i="39" s="1"/>
  <c r="J427" i="39" a="1"/>
  <c r="J427" i="39" s="1"/>
  <c r="K414" i="39" a="1"/>
  <c r="K414" i="39" s="1"/>
  <c r="J414" i="39" a="1"/>
  <c r="J414" i="39" s="1"/>
  <c r="K296" i="39" a="1"/>
  <c r="K296" i="39" s="1"/>
  <c r="J296" i="39" a="1"/>
  <c r="J296" i="39" s="1"/>
  <c r="K389" i="39" a="1"/>
  <c r="K389" i="39" s="1"/>
  <c r="J389" i="39" a="1"/>
  <c r="J389" i="39" s="1"/>
  <c r="K376" i="39" a="1"/>
  <c r="K376" i="39" s="1"/>
  <c r="J376" i="39" a="1"/>
  <c r="J376" i="39" s="1"/>
  <c r="K145" i="39" a="1"/>
  <c r="K145" i="39" s="1"/>
  <c r="J145" i="39" a="1"/>
  <c r="J145" i="39" s="1"/>
  <c r="K350" i="39" a="1"/>
  <c r="K350" i="39" s="1"/>
  <c r="J350" i="39" a="1"/>
  <c r="J350" i="39" s="1"/>
  <c r="J325" i="39" a="1"/>
  <c r="J325" i="39" s="1"/>
  <c r="K325" i="39" a="1"/>
  <c r="K325" i="39" s="1"/>
  <c r="K473" i="39" a="1"/>
  <c r="K473" i="39" s="1"/>
  <c r="J473" i="39" a="1"/>
  <c r="J473" i="39" s="1"/>
  <c r="K460" i="39" a="1"/>
  <c r="K460" i="39" s="1"/>
  <c r="K273" i="39" a="1"/>
  <c r="K273" i="39" s="1"/>
  <c r="J273" i="39" a="1"/>
  <c r="J273" i="39" s="1"/>
  <c r="K527" i="39" a="1"/>
  <c r="K527" i="39" s="1"/>
  <c r="J527" i="39" a="1"/>
  <c r="J527" i="39" s="1"/>
  <c r="K477" i="39" a="1"/>
  <c r="K477" i="39" s="1"/>
  <c r="K236" i="39" a="1"/>
  <c r="K236" i="39" s="1"/>
  <c r="J236" i="39" a="1"/>
  <c r="J236" i="39" s="1"/>
  <c r="K516" i="39" a="1"/>
  <c r="K516" i="39" s="1"/>
  <c r="J516" i="39" a="1"/>
  <c r="J516" i="39" s="1"/>
  <c r="K211" i="39" a="1"/>
  <c r="K211" i="39" s="1"/>
  <c r="J211" i="39" a="1"/>
  <c r="J211" i="39" s="1"/>
  <c r="K198" i="39" a="1"/>
  <c r="K198" i="39" s="1"/>
  <c r="J198" i="39" a="1"/>
  <c r="J198" i="39" s="1"/>
  <c r="J48" i="39" a="1"/>
  <c r="J48" i="39" s="1"/>
  <c r="K48" i="39" a="1"/>
  <c r="K48" i="39" s="1"/>
  <c r="J333" i="39" a="1"/>
  <c r="J333" i="39" s="1"/>
  <c r="K333" i="39" a="1"/>
  <c r="K333" i="39" s="1"/>
  <c r="K160" i="39" a="1"/>
  <c r="K160" i="39" s="1"/>
  <c r="J160" i="39" a="1"/>
  <c r="J160" i="39" s="1"/>
  <c r="K123" i="39" a="1"/>
  <c r="K123" i="39" s="1"/>
  <c r="J123" i="39" a="1"/>
  <c r="J123" i="39" s="1"/>
  <c r="K122" i="39" a="1"/>
  <c r="K122" i="39" s="1"/>
  <c r="J122" i="39" a="1"/>
  <c r="J122" i="39" s="1"/>
  <c r="J96" i="39" a="1"/>
  <c r="J96" i="39" s="1"/>
  <c r="K96" i="39" a="1"/>
  <c r="K96" i="39" s="1"/>
  <c r="K517" i="39" a="1"/>
  <c r="K517" i="39" s="1"/>
  <c r="J517" i="39" a="1"/>
  <c r="J517" i="39" s="1"/>
  <c r="K490" i="39" a="1"/>
  <c r="K490" i="39" s="1"/>
  <c r="K56" i="39" a="1"/>
  <c r="K56" i="39" s="1"/>
  <c r="J56" i="39" a="1"/>
  <c r="J56" i="39" s="1"/>
  <c r="K313" i="39" a="1"/>
  <c r="K313" i="39" s="1"/>
  <c r="K8" i="39" a="1"/>
  <c r="K8" i="39" s="1"/>
  <c r="J8" i="39" a="1"/>
  <c r="J8" i="39" s="1"/>
  <c r="J483" i="39" a="1"/>
  <c r="J483" i="39" s="1"/>
  <c r="K542" i="39" a="1"/>
  <c r="K542" i="39" s="1"/>
  <c r="R569" i="39" a="1"/>
  <c r="R569" i="39" s="1"/>
  <c r="R404" i="39" a="1"/>
  <c r="R404" i="39" s="1"/>
  <c r="R366" i="39" a="1"/>
  <c r="R366" i="39" s="1"/>
  <c r="R239" i="39" a="1"/>
  <c r="R239" i="39" s="1"/>
  <c r="R379" i="39" a="1"/>
  <c r="R379" i="39" s="1"/>
  <c r="S482" i="39" a="1"/>
  <c r="S482" i="39" s="1"/>
  <c r="S214" i="39" a="1"/>
  <c r="S214" i="39" s="1"/>
  <c r="S99" i="39" a="1"/>
  <c r="S99" i="39" s="1"/>
  <c r="K135" i="39" a="1"/>
  <c r="K135" i="39" s="1"/>
  <c r="J135" i="39" a="1"/>
  <c r="J135" i="39" s="1"/>
  <c r="K131" i="39" a="1"/>
  <c r="K131" i="39" s="1"/>
  <c r="J131" i="39" a="1"/>
  <c r="J131" i="39" s="1"/>
  <c r="K515" i="39" a="1"/>
  <c r="K515" i="39" s="1"/>
  <c r="J515" i="39" a="1"/>
  <c r="J515" i="39" s="1"/>
  <c r="K503" i="39" a="1"/>
  <c r="K503" i="39" s="1"/>
  <c r="J503" i="39" a="1"/>
  <c r="J503" i="39" s="1"/>
  <c r="K257" i="39" a="1"/>
  <c r="K257" i="39" s="1"/>
  <c r="J257" i="39" a="1"/>
  <c r="J257" i="39" s="1"/>
  <c r="K478" i="39" a="1"/>
  <c r="K478" i="39" s="1"/>
  <c r="J478" i="39" a="1"/>
  <c r="J478" i="39" s="1"/>
  <c r="K452" i="39" a="1"/>
  <c r="K452" i="39" s="1"/>
  <c r="J452" i="39" a="1"/>
  <c r="J452" i="39" s="1"/>
  <c r="K275" i="39" a="1"/>
  <c r="K275" i="39" s="1"/>
  <c r="J275" i="39" a="1"/>
  <c r="J275" i="39" s="1"/>
  <c r="K223" i="39" a="1"/>
  <c r="K223" i="39" s="1"/>
  <c r="K127" i="39" a="1"/>
  <c r="K127" i="39" s="1"/>
  <c r="J127" i="39" a="1"/>
  <c r="J127" i="39" s="1"/>
  <c r="K260" i="39" a="1"/>
  <c r="K260" i="39" s="1"/>
  <c r="J260" i="39" a="1"/>
  <c r="J260" i="39" s="1"/>
  <c r="K375" i="39" a="1"/>
  <c r="K375" i="39" s="1"/>
  <c r="J375" i="39" a="1"/>
  <c r="J375" i="39" s="1"/>
  <c r="K84" i="39" a="1"/>
  <c r="K84" i="39" s="1"/>
  <c r="J84" i="39" a="1"/>
  <c r="J84" i="39" s="1"/>
  <c r="K349" i="39" a="1"/>
  <c r="K349" i="39" s="1"/>
  <c r="J349" i="39" a="1"/>
  <c r="J349" i="39" s="1"/>
  <c r="J170" i="39" a="1"/>
  <c r="J170" i="39" s="1"/>
  <c r="K170" i="39" a="1"/>
  <c r="K170" i="39" s="1"/>
  <c r="K453" i="39" a="1"/>
  <c r="K453" i="39" s="1"/>
  <c r="J453" i="39" a="1"/>
  <c r="J453" i="39" s="1"/>
  <c r="K298" i="39" a="1"/>
  <c r="K298" i="39" s="1"/>
  <c r="J298" i="39" a="1"/>
  <c r="J298" i="39" s="1"/>
  <c r="K272" i="39" a="1"/>
  <c r="K272" i="39" s="1"/>
  <c r="J272" i="39" a="1"/>
  <c r="J272" i="39" s="1"/>
  <c r="K568" i="39" a="1"/>
  <c r="K568" i="39" s="1"/>
  <c r="J568" i="39" a="1"/>
  <c r="J568" i="39" s="1"/>
  <c r="K247" i="39" a="1"/>
  <c r="K247" i="39" s="1"/>
  <c r="J247" i="39" a="1"/>
  <c r="J247" i="39" s="1"/>
  <c r="K235" i="39" a="1"/>
  <c r="K235" i="39" s="1"/>
  <c r="J235" i="39" a="1"/>
  <c r="J235" i="39" s="1"/>
  <c r="K418" i="39" a="1"/>
  <c r="K418" i="39" s="1"/>
  <c r="J418" i="39" a="1"/>
  <c r="J418" i="39" s="1"/>
  <c r="K210" i="39" a="1"/>
  <c r="K210" i="39" s="1"/>
  <c r="J210" i="39" a="1"/>
  <c r="J210" i="39" s="1"/>
  <c r="K428" i="39" a="1"/>
  <c r="K428" i="39" s="1"/>
  <c r="J428" i="39" a="1"/>
  <c r="J428" i="39" s="1"/>
  <c r="J184" i="39" a="1"/>
  <c r="J184" i="39" s="1"/>
  <c r="K184" i="39" a="1"/>
  <c r="K184" i="39" s="1"/>
  <c r="K203" i="39" a="1"/>
  <c r="K203" i="39" s="1"/>
  <c r="K133" i="39" a="1"/>
  <c r="K133" i="39" s="1"/>
  <c r="J133" i="39" a="1"/>
  <c r="J133" i="39" s="1"/>
  <c r="K121" i="39" a="1"/>
  <c r="K121" i="39" s="1"/>
  <c r="J121" i="39" a="1"/>
  <c r="J121" i="39" s="1"/>
  <c r="J108" i="39" a="1"/>
  <c r="J108" i="39" s="1"/>
  <c r="K108" i="39" a="1"/>
  <c r="K108" i="39" s="1"/>
  <c r="J95" i="39" a="1"/>
  <c r="J95" i="39" s="1"/>
  <c r="K95" i="39" a="1"/>
  <c r="K95" i="39" s="1"/>
  <c r="K446" i="39" a="1"/>
  <c r="K446" i="39" s="1"/>
  <c r="J446" i="39" a="1"/>
  <c r="J446" i="39" s="1"/>
  <c r="K69" i="39" a="1"/>
  <c r="K69" i="39" s="1"/>
  <c r="J69" i="39" a="1"/>
  <c r="J69" i="39" s="1"/>
  <c r="J262" i="39" a="1"/>
  <c r="J262" i="39" s="1"/>
  <c r="J297" i="39" a="1"/>
  <c r="J297" i="39" s="1"/>
  <c r="J206" i="39" a="1"/>
  <c r="J206" i="39" s="1"/>
  <c r="K547" i="39" a="1"/>
  <c r="K547" i="39" s="1"/>
  <c r="R533" i="39" a="1"/>
  <c r="R533" i="39" s="1"/>
  <c r="R482" i="39" a="1"/>
  <c r="R482" i="39" s="1"/>
  <c r="R35" i="39" a="1"/>
  <c r="R35" i="39" s="1"/>
  <c r="S569" i="39" a="1"/>
  <c r="S569" i="39" s="1"/>
  <c r="S533" i="39" a="1"/>
  <c r="S533" i="39" s="1"/>
  <c r="S494" i="39" a="1"/>
  <c r="S494" i="39" s="1"/>
  <c r="S226" i="39" a="1"/>
  <c r="S226" i="39" s="1"/>
  <c r="S337" i="39" a="1"/>
  <c r="S337" i="39" s="1"/>
  <c r="K564" i="39" a="1"/>
  <c r="K564" i="39" s="1"/>
  <c r="J564" i="39" a="1"/>
  <c r="J564" i="39" s="1"/>
  <c r="K551" i="39" a="1"/>
  <c r="K551" i="39" s="1"/>
  <c r="J551" i="39" a="1"/>
  <c r="J551" i="39" s="1"/>
  <c r="K514" i="39" a="1"/>
  <c r="K514" i="39" s="1"/>
  <c r="J514" i="39" a="1"/>
  <c r="J514" i="39" s="1"/>
  <c r="K65" i="39" a="1"/>
  <c r="K65" i="39" s="1"/>
  <c r="J65" i="39" a="1"/>
  <c r="J65" i="39" s="1"/>
  <c r="K237" i="39" a="1"/>
  <c r="K237" i="39" s="1"/>
  <c r="K451" i="39" a="1"/>
  <c r="K451" i="39" s="1"/>
  <c r="J451" i="39" a="1"/>
  <c r="J451" i="39" s="1"/>
  <c r="K77" i="39" a="1"/>
  <c r="K77" i="39" s="1"/>
  <c r="J77" i="39" a="1"/>
  <c r="J77" i="39" s="1"/>
  <c r="K37" i="39" a="1"/>
  <c r="K37" i="39" s="1"/>
  <c r="J37" i="39" a="1"/>
  <c r="J37" i="39" s="1"/>
  <c r="K412" i="39" a="1"/>
  <c r="K412" i="39" s="1"/>
  <c r="J412" i="39" a="1"/>
  <c r="J412" i="39" s="1"/>
  <c r="K212" i="39" a="1"/>
  <c r="K212" i="39" s="1"/>
  <c r="K361" i="39" a="1"/>
  <c r="K361" i="39" s="1"/>
  <c r="J361" i="39" a="1"/>
  <c r="J361" i="39" s="1"/>
  <c r="K320" i="39" a="1"/>
  <c r="K320" i="39" s="1"/>
  <c r="J320" i="39" a="1"/>
  <c r="J320" i="39" s="1"/>
  <c r="K336" i="39" a="1"/>
  <c r="K336" i="39" s="1"/>
  <c r="J336" i="39" a="1"/>
  <c r="J336" i="39" s="1"/>
  <c r="K323" i="39" a="1"/>
  <c r="K323" i="39" s="1"/>
  <c r="J323" i="39" a="1"/>
  <c r="J323" i="39" s="1"/>
  <c r="K284" i="39" a="1"/>
  <c r="K284" i="39" s="1"/>
  <c r="J284" i="39" a="1"/>
  <c r="J284" i="39" s="1"/>
  <c r="K271" i="39" a="1"/>
  <c r="K271" i="39" s="1"/>
  <c r="J271" i="39" a="1"/>
  <c r="J271" i="39" s="1"/>
  <c r="K258" i="39" a="1"/>
  <c r="K258" i="39" s="1"/>
  <c r="J258" i="39" a="1"/>
  <c r="J258" i="39" s="1"/>
  <c r="K246" i="39" a="1"/>
  <c r="K246" i="39" s="1"/>
  <c r="J246" i="39" a="1"/>
  <c r="J246" i="39" s="1"/>
  <c r="J405" i="39" a="1"/>
  <c r="J405" i="39" s="1"/>
  <c r="K405" i="39" a="1"/>
  <c r="K405" i="39" s="1"/>
  <c r="K528" i="39" a="1"/>
  <c r="K528" i="39" s="1"/>
  <c r="J196" i="39" a="1"/>
  <c r="J196" i="39" s="1"/>
  <c r="K196" i="39" a="1"/>
  <c r="K196" i="39" s="1"/>
  <c r="J183" i="39" a="1"/>
  <c r="J183" i="39" s="1"/>
  <c r="K183" i="39" a="1"/>
  <c r="K183" i="39" s="1"/>
  <c r="K154" i="39" a="1"/>
  <c r="K154" i="39" s="1"/>
  <c r="J154" i="39" a="1"/>
  <c r="J154" i="39" s="1"/>
  <c r="J107" i="39" a="1"/>
  <c r="J107" i="39" s="1"/>
  <c r="K107" i="39" a="1"/>
  <c r="K107" i="39" s="1"/>
  <c r="K132" i="39" a="1"/>
  <c r="K132" i="39" s="1"/>
  <c r="J132" i="39" a="1"/>
  <c r="J132" i="39" s="1"/>
  <c r="K249" i="39" a="1"/>
  <c r="K249" i="39" s="1"/>
  <c r="J249" i="39" a="1"/>
  <c r="J249" i="39" s="1"/>
  <c r="K109" i="39" a="1"/>
  <c r="K109" i="39" s="1"/>
  <c r="K377" i="39" a="1"/>
  <c r="K377" i="39" s="1"/>
  <c r="J377" i="39" a="1"/>
  <c r="J377" i="39" s="1"/>
  <c r="K68" i="39" a="1"/>
  <c r="K68" i="39" s="1"/>
  <c r="J68" i="39" a="1"/>
  <c r="J68" i="39" s="1"/>
  <c r="K464" i="39" a="1"/>
  <c r="K464" i="39" s="1"/>
  <c r="K43" i="39" a="1"/>
  <c r="K43" i="39" s="1"/>
  <c r="J43" i="39" a="1"/>
  <c r="J43" i="39" s="1"/>
  <c r="J102" i="39" a="1"/>
  <c r="J102" i="39" s="1"/>
  <c r="K102" i="39" a="1"/>
  <c r="K102" i="39" s="1"/>
  <c r="J18" i="39" a="1"/>
  <c r="J18" i="39" s="1"/>
  <c r="K18" i="39" a="1"/>
  <c r="K18" i="39" s="1"/>
  <c r="J347" i="39" a="1"/>
  <c r="J347" i="39" s="1"/>
  <c r="K498" i="39" a="1"/>
  <c r="K498" i="39" s="1"/>
  <c r="R494" i="39" a="1"/>
  <c r="R494" i="39" s="1"/>
  <c r="R208" i="39" a="1"/>
  <c r="R208" i="39" s="1"/>
  <c r="R290" i="39" a="1"/>
  <c r="R290" i="39" s="1"/>
  <c r="S530" i="39" a="1"/>
  <c r="S530" i="39" s="1"/>
  <c r="S103" i="39" a="1"/>
  <c r="S103" i="39" s="1"/>
  <c r="S437" i="39" a="1"/>
  <c r="S437" i="39" s="1"/>
  <c r="S119" i="39" a="1"/>
  <c r="S119" i="39" s="1"/>
  <c r="K563" i="39" a="1"/>
  <c r="K563" i="39" s="1"/>
  <c r="J563" i="39" a="1"/>
  <c r="J563" i="39" s="1"/>
  <c r="K312" i="39" a="1"/>
  <c r="K312" i="39" s="1"/>
  <c r="J312" i="39" a="1"/>
  <c r="J312" i="39" s="1"/>
  <c r="K539" i="39" a="1"/>
  <c r="K539" i="39" s="1"/>
  <c r="J539" i="39" a="1"/>
  <c r="J539" i="39" s="1"/>
  <c r="K526" i="39" a="1"/>
  <c r="K526" i="39" s="1"/>
  <c r="J526" i="39" a="1"/>
  <c r="J526" i="39" s="1"/>
  <c r="K513" i="39" a="1"/>
  <c r="K513" i="39" s="1"/>
  <c r="J513" i="39" a="1"/>
  <c r="J513" i="39" s="1"/>
  <c r="K475" i="39" a="1"/>
  <c r="K475" i="39" s="1"/>
  <c r="J475" i="39" a="1"/>
  <c r="J475" i="39" s="1"/>
  <c r="K463" i="39" a="1"/>
  <c r="K463" i="39" s="1"/>
  <c r="J463" i="39" a="1"/>
  <c r="J463" i="39" s="1"/>
  <c r="K390" i="39" a="1"/>
  <c r="K390" i="39" s="1"/>
  <c r="J390" i="39" a="1"/>
  <c r="J390" i="39" s="1"/>
  <c r="K143" i="39" a="1"/>
  <c r="K143" i="39" s="1"/>
  <c r="J143" i="39" a="1"/>
  <c r="J143" i="39" s="1"/>
  <c r="K424" i="39" a="1"/>
  <c r="K424" i="39" s="1"/>
  <c r="J424" i="39" a="1"/>
  <c r="J424" i="39" s="1"/>
  <c r="K55" i="39" a="1"/>
  <c r="K55" i="39" s="1"/>
  <c r="J55" i="39" a="1"/>
  <c r="J55" i="39" s="1"/>
  <c r="K385" i="39" a="1"/>
  <c r="K385" i="39" s="1"/>
  <c r="J385" i="39" a="1"/>
  <c r="J385" i="39" s="1"/>
  <c r="K360" i="39" a="1"/>
  <c r="K360" i="39" s="1"/>
  <c r="J360" i="39" a="1"/>
  <c r="J360" i="39" s="1"/>
  <c r="K270" i="39" a="1"/>
  <c r="K270" i="39" s="1"/>
  <c r="J270" i="39" a="1"/>
  <c r="J270" i="39" s="1"/>
  <c r="K335" i="39" a="1"/>
  <c r="K335" i="39" s="1"/>
  <c r="J335" i="39" a="1"/>
  <c r="J335" i="39" s="1"/>
  <c r="K309" i="39" a="1"/>
  <c r="K309" i="39" s="1"/>
  <c r="J309" i="39" a="1"/>
  <c r="J309" i="39" s="1"/>
  <c r="K553" i="39" a="1"/>
  <c r="K553" i="39" s="1"/>
  <c r="J553" i="39" a="1"/>
  <c r="J553" i="39" s="1"/>
  <c r="K537" i="39" a="1"/>
  <c r="K537" i="39" s="1"/>
  <c r="J83" i="39" a="1"/>
  <c r="J83" i="39" s="1"/>
  <c r="K83" i="39" a="1"/>
  <c r="K83" i="39" s="1"/>
  <c r="K436" i="39" a="1"/>
  <c r="K436" i="39" s="1"/>
  <c r="J436" i="39" a="1"/>
  <c r="J436" i="39" s="1"/>
  <c r="K245" i="39" a="1"/>
  <c r="K245" i="39" s="1"/>
  <c r="J245" i="39" a="1"/>
  <c r="J245" i="39" s="1"/>
  <c r="J220" i="39" a="1"/>
  <c r="J220" i="39" s="1"/>
  <c r="K220" i="39" a="1"/>
  <c r="K220" i="39" s="1"/>
  <c r="K207" i="39" a="1"/>
  <c r="K207" i="39" s="1"/>
  <c r="J207" i="39" a="1"/>
  <c r="J207" i="39" s="1"/>
  <c r="J195" i="39" a="1"/>
  <c r="J195" i="39" s="1"/>
  <c r="K195" i="39" a="1"/>
  <c r="K195" i="39" s="1"/>
  <c r="K182" i="39" a="1"/>
  <c r="K182" i="39" s="1"/>
  <c r="J182" i="39" a="1"/>
  <c r="J182" i="39" s="1"/>
  <c r="K117" i="39" a="1"/>
  <c r="K117" i="39" s="1"/>
  <c r="J117" i="39" a="1"/>
  <c r="J117" i="39" s="1"/>
  <c r="J157" i="39" a="1"/>
  <c r="J157" i="39" s="1"/>
  <c r="K157" i="39" a="1"/>
  <c r="K157" i="39" s="1"/>
  <c r="K144" i="39" a="1"/>
  <c r="K144" i="39" s="1"/>
  <c r="J144" i="39" a="1"/>
  <c r="J144" i="39" s="1"/>
  <c r="K31" i="39" a="1"/>
  <c r="K31" i="39" s="1"/>
  <c r="J31" i="39" a="1"/>
  <c r="J31" i="39" s="1"/>
  <c r="J197" i="39" a="1"/>
  <c r="J197" i="39" s="1"/>
  <c r="K197" i="39" a="1"/>
  <c r="K197" i="39" s="1"/>
  <c r="J105" i="39" a="1"/>
  <c r="J105" i="39" s="1"/>
  <c r="K105" i="39" a="1"/>
  <c r="K105" i="39" s="1"/>
  <c r="K80" i="39" a="1"/>
  <c r="K80" i="39" s="1"/>
  <c r="J80" i="39" a="1"/>
  <c r="J80" i="39" s="1"/>
  <c r="K549" i="39" a="1"/>
  <c r="K549" i="39" s="1"/>
  <c r="J549" i="39" a="1"/>
  <c r="J549" i="39" s="1"/>
  <c r="K54" i="39" a="1"/>
  <c r="K54" i="39" s="1"/>
  <c r="J54" i="39" a="1"/>
  <c r="J54" i="39" s="1"/>
  <c r="K42" i="39" a="1"/>
  <c r="K42" i="39" s="1"/>
  <c r="J42" i="39" a="1"/>
  <c r="J42" i="39" s="1"/>
  <c r="J30" i="39" a="1"/>
  <c r="J30" i="39" s="1"/>
  <c r="K30" i="39" a="1"/>
  <c r="K30" i="39" s="1"/>
  <c r="J289" i="39" a="1"/>
  <c r="J289" i="39" s="1"/>
  <c r="K289" i="39" a="1"/>
  <c r="K289" i="39" s="1"/>
  <c r="K5" i="39" a="1"/>
  <c r="K5" i="39" s="1"/>
  <c r="J5" i="39" a="1"/>
  <c r="J5" i="39" s="1"/>
  <c r="J285" i="39" a="1"/>
  <c r="J285" i="39" s="1"/>
  <c r="J406" i="39" a="1"/>
  <c r="J406" i="39" s="1"/>
  <c r="J103" i="39" a="1"/>
  <c r="J103" i="39" s="1"/>
  <c r="J354" i="39" a="1"/>
  <c r="J354" i="39" s="1"/>
  <c r="J251" i="39" a="1"/>
  <c r="J251" i="39" s="1"/>
  <c r="K149" i="39" a="1"/>
  <c r="K149" i="39" s="1"/>
  <c r="K167" i="39" a="1"/>
  <c r="K167" i="39" s="1"/>
  <c r="S303" i="39" a="1"/>
  <c r="S303" i="39" s="1"/>
  <c r="S432" i="39" a="1"/>
  <c r="S432" i="39" s="1"/>
  <c r="R562" i="39" a="1"/>
  <c r="R562" i="39" s="1"/>
  <c r="K562" i="39" a="1"/>
  <c r="K562" i="39" s="1"/>
  <c r="K327" i="39" a="1"/>
  <c r="K327" i="39" s="1"/>
  <c r="J327" i="39" a="1"/>
  <c r="J327" i="39" s="1"/>
  <c r="K538" i="39" a="1"/>
  <c r="K538" i="39" s="1"/>
  <c r="J538" i="39" a="1"/>
  <c r="J538" i="39" s="1"/>
  <c r="K525" i="39" a="1"/>
  <c r="K525" i="39" s="1"/>
  <c r="J525" i="39" a="1"/>
  <c r="J525" i="39" s="1"/>
  <c r="K512" i="39" a="1"/>
  <c r="K512" i="39" s="1"/>
  <c r="J512" i="39" a="1"/>
  <c r="J512" i="39" s="1"/>
  <c r="K487" i="39" a="1"/>
  <c r="K487" i="39" s="1"/>
  <c r="J487" i="39" a="1"/>
  <c r="J487" i="39" s="1"/>
  <c r="K548" i="39" a="1"/>
  <c r="K548" i="39" s="1"/>
  <c r="J548" i="39" a="1"/>
  <c r="J548" i="39" s="1"/>
  <c r="K462" i="39" a="1"/>
  <c r="K462" i="39" s="1"/>
  <c r="J462" i="39" a="1"/>
  <c r="J462" i="39" s="1"/>
  <c r="K448" i="39" a="1"/>
  <c r="K448" i="39" s="1"/>
  <c r="J448" i="39" a="1"/>
  <c r="J448" i="39" s="1"/>
  <c r="S435" i="39" a="1"/>
  <c r="S435" i="39" s="1"/>
  <c r="K435" i="39" a="1"/>
  <c r="K435" i="39" s="1"/>
  <c r="J435" i="39" a="1"/>
  <c r="J435" i="39" s="1"/>
  <c r="K423" i="39" a="1"/>
  <c r="K423" i="39" s="1"/>
  <c r="J423" i="39" a="1"/>
  <c r="J423" i="39" s="1"/>
  <c r="K396" i="39" a="1"/>
  <c r="K396" i="39" s="1"/>
  <c r="J396" i="39" a="1"/>
  <c r="J396" i="39" s="1"/>
  <c r="R384" i="39" a="1"/>
  <c r="R384" i="39" s="1"/>
  <c r="J384" i="39" a="1"/>
  <c r="J384" i="39" s="1"/>
  <c r="K384" i="39" a="1"/>
  <c r="K384" i="39" s="1"/>
  <c r="K372" i="39" a="1"/>
  <c r="K372" i="39" s="1"/>
  <c r="J372" i="39" a="1"/>
  <c r="J372" i="39" s="1"/>
  <c r="S142" i="39" a="1"/>
  <c r="S142" i="39" s="1"/>
  <c r="J142" i="39" a="1"/>
  <c r="J142" i="39" s="1"/>
  <c r="K142" i="39" a="1"/>
  <c r="K142" i="39" s="1"/>
  <c r="S90" i="39" a="1"/>
  <c r="S90" i="39" s="1"/>
  <c r="K90" i="39" a="1"/>
  <c r="K90" i="39" s="1"/>
  <c r="J90" i="39" a="1"/>
  <c r="J90" i="39" s="1"/>
  <c r="K317" i="39" a="1"/>
  <c r="K317" i="39" s="1"/>
  <c r="K308" i="39" a="1"/>
  <c r="K308" i="39" s="1"/>
  <c r="J308" i="39" a="1"/>
  <c r="J308" i="39" s="1"/>
  <c r="R519" i="39" a="1"/>
  <c r="R519" i="39" s="1"/>
  <c r="K519" i="39" a="1"/>
  <c r="K519" i="39" s="1"/>
  <c r="J519" i="39" a="1"/>
  <c r="J519" i="39" s="1"/>
  <c r="K100" i="39" a="1"/>
  <c r="K100" i="39" s="1"/>
  <c r="J100" i="39" a="1"/>
  <c r="J100" i="39" s="1"/>
  <c r="K268" i="39" a="1"/>
  <c r="K268" i="39" s="1"/>
  <c r="J268" i="39" a="1"/>
  <c r="J268" i="39" s="1"/>
  <c r="K256" i="39" a="1"/>
  <c r="K256" i="39" s="1"/>
  <c r="J256" i="39" a="1"/>
  <c r="J256" i="39" s="1"/>
  <c r="K316" i="39" a="1"/>
  <c r="K316" i="39" s="1"/>
  <c r="J316" i="39" a="1"/>
  <c r="J316" i="39" s="1"/>
  <c r="J232" i="39" a="1"/>
  <c r="J232" i="39" s="1"/>
  <c r="K232" i="39" a="1"/>
  <c r="K232" i="39" s="1"/>
  <c r="K219" i="39" a="1"/>
  <c r="K219" i="39" s="1"/>
  <c r="J219" i="39" a="1"/>
  <c r="J219" i="39" s="1"/>
  <c r="R484" i="39" a="1"/>
  <c r="R484" i="39" s="1"/>
  <c r="J484" i="39" a="1"/>
  <c r="J484" i="39" s="1"/>
  <c r="K484" i="39" a="1"/>
  <c r="K484" i="39" s="1"/>
  <c r="R118" i="39" a="1"/>
  <c r="R118" i="39" s="1"/>
  <c r="K118" i="39" a="1"/>
  <c r="K118" i="39" s="1"/>
  <c r="J168" i="39" a="1"/>
  <c r="J168" i="39" s="1"/>
  <c r="K168" i="39" a="1"/>
  <c r="K168" i="39" s="1"/>
  <c r="R266" i="39" a="1"/>
  <c r="R266" i="39" s="1"/>
  <c r="K266" i="39" a="1"/>
  <c r="K266" i="39" s="1"/>
  <c r="J266" i="39" a="1"/>
  <c r="J266" i="39" s="1"/>
  <c r="K161" i="39" a="1"/>
  <c r="K161" i="39" s="1"/>
  <c r="K130" i="39" a="1"/>
  <c r="K130" i="39" s="1"/>
  <c r="J130" i="39" a="1"/>
  <c r="J130" i="39" s="1"/>
  <c r="R134" i="39" a="1"/>
  <c r="R134" i="39" s="1"/>
  <c r="J134" i="39" a="1"/>
  <c r="J134" i="39" s="1"/>
  <c r="R104" i="39" a="1"/>
  <c r="R104" i="39" s="1"/>
  <c r="J104" i="39" a="1"/>
  <c r="J104" i="39" s="1"/>
  <c r="K104" i="39" a="1"/>
  <c r="K104" i="39" s="1"/>
  <c r="J92" i="39" a="1"/>
  <c r="J92" i="39" s="1"/>
  <c r="K92" i="39" a="1"/>
  <c r="K92" i="39" s="1"/>
  <c r="K79" i="39" a="1"/>
  <c r="K79" i="39" s="1"/>
  <c r="J79" i="39" a="1"/>
  <c r="J79" i="39" s="1"/>
  <c r="R509" i="39" a="1"/>
  <c r="R509" i="39" s="1"/>
  <c r="K509" i="39" a="1"/>
  <c r="K509" i="39" s="1"/>
  <c r="J509" i="39" a="1"/>
  <c r="J509" i="39" s="1"/>
  <c r="S53" i="39" a="1"/>
  <c r="S53" i="39" s="1"/>
  <c r="K53" i="39" a="1"/>
  <c r="K53" i="39" s="1"/>
  <c r="J53" i="39" a="1"/>
  <c r="J53" i="39" s="1"/>
  <c r="J29" i="39" a="1"/>
  <c r="J29" i="39" s="1"/>
  <c r="K29" i="39" a="1"/>
  <c r="K29" i="39" s="1"/>
  <c r="S263" i="39" a="1"/>
  <c r="S263" i="39" s="1"/>
  <c r="J263" i="39" a="1"/>
  <c r="J263" i="39" s="1"/>
  <c r="K263" i="39" a="1"/>
  <c r="K263" i="39" s="1"/>
  <c r="J344" i="39" a="1"/>
  <c r="J344" i="39" s="1"/>
  <c r="J190" i="39" a="1"/>
  <c r="J190" i="39" s="1"/>
  <c r="K134" i="39" a="1"/>
  <c r="K134" i="39" s="1"/>
  <c r="R163" i="39" a="1"/>
  <c r="R163" i="39" s="1"/>
  <c r="S315" i="39" a="1"/>
  <c r="S315" i="39" s="1"/>
  <c r="S341" i="39" a="1"/>
  <c r="S341" i="39" s="1"/>
  <c r="K224" i="39" a="1"/>
  <c r="K224" i="39" s="1"/>
  <c r="K524" i="39" a="1"/>
  <c r="K524" i="39" s="1"/>
  <c r="J524" i="39" a="1"/>
  <c r="J524" i="39" s="1"/>
  <c r="K511" i="39" a="1"/>
  <c r="K511" i="39" s="1"/>
  <c r="J511" i="39" a="1"/>
  <c r="J511" i="39" s="1"/>
  <c r="K499" i="39" a="1"/>
  <c r="K499" i="39" s="1"/>
  <c r="J499" i="39" a="1"/>
  <c r="J499" i="39" s="1"/>
  <c r="K486" i="39" a="1"/>
  <c r="K486" i="39" s="1"/>
  <c r="J486" i="39" a="1"/>
  <c r="J486" i="39" s="1"/>
  <c r="K488" i="39" a="1"/>
  <c r="K488" i="39" s="1"/>
  <c r="J488" i="39" a="1"/>
  <c r="J488" i="39" s="1"/>
  <c r="K461" i="39" a="1"/>
  <c r="K461" i="39" s="1"/>
  <c r="J461" i="39" a="1"/>
  <c r="J461" i="39" s="1"/>
  <c r="K434" i="39" a="1"/>
  <c r="K434" i="39" s="1"/>
  <c r="J434" i="39" a="1"/>
  <c r="J434" i="39" s="1"/>
  <c r="K422" i="39" a="1"/>
  <c r="K422" i="39" s="1"/>
  <c r="J422" i="39" a="1"/>
  <c r="J422" i="39" s="1"/>
  <c r="K395" i="39" a="1"/>
  <c r="K395" i="39" s="1"/>
  <c r="J395" i="39" a="1"/>
  <c r="J395" i="39" s="1"/>
  <c r="K383" i="39" a="1"/>
  <c r="K383" i="39" s="1"/>
  <c r="J383" i="39" a="1"/>
  <c r="J383" i="39" s="1"/>
  <c r="K371" i="39" a="1"/>
  <c r="K371" i="39" s="1"/>
  <c r="J371" i="39" a="1"/>
  <c r="J371" i="39" s="1"/>
  <c r="K89" i="39" a="1"/>
  <c r="K89" i="39" s="1"/>
  <c r="J89" i="39" a="1"/>
  <c r="J89" i="39" s="1"/>
  <c r="K332" i="39" a="1"/>
  <c r="K332" i="39" s="1"/>
  <c r="J332" i="39" a="1"/>
  <c r="J332" i="39" s="1"/>
  <c r="K307" i="39" a="1"/>
  <c r="K307" i="39" s="1"/>
  <c r="J307" i="39" a="1"/>
  <c r="J307" i="39" s="1"/>
  <c r="K409" i="39" a="1"/>
  <c r="K409" i="39" s="1"/>
  <c r="J409" i="39" a="1"/>
  <c r="J409" i="39" s="1"/>
  <c r="K281" i="39" a="1"/>
  <c r="K281" i="39" s="1"/>
  <c r="J281" i="39" a="1"/>
  <c r="J281" i="39" s="1"/>
  <c r="K269" i="39" a="1"/>
  <c r="K269" i="39" s="1"/>
  <c r="J269" i="39" a="1"/>
  <c r="J269" i="39" s="1"/>
  <c r="K255" i="39" a="1"/>
  <c r="K255" i="39" s="1"/>
  <c r="J255" i="39" a="1"/>
  <c r="J255" i="39" s="1"/>
  <c r="J244" i="39" a="1"/>
  <c r="J244" i="39" s="1"/>
  <c r="K244" i="39" a="1"/>
  <c r="K244" i="39" s="1"/>
  <c r="K218" i="39" a="1"/>
  <c r="K218" i="39" s="1"/>
  <c r="J218" i="39" a="1"/>
  <c r="J218" i="39" s="1"/>
  <c r="K180" i="39" a="1"/>
  <c r="K180" i="39" s="1"/>
  <c r="J180" i="39" a="1"/>
  <c r="J180" i="39" s="1"/>
  <c r="J293" i="39" a="1"/>
  <c r="J293" i="39" s="1"/>
  <c r="K293" i="39" a="1"/>
  <c r="K293" i="39" s="1"/>
  <c r="K141" i="39" a="1"/>
  <c r="K141" i="39" s="1"/>
  <c r="J141" i="39" a="1"/>
  <c r="J141" i="39" s="1"/>
  <c r="K129" i="39" a="1"/>
  <c r="K129" i="39" s="1"/>
  <c r="J129" i="39" a="1"/>
  <c r="J129" i="39" s="1"/>
  <c r="J81" i="39" a="1"/>
  <c r="J81" i="39" s="1"/>
  <c r="K81" i="39" a="1"/>
  <c r="K81" i="39" s="1"/>
  <c r="J510" i="39" a="1"/>
  <c r="J510" i="39" s="1"/>
  <c r="K510" i="39" a="1"/>
  <c r="K510" i="39" s="1"/>
  <c r="K78" i="39" a="1"/>
  <c r="K78" i="39" s="1"/>
  <c r="J78" i="39" a="1"/>
  <c r="J78" i="39" s="1"/>
  <c r="K455" i="39" a="1"/>
  <c r="K455" i="39" s="1"/>
  <c r="J455" i="39" a="1"/>
  <c r="J455" i="39" s="1"/>
  <c r="J569" i="39" a="1"/>
  <c r="J569" i="39" s="1"/>
  <c r="J518" i="39" a="1"/>
  <c r="J518" i="39" s="1"/>
  <c r="J407" i="39" a="1"/>
  <c r="J407" i="39" s="1"/>
  <c r="J188" i="39" a="1"/>
  <c r="J188" i="39" s="1"/>
  <c r="R120" i="39" a="1"/>
  <c r="R120" i="39" s="1"/>
  <c r="S150" i="39" a="1"/>
  <c r="S150" i="39" s="1"/>
  <c r="S97" i="39" a="1"/>
  <c r="S97" i="39" s="1"/>
  <c r="K560" i="39" a="1"/>
  <c r="K560" i="39" s="1"/>
  <c r="J560" i="39" a="1"/>
  <c r="J560" i="39" s="1"/>
  <c r="K106" i="39" a="1"/>
  <c r="K106" i="39" s="1"/>
  <c r="J106" i="39" a="1"/>
  <c r="J106" i="39" s="1"/>
  <c r="K61" i="39" a="1"/>
  <c r="K61" i="39" s="1"/>
  <c r="J61" i="39" a="1"/>
  <c r="J61" i="39" s="1"/>
  <c r="K64" i="39" a="1"/>
  <c r="K64" i="39" s="1"/>
  <c r="J64" i="39" a="1"/>
  <c r="J64" i="39" s="1"/>
  <c r="K485" i="39" a="1"/>
  <c r="K485" i="39" s="1"/>
  <c r="J485" i="39" a="1"/>
  <c r="J485" i="39" s="1"/>
  <c r="K491" i="39" a="1"/>
  <c r="K491" i="39" s="1"/>
  <c r="K433" i="39" a="1"/>
  <c r="K433" i="39" s="1"/>
  <c r="J433" i="39" a="1"/>
  <c r="J433" i="39" s="1"/>
  <c r="K421" i="39" a="1"/>
  <c r="K421" i="39" s="1"/>
  <c r="J421" i="39" a="1"/>
  <c r="J421" i="39" s="1"/>
  <c r="K408" i="39" a="1"/>
  <c r="K408" i="39" s="1"/>
  <c r="J408" i="39" a="1"/>
  <c r="J408" i="39" s="1"/>
  <c r="K397" i="39" a="1"/>
  <c r="K397" i="39" s="1"/>
  <c r="J397" i="39" a="1"/>
  <c r="J397" i="39" s="1"/>
  <c r="K566" i="39" a="1"/>
  <c r="K566" i="39" s="1"/>
  <c r="J566" i="39" a="1"/>
  <c r="J566" i="39" s="1"/>
  <c r="K500" i="39" a="1"/>
  <c r="K500" i="39" s="1"/>
  <c r="K358" i="39" a="1"/>
  <c r="K358" i="39" s="1"/>
  <c r="J358" i="39" a="1"/>
  <c r="J358" i="39" s="1"/>
  <c r="K319" i="39" a="1"/>
  <c r="K319" i="39" s="1"/>
  <c r="J319" i="39" a="1"/>
  <c r="J319" i="39" s="1"/>
  <c r="K419" i="39" a="1"/>
  <c r="K419" i="39" s="1"/>
  <c r="J419" i="39" a="1"/>
  <c r="J419" i="39" s="1"/>
  <c r="K401" i="39" a="1"/>
  <c r="K401" i="39" s="1"/>
  <c r="J401" i="39" a="1"/>
  <c r="J401" i="39" s="1"/>
  <c r="J280" i="39" a="1"/>
  <c r="J280" i="39" s="1"/>
  <c r="K280" i="39" a="1"/>
  <c r="K280" i="39" s="1"/>
  <c r="K425" i="39" a="1"/>
  <c r="K425" i="39" s="1"/>
  <c r="J425" i="39" a="1"/>
  <c r="J425" i="39" s="1"/>
  <c r="J110" i="39" a="1"/>
  <c r="J110" i="39" s="1"/>
  <c r="K110" i="39" a="1"/>
  <c r="K110" i="39" s="1"/>
  <c r="K294" i="39" a="1"/>
  <c r="K294" i="39" s="1"/>
  <c r="J420" i="39" a="1"/>
  <c r="J420" i="39" s="1"/>
  <c r="K420" i="39" a="1"/>
  <c r="K420" i="39" s="1"/>
  <c r="K205" i="39" a="1"/>
  <c r="K205" i="39" s="1"/>
  <c r="J205" i="39" a="1"/>
  <c r="J205" i="39" s="1"/>
  <c r="K192" i="39" a="1"/>
  <c r="K192" i="39" s="1"/>
  <c r="J192" i="39" a="1"/>
  <c r="J192" i="39" s="1"/>
  <c r="K179" i="39" a="1"/>
  <c r="K179" i="39" s="1"/>
  <c r="J179" i="39" a="1"/>
  <c r="J179" i="39" s="1"/>
  <c r="K166" i="39" a="1"/>
  <c r="K166" i="39" s="1"/>
  <c r="J166" i="39" a="1"/>
  <c r="J166" i="39" s="1"/>
  <c r="J66" i="39" a="1"/>
  <c r="J66" i="39" s="1"/>
  <c r="K66" i="39" a="1"/>
  <c r="K66" i="39" s="1"/>
  <c r="K140" i="39" a="1"/>
  <c r="K140" i="39" s="1"/>
  <c r="J140" i="39" a="1"/>
  <c r="J140" i="39" s="1"/>
  <c r="J116" i="39" a="1"/>
  <c r="J116" i="39" s="1"/>
  <c r="K116" i="39" a="1"/>
  <c r="K116" i="39" s="1"/>
  <c r="K523" i="39" a="1"/>
  <c r="K523" i="39" s="1"/>
  <c r="J523" i="39" a="1"/>
  <c r="J523" i="39" s="1"/>
  <c r="K507" i="39" a="1"/>
  <c r="K507" i="39" s="1"/>
  <c r="K394" i="39" a="1"/>
  <c r="K394" i="39" s="1"/>
  <c r="J394" i="39" a="1"/>
  <c r="J394" i="39" s="1"/>
  <c r="K471" i="39" a="1"/>
  <c r="K471" i="39" s="1"/>
  <c r="J471" i="39" a="1"/>
  <c r="J471" i="39" s="1"/>
  <c r="J562" i="39" a="1"/>
  <c r="J562" i="39" s="1"/>
  <c r="J554" i="39" a="1"/>
  <c r="J554" i="39" s="1"/>
  <c r="J530" i="39" a="1"/>
  <c r="J530" i="39" s="1"/>
  <c r="J70" i="39" a="1"/>
  <c r="J70" i="39" s="1"/>
  <c r="J265" i="39" a="1"/>
  <c r="J265" i="39" s="1"/>
  <c r="J442" i="39" a="1"/>
  <c r="J442" i="39" s="1"/>
  <c r="K393" i="39" a="1"/>
  <c r="K393" i="39" s="1"/>
  <c r="R545" i="39" a="1"/>
  <c r="R545" i="39" s="1"/>
  <c r="R214" i="39" a="1"/>
  <c r="R214" i="39" s="1"/>
  <c r="R99" i="39" a="1"/>
  <c r="R99" i="39" s="1"/>
  <c r="S545" i="39" a="1"/>
  <c r="S545" i="39" s="1"/>
  <c r="S469" i="39" a="1"/>
  <c r="S469" i="39" s="1"/>
  <c r="S239" i="39" a="1"/>
  <c r="S239" i="39" s="1"/>
  <c r="S379" i="39" a="1"/>
  <c r="S379" i="39" s="1"/>
  <c r="S35" i="39" a="1"/>
  <c r="S35" i="39" s="1"/>
  <c r="K559" i="39" a="1"/>
  <c r="K559" i="39" s="1"/>
  <c r="J559" i="39" a="1"/>
  <c r="J559" i="39" s="1"/>
  <c r="K113" i="39" a="1"/>
  <c r="K113" i="39" s="1"/>
  <c r="J113" i="39" a="1"/>
  <c r="J113" i="39" s="1"/>
  <c r="K535" i="39" a="1"/>
  <c r="K535" i="39" s="1"/>
  <c r="J535" i="39" a="1"/>
  <c r="J535" i="39" s="1"/>
  <c r="K522" i="39" a="1"/>
  <c r="K522" i="39" s="1"/>
  <c r="J522" i="39" a="1"/>
  <c r="J522" i="39" s="1"/>
  <c r="K450" i="39" a="1"/>
  <c r="K450" i="39" s="1"/>
  <c r="J450" i="39" a="1"/>
  <c r="J450" i="39" s="1"/>
  <c r="K497" i="39" a="1"/>
  <c r="K497" i="39" s="1"/>
  <c r="J497" i="39" a="1"/>
  <c r="J497" i="39" s="1"/>
  <c r="K67" i="39" a="1"/>
  <c r="K67" i="39" s="1"/>
  <c r="J67" i="39" a="1"/>
  <c r="J67" i="39" s="1"/>
  <c r="K439" i="39" a="1"/>
  <c r="K439" i="39" s="1"/>
  <c r="J439" i="39" a="1"/>
  <c r="J439" i="39" s="1"/>
  <c r="K458" i="39" a="1"/>
  <c r="K458" i="39" s="1"/>
  <c r="J458" i="39" a="1"/>
  <c r="J458" i="39" s="1"/>
  <c r="K124" i="39" a="1"/>
  <c r="K124" i="39" s="1"/>
  <c r="J124" i="39" a="1"/>
  <c r="J124" i="39" s="1"/>
  <c r="K283" i="39" a="1"/>
  <c r="K283" i="39" s="1"/>
  <c r="J283" i="39" a="1"/>
  <c r="J283" i="39" s="1"/>
  <c r="J177" i="39" a="1"/>
  <c r="J177" i="39" s="1"/>
  <c r="K177" i="39" a="1"/>
  <c r="K177" i="39" s="1"/>
  <c r="K472" i="39" a="1"/>
  <c r="K472" i="39" s="1"/>
  <c r="J472" i="39" a="1"/>
  <c r="J472" i="39" s="1"/>
  <c r="K368" i="39" a="1"/>
  <c r="K368" i="39" s="1"/>
  <c r="J368" i="39" a="1"/>
  <c r="J368" i="39" s="1"/>
  <c r="K343" i="39" a="1"/>
  <c r="K343" i="39" s="1"/>
  <c r="J343" i="39" a="1"/>
  <c r="J343" i="39" s="1"/>
  <c r="K310" i="39" a="1"/>
  <c r="K310" i="39" s="1"/>
  <c r="J310" i="39" a="1"/>
  <c r="J310" i="39" s="1"/>
  <c r="K318" i="39" a="1"/>
  <c r="K318" i="39" s="1"/>
  <c r="J318" i="39" a="1"/>
  <c r="J318" i="39" s="1"/>
  <c r="K305" i="39" a="1"/>
  <c r="K305" i="39" s="1"/>
  <c r="J305" i="39" a="1"/>
  <c r="J305" i="39" s="1"/>
  <c r="K292" i="39" a="1"/>
  <c r="K292" i="39" s="1"/>
  <c r="J292" i="39" a="1"/>
  <c r="J292" i="39" s="1"/>
  <c r="J449" i="39" a="1"/>
  <c r="J449" i="39" s="1"/>
  <c r="K449" i="39" a="1"/>
  <c r="K449" i="39" s="1"/>
  <c r="K155" i="39" a="1"/>
  <c r="K155" i="39" s="1"/>
  <c r="J155" i="39" a="1"/>
  <c r="J155" i="39" s="1"/>
  <c r="J228" i="39" a="1"/>
  <c r="J228" i="39" s="1"/>
  <c r="K228" i="39" a="1"/>
  <c r="K228" i="39" s="1"/>
  <c r="J216" i="39" a="1"/>
  <c r="J216" i="39" s="1"/>
  <c r="K216" i="39" a="1"/>
  <c r="K216" i="39" s="1"/>
  <c r="K550" i="39" a="1"/>
  <c r="K550" i="39" s="1"/>
  <c r="J550" i="39" a="1"/>
  <c r="J550" i="39" s="1"/>
  <c r="K476" i="39" a="1"/>
  <c r="K476" i="39" s="1"/>
  <c r="J185" i="39" a="1"/>
  <c r="J185" i="39" s="1"/>
  <c r="K185" i="39" a="1"/>
  <c r="K185" i="39" s="1"/>
  <c r="J152" i="39" a="1"/>
  <c r="J152" i="39" s="1"/>
  <c r="K152" i="39" a="1"/>
  <c r="K152" i="39" s="1"/>
  <c r="K139" i="39" a="1"/>
  <c r="K139" i="39" s="1"/>
  <c r="J139" i="39" a="1"/>
  <c r="J139" i="39" s="1"/>
  <c r="J115" i="39" a="1"/>
  <c r="J115" i="39" s="1"/>
  <c r="K115" i="39" a="1"/>
  <c r="K115" i="39" s="1"/>
  <c r="J88" i="39" a="1"/>
  <c r="J88" i="39" s="1"/>
  <c r="K88" i="39" a="1"/>
  <c r="K88" i="39" s="1"/>
  <c r="K76" i="39" a="1"/>
  <c r="K76" i="39" s="1"/>
  <c r="J76" i="39" a="1"/>
  <c r="J76" i="39" s="1"/>
  <c r="K63" i="39" a="1"/>
  <c r="K63" i="39" s="1"/>
  <c r="J63" i="39" a="1"/>
  <c r="J63" i="39" s="1"/>
  <c r="J193" i="39" a="1"/>
  <c r="J193" i="39" s="1"/>
  <c r="J331" i="39" a="1"/>
  <c r="J331" i="39" s="1"/>
  <c r="J399" i="39" a="1"/>
  <c r="J399" i="39" s="1"/>
  <c r="J91" i="39" a="1"/>
  <c r="J91" i="39" s="1"/>
  <c r="K44" i="39" a="1"/>
  <c r="K44" i="39" s="1"/>
  <c r="J44" i="39" a="1"/>
  <c r="J44" i="39" s="1"/>
  <c r="K93" i="39" a="1"/>
  <c r="K93" i="39" s="1"/>
  <c r="J93" i="39" a="1"/>
  <c r="J93" i="39" s="1"/>
  <c r="J57" i="39" a="1"/>
  <c r="J57" i="39" s="1"/>
  <c r="J82" i="39" a="1"/>
  <c r="J82" i="39" s="1"/>
  <c r="K264" i="39" a="1"/>
  <c r="K264" i="39" s="1"/>
  <c r="K52" i="39" a="1"/>
  <c r="K52" i="39" s="1"/>
  <c r="J52" i="39" a="1"/>
  <c r="J52" i="39" s="1"/>
  <c r="J28" i="39" a="1"/>
  <c r="J28" i="39" s="1"/>
  <c r="K28" i="39" a="1"/>
  <c r="K28" i="39" s="1"/>
  <c r="J153" i="39" a="1"/>
  <c r="J153" i="39" s="1"/>
  <c r="K153" i="39" a="1"/>
  <c r="K153" i="39" s="1"/>
  <c r="J39" i="39" a="1"/>
  <c r="J39" i="39" s="1"/>
  <c r="K39" i="39" a="1"/>
  <c r="K39" i="39" s="1"/>
  <c r="J181" i="39" a="1"/>
  <c r="J181" i="39" s="1"/>
  <c r="K181" i="39" a="1"/>
  <c r="K181" i="39" s="1"/>
  <c r="J51" i="39" a="1"/>
  <c r="J51" i="39" s="1"/>
  <c r="K51" i="39" a="1"/>
  <c r="K51" i="39" s="1"/>
  <c r="K201" i="39" a="1"/>
  <c r="K201" i="39" s="1"/>
  <c r="J26" i="39" a="1"/>
  <c r="J26" i="39" s="1"/>
  <c r="K26" i="39" a="1"/>
  <c r="K26" i="39" s="1"/>
  <c r="J13" i="39" a="1"/>
  <c r="J13" i="39" s="1"/>
  <c r="K13" i="39" a="1"/>
  <c r="K13" i="39" s="1"/>
  <c r="K75" i="39" a="1"/>
  <c r="K75" i="39" s="1"/>
  <c r="J75" i="39" a="1"/>
  <c r="J75" i="39" s="1"/>
  <c r="K62" i="39" a="1"/>
  <c r="K62" i="39" s="1"/>
  <c r="J62" i="39" a="1"/>
  <c r="J62" i="39" s="1"/>
  <c r="J172" i="39" a="1"/>
  <c r="J172" i="39" s="1"/>
  <c r="K172" i="39" a="1"/>
  <c r="K172" i="39" s="1"/>
  <c r="J36" i="39" a="1"/>
  <c r="J36" i="39" s="1"/>
  <c r="K36" i="39" a="1"/>
  <c r="K36" i="39" s="1"/>
  <c r="J241" i="39" a="1"/>
  <c r="J241" i="39" s="1"/>
  <c r="K19" i="39" a="1"/>
  <c r="K19" i="39" s="1"/>
  <c r="J46" i="39" a="1"/>
  <c r="J46" i="39" s="1"/>
  <c r="K46" i="39" a="1"/>
  <c r="K46" i="39" s="1"/>
  <c r="K22" i="39" a="1"/>
  <c r="K22" i="39" s="1"/>
  <c r="J22" i="39" a="1"/>
  <c r="J22" i="39" s="1"/>
  <c r="J9" i="39" a="1"/>
  <c r="J9" i="39" s="1"/>
  <c r="K9" i="39" a="1"/>
  <c r="K9" i="39" s="1"/>
  <c r="J23" i="39" a="1"/>
  <c r="J23" i="39" s="1"/>
  <c r="K11" i="39" a="1"/>
  <c r="K11" i="39" s="1"/>
  <c r="R256" i="39" a="1"/>
  <c r="R256" i="39" s="1"/>
  <c r="S487" i="39" a="1"/>
  <c r="S487" i="39" s="1"/>
  <c r="S308" i="39" a="1"/>
  <c r="S308" i="39" s="1"/>
  <c r="R487" i="39" a="1"/>
  <c r="R487" i="39" s="1"/>
  <c r="R308" i="39" a="1"/>
  <c r="R308" i="39" s="1"/>
  <c r="S396" i="39" a="1"/>
  <c r="S396" i="39" s="1"/>
  <c r="S134" i="39" a="1"/>
  <c r="S134" i="39" s="1"/>
  <c r="R396" i="39" a="1"/>
  <c r="R396" i="39" s="1"/>
  <c r="S219" i="39" a="1"/>
  <c r="S219" i="39" s="1"/>
  <c r="S509" i="39" a="1"/>
  <c r="S509" i="39" s="1"/>
  <c r="R219" i="39" a="1"/>
  <c r="R219" i="39" s="1"/>
  <c r="S327" i="39" a="1"/>
  <c r="S327" i="39" s="1"/>
  <c r="S448" i="39" a="1"/>
  <c r="S448" i="39" s="1"/>
  <c r="S100" i="39" a="1"/>
  <c r="S100" i="39" s="1"/>
  <c r="S268" i="39" a="1"/>
  <c r="S268" i="39" s="1"/>
  <c r="S168" i="39" a="1"/>
  <c r="S168" i="39" s="1"/>
  <c r="S512" i="39" a="1"/>
  <c r="S512" i="39" s="1"/>
  <c r="S423" i="39" a="1"/>
  <c r="S423" i="39" s="1"/>
  <c r="S79" i="39" a="1"/>
  <c r="S79" i="39" s="1"/>
  <c r="S29" i="39" a="1"/>
  <c r="S29" i="39" s="1"/>
  <c r="R512" i="39" a="1"/>
  <c r="R512" i="39" s="1"/>
  <c r="R423" i="39" a="1"/>
  <c r="R423" i="39" s="1"/>
  <c r="R79" i="39" a="1"/>
  <c r="R79" i="39" s="1"/>
  <c r="R29" i="39" a="1"/>
  <c r="R29" i="39" s="1"/>
  <c r="S548" i="39" a="1"/>
  <c r="S548" i="39" s="1"/>
  <c r="S519" i="39" a="1"/>
  <c r="S519" i="39" s="1"/>
  <c r="S316" i="39" a="1"/>
  <c r="S316" i="39" s="1"/>
  <c r="S118" i="39" a="1"/>
  <c r="S118" i="39" s="1"/>
  <c r="S130" i="39" a="1"/>
  <c r="S130" i="39" s="1"/>
  <c r="R548" i="39" a="1"/>
  <c r="R548" i="39" s="1"/>
  <c r="R316" i="39" a="1"/>
  <c r="R316" i="39" s="1"/>
  <c r="R130" i="39" a="1"/>
  <c r="R130" i="39" s="1"/>
  <c r="S562" i="39" a="1"/>
  <c r="S562" i="39" s="1"/>
  <c r="S384" i="39" a="1"/>
  <c r="S384" i="39" s="1"/>
  <c r="S484" i="39" a="1"/>
  <c r="S484" i="39" s="1"/>
  <c r="S104" i="39" a="1"/>
  <c r="S104" i="39" s="1"/>
  <c r="S525" i="39" a="1"/>
  <c r="S525" i="39" s="1"/>
  <c r="AA21" i="3"/>
  <c r="N56" i="38" s="1"/>
  <c r="AE16" i="3"/>
  <c r="R51" i="38" s="1"/>
  <c r="AQ16" i="38"/>
  <c r="AR6" i="38"/>
  <c r="AE24" i="3"/>
  <c r="R59" i="38" s="1"/>
  <c r="AR24" i="38"/>
  <c r="AQ24" i="38"/>
  <c r="AB24" i="3"/>
  <c r="O59" i="38" s="1"/>
  <c r="AA24" i="3"/>
  <c r="N59" i="38" s="1"/>
  <c r="AS22" i="38"/>
  <c r="AR22" i="38"/>
  <c r="AQ7" i="38"/>
  <c r="AS9" i="38"/>
  <c r="AR9" i="38"/>
  <c r="AQ13" i="38"/>
  <c r="AC13" i="3"/>
  <c r="P48" i="38" s="1"/>
  <c r="AR12" i="38"/>
  <c r="AS28" i="38"/>
  <c r="AE28" i="3"/>
  <c r="R63" i="38" s="1"/>
  <c r="AR28" i="38"/>
  <c r="AQ28" i="38"/>
  <c r="AS26" i="38"/>
  <c r="AQ26" i="38"/>
  <c r="AB26" i="3"/>
  <c r="O61" i="38" s="1"/>
  <c r="AR25" i="38"/>
  <c r="AQ25" i="38"/>
  <c r="AE27" i="3"/>
  <c r="R62" i="38" s="1"/>
  <c r="AS23" i="38"/>
  <c r="AR23" i="38"/>
  <c r="AC23" i="3"/>
  <c r="P58" i="38" s="1"/>
  <c r="AS31" i="38"/>
  <c r="AR31" i="38"/>
  <c r="AQ31" i="38"/>
  <c r="AB31" i="3"/>
  <c r="O66" i="38" s="1"/>
  <c r="AA15" i="3"/>
  <c r="N50" i="38" s="1"/>
  <c r="AR5" i="38"/>
  <c r="AC5" i="3"/>
  <c r="P40" i="38" s="1"/>
  <c r="AC19" i="3"/>
  <c r="P54" i="38" s="1"/>
  <c r="AE34" i="3"/>
  <c r="R69" i="38" s="1"/>
  <c r="AR34" i="38"/>
  <c r="AC34" i="3"/>
  <c r="P69" i="38" s="1"/>
  <c r="AA34" i="3"/>
  <c r="N69" i="38" s="1"/>
  <c r="AS32" i="38"/>
  <c r="AE32" i="3"/>
  <c r="R67" i="38" s="1"/>
  <c r="AR32" i="38"/>
  <c r="AQ32" i="38"/>
  <c r="AS30" i="38"/>
  <c r="AS33" i="38"/>
  <c r="AC33" i="3"/>
  <c r="P68" i="38" s="1"/>
  <c r="AS3" i="38"/>
  <c r="AE3" i="3"/>
  <c r="R38" i="38" s="1"/>
  <c r="AR3" i="38"/>
  <c r="AQ3" i="38"/>
  <c r="AB29" i="3"/>
  <c r="O64" i="38" s="1"/>
  <c r="AA29" i="3"/>
  <c r="N64" i="38" s="1"/>
  <c r="AE8" i="3"/>
  <c r="R43" i="38" s="1"/>
  <c r="AB4" i="3"/>
  <c r="O39" i="38" s="1"/>
  <c r="AC4" i="3"/>
  <c r="P39" i="38" s="1"/>
  <c r="P48" i="40"/>
  <c r="L7" i="40"/>
  <c r="L9" i="40"/>
  <c r="P16" i="40"/>
  <c r="W38" i="38" a="1"/>
  <c r="L11" i="40"/>
  <c r="P49" i="40"/>
  <c r="L32" i="40"/>
  <c r="M32" i="40"/>
  <c r="O47" i="40"/>
  <c r="M11" i="40"/>
  <c r="P72" i="40"/>
  <c r="O48" i="40"/>
  <c r="M19" i="40"/>
  <c r="L82" i="40"/>
  <c r="L19" i="40"/>
  <c r="L25" i="40"/>
  <c r="O49" i="40"/>
  <c r="P8" i="40"/>
  <c r="M47" i="40"/>
  <c r="M48" i="40"/>
  <c r="P45" i="40"/>
  <c r="L30" i="40"/>
  <c r="O10" i="40"/>
  <c r="P24" i="40"/>
  <c r="O8" i="40"/>
  <c r="L47" i="40"/>
  <c r="M72" i="40"/>
  <c r="L48" i="40"/>
  <c r="O45" i="40"/>
  <c r="M14" i="40"/>
  <c r="P29" i="40"/>
  <c r="O24" i="40"/>
  <c r="M49" i="40"/>
  <c r="L60" i="40"/>
  <c r="L72" i="40"/>
  <c r="P20" i="40"/>
  <c r="P52" i="40"/>
  <c r="L77" i="40"/>
  <c r="P66" i="40"/>
  <c r="L14" i="40"/>
  <c r="O29" i="40"/>
  <c r="M10" i="40"/>
  <c r="L49" i="40"/>
  <c r="M8" i="40"/>
  <c r="P13" i="40"/>
  <c r="O20" i="40"/>
  <c r="O52" i="40"/>
  <c r="M45" i="40"/>
  <c r="O66" i="40"/>
  <c r="P59" i="40"/>
  <c r="L10" i="40"/>
  <c r="L16" i="40"/>
  <c r="M24" i="40"/>
  <c r="P2" i="40"/>
  <c r="L8" i="40"/>
  <c r="O13" i="40"/>
  <c r="P7" i="40"/>
  <c r="L45" i="40"/>
  <c r="M76" i="40"/>
  <c r="O59" i="40"/>
  <c r="M29" i="40"/>
  <c r="P9" i="40"/>
  <c r="M16" i="40"/>
  <c r="O2" i="40"/>
  <c r="P61" i="40"/>
  <c r="P41" i="40"/>
  <c r="O7" i="40"/>
  <c r="M20" i="40"/>
  <c r="M52" i="40"/>
  <c r="L76" i="40"/>
  <c r="M66" i="40"/>
  <c r="P15" i="40"/>
  <c r="O9" i="40"/>
  <c r="P50" i="40"/>
  <c r="O61" i="40"/>
  <c r="M13" i="40"/>
  <c r="O41" i="40"/>
  <c r="L20" i="40"/>
  <c r="L66" i="40"/>
  <c r="O15" i="40"/>
  <c r="M59" i="40"/>
  <c r="P82" i="40"/>
  <c r="O16" i="40"/>
  <c r="O50" i="40"/>
  <c r="M2" i="40"/>
  <c r="P32" i="40"/>
  <c r="L13" i="40"/>
  <c r="P11" i="40"/>
  <c r="M7" i="40"/>
  <c r="P19" i="40"/>
  <c r="P51" i="40"/>
  <c r="O82" i="40"/>
  <c r="M9" i="40"/>
  <c r="P25" i="40"/>
  <c r="L2" i="40"/>
  <c r="O32" i="40"/>
  <c r="M61" i="40"/>
  <c r="O11" i="40"/>
  <c r="M41" i="40"/>
  <c r="O19" i="40"/>
  <c r="O51" i="40"/>
  <c r="M15" i="40"/>
  <c r="P30" i="40"/>
  <c r="R109" i="39" a="1"/>
  <c r="R109" i="39" s="1"/>
  <c r="Q224" i="39"/>
  <c r="Q476" i="39"/>
  <c r="R479" i="39" a="1"/>
  <c r="R479" i="39" s="1"/>
  <c r="S499" i="39" a="1"/>
  <c r="S499" i="39" s="1"/>
  <c r="S72" i="39" a="1"/>
  <c r="S72" i="39" s="1"/>
  <c r="S461" i="39" a="1"/>
  <c r="S461" i="39" s="1"/>
  <c r="Q464" i="39"/>
  <c r="O464" i="39"/>
  <c r="R464" i="39" a="1"/>
  <c r="R464" i="39" s="1"/>
  <c r="S474" i="39" a="1"/>
  <c r="S474" i="39" s="1"/>
  <c r="Q317" i="39"/>
  <c r="S317" i="39" a="1"/>
  <c r="S317" i="39" s="1"/>
  <c r="O317" i="39"/>
  <c r="R317" i="39" a="1"/>
  <c r="R317" i="39" s="1"/>
  <c r="R460" i="39" a="1"/>
  <c r="R460" i="39" s="1"/>
  <c r="Q460" i="39"/>
  <c r="O460" i="39"/>
  <c r="S460" i="39" a="1"/>
  <c r="S460" i="39" s="1"/>
  <c r="R477" i="39" a="1"/>
  <c r="R477" i="39" s="1"/>
  <c r="S477" i="39" a="1"/>
  <c r="S477" i="39" s="1"/>
  <c r="Q477" i="39"/>
  <c r="O477" i="39"/>
  <c r="Q507" i="39"/>
  <c r="R507" i="39" a="1"/>
  <c r="R507" i="39" s="1"/>
  <c r="S507" i="39" a="1"/>
  <c r="S507" i="39" s="1"/>
  <c r="S160" i="39" a="1"/>
  <c r="S160" i="39" s="1"/>
  <c r="R160" i="39" a="1"/>
  <c r="R160" i="39" s="1"/>
  <c r="S250" i="39" a="1"/>
  <c r="S250" i="39" s="1"/>
  <c r="S335" i="39" a="1"/>
  <c r="S335" i="39" s="1"/>
  <c r="R335" i="39" a="1"/>
  <c r="R335" i="39" s="1"/>
  <c r="S407" i="39" a="1"/>
  <c r="S407" i="39" s="1"/>
  <c r="R407" i="39" a="1"/>
  <c r="R407" i="39" s="1"/>
  <c r="S478" i="39" a="1"/>
  <c r="S478" i="39" s="1"/>
  <c r="R478" i="39" a="1"/>
  <c r="R478" i="39" s="1"/>
  <c r="S555" i="39" a="1"/>
  <c r="S555" i="39" s="1"/>
  <c r="R555" i="39" a="1"/>
  <c r="R555" i="39" s="1"/>
  <c r="S223" i="39" a="1"/>
  <c r="S223" i="39" s="1"/>
  <c r="R91" i="39" a="1"/>
  <c r="R91" i="39" s="1"/>
  <c r="S91" i="39" a="1"/>
  <c r="S91" i="39" s="1"/>
  <c r="Q294" i="39"/>
  <c r="R294" i="39" a="1"/>
  <c r="R294" i="39" s="1"/>
  <c r="S294" i="39" a="1"/>
  <c r="S294" i="39" s="1"/>
  <c r="R191" i="39" a="1"/>
  <c r="R191" i="39" s="1"/>
  <c r="Q191" i="39"/>
  <c r="O191" i="39"/>
  <c r="S336" i="39" a="1"/>
  <c r="S336" i="39" s="1"/>
  <c r="R336" i="39" a="1"/>
  <c r="R336" i="39" s="1"/>
  <c r="S408" i="39" a="1"/>
  <c r="S408" i="39" s="1"/>
  <c r="R408" i="39" a="1"/>
  <c r="R408" i="39" s="1"/>
  <c r="S556" i="39" a="1"/>
  <c r="S556" i="39" s="1"/>
  <c r="R284" i="39" a="1"/>
  <c r="R284" i="39" s="1"/>
  <c r="S259" i="39" a="1"/>
  <c r="S259" i="39" s="1"/>
  <c r="S5" i="39" a="1"/>
  <c r="S5" i="39" s="1"/>
  <c r="R5" i="39" a="1"/>
  <c r="R5" i="39" s="1"/>
  <c r="R92" i="39" a="1"/>
  <c r="R92" i="39" s="1"/>
  <c r="S92" i="39" a="1"/>
  <c r="S92" i="39" s="1"/>
  <c r="S176" i="39" a="1"/>
  <c r="S176" i="39" s="1"/>
  <c r="R176" i="39" a="1"/>
  <c r="R176" i="39" s="1"/>
  <c r="S265" i="39" a="1"/>
  <c r="S265" i="39" s="1"/>
  <c r="R265" i="39" a="1"/>
  <c r="R265" i="39" s="1"/>
  <c r="R161" i="39" a="1"/>
  <c r="R161" i="39" s="1"/>
  <c r="Q161" i="39"/>
  <c r="O161" i="39"/>
  <c r="S161" i="39" a="1"/>
  <c r="S161" i="39" s="1"/>
  <c r="S201" i="39" a="1"/>
  <c r="S201" i="39" s="1"/>
  <c r="O201" i="39"/>
  <c r="R201" i="39" a="1"/>
  <c r="R201" i="39" s="1"/>
  <c r="Q500" i="39"/>
  <c r="R500" i="39" a="1"/>
  <c r="R500" i="39" s="1"/>
  <c r="O456" i="39"/>
  <c r="O294" i="39"/>
  <c r="R556" i="39" a="1"/>
  <c r="R556" i="39" s="1"/>
  <c r="Q201" i="39"/>
  <c r="S191" i="39" a="1"/>
  <c r="S191" i="39" s="1"/>
  <c r="R22" i="39" a="1"/>
  <c r="R22" i="39" s="1"/>
  <c r="S22" i="39" a="1"/>
  <c r="S22" i="39" s="1"/>
  <c r="R108" i="39" a="1"/>
  <c r="R108" i="39" s="1"/>
  <c r="S108" i="39" a="1"/>
  <c r="S108" i="39" s="1"/>
  <c r="S192" i="39" a="1"/>
  <c r="S192" i="39" s="1"/>
  <c r="R354" i="39" a="1"/>
  <c r="R354" i="39" s="1"/>
  <c r="S354" i="39" a="1"/>
  <c r="S354" i="39" s="1"/>
  <c r="S274" i="39" a="1"/>
  <c r="S274" i="39" s="1"/>
  <c r="S498" i="39" a="1"/>
  <c r="S498" i="39" s="1"/>
  <c r="R498" i="39" a="1"/>
  <c r="R498" i="39" s="1"/>
  <c r="Q313" i="39"/>
  <c r="O313" i="39"/>
  <c r="R476" i="39" a="1"/>
  <c r="R476" i="39" s="1"/>
  <c r="O476" i="39"/>
  <c r="S476" i="39" a="1"/>
  <c r="S476" i="39" s="1"/>
  <c r="S109" i="39" a="1"/>
  <c r="S109" i="39" s="1"/>
  <c r="Q109" i="39"/>
  <c r="O109" i="39"/>
  <c r="R353" i="39" a="1"/>
  <c r="R353" i="39" s="1"/>
  <c r="S353" i="39" a="1"/>
  <c r="S353" i="39" s="1"/>
  <c r="R427" i="39" a="1"/>
  <c r="R427" i="39" s="1"/>
  <c r="S427" i="39" a="1"/>
  <c r="S427" i="39" s="1"/>
  <c r="R497" i="39" a="1"/>
  <c r="R497" i="39" s="1"/>
  <c r="S58" i="39" a="1"/>
  <c r="S58" i="39" s="1"/>
  <c r="R444" i="39" a="1"/>
  <c r="R444" i="39" s="1"/>
  <c r="S444" i="39" a="1"/>
  <c r="S444" i="39" s="1"/>
  <c r="S217" i="39" a="1"/>
  <c r="S217" i="39" s="1"/>
  <c r="S204" i="39" a="1"/>
  <c r="S204" i="39" s="1"/>
  <c r="R204" i="39" a="1"/>
  <c r="R204" i="39" s="1"/>
  <c r="S210" i="39" a="1"/>
  <c r="S210" i="39" s="1"/>
  <c r="R210" i="39" a="1"/>
  <c r="R210" i="39" s="1"/>
  <c r="R301" i="39" a="1"/>
  <c r="R301" i="39" s="1"/>
  <c r="S301" i="39" a="1"/>
  <c r="S301" i="39" s="1"/>
  <c r="S371" i="39" a="1"/>
  <c r="S371" i="39" s="1"/>
  <c r="R371" i="39" a="1"/>
  <c r="R371" i="39" s="1"/>
  <c r="S445" i="39" a="1"/>
  <c r="S445" i="39" s="1"/>
  <c r="S159" i="39" a="1"/>
  <c r="S159" i="39" s="1"/>
  <c r="R72" i="39" a="1"/>
  <c r="R72" i="39" s="1"/>
  <c r="R39" i="39" a="1"/>
  <c r="R39" i="39" s="1"/>
  <c r="S125" i="39" a="1"/>
  <c r="S125" i="39" s="1"/>
  <c r="R125" i="39" a="1"/>
  <c r="R125" i="39" s="1"/>
  <c r="S211" i="39" a="1"/>
  <c r="S211" i="39" s="1"/>
  <c r="R211" i="39" a="1"/>
  <c r="R211" i="39" s="1"/>
  <c r="R302" i="39" a="1"/>
  <c r="R302" i="39" s="1"/>
  <c r="S372" i="39" a="1"/>
  <c r="S372" i="39" s="1"/>
  <c r="R372" i="39" a="1"/>
  <c r="R372" i="39" s="1"/>
  <c r="S491" i="39" a="1"/>
  <c r="S491" i="39" s="1"/>
  <c r="Q491" i="39"/>
  <c r="R491" i="39" a="1"/>
  <c r="R491" i="39" s="1"/>
  <c r="S518" i="39" a="1"/>
  <c r="S518" i="39" s="1"/>
  <c r="R518" i="39" a="1"/>
  <c r="R518" i="39" s="1"/>
  <c r="O507" i="39"/>
  <c r="S23" i="39" a="1"/>
  <c r="S23" i="39" s="1"/>
  <c r="S137" i="39" a="1"/>
  <c r="S137" i="39" s="1"/>
  <c r="Q237" i="39"/>
  <c r="O237" i="39"/>
  <c r="S237" i="39" a="1"/>
  <c r="S237" i="39" s="1"/>
  <c r="R237" i="39" a="1"/>
  <c r="R237" i="39" s="1"/>
  <c r="R499" i="39" a="1"/>
  <c r="R499" i="39" s="1"/>
  <c r="Q528" i="39"/>
  <c r="R528" i="39" a="1"/>
  <c r="R528" i="39" s="1"/>
  <c r="O528" i="39"/>
  <c r="R126" i="39" a="1"/>
  <c r="R126" i="39" s="1"/>
  <c r="S126" i="39" a="1"/>
  <c r="S126" i="39" s="1"/>
  <c r="S490" i="39" a="1"/>
  <c r="S490" i="39" s="1"/>
  <c r="R456" i="39" a="1"/>
  <c r="R456" i="39" s="1"/>
  <c r="S456" i="39" a="1"/>
  <c r="S456" i="39" s="1"/>
  <c r="Q456" i="39"/>
  <c r="R461" i="39" a="1"/>
  <c r="R461" i="39" s="1"/>
  <c r="S282" i="39" a="1"/>
  <c r="S282" i="39" s="1"/>
  <c r="R282" i="39" a="1"/>
  <c r="R282" i="39" s="1"/>
  <c r="Q282" i="39"/>
  <c r="O282" i="39"/>
  <c r="O500" i="39"/>
  <c r="S57" i="39" a="1"/>
  <c r="S57" i="39" s="1"/>
  <c r="R57" i="39" a="1"/>
  <c r="R57" i="39" s="1"/>
  <c r="R212" i="39" a="1"/>
  <c r="R212" i="39" s="1"/>
  <c r="Q212" i="39"/>
  <c r="O212" i="39"/>
  <c r="S212" i="39" a="1"/>
  <c r="S212" i="39" s="1"/>
  <c r="R231" i="39" a="1"/>
  <c r="R231" i="39" s="1"/>
  <c r="S231" i="39" a="1"/>
  <c r="S231" i="39" s="1"/>
  <c r="R318" i="39" a="1"/>
  <c r="R318" i="39" s="1"/>
  <c r="S318" i="39" a="1"/>
  <c r="S318" i="39" s="1"/>
  <c r="S388" i="39" a="1"/>
  <c r="S388" i="39" s="1"/>
  <c r="S462" i="39" a="1"/>
  <c r="S462" i="39" s="1"/>
  <c r="R462" i="39" a="1"/>
  <c r="R462" i="39" s="1"/>
  <c r="R538" i="39" a="1"/>
  <c r="R538" i="39" s="1"/>
  <c r="S538" i="39" a="1"/>
  <c r="S538" i="39" s="1"/>
  <c r="R250" i="39" a="1"/>
  <c r="R250" i="39" s="1"/>
  <c r="S479" i="39" a="1"/>
  <c r="S479" i="39" s="1"/>
  <c r="S537" i="39" a="1"/>
  <c r="S537" i="39" s="1"/>
  <c r="R224" i="39" a="1"/>
  <c r="R224" i="39" s="1"/>
  <c r="S224" i="39" a="1"/>
  <c r="S224" i="39" s="1"/>
  <c r="O224" i="39"/>
  <c r="S144" i="39" a="1"/>
  <c r="S144" i="39" s="1"/>
  <c r="S232" i="39" a="1"/>
  <c r="S232" i="39" s="1"/>
  <c r="R232" i="39" a="1"/>
  <c r="R232" i="39" s="1"/>
  <c r="S319" i="39" a="1"/>
  <c r="S319" i="39" s="1"/>
  <c r="R389" i="39" a="1"/>
  <c r="R389" i="39" s="1"/>
  <c r="S389" i="39" a="1"/>
  <c r="S389" i="39" s="1"/>
  <c r="S463" i="39" a="1"/>
  <c r="S463" i="39" s="1"/>
  <c r="R463" i="39" a="1"/>
  <c r="R463" i="39" s="1"/>
  <c r="R539" i="39" a="1"/>
  <c r="R539" i="39" s="1"/>
  <c r="S539" i="39" a="1"/>
  <c r="S539" i="39" s="1"/>
  <c r="S203" i="39" a="1"/>
  <c r="S203" i="39" s="1"/>
  <c r="S464" i="39" a="1"/>
  <c r="S464" i="39" s="1"/>
  <c r="S313" i="39" a="1"/>
  <c r="S313" i="39" s="1"/>
  <c r="AF38" i="38" a="1"/>
  <c r="AF38" i="38" s="1"/>
  <c r="W3" i="38" a="1"/>
  <c r="AF3" i="38" a="1"/>
  <c r="N399" i="39" s="1" a="1"/>
  <c r="N399" i="39" s="1"/>
  <c r="AB8" i="3"/>
  <c r="O43" i="38" s="1"/>
  <c r="AB16" i="3"/>
  <c r="O51" i="38" s="1"/>
  <c r="AC28" i="3"/>
  <c r="P63" i="38" s="1"/>
  <c r="AA17" i="3"/>
  <c r="N52" i="38" s="1"/>
  <c r="AB18" i="3"/>
  <c r="O53" i="38" s="1"/>
  <c r="AA20" i="3"/>
  <c r="N55" i="38" s="1"/>
  <c r="AA8" i="3"/>
  <c r="N43" i="38" s="1"/>
  <c r="AA4" i="3"/>
  <c r="N39" i="38" s="1"/>
  <c r="AA16" i="3"/>
  <c r="N51" i="38" s="1"/>
  <c r="AE18" i="3"/>
  <c r="R53" i="38" s="1"/>
  <c r="AE21" i="3"/>
  <c r="R56" i="38" s="1"/>
  <c r="AC24" i="3"/>
  <c r="P59" i="38" s="1"/>
  <c r="AE25" i="3"/>
  <c r="R60" i="38" s="1"/>
  <c r="AB7" i="3"/>
  <c r="O42" i="38" s="1"/>
  <c r="AB3" i="3"/>
  <c r="O38" i="38" s="1"/>
  <c r="AB17" i="3"/>
  <c r="O52" i="38" s="1"/>
  <c r="AC22" i="3"/>
  <c r="P57" i="38" s="1"/>
  <c r="AC9" i="3"/>
  <c r="P44" i="38" s="1"/>
  <c r="AB27" i="3"/>
  <c r="O62" i="38" s="1"/>
  <c r="AB13" i="3"/>
  <c r="O48" i="38" s="1"/>
  <c r="AC7" i="3"/>
  <c r="P42" i="38" s="1"/>
  <c r="AE6" i="3"/>
  <c r="R41" i="38" s="1"/>
  <c r="AC3" i="3"/>
  <c r="P38" i="38" s="1"/>
  <c r="AE14" i="3"/>
  <c r="R49" i="38" s="1"/>
  <c r="AC17" i="3"/>
  <c r="P52" i="38" s="1"/>
  <c r="AC20" i="3"/>
  <c r="P55" i="38" s="1"/>
  <c r="AB23" i="3"/>
  <c r="O58" i="38" s="1"/>
  <c r="AA33" i="3"/>
  <c r="N68" i="38" s="1"/>
  <c r="AE29" i="3"/>
  <c r="R64" i="38" s="1"/>
  <c r="AA28" i="3"/>
  <c r="N63" i="38" s="1"/>
  <c r="AE17" i="3"/>
  <c r="R52" i="38" s="1"/>
  <c r="AE20" i="3"/>
  <c r="R55" i="38" s="1"/>
  <c r="AA25" i="3"/>
  <c r="N60" i="38" s="1"/>
  <c r="AE13" i="3"/>
  <c r="R48" i="38" s="1"/>
  <c r="AA10" i="3"/>
  <c r="N45" i="38" s="1"/>
  <c r="AA6" i="3"/>
  <c r="N41" i="38" s="1"/>
  <c r="AA14" i="3"/>
  <c r="N49" i="38" s="1"/>
  <c r="AE23" i="3"/>
  <c r="R58" i="38" s="1"/>
  <c r="AB5" i="3"/>
  <c r="O40" i="38" s="1"/>
  <c r="AB15" i="3"/>
  <c r="O50" i="38" s="1"/>
  <c r="AE31" i="3"/>
  <c r="R66" i="38" s="1"/>
  <c r="AA7" i="3"/>
  <c r="N42" i="38" s="1"/>
  <c r="AA3" i="3"/>
  <c r="N38" i="38" s="1"/>
  <c r="AB21" i="3"/>
  <c r="O56" i="38" s="1"/>
  <c r="AC25" i="3"/>
  <c r="P60" i="38" s="1"/>
  <c r="AE26" i="3"/>
  <c r="R61" i="38" s="1"/>
  <c r="AC30" i="3"/>
  <c r="P65" i="38" s="1"/>
  <c r="AA32" i="3"/>
  <c r="N67" i="38" s="1"/>
  <c r="AB10" i="3"/>
  <c r="O45" i="38" s="1"/>
  <c r="AB6" i="3"/>
  <c r="O41" i="38" s="1"/>
  <c r="AE5" i="3"/>
  <c r="R40" i="38" s="1"/>
  <c r="AB14" i="3"/>
  <c r="O49" i="38" s="1"/>
  <c r="AC18" i="3"/>
  <c r="P53" i="38" s="1"/>
  <c r="AC10" i="3"/>
  <c r="P45" i="38" s="1"/>
  <c r="AC6" i="3"/>
  <c r="P41" i="38" s="1"/>
  <c r="AC14" i="3"/>
  <c r="P49" i="38" s="1"/>
  <c r="AE15" i="3"/>
  <c r="R50" i="38" s="1"/>
  <c r="AC29" i="3"/>
  <c r="P64" i="38" s="1"/>
  <c r="AE30" i="3"/>
  <c r="R65" i="38" s="1"/>
  <c r="AA19" i="3"/>
  <c r="N54" i="38" s="1"/>
  <c r="AB20" i="3"/>
  <c r="O55" i="38" s="1"/>
  <c r="AA26" i="3"/>
  <c r="N61" i="38" s="1"/>
  <c r="AB32" i="3"/>
  <c r="O67" i="38" s="1"/>
  <c r="AE22" i="3"/>
  <c r="R57" i="38" s="1"/>
  <c r="AB22" i="3"/>
  <c r="O57" i="38" s="1"/>
  <c r="AA22" i="3"/>
  <c r="N57" i="38" s="1"/>
  <c r="AC12" i="3"/>
  <c r="P47" i="38" s="1"/>
  <c r="AB12" i="3"/>
  <c r="O47" i="38" s="1"/>
  <c r="AA12" i="3"/>
  <c r="N47" i="38" s="1"/>
  <c r="AE9" i="3"/>
  <c r="R44" i="38" s="1"/>
  <c r="AB9" i="3"/>
  <c r="O44" i="38" s="1"/>
  <c r="AA9" i="3"/>
  <c r="N44" i="38" s="1"/>
  <c r="J63" i="36"/>
  <c r="L63" i="36"/>
  <c r="K63" i="36"/>
  <c r="Y38" i="3" a="1"/>
  <c r="Y38" i="3" s="1"/>
  <c r="AJ3" i="3" a="1"/>
  <c r="AS3" i="3" a="1"/>
  <c r="AS38" i="3" a="1"/>
  <c r="BB38" i="3" a="1"/>
  <c r="AZ38" i="3" a="1"/>
  <c r="V38" i="3" a="1"/>
  <c r="BB3" i="3" a="1"/>
  <c r="W38" i="3" a="1"/>
  <c r="W38" i="3" s="1"/>
  <c r="AJ38" i="3" a="1"/>
  <c r="AJ329" i="1"/>
  <c r="AJ351" i="1"/>
  <c r="AI505" i="1"/>
  <c r="AI417" i="1"/>
  <c r="AJ439" i="1"/>
  <c r="AI175" i="1"/>
  <c r="AJ219" i="1"/>
  <c r="AJ285" i="1"/>
  <c r="AD67" i="3"/>
  <c r="AD63" i="3"/>
  <c r="AD54" i="3"/>
  <c r="AD41" i="3"/>
  <c r="AJ549" i="1"/>
  <c r="AI637" i="1"/>
  <c r="AJ395" i="1"/>
  <c r="AJ527" i="1"/>
  <c r="AD52" i="3"/>
  <c r="AJ153" i="1"/>
  <c r="AI703" i="1"/>
  <c r="AD69" i="3"/>
  <c r="T191" i="27"/>
  <c r="U191" i="27" s="1" a="1"/>
  <c r="U191" i="27" s="1"/>
  <c r="M119" i="27"/>
  <c r="N119" i="27" s="1" a="1"/>
  <c r="N119" i="27" s="1"/>
  <c r="T116" i="27"/>
  <c r="U116" i="27" s="1" a="1"/>
  <c r="U116" i="27" s="1"/>
  <c r="F80" i="27"/>
  <c r="G80" i="27" s="1" a="1"/>
  <c r="G80" i="27" s="1"/>
  <c r="F17" i="24"/>
  <c r="L17" i="24" s="1"/>
  <c r="F27" i="25"/>
  <c r="O27" i="25" s="1"/>
  <c r="AA46" i="27"/>
  <c r="AB46" i="27" s="1" a="1"/>
  <c r="AB46" i="27" s="1"/>
  <c r="F94" i="23"/>
  <c r="L94" i="23" s="1" a="1"/>
  <c r="L94" i="23" s="1"/>
  <c r="F98" i="23"/>
  <c r="L98" i="23" s="1" a="1"/>
  <c r="L98" i="23" s="1"/>
  <c r="M91" i="27"/>
  <c r="N91" i="27" s="1" a="1"/>
  <c r="N91" i="27" s="1"/>
  <c r="F24" i="26"/>
  <c r="G24" i="26" s="1" a="1"/>
  <c r="G24" i="26" s="1"/>
  <c r="F81" i="27"/>
  <c r="G81" i="27" s="1" a="1"/>
  <c r="G81" i="27" s="1"/>
  <c r="F172" i="23"/>
  <c r="L172" i="23" s="1" a="1"/>
  <c r="L172" i="23" s="1"/>
  <c r="T75" i="27"/>
  <c r="U75" i="27" s="1" a="1"/>
  <c r="U75" i="27" s="1"/>
  <c r="F34" i="23"/>
  <c r="L34" i="23" s="1" a="1"/>
  <c r="L34" i="23" s="1"/>
  <c r="F176" i="23"/>
  <c r="K176" i="23" s="1" a="1"/>
  <c r="K176" i="23" s="1"/>
  <c r="F25" i="25"/>
  <c r="N25" i="25" s="1"/>
  <c r="F23" i="26"/>
  <c r="G23" i="26" s="1" a="1"/>
  <c r="G23" i="26" s="1"/>
  <c r="F16" i="24"/>
  <c r="N16" i="24" s="1"/>
  <c r="F25" i="26"/>
  <c r="G25" i="26" s="1" a="1"/>
  <c r="G25" i="26" s="1"/>
  <c r="F35" i="23"/>
  <c r="L35" i="23" s="1" a="1"/>
  <c r="L35" i="23" s="1"/>
  <c r="F173" i="23"/>
  <c r="L173" i="23" s="1" a="1"/>
  <c r="L173" i="23" s="1"/>
  <c r="F95" i="23"/>
  <c r="L95" i="23" s="1" a="1"/>
  <c r="L95" i="23" s="1"/>
  <c r="F69" i="24"/>
  <c r="O69" i="24" s="1"/>
  <c r="M5" i="27"/>
  <c r="N5" i="27" s="1" a="1"/>
  <c r="N5" i="27" s="1"/>
  <c r="F29" i="27"/>
  <c r="G29" i="27" s="1" a="1"/>
  <c r="G29" i="27" s="1"/>
  <c r="F34" i="27"/>
  <c r="G34" i="27" s="1" a="1"/>
  <c r="G34" i="27" s="1"/>
  <c r="M66" i="27"/>
  <c r="N66" i="27" s="1" a="1"/>
  <c r="N66" i="27" s="1"/>
  <c r="AA105" i="27"/>
  <c r="AB105" i="27" s="1" a="1"/>
  <c r="AB105" i="27" s="1"/>
  <c r="T114" i="27"/>
  <c r="U114" i="27" s="1" a="1"/>
  <c r="U114" i="27" s="1"/>
  <c r="AD43" i="3"/>
  <c r="F174" i="23"/>
  <c r="J174" i="23" s="1" a="1"/>
  <c r="J174" i="23" s="1"/>
  <c r="F96" i="23"/>
  <c r="L96" i="23" s="1" a="1"/>
  <c r="L96" i="23" s="1"/>
  <c r="F71" i="24"/>
  <c r="N71" i="24" s="1"/>
  <c r="F102" i="25"/>
  <c r="L102" i="25" s="1"/>
  <c r="F18" i="25"/>
  <c r="L18" i="25" s="1"/>
  <c r="F20" i="25"/>
  <c r="M20" i="25" s="1"/>
  <c r="F98" i="26"/>
  <c r="J98" i="26" s="1"/>
  <c r="M34" i="27"/>
  <c r="N34" i="27" s="1" a="1"/>
  <c r="N34" i="27" s="1"/>
  <c r="M82" i="27"/>
  <c r="N82" i="27" s="1" a="1"/>
  <c r="N82" i="27" s="1"/>
  <c r="M98" i="27"/>
  <c r="N98" i="27" s="1" a="1"/>
  <c r="N98" i="27" s="1"/>
  <c r="T164" i="27"/>
  <c r="U164" i="27" s="1" a="1"/>
  <c r="U164" i="27" s="1"/>
  <c r="F175" i="23"/>
  <c r="L175" i="23" s="1" a="1"/>
  <c r="L175" i="23" s="1"/>
  <c r="F97" i="23"/>
  <c r="L97" i="23" s="1" a="1"/>
  <c r="L97" i="23" s="1"/>
  <c r="F37" i="24"/>
  <c r="M37" i="24" s="1"/>
  <c r="F57" i="25"/>
  <c r="P57" i="25" s="1"/>
  <c r="F104" i="25"/>
  <c r="L104" i="25" s="1"/>
  <c r="F96" i="26"/>
  <c r="I96" i="26" s="1" a="1"/>
  <c r="I96" i="26" s="1"/>
  <c r="F17" i="26"/>
  <c r="I17" i="26" s="1" a="1"/>
  <c r="I17" i="26" s="1"/>
  <c r="M18" i="27"/>
  <c r="N18" i="27" s="1" a="1"/>
  <c r="N18" i="27" s="1"/>
  <c r="AA47" i="27"/>
  <c r="AB47" i="27" s="1" a="1"/>
  <c r="AB47" i="27" s="1"/>
  <c r="T82" i="27"/>
  <c r="U82" i="27" s="1" a="1"/>
  <c r="U82" i="27" s="1"/>
  <c r="T90" i="27"/>
  <c r="U90" i="27" s="1" a="1"/>
  <c r="U90" i="27" s="1"/>
  <c r="F55" i="26"/>
  <c r="I55" i="26" s="1" a="1"/>
  <c r="I55" i="26" s="1"/>
  <c r="T18" i="27"/>
  <c r="U18" i="27" s="1" a="1"/>
  <c r="U18" i="27" s="1"/>
  <c r="T132" i="27"/>
  <c r="U132" i="27" s="1" a="1"/>
  <c r="U132" i="27" s="1"/>
  <c r="F11" i="24"/>
  <c r="P11" i="24" s="1"/>
  <c r="F59" i="25"/>
  <c r="L59" i="25" s="1"/>
  <c r="F2" i="27"/>
  <c r="G2" i="27" s="1" a="1"/>
  <c r="G2" i="27" s="1"/>
  <c r="F14" i="27"/>
  <c r="G14" i="27" s="1" a="1"/>
  <c r="G14" i="27" s="1"/>
  <c r="AA24" i="27"/>
  <c r="AB24" i="27" s="1" a="1"/>
  <c r="AB24" i="27" s="1"/>
  <c r="AD68" i="3"/>
  <c r="Q53" i="3"/>
  <c r="F28" i="23"/>
  <c r="L28" i="23" s="1" a="1"/>
  <c r="L28" i="23" s="1"/>
  <c r="F17" i="25"/>
  <c r="L17" i="25" s="1"/>
  <c r="M2" i="27"/>
  <c r="N2" i="27" s="1" a="1"/>
  <c r="N2" i="27" s="1"/>
  <c r="AA14" i="27"/>
  <c r="AB14" i="27" s="1" a="1"/>
  <c r="AB14" i="27" s="1"/>
  <c r="T68" i="27"/>
  <c r="U68" i="27" s="1" a="1"/>
  <c r="U68" i="27" s="1"/>
  <c r="AA77" i="27"/>
  <c r="AB77" i="27" s="1" a="1"/>
  <c r="AB77" i="27" s="1"/>
  <c r="T100" i="27"/>
  <c r="U100" i="27" s="1" a="1"/>
  <c r="U100" i="27" s="1"/>
  <c r="F29" i="23"/>
  <c r="L29" i="23" s="1" a="1"/>
  <c r="L29" i="23" s="1"/>
  <c r="F68" i="24"/>
  <c r="M68" i="24" s="1"/>
  <c r="F18" i="26"/>
  <c r="J18" i="26" s="1"/>
  <c r="T36" i="27"/>
  <c r="U36" i="27" s="1" a="1"/>
  <c r="U36" i="27" s="1"/>
  <c r="AA56" i="27"/>
  <c r="AB56" i="27" s="1" a="1"/>
  <c r="AB56" i="27" s="1"/>
  <c r="AA78" i="27"/>
  <c r="AB78" i="27" s="1" a="1"/>
  <c r="AB78" i="27" s="1"/>
  <c r="F19" i="25"/>
  <c r="L19" i="25" s="1"/>
  <c r="F56" i="26"/>
  <c r="G56" i="26" s="1" a="1"/>
  <c r="G56" i="26" s="1"/>
  <c r="T26" i="27"/>
  <c r="U26" i="27" s="1" a="1"/>
  <c r="U26" i="27" s="1"/>
  <c r="T50" i="27"/>
  <c r="U50" i="27" s="1" a="1"/>
  <c r="U50" i="27" s="1"/>
  <c r="M101" i="27"/>
  <c r="N101" i="27" s="1" a="1"/>
  <c r="N101" i="27" s="1"/>
  <c r="T189" i="27"/>
  <c r="U189" i="27" s="1" a="1"/>
  <c r="U189" i="27" s="1"/>
  <c r="F31" i="23"/>
  <c r="L31" i="23" s="1" a="1"/>
  <c r="L31" i="23" s="1"/>
  <c r="F36" i="24"/>
  <c r="M36" i="24" s="1"/>
  <c r="F103" i="25"/>
  <c r="L103" i="25" s="1"/>
  <c r="F16" i="26"/>
  <c r="I16" i="26" s="1" a="1"/>
  <c r="I16" i="26" s="1"/>
  <c r="F97" i="26"/>
  <c r="I97" i="26" s="1" a="1"/>
  <c r="I97" i="26" s="1"/>
  <c r="AA15" i="27"/>
  <c r="AB15" i="27" s="1" a="1"/>
  <c r="AB15" i="27" s="1"/>
  <c r="M37" i="27"/>
  <c r="N37" i="27" s="1" a="1"/>
  <c r="N37" i="27" s="1"/>
  <c r="M69" i="27"/>
  <c r="N69" i="27" s="1" a="1"/>
  <c r="N69" i="27" s="1"/>
  <c r="F30" i="23"/>
  <c r="L30" i="23" s="1" a="1"/>
  <c r="L30" i="23" s="1"/>
  <c r="F32" i="23"/>
  <c r="L32" i="23" s="1" a="1"/>
  <c r="L32" i="23" s="1"/>
  <c r="F12" i="24"/>
  <c r="L12" i="24" s="1"/>
  <c r="F54" i="26"/>
  <c r="I54" i="26" s="1" a="1"/>
  <c r="I54" i="26" s="1"/>
  <c r="F19" i="26"/>
  <c r="I19" i="26" s="1" a="1"/>
  <c r="I19" i="26" s="1"/>
  <c r="F86" i="27"/>
  <c r="G86" i="27" s="1" a="1"/>
  <c r="G86" i="27" s="1"/>
  <c r="F33" i="23"/>
  <c r="L33" i="23" s="1" a="1"/>
  <c r="L33" i="23" s="1"/>
  <c r="F93" i="23"/>
  <c r="L93" i="23" s="1" a="1"/>
  <c r="L93" i="23" s="1"/>
  <c r="F70" i="24"/>
  <c r="M70" i="24" s="1"/>
  <c r="F58" i="25"/>
  <c r="L58" i="25" s="1"/>
  <c r="F60" i="25"/>
  <c r="L60" i="25" s="1"/>
  <c r="F99" i="26"/>
  <c r="L99" i="26" s="1"/>
  <c r="T4" i="27"/>
  <c r="U4" i="27" s="1" a="1"/>
  <c r="U4" i="27" s="1"/>
  <c r="T58" i="27"/>
  <c r="U58" i="27" s="1" a="1"/>
  <c r="U58" i="27" s="1"/>
  <c r="AA87" i="27"/>
  <c r="AB87" i="27" s="1" a="1"/>
  <c r="AB87" i="27" s="1"/>
  <c r="T122" i="27"/>
  <c r="U122" i="27" s="1" a="1"/>
  <c r="U122" i="27" s="1"/>
  <c r="T154" i="27"/>
  <c r="U154" i="27" s="1" a="1"/>
  <c r="U154" i="27" s="1"/>
  <c r="F118" i="23"/>
  <c r="L118" i="23" s="1" a="1"/>
  <c r="L118" i="23" s="1"/>
  <c r="F41" i="23"/>
  <c r="L41" i="23" s="1" a="1"/>
  <c r="L41" i="23" s="1"/>
  <c r="F79" i="24"/>
  <c r="N79" i="24" s="1"/>
  <c r="F15" i="24"/>
  <c r="N15" i="24" s="1"/>
  <c r="F114" i="25"/>
  <c r="L114" i="25" s="1"/>
  <c r="F7" i="27"/>
  <c r="G7" i="27" s="1" a="1"/>
  <c r="G7" i="27" s="1"/>
  <c r="T12" i="27"/>
  <c r="U12" i="27" s="1" a="1"/>
  <c r="U12" i="27" s="1"/>
  <c r="F26" i="27"/>
  <c r="G26" i="27" s="1" a="1"/>
  <c r="G26" i="27" s="1"/>
  <c r="T35" i="27"/>
  <c r="U35" i="27" s="1" a="1"/>
  <c r="U35" i="27" s="1"/>
  <c r="M55" i="27"/>
  <c r="N55" i="27" s="1" a="1"/>
  <c r="N55" i="27" s="1"/>
  <c r="M117" i="27"/>
  <c r="N117" i="27" s="1" a="1"/>
  <c r="N117" i="27" s="1"/>
  <c r="F193" i="23"/>
  <c r="L193" i="23" s="1" a="1"/>
  <c r="L193" i="23" s="1"/>
  <c r="F21" i="26"/>
  <c r="I21" i="26" s="1" a="1"/>
  <c r="I21" i="26" s="1"/>
  <c r="F110" i="26"/>
  <c r="I110" i="26" s="1" a="1"/>
  <c r="I110" i="26" s="1"/>
  <c r="T3" i="27"/>
  <c r="U3" i="27" s="1" a="1"/>
  <c r="U3" i="27" s="1"/>
  <c r="AA17" i="27"/>
  <c r="AB17" i="27" s="1" a="1"/>
  <c r="AB17" i="27" s="1"/>
  <c r="T139" i="27"/>
  <c r="U139" i="27" s="1" a="1"/>
  <c r="U139" i="27" s="1"/>
  <c r="T171" i="27"/>
  <c r="U171" i="27" s="1" a="1"/>
  <c r="U171" i="27" s="1"/>
  <c r="F178" i="23"/>
  <c r="J178" i="23" s="1" a="1"/>
  <c r="J178" i="23" s="1"/>
  <c r="F195" i="23"/>
  <c r="L195" i="23" s="1" a="1"/>
  <c r="L195" i="23" s="1"/>
  <c r="F113" i="25"/>
  <c r="L113" i="25" s="1"/>
  <c r="F116" i="25"/>
  <c r="L116" i="25" s="1"/>
  <c r="F68" i="26"/>
  <c r="I68" i="26" s="1" a="1"/>
  <c r="I68" i="26" s="1"/>
  <c r="F42" i="27"/>
  <c r="G42" i="27" s="1" a="1"/>
  <c r="G42" i="27" s="1"/>
  <c r="M62" i="27"/>
  <c r="N62" i="27" s="1" a="1"/>
  <c r="N62" i="27" s="1"/>
  <c r="T76" i="27"/>
  <c r="U76" i="27" s="1" a="1"/>
  <c r="U76" i="27" s="1"/>
  <c r="AA80" i="27"/>
  <c r="AB80" i="27" s="1" a="1"/>
  <c r="AB80" i="27" s="1"/>
  <c r="AA85" i="27"/>
  <c r="AB85" i="27" s="1" a="1"/>
  <c r="AB85" i="27" s="1"/>
  <c r="F196" i="23"/>
  <c r="L196" i="23" s="1" a="1"/>
  <c r="L196" i="23" s="1"/>
  <c r="F68" i="25"/>
  <c r="L68" i="25" s="1"/>
  <c r="F22" i="25"/>
  <c r="O22" i="25" s="1"/>
  <c r="F67" i="26"/>
  <c r="I67" i="26" s="1" a="1"/>
  <c r="I67" i="26" s="1"/>
  <c r="T14" i="27"/>
  <c r="U14" i="27" s="1" a="1"/>
  <c r="U14" i="27" s="1"/>
  <c r="AA22" i="27"/>
  <c r="AB22" i="27" s="1" a="1"/>
  <c r="AB22" i="27" s="1"/>
  <c r="M42" i="27"/>
  <c r="N42" i="27" s="1" a="1"/>
  <c r="N42" i="27" s="1"/>
  <c r="AA57" i="27"/>
  <c r="AB57" i="27" s="1" a="1"/>
  <c r="AB57" i="27" s="1"/>
  <c r="T67" i="27"/>
  <c r="U67" i="27" s="1" a="1"/>
  <c r="U67" i="27" s="1"/>
  <c r="T99" i="27"/>
  <c r="U99" i="27" s="1" a="1"/>
  <c r="U99" i="27" s="1"/>
  <c r="AA106" i="27"/>
  <c r="AB106" i="27" s="1" a="1"/>
  <c r="AB106" i="27" s="1"/>
  <c r="AD51" i="3"/>
  <c r="F197" i="23"/>
  <c r="L197" i="23" s="1" a="1"/>
  <c r="L197" i="23" s="1"/>
  <c r="F113" i="23"/>
  <c r="L113" i="23" s="1" a="1"/>
  <c r="L113" i="23" s="1"/>
  <c r="F104" i="23"/>
  <c r="L104" i="23" s="1" a="1"/>
  <c r="L104" i="23" s="1"/>
  <c r="F20" i="26"/>
  <c r="I20" i="26" s="1" a="1"/>
  <c r="I20" i="26" s="1"/>
  <c r="M23" i="27"/>
  <c r="N23" i="27" s="1" a="1"/>
  <c r="N23" i="27" s="1"/>
  <c r="T37" i="27"/>
  <c r="U37" i="27" s="1" a="1"/>
  <c r="U37" i="27" s="1"/>
  <c r="F58" i="27"/>
  <c r="G58" i="27" s="1" a="1"/>
  <c r="G58" i="27" s="1"/>
  <c r="M87" i="27"/>
  <c r="N87" i="27" s="1" a="1"/>
  <c r="N87" i="27" s="1"/>
  <c r="AA107" i="27"/>
  <c r="AB107" i="27" s="1" a="1"/>
  <c r="AB107" i="27" s="1"/>
  <c r="AD44" i="3"/>
  <c r="F36" i="23"/>
  <c r="L36" i="23" s="1" a="1"/>
  <c r="L36" i="23" s="1"/>
  <c r="F198" i="23"/>
  <c r="L198" i="23" s="1" a="1"/>
  <c r="L198" i="23" s="1"/>
  <c r="F114" i="23"/>
  <c r="L114" i="23" s="1" a="1"/>
  <c r="L114" i="23" s="1"/>
  <c r="F14" i="24"/>
  <c r="M14" i="24" s="1"/>
  <c r="F43" i="24"/>
  <c r="L43" i="24" s="1"/>
  <c r="F44" i="24"/>
  <c r="N44" i="24" s="1"/>
  <c r="F24" i="25"/>
  <c r="M24" i="25" s="1"/>
  <c r="F108" i="26"/>
  <c r="I108" i="26" s="1" a="1"/>
  <c r="I108" i="26" s="1"/>
  <c r="F15" i="26"/>
  <c r="G15" i="26" s="1" a="1"/>
  <c r="G15" i="26" s="1"/>
  <c r="F38" i="27"/>
  <c r="G38" i="27" s="1" a="1"/>
  <c r="G38" i="27" s="1"/>
  <c r="M63" i="27"/>
  <c r="N63" i="27" s="1" a="1"/>
  <c r="N63" i="27" s="1"/>
  <c r="M94" i="27"/>
  <c r="N94" i="27" s="1" a="1"/>
  <c r="N94" i="27" s="1"/>
  <c r="Q41" i="3"/>
  <c r="F37" i="23"/>
  <c r="L37" i="23" s="1" a="1"/>
  <c r="L37" i="23" s="1"/>
  <c r="F199" i="23"/>
  <c r="L199" i="23" s="1" a="1"/>
  <c r="L199" i="23" s="1"/>
  <c r="F115" i="23"/>
  <c r="J115" i="23" s="1" a="1"/>
  <c r="J115" i="23" s="1"/>
  <c r="F115" i="25"/>
  <c r="M115" i="25" s="1"/>
  <c r="T5" i="27"/>
  <c r="U5" i="27" s="1" a="1"/>
  <c r="U5" i="27" s="1"/>
  <c r="F10" i="27"/>
  <c r="G10" i="27" s="1" a="1"/>
  <c r="G10" i="27" s="1"/>
  <c r="T43" i="27"/>
  <c r="U43" i="27" s="1" a="1"/>
  <c r="U43" i="27" s="1"/>
  <c r="AA88" i="27"/>
  <c r="AB88" i="27" s="1" a="1"/>
  <c r="AB88" i="27" s="1"/>
  <c r="T108" i="27"/>
  <c r="U108" i="27" s="1" a="1"/>
  <c r="U108" i="27" s="1"/>
  <c r="F38" i="23"/>
  <c r="L38" i="23" s="1" a="1"/>
  <c r="L38" i="23" s="1"/>
  <c r="F200" i="23"/>
  <c r="L200" i="23" s="1" a="1"/>
  <c r="L200" i="23" s="1"/>
  <c r="F116" i="23"/>
  <c r="L116" i="23" s="1" a="1"/>
  <c r="L116" i="23" s="1"/>
  <c r="F80" i="24"/>
  <c r="M80" i="24" s="1"/>
  <c r="F21" i="25"/>
  <c r="N21" i="25" s="1"/>
  <c r="F70" i="25"/>
  <c r="M70" i="25" s="1"/>
  <c r="F66" i="26"/>
  <c r="J66" i="26" s="1"/>
  <c r="M25" i="27"/>
  <c r="N25" i="27" s="1" a="1"/>
  <c r="N25" i="27" s="1"/>
  <c r="F39" i="27"/>
  <c r="G39" i="27" s="1" a="1"/>
  <c r="G39" i="27" s="1"/>
  <c r="AA43" i="27"/>
  <c r="AB43" i="27" s="1" a="1"/>
  <c r="AB43" i="27" s="1"/>
  <c r="F78" i="27"/>
  <c r="G78" i="27" s="1" a="1"/>
  <c r="G78" i="27" s="1"/>
  <c r="M89" i="27"/>
  <c r="N89" i="27" s="1" a="1"/>
  <c r="N89" i="27" s="1"/>
  <c r="AD42" i="3"/>
  <c r="F39" i="23"/>
  <c r="L39" i="23" s="1" a="1"/>
  <c r="L39" i="23" s="1"/>
  <c r="F201" i="23"/>
  <c r="L201" i="23" s="1" a="1"/>
  <c r="L201" i="23" s="1"/>
  <c r="F117" i="23"/>
  <c r="L117" i="23" s="1" a="1"/>
  <c r="L117" i="23" s="1"/>
  <c r="F13" i="24"/>
  <c r="L13" i="24" s="1"/>
  <c r="F42" i="24"/>
  <c r="M42" i="24" s="1"/>
  <c r="F22" i="26"/>
  <c r="J22" i="26" s="1"/>
  <c r="F6" i="27"/>
  <c r="G6" i="27" s="1" a="1"/>
  <c r="G6" i="27" s="1"/>
  <c r="M30" i="27"/>
  <c r="N30" i="27" s="1" a="1"/>
  <c r="N30" i="27" s="1"/>
  <c r="T44" i="27"/>
  <c r="U44" i="27" s="1" a="1"/>
  <c r="U44" i="27" s="1"/>
  <c r="M59" i="27"/>
  <c r="N59" i="27" s="1" a="1"/>
  <c r="N59" i="27" s="1"/>
  <c r="T78" i="27"/>
  <c r="U78" i="27" s="1" a="1"/>
  <c r="U78" i="27" s="1"/>
  <c r="F83" i="27"/>
  <c r="G83" i="27" s="1" a="1"/>
  <c r="G83" i="27" s="1"/>
  <c r="M95" i="27"/>
  <c r="N95" i="27" s="1" a="1"/>
  <c r="N95" i="27" s="1"/>
  <c r="F107" i="26"/>
  <c r="I107" i="26" s="1" a="1"/>
  <c r="I107" i="26" s="1"/>
  <c r="AA25" i="27"/>
  <c r="AB25" i="27" s="1" a="1"/>
  <c r="AB25" i="27" s="1"/>
  <c r="AA49" i="27"/>
  <c r="AB49" i="27" s="1" a="1"/>
  <c r="AB49" i="27" s="1"/>
  <c r="AA54" i="27"/>
  <c r="AB54" i="27" s="1" a="1"/>
  <c r="AB54" i="27" s="1"/>
  <c r="AA110" i="27"/>
  <c r="AB110" i="27" s="1" a="1"/>
  <c r="AB110" i="27" s="1"/>
  <c r="T131" i="27"/>
  <c r="U131" i="27" s="1" a="1"/>
  <c r="U131" i="27" s="1"/>
  <c r="T205" i="27"/>
  <c r="U205" i="27" s="1" a="1"/>
  <c r="U205" i="27" s="1"/>
  <c r="F177" i="23"/>
  <c r="L177" i="23" s="1" a="1"/>
  <c r="L177" i="23" s="1"/>
  <c r="F103" i="23"/>
  <c r="L103" i="23" s="1" a="1"/>
  <c r="L103" i="23" s="1"/>
  <c r="F62" i="25"/>
  <c r="L62" i="25" s="1"/>
  <c r="F104" i="26"/>
  <c r="G104" i="26" s="1" a="1"/>
  <c r="G104" i="26" s="1"/>
  <c r="M10" i="27"/>
  <c r="N10" i="27" s="1" a="1"/>
  <c r="N10" i="27" s="1"/>
  <c r="F23" i="27"/>
  <c r="G23" i="27" s="1" a="1"/>
  <c r="G23" i="27" s="1"/>
  <c r="F179" i="23"/>
  <c r="L179" i="23" s="1" a="1"/>
  <c r="L179" i="23" s="1"/>
  <c r="F105" i="23"/>
  <c r="L105" i="23" s="1" a="1"/>
  <c r="L105" i="23" s="1"/>
  <c r="F72" i="24"/>
  <c r="N72" i="24" s="1"/>
  <c r="AA28" i="27"/>
  <c r="AB28" i="27" s="1" a="1"/>
  <c r="AB28" i="27" s="1"/>
  <c r="AA60" i="27"/>
  <c r="AB60" i="27" s="1" a="1"/>
  <c r="AB60" i="27" s="1"/>
  <c r="F180" i="23"/>
  <c r="L180" i="23" s="1" a="1"/>
  <c r="L180" i="23" s="1"/>
  <c r="F106" i="23"/>
  <c r="L106" i="23" s="1" a="1"/>
  <c r="L106" i="23" s="1"/>
  <c r="F41" i="24"/>
  <c r="O41" i="24" s="1"/>
  <c r="F73" i="24"/>
  <c r="M73" i="24" s="1"/>
  <c r="AA79" i="27"/>
  <c r="AB79" i="27" s="1" a="1"/>
  <c r="AB79" i="27" s="1"/>
  <c r="T147" i="27"/>
  <c r="U147" i="27" s="1" a="1"/>
  <c r="U147" i="27" s="1"/>
  <c r="F181" i="23"/>
  <c r="L181" i="23" s="1" a="1"/>
  <c r="L181" i="23" s="1"/>
  <c r="F111" i="23"/>
  <c r="K111" i="23" s="1" a="1"/>
  <c r="K111" i="23" s="1"/>
  <c r="F108" i="25"/>
  <c r="M108" i="25" s="1"/>
  <c r="M12" i="27"/>
  <c r="N12" i="27" s="1" a="1"/>
  <c r="N12" i="27" s="1"/>
  <c r="F76" i="27"/>
  <c r="G76" i="27" s="1" a="1"/>
  <c r="G76" i="27" s="1"/>
  <c r="T115" i="27"/>
  <c r="U115" i="27" s="1" a="1"/>
  <c r="U115" i="27" s="1"/>
  <c r="F182" i="23"/>
  <c r="L182" i="23" s="1" a="1"/>
  <c r="L182" i="23" s="1"/>
  <c r="F74" i="24"/>
  <c r="L74" i="24" s="1"/>
  <c r="F105" i="25"/>
  <c r="L105" i="25" s="1"/>
  <c r="F107" i="25"/>
  <c r="M107" i="25" s="1"/>
  <c r="F59" i="26"/>
  <c r="L59" i="26" s="1"/>
  <c r="F183" i="23"/>
  <c r="L183" i="23" s="1" a="1"/>
  <c r="L183" i="23" s="1"/>
  <c r="F106" i="25"/>
  <c r="L106" i="25" s="1"/>
  <c r="F111" i="25"/>
  <c r="M111" i="25" s="1"/>
  <c r="F58" i="26"/>
  <c r="G58" i="26" s="1" a="1"/>
  <c r="G58" i="26" s="1"/>
  <c r="M44" i="27"/>
  <c r="N44" i="27" s="1" a="1"/>
  <c r="N44" i="27" s="1"/>
  <c r="F85" i="27"/>
  <c r="G85" i="27" s="1" a="1"/>
  <c r="G85" i="27" s="1"/>
  <c r="T197" i="27"/>
  <c r="U197" i="27" s="1" a="1"/>
  <c r="U197" i="27" s="1"/>
  <c r="F75" i="24"/>
  <c r="N75" i="24" s="1"/>
  <c r="F78" i="24"/>
  <c r="L78" i="24" s="1"/>
  <c r="F109" i="25"/>
  <c r="L109" i="25" s="1"/>
  <c r="F110" i="25"/>
  <c r="M110" i="25" s="1"/>
  <c r="F57" i="26"/>
  <c r="G57" i="26" s="1" a="1"/>
  <c r="G57" i="26" s="1"/>
  <c r="AA48" i="27"/>
  <c r="AB48" i="27" s="1" a="1"/>
  <c r="AB48" i="27" s="1"/>
  <c r="AD48" i="3"/>
  <c r="F99" i="23"/>
  <c r="L99" i="23" s="1" a="1"/>
  <c r="L99" i="23" s="1"/>
  <c r="F76" i="24"/>
  <c r="M76" i="24" s="1"/>
  <c r="AD45" i="3"/>
  <c r="AD38" i="3"/>
  <c r="AD60" i="3"/>
  <c r="AD65" i="3"/>
  <c r="F100" i="23"/>
  <c r="L100" i="23" s="1" a="1"/>
  <c r="L100" i="23" s="1"/>
  <c r="F38" i="24"/>
  <c r="M38" i="24" s="1"/>
  <c r="F64" i="25"/>
  <c r="L64" i="25" s="1"/>
  <c r="F102" i="26"/>
  <c r="G102" i="26" s="1" a="1"/>
  <c r="G102" i="26" s="1"/>
  <c r="T54" i="27"/>
  <c r="U54" i="27" s="1" a="1"/>
  <c r="U54" i="27" s="1"/>
  <c r="AA91" i="27"/>
  <c r="AB91" i="27" s="1" a="1"/>
  <c r="AB91" i="27" s="1"/>
  <c r="AD56" i="3"/>
  <c r="F101" i="23"/>
  <c r="L101" i="23" s="1" a="1"/>
  <c r="L101" i="23" s="1"/>
  <c r="F39" i="24"/>
  <c r="O39" i="24" s="1"/>
  <c r="F101" i="26"/>
  <c r="I101" i="26" s="1" a="1"/>
  <c r="I101" i="26" s="1"/>
  <c r="F106" i="26"/>
  <c r="G106" i="26" s="1" a="1"/>
  <c r="G106" i="26" s="1"/>
  <c r="T22" i="27"/>
  <c r="U22" i="27" s="1" a="1"/>
  <c r="U22" i="27" s="1"/>
  <c r="T86" i="27"/>
  <c r="U86" i="27" s="1" a="1"/>
  <c r="U86" i="27" s="1"/>
  <c r="M106" i="27"/>
  <c r="N106" i="27" s="1" a="1"/>
  <c r="N106" i="27" s="1"/>
  <c r="AD47" i="3"/>
  <c r="F102" i="23"/>
  <c r="L102" i="23" s="1" a="1"/>
  <c r="L102" i="23" s="1"/>
  <c r="F77" i="24"/>
  <c r="M77" i="24" s="1"/>
  <c r="F63" i="25"/>
  <c r="L63" i="25" s="1"/>
  <c r="F100" i="26"/>
  <c r="I100" i="26" s="1" a="1"/>
  <c r="I100" i="26" s="1"/>
  <c r="F105" i="26"/>
  <c r="G105" i="26" s="1" a="1"/>
  <c r="G105" i="26" s="1"/>
  <c r="F55" i="27"/>
  <c r="G55" i="27" s="1" a="1"/>
  <c r="G55" i="27" s="1"/>
  <c r="T208" i="27"/>
  <c r="U208" i="27" s="1" a="1"/>
  <c r="U208" i="27" s="1"/>
  <c r="M65" i="27"/>
  <c r="N65" i="27" s="1" a="1"/>
  <c r="N65" i="27" s="1"/>
  <c r="F61" i="26"/>
  <c r="G61" i="26" s="1" a="1"/>
  <c r="G61" i="26" s="1"/>
  <c r="T92" i="27"/>
  <c r="U92" i="27" s="1" a="1"/>
  <c r="U92" i="27" s="1"/>
  <c r="F62" i="26"/>
  <c r="I62" i="26" s="1" a="1"/>
  <c r="I62" i="26" s="1"/>
  <c r="F63" i="26"/>
  <c r="I63" i="26" s="1" a="1"/>
  <c r="I63" i="26" s="1"/>
  <c r="F64" i="26"/>
  <c r="J64" i="26" s="1"/>
  <c r="AA34" i="27"/>
  <c r="AB34" i="27" s="1" a="1"/>
  <c r="AB34" i="27" s="1"/>
  <c r="F48" i="27"/>
  <c r="G48" i="27" s="1" a="1"/>
  <c r="G48" i="27" s="1"/>
  <c r="AD64" i="3"/>
  <c r="F112" i="23"/>
  <c r="L112" i="23" s="1" a="1"/>
  <c r="L112" i="23" s="1"/>
  <c r="F65" i="25"/>
  <c r="P65" i="25" s="1"/>
  <c r="F66" i="25"/>
  <c r="L66" i="25" s="1"/>
  <c r="F67" i="25"/>
  <c r="L67" i="25" s="1"/>
  <c r="M27" i="27"/>
  <c r="N27" i="27" s="1" a="1"/>
  <c r="N27" i="27" s="1"/>
  <c r="AA66" i="27"/>
  <c r="AB66" i="27" s="1" a="1"/>
  <c r="AB66" i="27" s="1"/>
  <c r="T107" i="27"/>
  <c r="U107" i="27" s="1" a="1"/>
  <c r="U107" i="27" s="1"/>
  <c r="AD59" i="3"/>
  <c r="AD66" i="3"/>
  <c r="F107" i="23"/>
  <c r="L107" i="23" s="1" a="1"/>
  <c r="L107" i="23" s="1"/>
  <c r="F108" i="23"/>
  <c r="L108" i="23" s="1" a="1"/>
  <c r="L108" i="23" s="1"/>
  <c r="F26" i="26"/>
  <c r="J26" i="26" s="1"/>
  <c r="AA2" i="27"/>
  <c r="AB2" i="27" s="1" a="1"/>
  <c r="AB2" i="27" s="1"/>
  <c r="T11" i="27"/>
  <c r="U11" i="27" s="1" a="1"/>
  <c r="U11" i="27" s="1"/>
  <c r="AA53" i="27"/>
  <c r="AB53" i="27" s="1" a="1"/>
  <c r="AB53" i="27" s="1"/>
  <c r="AD40" i="3"/>
  <c r="F109" i="23"/>
  <c r="L109" i="23" s="1" a="1"/>
  <c r="L109" i="23" s="1"/>
  <c r="F16" i="27"/>
  <c r="G16" i="27" s="1" a="1"/>
  <c r="G16" i="27" s="1"/>
  <c r="F46" i="27"/>
  <c r="G46" i="27" s="1" a="1"/>
  <c r="G46" i="27" s="1"/>
  <c r="AD50" i="3"/>
  <c r="AD58" i="3"/>
  <c r="AD62" i="3"/>
  <c r="F110" i="23"/>
  <c r="L110" i="23" s="1" a="1"/>
  <c r="L110" i="23" s="1"/>
  <c r="F40" i="24"/>
  <c r="M40" i="24" s="1"/>
  <c r="T28" i="27"/>
  <c r="U28" i="27" s="1" a="1"/>
  <c r="U28" i="27" s="1"/>
  <c r="T185" i="27"/>
  <c r="U185" i="27" s="1" a="1"/>
  <c r="U185" i="27" s="1"/>
  <c r="AD49" i="3"/>
  <c r="AD55" i="3"/>
  <c r="AD57" i="3"/>
  <c r="AD61" i="3"/>
  <c r="AD39" i="3"/>
  <c r="AD53" i="3"/>
  <c r="Q52" i="3"/>
  <c r="P34" i="3"/>
  <c r="P4" i="3"/>
  <c r="P4" i="38" s="1"/>
  <c r="T192" i="27"/>
  <c r="U192" i="27" s="1" a="1"/>
  <c r="U192" i="27" s="1"/>
  <c r="T150" i="27"/>
  <c r="U150" i="27" s="1" a="1"/>
  <c r="U150" i="27" s="1"/>
  <c r="T212" i="27"/>
  <c r="U212" i="27" s="1" a="1"/>
  <c r="U212" i="27" s="1"/>
  <c r="M50" i="27"/>
  <c r="N50" i="27" s="1" a="1"/>
  <c r="N50" i="27" s="1"/>
  <c r="AA109" i="27"/>
  <c r="AB109" i="27" s="1" a="1"/>
  <c r="AB109" i="27" s="1"/>
  <c r="F82" i="27"/>
  <c r="G82" i="27" s="1" a="1"/>
  <c r="G82" i="27" s="1"/>
  <c r="T149" i="27"/>
  <c r="U149" i="27" s="1" a="1"/>
  <c r="U149" i="27" s="1"/>
  <c r="T117" i="27"/>
  <c r="U117" i="27" s="1" a="1"/>
  <c r="U117" i="27" s="1"/>
  <c r="AA97" i="27"/>
  <c r="AB97" i="27" s="1" a="1"/>
  <c r="AB97" i="27" s="1"/>
  <c r="T156" i="27"/>
  <c r="U156" i="27" s="1" a="1"/>
  <c r="U156" i="27" s="1"/>
  <c r="T60" i="27"/>
  <c r="U60" i="27" s="1" a="1"/>
  <c r="U60" i="27" s="1"/>
  <c r="T177" i="27"/>
  <c r="U177" i="27" s="1" a="1"/>
  <c r="U177" i="27" s="1"/>
  <c r="F43" i="27"/>
  <c r="G43" i="27" s="1" a="1"/>
  <c r="G43" i="27" s="1"/>
  <c r="F11" i="27"/>
  <c r="G11" i="27" s="1" a="1"/>
  <c r="G11" i="27" s="1"/>
  <c r="T181" i="27"/>
  <c r="U181" i="27" s="1" a="1"/>
  <c r="U181" i="27" s="1"/>
  <c r="T151" i="27"/>
  <c r="U151" i="27" s="1" a="1"/>
  <c r="U151" i="27" s="1"/>
  <c r="T119" i="27"/>
  <c r="U119" i="27" s="1" a="1"/>
  <c r="U119" i="27" s="1"/>
  <c r="M96" i="27"/>
  <c r="N96" i="27" s="1" a="1"/>
  <c r="N96" i="27" s="1"/>
  <c r="T188" i="27"/>
  <c r="U188" i="27" s="1" a="1"/>
  <c r="U188" i="27" s="1"/>
  <c r="T158" i="27"/>
  <c r="U158" i="27" s="1" a="1"/>
  <c r="U158" i="27" s="1"/>
  <c r="M21" i="27"/>
  <c r="N21" i="27" s="1" a="1"/>
  <c r="N21" i="27" s="1"/>
  <c r="F25" i="27"/>
  <c r="G25" i="27" s="1" a="1"/>
  <c r="G25" i="27" s="1"/>
  <c r="T32" i="27"/>
  <c r="U32" i="27" s="1" a="1"/>
  <c r="U32" i="27" s="1"/>
  <c r="T130" i="27"/>
  <c r="U130" i="27" s="1" a="1"/>
  <c r="U130" i="27" s="1"/>
  <c r="T179" i="27"/>
  <c r="U179" i="27" s="1" a="1"/>
  <c r="U179" i="27" s="1"/>
  <c r="T195" i="27"/>
  <c r="U195" i="27" s="1" a="1"/>
  <c r="U195" i="27" s="1"/>
  <c r="T211" i="27"/>
  <c r="U211" i="27" s="1" a="1"/>
  <c r="U211" i="27" s="1"/>
  <c r="F34" i="24"/>
  <c r="L34" i="24" s="1"/>
  <c r="T61" i="27"/>
  <c r="U61" i="27" s="1" a="1"/>
  <c r="U61" i="27" s="1"/>
  <c r="M53" i="27"/>
  <c r="N53" i="27" s="1" a="1"/>
  <c r="N53" i="27" s="1"/>
  <c r="F57" i="27"/>
  <c r="G57" i="27" s="1" a="1"/>
  <c r="G57" i="27" s="1"/>
  <c r="T64" i="27"/>
  <c r="U64" i="27" s="1" a="1"/>
  <c r="U64" i="27" s="1"/>
  <c r="T110" i="27"/>
  <c r="U110" i="27" s="1" a="1"/>
  <c r="U110" i="27" s="1"/>
  <c r="M115" i="27"/>
  <c r="N115" i="27" s="1" a="1"/>
  <c r="N115" i="27" s="1"/>
  <c r="T148" i="27"/>
  <c r="U148" i="27" s="1" a="1"/>
  <c r="U148" i="27" s="1"/>
  <c r="F60" i="26"/>
  <c r="I60" i="26" s="1" a="1"/>
  <c r="I60" i="26" s="1"/>
  <c r="M22" i="27"/>
  <c r="N22" i="27" s="1" a="1"/>
  <c r="N22" i="27" s="1"/>
  <c r="T138" i="27"/>
  <c r="U138" i="27" s="1" a="1"/>
  <c r="U138" i="27" s="1"/>
  <c r="T184" i="27"/>
  <c r="U184" i="27" s="1" a="1"/>
  <c r="U184" i="27" s="1"/>
  <c r="T19" i="27"/>
  <c r="U19" i="27" s="1" a="1"/>
  <c r="U19" i="27" s="1"/>
  <c r="M74" i="27"/>
  <c r="N74" i="27" s="1" a="1"/>
  <c r="N74" i="27" s="1"/>
  <c r="M85" i="27"/>
  <c r="N85" i="27" s="1" a="1"/>
  <c r="N85" i="27" s="1"/>
  <c r="T203" i="27"/>
  <c r="U203" i="27" s="1" a="1"/>
  <c r="U203" i="27" s="1"/>
  <c r="T140" i="27"/>
  <c r="U140" i="27" s="1" a="1"/>
  <c r="U140" i="27" s="1"/>
  <c r="T187" i="27"/>
  <c r="U187" i="27" s="1" a="1"/>
  <c r="U187" i="27" s="1"/>
  <c r="T51" i="27"/>
  <c r="U51" i="27" s="1" a="1"/>
  <c r="U51" i="27" s="1"/>
  <c r="F103" i="26"/>
  <c r="I103" i="26" s="1" a="1"/>
  <c r="I103" i="26" s="1"/>
  <c r="F31" i="27"/>
  <c r="G31" i="27" s="1" a="1"/>
  <c r="G31" i="27" s="1"/>
  <c r="T96" i="27"/>
  <c r="U96" i="27" s="1" a="1"/>
  <c r="U96" i="27" s="1"/>
  <c r="AA112" i="27"/>
  <c r="AB112" i="27" s="1" a="1"/>
  <c r="AB112" i="27" s="1"/>
  <c r="T142" i="27"/>
  <c r="U142" i="27" s="1" a="1"/>
  <c r="U142" i="27" s="1"/>
  <c r="T206" i="27"/>
  <c r="U206" i="27" s="1" a="1"/>
  <c r="U206" i="27" s="1"/>
  <c r="F63" i="27"/>
  <c r="G63" i="27" s="1" a="1"/>
  <c r="G63" i="27" s="1"/>
  <c r="T83" i="27"/>
  <c r="U83" i="27" s="1" a="1"/>
  <c r="U83" i="27" s="1"/>
  <c r="AA86" i="27"/>
  <c r="AB86" i="27" s="1" a="1"/>
  <c r="AB86" i="27" s="1"/>
  <c r="AA108" i="27"/>
  <c r="AB108" i="27" s="1" a="1"/>
  <c r="AB108" i="27" s="1"/>
  <c r="T128" i="27"/>
  <c r="U128" i="27" s="1" a="1"/>
  <c r="U128" i="27" s="1"/>
  <c r="AA55" i="27"/>
  <c r="AB55" i="27" s="1" a="1"/>
  <c r="AB55" i="27" s="1"/>
  <c r="M104" i="27"/>
  <c r="N104" i="27" s="1" a="1"/>
  <c r="N104" i="27" s="1"/>
  <c r="T194" i="27"/>
  <c r="U194" i="27" s="1" a="1"/>
  <c r="U194" i="27" s="1"/>
  <c r="Q63" i="3"/>
  <c r="P19" i="3"/>
  <c r="P19" i="38" s="1"/>
  <c r="P7" i="3"/>
  <c r="P7" i="38" s="1"/>
  <c r="Q42" i="3"/>
  <c r="Q54" i="3"/>
  <c r="P28" i="3"/>
  <c r="P28" i="38" s="1"/>
  <c r="P32" i="3"/>
  <c r="P32" i="38" s="1"/>
  <c r="AB102" i="27" a="1"/>
  <c r="AB102" i="27" s="1"/>
  <c r="P23" i="3"/>
  <c r="Q55" i="3"/>
  <c r="Q49" i="3"/>
  <c r="P14" i="3"/>
  <c r="P14" i="38" s="1"/>
  <c r="Q66" i="3"/>
  <c r="N65" i="3"/>
  <c r="AA30" i="3" s="1"/>
  <c r="N65" i="38" s="1"/>
  <c r="Q68" i="3"/>
  <c r="Q67" i="3"/>
  <c r="P30" i="3"/>
  <c r="P30" i="38" s="1"/>
  <c r="Q43" i="3"/>
  <c r="P18" i="3"/>
  <c r="P18" i="38" s="1"/>
  <c r="P33" i="3"/>
  <c r="P33" i="38" s="1"/>
  <c r="P17" i="3"/>
  <c r="P17" i="38" s="1"/>
  <c r="P31" i="3"/>
  <c r="P31" i="38" s="1"/>
  <c r="P20" i="3"/>
  <c r="P20" i="38" s="1"/>
  <c r="P15" i="3"/>
  <c r="P15" i="38" s="1"/>
  <c r="P8" i="3"/>
  <c r="P8" i="38" s="1"/>
  <c r="P13" i="3"/>
  <c r="P13" i="38" s="1"/>
  <c r="Q69" i="3"/>
  <c r="Q61" i="3"/>
  <c r="Q64" i="3"/>
  <c r="P29" i="3"/>
  <c r="P29" i="38" s="1"/>
  <c r="Q56" i="3"/>
  <c r="P21" i="3"/>
  <c r="Q59" i="3"/>
  <c r="P24" i="3"/>
  <c r="P24" i="38" s="1"/>
  <c r="Q57" i="3"/>
  <c r="P22" i="3"/>
  <c r="P22" i="38" s="1"/>
  <c r="Q51" i="3"/>
  <c r="AJ307" i="1"/>
  <c r="P16" i="3"/>
  <c r="P16" i="38" s="1"/>
  <c r="Q45" i="3"/>
  <c r="AJ175" i="1"/>
  <c r="P10" i="3"/>
  <c r="P10" i="38" s="1"/>
  <c r="Q44" i="3"/>
  <c r="P9" i="3"/>
  <c r="P9" i="38" s="1"/>
  <c r="AI153" i="1"/>
  <c r="AJ505" i="1"/>
  <c r="AJ21" i="1"/>
  <c r="P3" i="3"/>
  <c r="P3" i="38" s="1"/>
  <c r="AI21" i="1"/>
  <c r="Q50" i="3"/>
  <c r="Q62" i="3"/>
  <c r="Q60" i="3"/>
  <c r="Q58" i="3"/>
  <c r="Q47" i="3"/>
  <c r="Q48" i="3"/>
  <c r="P27" i="3"/>
  <c r="P27" i="38" s="1"/>
  <c r="P25" i="3"/>
  <c r="P25" i="38" s="1"/>
  <c r="P26" i="3"/>
  <c r="P12" i="3"/>
  <c r="P12" i="38" s="1"/>
  <c r="P6" i="3"/>
  <c r="P6" i="38" s="1"/>
  <c r="Q40" i="3"/>
  <c r="P5" i="3"/>
  <c r="P5" i="38" s="1"/>
  <c r="AJ65" i="1"/>
  <c r="F2" i="24"/>
  <c r="N2" i="24" s="1"/>
  <c r="F3" i="26"/>
  <c r="I3" i="26" s="1" a="1"/>
  <c r="I3" i="26" s="1"/>
  <c r="F5" i="26"/>
  <c r="J5" i="26" s="1"/>
  <c r="T190" i="27"/>
  <c r="U190" i="27" s="1" a="1"/>
  <c r="U190" i="27" s="1"/>
  <c r="F5" i="23"/>
  <c r="L5" i="23" s="1" a="1"/>
  <c r="L5" i="23" s="1"/>
  <c r="F6" i="23"/>
  <c r="L6" i="23" s="1" a="1"/>
  <c r="L6" i="23" s="1"/>
  <c r="F3" i="25"/>
  <c r="L3" i="25" s="1"/>
  <c r="F7" i="23"/>
  <c r="L7" i="23" s="1" a="1"/>
  <c r="L7" i="23" s="1"/>
  <c r="F4" i="25"/>
  <c r="P4" i="25" s="1"/>
  <c r="F5" i="25"/>
  <c r="O5" i="25" s="1"/>
  <c r="T102" i="27"/>
  <c r="U102" i="27" s="1" a="1"/>
  <c r="U102" i="27" s="1"/>
  <c r="T136" i="27"/>
  <c r="U136" i="27" s="1" a="1"/>
  <c r="U136" i="27" s="1"/>
  <c r="F142" i="23"/>
  <c r="L142" i="23" s="1" a="1"/>
  <c r="L142" i="23" s="1"/>
  <c r="F80" i="26"/>
  <c r="I80" i="26" s="1" a="1"/>
  <c r="I80" i="26" s="1"/>
  <c r="F35" i="26"/>
  <c r="G35" i="26" s="1" a="1"/>
  <c r="G35" i="26" s="1"/>
  <c r="M51" i="27"/>
  <c r="N51" i="27" s="1" a="1"/>
  <c r="N51" i="27" s="1"/>
  <c r="F73" i="27"/>
  <c r="G73" i="27" s="1" a="1"/>
  <c r="G73" i="27" s="1"/>
  <c r="M112" i="27"/>
  <c r="N112" i="27" s="1" a="1"/>
  <c r="N112" i="27" s="1"/>
  <c r="F144" i="23"/>
  <c r="L144" i="23" s="1" a="1"/>
  <c r="L144" i="23" s="1"/>
  <c r="F55" i="24"/>
  <c r="M55" i="24" s="1"/>
  <c r="F37" i="25"/>
  <c r="L37" i="25" s="1"/>
  <c r="F36" i="26"/>
  <c r="J36" i="26" s="1"/>
  <c r="M19" i="27"/>
  <c r="N19" i="27" s="1" a="1"/>
  <c r="N19" i="27" s="1"/>
  <c r="F25" i="24"/>
  <c r="M25" i="24" s="1"/>
  <c r="M81" i="27"/>
  <c r="N81" i="27" s="1" a="1"/>
  <c r="N81" i="27" s="1"/>
  <c r="T88" i="27"/>
  <c r="U88" i="27" s="1" a="1"/>
  <c r="U88" i="27" s="1"/>
  <c r="M113" i="27"/>
  <c r="N113" i="27" s="1" a="1"/>
  <c r="N113" i="27" s="1"/>
  <c r="T152" i="27"/>
  <c r="U152" i="27" s="1" a="1"/>
  <c r="U152" i="27" s="1"/>
  <c r="T182" i="27"/>
  <c r="U182" i="27" s="1" a="1"/>
  <c r="U182" i="27" s="1"/>
  <c r="F84" i="25"/>
  <c r="L84" i="25" s="1"/>
  <c r="M49" i="27"/>
  <c r="N49" i="27" s="1" a="1"/>
  <c r="N49" i="27" s="1"/>
  <c r="AA65" i="27"/>
  <c r="AB65" i="27" s="1" a="1"/>
  <c r="AB65" i="27" s="1"/>
  <c r="AA117" i="27"/>
  <c r="AB117" i="27" s="1" a="1"/>
  <c r="AB117" i="27" s="1"/>
  <c r="F61" i="23"/>
  <c r="L61" i="23" s="1" a="1"/>
  <c r="L61" i="23" s="1"/>
  <c r="F38" i="25"/>
  <c r="L38" i="25" s="1"/>
  <c r="F62" i="23"/>
  <c r="L62" i="23" s="1" a="1"/>
  <c r="L62" i="23" s="1"/>
  <c r="M17" i="27"/>
  <c r="N17" i="27" s="1" a="1"/>
  <c r="N17" i="27" s="1"/>
  <c r="AA33" i="27"/>
  <c r="AB33" i="27" s="1" a="1"/>
  <c r="AB33" i="27" s="1"/>
  <c r="T199" i="27"/>
  <c r="U199" i="27" s="1" a="1"/>
  <c r="U199" i="27" s="1"/>
  <c r="F63" i="23"/>
  <c r="L63" i="23" s="1" a="1"/>
  <c r="L63" i="23" s="1"/>
  <c r="F85" i="25"/>
  <c r="L85" i="25" s="1"/>
  <c r="F37" i="26"/>
  <c r="G37" i="26" s="1" a="1"/>
  <c r="G37" i="26" s="1"/>
  <c r="T56" i="27"/>
  <c r="U56" i="27" s="1" a="1"/>
  <c r="U56" i="27" s="1"/>
  <c r="T63" i="27"/>
  <c r="U63" i="27" s="1" a="1"/>
  <c r="U63" i="27" s="1"/>
  <c r="T127" i="27"/>
  <c r="U127" i="27" s="1" a="1"/>
  <c r="U127" i="27" s="1"/>
  <c r="F64" i="23"/>
  <c r="L64" i="23" s="1" a="1"/>
  <c r="L64" i="23" s="1"/>
  <c r="F138" i="23"/>
  <c r="L138" i="23" s="1" a="1"/>
  <c r="L138" i="23" s="1"/>
  <c r="F39" i="25"/>
  <c r="L39" i="25" s="1"/>
  <c r="F65" i="23"/>
  <c r="L65" i="23" s="1" a="1"/>
  <c r="L65" i="23" s="1"/>
  <c r="F139" i="23"/>
  <c r="L139" i="23" s="1" a="1"/>
  <c r="L139" i="23" s="1"/>
  <c r="F56" i="24"/>
  <c r="L56" i="24" s="1"/>
  <c r="F86" i="25"/>
  <c r="L86" i="25" s="1"/>
  <c r="F79" i="26"/>
  <c r="G79" i="26" s="1" a="1"/>
  <c r="G79" i="26" s="1"/>
  <c r="F34" i="26"/>
  <c r="G34" i="26" s="1" a="1"/>
  <c r="G34" i="26" s="1"/>
  <c r="T24" i="27"/>
  <c r="U24" i="27" s="1" a="1"/>
  <c r="U24" i="27" s="1"/>
  <c r="T31" i="27"/>
  <c r="U31" i="27" s="1" a="1"/>
  <c r="U31" i="27" s="1"/>
  <c r="AA38" i="27"/>
  <c r="AB38" i="27" s="1" a="1"/>
  <c r="AB38" i="27" s="1"/>
  <c r="F64" i="27"/>
  <c r="G64" i="27" s="1" a="1"/>
  <c r="G64" i="27" s="1"/>
  <c r="T95" i="27"/>
  <c r="U95" i="27" s="1" a="1"/>
  <c r="U95" i="27" s="1"/>
  <c r="T120" i="27"/>
  <c r="U120" i="27" s="1" a="1"/>
  <c r="U120" i="27" s="1"/>
  <c r="T159" i="27"/>
  <c r="U159" i="27" s="1" a="1"/>
  <c r="U159" i="27" s="1"/>
  <c r="F140" i="23"/>
  <c r="L140" i="23" s="1" a="1"/>
  <c r="L140" i="23" s="1"/>
  <c r="F141" i="23"/>
  <c r="K141" i="23" s="1" a="1"/>
  <c r="K141" i="23" s="1"/>
  <c r="F54" i="24"/>
  <c r="N54" i="24" s="1"/>
  <c r="F24" i="24"/>
  <c r="L24" i="24" s="1"/>
  <c r="F36" i="25"/>
  <c r="P36" i="25" s="1"/>
  <c r="AA6" i="27"/>
  <c r="AB6" i="27" s="1" a="1"/>
  <c r="AB6" i="27" s="1"/>
  <c r="F51" i="27"/>
  <c r="G51" i="27" s="1" a="1"/>
  <c r="G51" i="27" s="1"/>
  <c r="F79" i="27"/>
  <c r="G79" i="27" s="1" a="1"/>
  <c r="G79" i="27" s="1"/>
  <c r="T93" i="27"/>
  <c r="U93" i="27" s="1" a="1"/>
  <c r="U93" i="27" s="1"/>
  <c r="F64" i="24"/>
  <c r="N64" i="24" s="1"/>
  <c r="F48" i="25"/>
  <c r="L48" i="25" s="1"/>
  <c r="F50" i="25"/>
  <c r="M50" i="25" s="1"/>
  <c r="F56" i="25"/>
  <c r="P56" i="25" s="1"/>
  <c r="F90" i="26"/>
  <c r="I90" i="26" s="1" a="1"/>
  <c r="I90" i="26" s="1"/>
  <c r="T169" i="27"/>
  <c r="U169" i="27" s="1" a="1"/>
  <c r="U169" i="27" s="1"/>
  <c r="F67" i="24"/>
  <c r="M67" i="24" s="1"/>
  <c r="F165" i="23"/>
  <c r="J165" i="23" s="1" a="1"/>
  <c r="J165" i="23" s="1"/>
  <c r="F86" i="23"/>
  <c r="L86" i="23" s="1" a="1"/>
  <c r="L86" i="23" s="1"/>
  <c r="F30" i="24"/>
  <c r="M30" i="24" s="1"/>
  <c r="F54" i="25"/>
  <c r="P54" i="25" s="1"/>
  <c r="F51" i="26"/>
  <c r="I51" i="26" s="1" a="1"/>
  <c r="I51" i="26" s="1"/>
  <c r="F48" i="26"/>
  <c r="G48" i="26" s="1" a="1"/>
  <c r="G48" i="26" s="1"/>
  <c r="AA13" i="27"/>
  <c r="AB13" i="27" s="1" a="1"/>
  <c r="AB13" i="27" s="1"/>
  <c r="F17" i="27"/>
  <c r="G17" i="27" s="1" a="1"/>
  <c r="G17" i="27" s="1"/>
  <c r="T29" i="27"/>
  <c r="U29" i="27" s="1" a="1"/>
  <c r="U29" i="27" s="1"/>
  <c r="F59" i="27"/>
  <c r="G59" i="27" s="1" a="1"/>
  <c r="G59" i="27" s="1"/>
  <c r="F87" i="23"/>
  <c r="L87" i="23" s="1" a="1"/>
  <c r="L87" i="23" s="1"/>
  <c r="F98" i="25"/>
  <c r="P98" i="25" s="1"/>
  <c r="F44" i="27"/>
  <c r="G44" i="27" s="1" a="1"/>
  <c r="G44" i="27" s="1"/>
  <c r="M56" i="27"/>
  <c r="N56" i="27" s="1" a="1"/>
  <c r="N56" i="27" s="1"/>
  <c r="T73" i="27"/>
  <c r="U73" i="27" s="1" a="1"/>
  <c r="U73" i="27" s="1"/>
  <c r="AA76" i="27"/>
  <c r="AB76" i="27" s="1" a="1"/>
  <c r="AB76" i="27" s="1"/>
  <c r="T103" i="27"/>
  <c r="U103" i="27" s="1" a="1"/>
  <c r="U103" i="27" s="1"/>
  <c r="M116" i="27"/>
  <c r="N116" i="27" s="1" a="1"/>
  <c r="N116" i="27" s="1"/>
  <c r="F88" i="23"/>
  <c r="J88" i="23" s="1" a="1"/>
  <c r="J88" i="23" s="1"/>
  <c r="F96" i="25"/>
  <c r="M96" i="25" s="1"/>
  <c r="F94" i="26"/>
  <c r="G94" i="26" s="1" a="1"/>
  <c r="G94" i="26" s="1"/>
  <c r="M14" i="27"/>
  <c r="N14" i="27" s="1" a="1"/>
  <c r="N14" i="27" s="1"/>
  <c r="T23" i="27"/>
  <c r="U23" i="27" s="1" a="1"/>
  <c r="U23" i="27" s="1"/>
  <c r="AA69" i="27"/>
  <c r="AB69" i="27" s="1" a="1"/>
  <c r="AB69" i="27" s="1"/>
  <c r="M86" i="27"/>
  <c r="N86" i="27" s="1" a="1"/>
  <c r="N86" i="27" s="1"/>
  <c r="AA103" i="27"/>
  <c r="AB103" i="27" s="1" a="1"/>
  <c r="AB103" i="27" s="1"/>
  <c r="T157" i="27"/>
  <c r="U157" i="27" s="1" a="1"/>
  <c r="U157" i="27" s="1"/>
  <c r="T209" i="27"/>
  <c r="U209" i="27" s="1" a="1"/>
  <c r="U209" i="27" s="1"/>
  <c r="F89" i="23"/>
  <c r="L89" i="23" s="1" a="1"/>
  <c r="L89" i="23" s="1"/>
  <c r="F33" i="24"/>
  <c r="N33" i="24" s="1"/>
  <c r="F35" i="24"/>
  <c r="N35" i="24" s="1"/>
  <c r="F49" i="26"/>
  <c r="J49" i="26" s="1"/>
  <c r="F70" i="27"/>
  <c r="G70" i="27" s="1" a="1"/>
  <c r="G70" i="27" s="1"/>
  <c r="T186" i="27"/>
  <c r="U186" i="27" s="1" a="1"/>
  <c r="U186" i="27" s="1"/>
  <c r="T198" i="27"/>
  <c r="U198" i="27" s="1" a="1"/>
  <c r="U198" i="27" s="1"/>
  <c r="F90" i="23"/>
  <c r="L90" i="23" s="1" a="1"/>
  <c r="L90" i="23" s="1"/>
  <c r="F47" i="26"/>
  <c r="G47" i="26" s="1" a="1"/>
  <c r="G47" i="26" s="1"/>
  <c r="F27" i="27"/>
  <c r="G27" i="27" s="1" a="1"/>
  <c r="G27" i="27" s="1"/>
  <c r="AA44" i="27"/>
  <c r="AB44" i="27" s="1" a="1"/>
  <c r="AB44" i="27" s="1"/>
  <c r="AA99" i="27"/>
  <c r="AB99" i="27" s="1" a="1"/>
  <c r="AB99" i="27" s="1"/>
  <c r="AA104" i="27"/>
  <c r="AB104" i="27" s="1" a="1"/>
  <c r="AB104" i="27" s="1"/>
  <c r="F91" i="23"/>
  <c r="L91" i="23" s="1" a="1"/>
  <c r="L91" i="23" s="1"/>
  <c r="F63" i="24"/>
  <c r="M63" i="24" s="1"/>
  <c r="F49" i="25"/>
  <c r="L49" i="25" s="1"/>
  <c r="F51" i="25"/>
  <c r="M51" i="25" s="1"/>
  <c r="F89" i="26"/>
  <c r="I89" i="26" s="1" a="1"/>
  <c r="I89" i="26" s="1"/>
  <c r="F91" i="26"/>
  <c r="G91" i="26" s="1" a="1"/>
  <c r="G91" i="26" s="1"/>
  <c r="F12" i="27"/>
  <c r="G12" i="27" s="1" a="1"/>
  <c r="G12" i="27" s="1"/>
  <c r="M24" i="27"/>
  <c r="N24" i="27" s="1" a="1"/>
  <c r="N24" i="27" s="1"/>
  <c r="T41" i="27"/>
  <c r="U41" i="27" s="1" a="1"/>
  <c r="U41" i="27" s="1"/>
  <c r="M54" i="27"/>
  <c r="N54" i="27" s="1" a="1"/>
  <c r="N54" i="27" s="1"/>
  <c r="F92" i="23"/>
  <c r="L92" i="23" s="1" a="1"/>
  <c r="L92" i="23" s="1"/>
  <c r="F31" i="24"/>
  <c r="O31" i="24" s="1"/>
  <c r="F32" i="24"/>
  <c r="N32" i="24" s="1"/>
  <c r="F53" i="25"/>
  <c r="O53" i="25" s="1"/>
  <c r="F55" i="25"/>
  <c r="P55" i="25" s="1"/>
  <c r="F50" i="26"/>
  <c r="G50" i="26" s="1" a="1"/>
  <c r="G50" i="26" s="1"/>
  <c r="F52" i="26"/>
  <c r="J52" i="26" s="1"/>
  <c r="AA37" i="27"/>
  <c r="AB37" i="27" s="1" a="1"/>
  <c r="AB37" i="27" s="1"/>
  <c r="T87" i="27"/>
  <c r="U87" i="27" s="1" a="1"/>
  <c r="U87" i="27" s="1"/>
  <c r="T105" i="27"/>
  <c r="U105" i="27" s="1" a="1"/>
  <c r="U105" i="27" s="1"/>
  <c r="T137" i="27"/>
  <c r="U137" i="27" s="1" a="1"/>
  <c r="U137" i="27" s="1"/>
  <c r="F52" i="25"/>
  <c r="L52" i="25" s="1"/>
  <c r="F92" i="26"/>
  <c r="G92" i="26" s="1" a="1"/>
  <c r="G92" i="26" s="1"/>
  <c r="M78" i="27"/>
  <c r="N78" i="27" s="1" a="1"/>
  <c r="N78" i="27" s="1"/>
  <c r="M110" i="27"/>
  <c r="N110" i="27" s="1" a="1"/>
  <c r="N110" i="27" s="1"/>
  <c r="M118" i="27"/>
  <c r="N118" i="27" s="1" a="1"/>
  <c r="N118" i="27" s="1"/>
  <c r="M124" i="27"/>
  <c r="N124" i="27" s="1" a="1"/>
  <c r="N124" i="27" s="1"/>
  <c r="T202" i="27"/>
  <c r="U202" i="27" s="1" a="1"/>
  <c r="U202" i="27" s="1"/>
  <c r="F95" i="25"/>
  <c r="L95" i="25" s="1"/>
  <c r="F97" i="25"/>
  <c r="M97" i="25" s="1"/>
  <c r="F53" i="26"/>
  <c r="G53" i="26" s="1" a="1"/>
  <c r="G53" i="26" s="1"/>
  <c r="AA12" i="27"/>
  <c r="AB12" i="27" s="1" a="1"/>
  <c r="AB12" i="27" s="1"/>
  <c r="AA45" i="27"/>
  <c r="AB45" i="27" s="1" a="1"/>
  <c r="AB45" i="27" s="1"/>
  <c r="F49" i="27"/>
  <c r="G49" i="27" s="1" a="1"/>
  <c r="G49" i="27" s="1"/>
  <c r="Q38" i="3"/>
  <c r="T167" i="27"/>
  <c r="U167" i="27" s="1" a="1"/>
  <c r="U167" i="27" s="1"/>
  <c r="T7" i="27"/>
  <c r="U7" i="27" s="1" a="1"/>
  <c r="U7" i="27" s="1"/>
  <c r="T39" i="27"/>
  <c r="U39" i="27" s="1" a="1"/>
  <c r="U39" i="27" s="1"/>
  <c r="F68" i="27"/>
  <c r="G68" i="27" s="1" a="1"/>
  <c r="G68" i="27" s="1"/>
  <c r="F166" i="23"/>
  <c r="L166" i="23" s="1" a="1"/>
  <c r="L166" i="23" s="1"/>
  <c r="T71" i="27"/>
  <c r="U71" i="27" s="1" a="1"/>
  <c r="U71" i="27" s="1"/>
  <c r="F167" i="23"/>
  <c r="L167" i="23" s="1" a="1"/>
  <c r="L167" i="23" s="1"/>
  <c r="F93" i="26"/>
  <c r="I93" i="26" s="1" a="1"/>
  <c r="I93" i="26" s="1"/>
  <c r="F8" i="27"/>
  <c r="G8" i="27" s="1" a="1"/>
  <c r="G8" i="27" s="1"/>
  <c r="F40" i="27"/>
  <c r="G40" i="27" s="1" a="1"/>
  <c r="G40" i="27" s="1"/>
  <c r="T135" i="27"/>
  <c r="U135" i="27" s="1" a="1"/>
  <c r="U135" i="27" s="1"/>
  <c r="F168" i="23"/>
  <c r="L168" i="23" s="1" a="1"/>
  <c r="L168" i="23" s="1"/>
  <c r="F99" i="25"/>
  <c r="N99" i="25" s="1"/>
  <c r="F95" i="26"/>
  <c r="I95" i="26" s="1" a="1"/>
  <c r="I95" i="26" s="1"/>
  <c r="AA90" i="27"/>
  <c r="AB90" i="27" s="1" a="1"/>
  <c r="AB90" i="27" s="1"/>
  <c r="F169" i="23"/>
  <c r="J169" i="23" s="1" a="1"/>
  <c r="J169" i="23" s="1"/>
  <c r="F66" i="24"/>
  <c r="O66" i="24" s="1"/>
  <c r="M15" i="27"/>
  <c r="N15" i="27" s="1" a="1"/>
  <c r="N15" i="27" s="1"/>
  <c r="M47" i="27"/>
  <c r="N47" i="27" s="1" a="1"/>
  <c r="N47" i="27" s="1"/>
  <c r="F100" i="25"/>
  <c r="O100" i="25" s="1"/>
  <c r="F170" i="23"/>
  <c r="L170" i="23" s="1" a="1"/>
  <c r="L170" i="23" s="1"/>
  <c r="F101" i="25"/>
  <c r="O101" i="25" s="1"/>
  <c r="M79" i="27"/>
  <c r="N79" i="27" s="1" a="1"/>
  <c r="N79" i="27" s="1"/>
  <c r="F171" i="23"/>
  <c r="L171" i="23" s="1" a="1"/>
  <c r="L171" i="23" s="1"/>
  <c r="AA27" i="27"/>
  <c r="AB27" i="27" s="1" a="1"/>
  <c r="AB27" i="27" s="1"/>
  <c r="AA59" i="27"/>
  <c r="AB59" i="27" s="1" a="1"/>
  <c r="AB59" i="27" s="1"/>
  <c r="Q39" i="3"/>
  <c r="F9" i="23"/>
  <c r="L9" i="23" s="1" a="1"/>
  <c r="L9" i="23" s="1"/>
  <c r="F8" i="23"/>
  <c r="L8" i="23" s="1" a="1"/>
  <c r="L8" i="23" s="1"/>
  <c r="F11" i="23"/>
  <c r="L11" i="23" s="1" a="1"/>
  <c r="L11" i="23" s="1"/>
  <c r="F12" i="23"/>
  <c r="L12" i="23" s="1" a="1"/>
  <c r="L12" i="23" s="1"/>
  <c r="F13" i="23"/>
  <c r="L13" i="23" s="1" a="1"/>
  <c r="L13" i="23" s="1"/>
  <c r="F14" i="23"/>
  <c r="L14" i="23" s="1" a="1"/>
  <c r="L14" i="23" s="1"/>
  <c r="F5" i="24"/>
  <c r="L5" i="24" s="1"/>
  <c r="F10" i="23"/>
  <c r="L10" i="23" s="1" a="1"/>
  <c r="L10" i="23" s="1"/>
  <c r="AI329" i="1"/>
  <c r="AJ659" i="1"/>
  <c r="AI659" i="1"/>
  <c r="AJ417" i="1"/>
  <c r="AJ263" i="1"/>
  <c r="AJ109" i="1"/>
  <c r="AJ43" i="1"/>
  <c r="AJ681" i="1"/>
  <c r="AJ703" i="1"/>
  <c r="AJ593" i="1"/>
  <c r="AJ571" i="1"/>
  <c r="AJ373" i="1"/>
  <c r="AI351" i="1"/>
  <c r="M75" i="27"/>
  <c r="N75" i="27" s="1" a="1"/>
  <c r="N75" i="27" s="1"/>
  <c r="AA72" i="27"/>
  <c r="AB72" i="27" s="1" a="1"/>
  <c r="AB72" i="27" s="1"/>
  <c r="F4" i="26"/>
  <c r="I4" i="26" s="1" a="1"/>
  <c r="I4" i="26" s="1"/>
  <c r="T6" i="27"/>
  <c r="U6" i="27" s="1" a="1"/>
  <c r="U6" i="27" s="1"/>
  <c r="AA41" i="27"/>
  <c r="AB41" i="27" s="1" a="1"/>
  <c r="AB41" i="27" s="1"/>
  <c r="AA3" i="27"/>
  <c r="AB3" i="27" s="1" a="1"/>
  <c r="AB3" i="27" s="1"/>
  <c r="AA35" i="27"/>
  <c r="AB35" i="27" s="1" a="1"/>
  <c r="AB35" i="27" s="1"/>
  <c r="F8" i="25"/>
  <c r="L8" i="25" s="1"/>
  <c r="F7" i="25"/>
  <c r="L7" i="25" s="1"/>
  <c r="AA67" i="27"/>
  <c r="AB67" i="27" s="1" a="1"/>
  <c r="AB67" i="27" s="1"/>
  <c r="F4" i="24"/>
  <c r="N4" i="24" s="1"/>
  <c r="F7" i="26"/>
  <c r="H7" i="26" s="1" a="1"/>
  <c r="H7" i="26" s="1"/>
  <c r="AA98" i="27"/>
  <c r="AB98" i="27" s="1" a="1"/>
  <c r="AB98" i="27" s="1"/>
  <c r="F6" i="24"/>
  <c r="N6" i="24" s="1"/>
  <c r="F6" i="25"/>
  <c r="L6" i="25" s="1"/>
  <c r="F9" i="26"/>
  <c r="L9" i="26" s="1"/>
  <c r="F3" i="27"/>
  <c r="G3" i="27" s="1" a="1"/>
  <c r="G3" i="27" s="1"/>
  <c r="F6" i="26"/>
  <c r="K6" i="26" s="1"/>
  <c r="F66" i="27"/>
  <c r="G66" i="27" s="1" a="1"/>
  <c r="G66" i="27" s="1"/>
  <c r="M107" i="27"/>
  <c r="N107" i="27" s="1" a="1"/>
  <c r="N107" i="27" s="1"/>
  <c r="AA9" i="27"/>
  <c r="AB9" i="27" s="1" a="1"/>
  <c r="AB9" i="27" s="1"/>
  <c r="T104" i="27"/>
  <c r="U104" i="27" s="1" a="1"/>
  <c r="U104" i="27" s="1"/>
  <c r="T72" i="27"/>
  <c r="U72" i="27" s="1" a="1"/>
  <c r="U72" i="27" s="1"/>
  <c r="F37" i="27"/>
  <c r="G37" i="27" s="1" a="1"/>
  <c r="G37" i="27" s="1"/>
  <c r="T166" i="27"/>
  <c r="U166" i="27" s="1" a="1"/>
  <c r="U166" i="27" s="1"/>
  <c r="M43" i="27"/>
  <c r="N43" i="27" s="1" a="1"/>
  <c r="N43" i="27" s="1"/>
  <c r="M61" i="27"/>
  <c r="N61" i="27" s="1" a="1"/>
  <c r="N61" i="27" s="1"/>
  <c r="T40" i="27"/>
  <c r="U40" i="27" s="1" a="1"/>
  <c r="U40" i="27" s="1"/>
  <c r="T70" i="27"/>
  <c r="U70" i="27" s="1" a="1"/>
  <c r="U70" i="27" s="1"/>
  <c r="M93" i="27"/>
  <c r="N93" i="27" s="1" a="1"/>
  <c r="N93" i="27" s="1"/>
  <c r="T168" i="27"/>
  <c r="U168" i="27" s="1" a="1"/>
  <c r="U168" i="27" s="1"/>
  <c r="F5" i="27"/>
  <c r="G5" i="27" s="1" a="1"/>
  <c r="G5" i="27" s="1"/>
  <c r="F35" i="27"/>
  <c r="G35" i="27" s="1" a="1"/>
  <c r="G35" i="27" s="1"/>
  <c r="AA101" i="27"/>
  <c r="AB101" i="27" s="1" a="1"/>
  <c r="AB101" i="27" s="1"/>
  <c r="T134" i="27"/>
  <c r="U134" i="27" s="1" a="1"/>
  <c r="U134" i="27" s="1"/>
  <c r="M11" i="27"/>
  <c r="N11" i="27" s="1" a="1"/>
  <c r="N11" i="27" s="1"/>
  <c r="M29" i="27"/>
  <c r="N29" i="27" s="1" a="1"/>
  <c r="N29" i="27" s="1"/>
  <c r="T8" i="27"/>
  <c r="U8" i="27" s="1" a="1"/>
  <c r="U8" i="27" s="1"/>
  <c r="T38" i="27"/>
  <c r="U38" i="27" s="1" a="1"/>
  <c r="U38" i="27" s="1"/>
  <c r="K9" i="24" a="1"/>
  <c r="K9" i="24" s="1"/>
  <c r="H9" i="24" a="1"/>
  <c r="H9" i="24" s="1"/>
  <c r="G9" i="24" a="1"/>
  <c r="G9" i="24" s="1"/>
  <c r="I9" i="24" a="1"/>
  <c r="I9" i="24" s="1"/>
  <c r="N9" i="24"/>
  <c r="M9" i="24"/>
  <c r="P9" i="24"/>
  <c r="L9" i="24"/>
  <c r="O9" i="24"/>
  <c r="S47" i="19"/>
  <c r="V44" i="19"/>
  <c r="M50" i="19"/>
  <c r="Y50" i="19"/>
  <c r="S60" i="19"/>
  <c r="S42" i="19"/>
  <c r="Q45" i="19"/>
  <c r="Q50" i="19"/>
  <c r="T57" i="19"/>
  <c r="V49" i="19"/>
  <c r="Q40" i="19"/>
  <c r="S57" i="19"/>
  <c r="S44" i="19"/>
  <c r="T62" i="19"/>
  <c r="X64" i="19"/>
  <c r="S65" i="19"/>
  <c r="V67" i="19"/>
  <c r="Q68" i="19"/>
  <c r="Q63" i="19"/>
  <c r="M64" i="19"/>
  <c r="Y64" i="19"/>
  <c r="T65" i="19"/>
  <c r="O66" i="19"/>
  <c r="AA66" i="19"/>
  <c r="Q54" i="19"/>
  <c r="T47" i="19"/>
  <c r="T39" i="19"/>
  <c r="Y56" i="19"/>
  <c r="X56" i="19"/>
  <c r="X46" i="19"/>
  <c r="M56" i="19"/>
  <c r="X59" i="19"/>
  <c r="AA43" i="19"/>
  <c r="AA48" i="19"/>
  <c r="AA64" i="19"/>
  <c r="X41" i="19"/>
  <c r="O43" i="19"/>
  <c r="O48" i="19"/>
  <c r="V41" i="19"/>
  <c r="T44" i="19"/>
  <c r="O64" i="19"/>
  <c r="R50" i="19"/>
  <c r="U65" i="19"/>
  <c r="AB66" i="19"/>
  <c r="AB59" i="19"/>
  <c r="AB38" i="19"/>
  <c r="W39" i="19"/>
  <c r="S49" i="19"/>
  <c r="S40" i="19"/>
  <c r="S61" i="19"/>
  <c r="Z62" i="19"/>
  <c r="Z50" i="19"/>
  <c r="Z41" i="19"/>
  <c r="U63" i="19"/>
  <c r="U42" i="19"/>
  <c r="U51" i="19"/>
  <c r="Q43" i="19"/>
  <c r="X44" i="19"/>
  <c r="S45" i="19"/>
  <c r="N46" i="19"/>
  <c r="Z46" i="19"/>
  <c r="V47" i="19"/>
  <c r="Q48" i="19"/>
  <c r="X49" i="19"/>
  <c r="S50" i="19"/>
  <c r="O51" i="19"/>
  <c r="AA51" i="19"/>
  <c r="W52" i="19"/>
  <c r="R53" i="19"/>
  <c r="M54" i="19"/>
  <c r="Y54" i="19"/>
  <c r="T55" i="19"/>
  <c r="O56" i="19"/>
  <c r="AA56" i="19"/>
  <c r="V57" i="19"/>
  <c r="R58" i="19"/>
  <c r="N59" i="19"/>
  <c r="Z59" i="19"/>
  <c r="U60" i="19"/>
  <c r="P61" i="19"/>
  <c r="AB61" i="19"/>
  <c r="W62" i="19"/>
  <c r="S63" i="19"/>
  <c r="U39" i="19"/>
  <c r="V39" i="19"/>
  <c r="X54" i="19"/>
  <c r="U57" i="19"/>
  <c r="O61" i="19"/>
  <c r="U37" i="19"/>
  <c r="P38" i="19"/>
  <c r="N50" i="19"/>
  <c r="N41" i="19"/>
  <c r="N62" i="19"/>
  <c r="V37" i="19"/>
  <c r="V58" i="19"/>
  <c r="Q59" i="19"/>
  <c r="Q38" i="19"/>
  <c r="X60" i="19"/>
  <c r="X39" i="19"/>
  <c r="X48" i="19"/>
  <c r="T56" i="19"/>
  <c r="T40" i="19"/>
  <c r="T68" i="19"/>
  <c r="O57" i="19"/>
  <c r="O41" i="19"/>
  <c r="AA41" i="19"/>
  <c r="AA57" i="19"/>
  <c r="V42" i="19"/>
  <c r="R43" i="19"/>
  <c r="M44" i="19"/>
  <c r="Y44" i="19"/>
  <c r="T45" i="19"/>
  <c r="O46" i="19"/>
  <c r="AA46" i="19"/>
  <c r="W47" i="19"/>
  <c r="R48" i="19"/>
  <c r="M49" i="19"/>
  <c r="Y49" i="19"/>
  <c r="T50" i="19"/>
  <c r="P51" i="19"/>
  <c r="AB51" i="19"/>
  <c r="X52" i="19"/>
  <c r="S53" i="19"/>
  <c r="N54" i="19"/>
  <c r="Z54" i="19"/>
  <c r="U55" i="19"/>
  <c r="P56" i="19"/>
  <c r="AB56" i="19"/>
  <c r="W57" i="19"/>
  <c r="S58" i="19"/>
  <c r="O59" i="19"/>
  <c r="AA59" i="19"/>
  <c r="V60" i="19"/>
  <c r="Q61" i="19"/>
  <c r="X62" i="19"/>
  <c r="N67" i="19"/>
  <c r="Z67" i="19"/>
  <c r="U68" i="19"/>
  <c r="Q42" i="19"/>
  <c r="X55" i="19"/>
  <c r="V65" i="19"/>
  <c r="O38" i="19"/>
  <c r="M41" i="19"/>
  <c r="P64" i="19"/>
  <c r="P43" i="19"/>
  <c r="P52" i="19"/>
  <c r="Y46" i="19"/>
  <c r="S55" i="19"/>
  <c r="W65" i="19"/>
  <c r="W37" i="19"/>
  <c r="W53" i="19"/>
  <c r="R66" i="19"/>
  <c r="R38" i="19"/>
  <c r="R54" i="19"/>
  <c r="M39" i="19"/>
  <c r="M67" i="19"/>
  <c r="M55" i="19"/>
  <c r="Y55" i="19"/>
  <c r="Y39" i="19"/>
  <c r="Y67" i="19"/>
  <c r="U40" i="19"/>
  <c r="P41" i="19"/>
  <c r="AB41" i="19"/>
  <c r="W42" i="19"/>
  <c r="S43" i="19"/>
  <c r="N44" i="19"/>
  <c r="Z44" i="19"/>
  <c r="U45" i="19"/>
  <c r="P46" i="19"/>
  <c r="AB46" i="19"/>
  <c r="X47" i="19"/>
  <c r="S48" i="19"/>
  <c r="N49" i="19"/>
  <c r="Z49" i="19"/>
  <c r="U50" i="19"/>
  <c r="Q51" i="19"/>
  <c r="M52" i="19"/>
  <c r="Y52" i="19"/>
  <c r="T53" i="19"/>
  <c r="O54" i="19"/>
  <c r="AA54" i="19"/>
  <c r="V55" i="19"/>
  <c r="Q56" i="19"/>
  <c r="X57" i="19"/>
  <c r="T58" i="19"/>
  <c r="Q64" i="19"/>
  <c r="X65" i="19"/>
  <c r="S66" i="19"/>
  <c r="O67" i="19"/>
  <c r="AA67" i="19"/>
  <c r="V68" i="19"/>
  <c r="S37" i="19"/>
  <c r="R42" i="19"/>
  <c r="Q47" i="19"/>
  <c r="AB48" i="19"/>
  <c r="Q53" i="19"/>
  <c r="Q58" i="19"/>
  <c r="P66" i="19"/>
  <c r="O44" i="19"/>
  <c r="V45" i="19"/>
  <c r="M47" i="19"/>
  <c r="T48" i="19"/>
  <c r="O49" i="19"/>
  <c r="AA49" i="19"/>
  <c r="V50" i="19"/>
  <c r="R51" i="19"/>
  <c r="N52" i="19"/>
  <c r="Z52" i="19"/>
  <c r="U53" i="19"/>
  <c r="P54" i="19"/>
  <c r="AB54" i="19"/>
  <c r="W55" i="19"/>
  <c r="R56" i="19"/>
  <c r="M57" i="19"/>
  <c r="Y57" i="19"/>
  <c r="V63" i="19"/>
  <c r="R64" i="19"/>
  <c r="M65" i="19"/>
  <c r="Y65" i="19"/>
  <c r="T66" i="19"/>
  <c r="P67" i="19"/>
  <c r="AB67" i="19"/>
  <c r="W68" i="19"/>
  <c r="O40" i="19"/>
  <c r="N45" i="19"/>
  <c r="AB47" i="19"/>
  <c r="T51" i="19"/>
  <c r="S56" i="19"/>
  <c r="R61" i="19"/>
  <c r="Q66" i="19"/>
  <c r="T37" i="19"/>
  <c r="V52" i="19"/>
  <c r="Y59" i="19"/>
  <c r="V62" i="19"/>
  <c r="S38" i="19"/>
  <c r="V40" i="19"/>
  <c r="Q41" i="19"/>
  <c r="X42" i="19"/>
  <c r="T43" i="19"/>
  <c r="AA44" i="19"/>
  <c r="Q46" i="19"/>
  <c r="Y47" i="19"/>
  <c r="M37" i="19"/>
  <c r="Y37" i="19"/>
  <c r="T38" i="19"/>
  <c r="O39" i="19"/>
  <c r="AA39" i="19"/>
  <c r="W40" i="19"/>
  <c r="R41" i="19"/>
  <c r="M42" i="19"/>
  <c r="Y42" i="19"/>
  <c r="U43" i="19"/>
  <c r="P44" i="19"/>
  <c r="AB44" i="19"/>
  <c r="W45" i="19"/>
  <c r="R46" i="19"/>
  <c r="N47" i="19"/>
  <c r="Z47" i="19"/>
  <c r="U48" i="19"/>
  <c r="P49" i="19"/>
  <c r="AB49" i="19"/>
  <c r="W50" i="19"/>
  <c r="S51" i="19"/>
  <c r="R59" i="19"/>
  <c r="M60" i="19"/>
  <c r="Y60" i="19"/>
  <c r="T61" i="19"/>
  <c r="O62" i="19"/>
  <c r="AA62" i="19"/>
  <c r="W63" i="19"/>
  <c r="S64" i="19"/>
  <c r="N65" i="19"/>
  <c r="Z65" i="19"/>
  <c r="U66" i="19"/>
  <c r="Q67" i="19"/>
  <c r="X68" i="19"/>
  <c r="P40" i="19"/>
  <c r="O45" i="19"/>
  <c r="P48" i="19"/>
  <c r="AA61" i="19"/>
  <c r="AB39" i="19"/>
  <c r="Q44" i="19"/>
  <c r="X45" i="19"/>
  <c r="S46" i="19"/>
  <c r="O47" i="19"/>
  <c r="AA47" i="19"/>
  <c r="V48" i="19"/>
  <c r="Q49" i="19"/>
  <c r="X50" i="19"/>
  <c r="W58" i="19"/>
  <c r="S59" i="19"/>
  <c r="N60" i="19"/>
  <c r="Z60" i="19"/>
  <c r="U61" i="19"/>
  <c r="P62" i="19"/>
  <c r="AB62" i="19"/>
  <c r="X63" i="19"/>
  <c r="T64" i="19"/>
  <c r="O65" i="19"/>
  <c r="AA65" i="19"/>
  <c r="V66" i="19"/>
  <c r="R67" i="19"/>
  <c r="M68" i="19"/>
  <c r="Y68" i="19"/>
  <c r="M38" i="19"/>
  <c r="AA40" i="19"/>
  <c r="Z45" i="19"/>
  <c r="O52" i="19"/>
  <c r="N57" i="19"/>
  <c r="M62" i="19"/>
  <c r="AA38" i="19"/>
  <c r="Y41" i="19"/>
  <c r="W49" i="19"/>
  <c r="M59" i="19"/>
  <c r="U38" i="19"/>
  <c r="Q39" i="19"/>
  <c r="Y40" i="19"/>
  <c r="T41" i="19"/>
  <c r="O42" i="19"/>
  <c r="W43" i="19"/>
  <c r="R44" i="19"/>
  <c r="M45" i="19"/>
  <c r="Y45" i="19"/>
  <c r="T46" i="19"/>
  <c r="Q52" i="19"/>
  <c r="X53" i="19"/>
  <c r="S54" i="19"/>
  <c r="N55" i="19"/>
  <c r="Z55" i="19"/>
  <c r="U56" i="19"/>
  <c r="P57" i="19"/>
  <c r="AB57" i="19"/>
  <c r="X58" i="19"/>
  <c r="T59" i="19"/>
  <c r="O60" i="19"/>
  <c r="AA60" i="19"/>
  <c r="V61" i="19"/>
  <c r="Q62" i="19"/>
  <c r="M63" i="19"/>
  <c r="Y63" i="19"/>
  <c r="U64" i="19"/>
  <c r="P65" i="19"/>
  <c r="AB65" i="19"/>
  <c r="W66" i="19"/>
  <c r="S67" i="19"/>
  <c r="N68" i="19"/>
  <c r="Z68" i="19"/>
  <c r="N38" i="19"/>
  <c r="M43" i="19"/>
  <c r="AA45" i="19"/>
  <c r="AA52" i="19"/>
  <c r="Z57" i="19"/>
  <c r="Y62" i="19"/>
  <c r="X67" i="19"/>
  <c r="T60" i="19"/>
  <c r="R63" i="19"/>
  <c r="P39" i="19"/>
  <c r="V43" i="19"/>
  <c r="O37" i="19"/>
  <c r="V38" i="19"/>
  <c r="AA42" i="19"/>
  <c r="P37" i="19"/>
  <c r="AB37" i="19"/>
  <c r="W38" i="19"/>
  <c r="R39" i="19"/>
  <c r="N40" i="19"/>
  <c r="Z40" i="19"/>
  <c r="U41" i="19"/>
  <c r="P42" i="19"/>
  <c r="AB42" i="19"/>
  <c r="V51" i="19"/>
  <c r="R52" i="19"/>
  <c r="M53" i="19"/>
  <c r="Y53" i="19"/>
  <c r="T54" i="19"/>
  <c r="O55" i="19"/>
  <c r="AA55" i="19"/>
  <c r="V56" i="19"/>
  <c r="Q57" i="19"/>
  <c r="M58" i="19"/>
  <c r="Y58" i="19"/>
  <c r="U59" i="19"/>
  <c r="P60" i="19"/>
  <c r="AB60" i="19"/>
  <c r="W61" i="19"/>
  <c r="R62" i="19"/>
  <c r="N63" i="19"/>
  <c r="Z63" i="19"/>
  <c r="V64" i="19"/>
  <c r="Q65" i="19"/>
  <c r="X66" i="19"/>
  <c r="T67" i="19"/>
  <c r="O68" i="19"/>
  <c r="AA68" i="19"/>
  <c r="Y38" i="19"/>
  <c r="X43" i="19"/>
  <c r="W48" i="19"/>
  <c r="T42" i="19"/>
  <c r="AB52" i="19"/>
  <c r="AB64" i="19"/>
  <c r="AB43" i="19"/>
  <c r="M46" i="19"/>
  <c r="X37" i="19"/>
  <c r="X40" i="19"/>
  <c r="S41" i="19"/>
  <c r="N42" i="19"/>
  <c r="AA37" i="19"/>
  <c r="M40" i="19"/>
  <c r="Q37" i="19"/>
  <c r="X38" i="19"/>
  <c r="S39" i="19"/>
  <c r="R47" i="19"/>
  <c r="M48" i="19"/>
  <c r="Y48" i="19"/>
  <c r="T49" i="19"/>
  <c r="O50" i="19"/>
  <c r="AA50" i="19"/>
  <c r="W51" i="19"/>
  <c r="S52" i="19"/>
  <c r="N53" i="19"/>
  <c r="Z53" i="19"/>
  <c r="U54" i="19"/>
  <c r="P55" i="19"/>
  <c r="AB55" i="19"/>
  <c r="W56" i="19"/>
  <c r="R57" i="19"/>
  <c r="N58" i="19"/>
  <c r="Z58" i="19"/>
  <c r="V59" i="19"/>
  <c r="Q60" i="19"/>
  <c r="X61" i="19"/>
  <c r="S62" i="19"/>
  <c r="O63" i="19"/>
  <c r="AA63" i="19"/>
  <c r="W64" i="19"/>
  <c r="R65" i="19"/>
  <c r="M66" i="19"/>
  <c r="Y66" i="19"/>
  <c r="U67" i="19"/>
  <c r="P68" i="19"/>
  <c r="AB68" i="19"/>
  <c r="Z38" i="19"/>
  <c r="Y43" i="19"/>
  <c r="V53" i="19"/>
  <c r="U58" i="19"/>
  <c r="T63" i="19"/>
  <c r="S68" i="19"/>
  <c r="L46" i="40" l="1"/>
  <c r="M46" i="40"/>
  <c r="O46" i="40"/>
  <c r="P55" i="40"/>
  <c r="O55" i="40"/>
  <c r="M55" i="40"/>
  <c r="L55" i="40"/>
  <c r="L62" i="40"/>
  <c r="M62" i="40"/>
  <c r="P62" i="40"/>
  <c r="O62" i="40"/>
  <c r="P54" i="40"/>
  <c r="O54" i="40"/>
  <c r="M54" i="40"/>
  <c r="L54" i="40"/>
  <c r="O30" i="40"/>
  <c r="M30" i="40"/>
  <c r="M50" i="40"/>
  <c r="L50" i="40"/>
  <c r="L51" i="40"/>
  <c r="M51" i="40"/>
  <c r="O14" i="40"/>
  <c r="P14" i="40"/>
  <c r="O60" i="40"/>
  <c r="M60" i="40"/>
  <c r="P60" i="40"/>
  <c r="O77" i="40"/>
  <c r="P77" i="40"/>
  <c r="M77" i="40"/>
  <c r="P79" i="40"/>
  <c r="L79" i="40"/>
  <c r="O79" i="40"/>
  <c r="M79" i="40"/>
  <c r="P76" i="40"/>
  <c r="O76" i="40"/>
  <c r="M25" i="40"/>
  <c r="O25" i="40"/>
  <c r="J109" i="26"/>
  <c r="I109" i="26" a="1"/>
  <c r="I109" i="26" s="1"/>
  <c r="L109" i="26"/>
  <c r="H109" i="26" a="1"/>
  <c r="H109" i="26" s="1"/>
  <c r="K109" i="26"/>
  <c r="G109" i="26" a="1"/>
  <c r="G109" i="26" s="1"/>
  <c r="G12" i="26" a="1"/>
  <c r="G12" i="26" s="1"/>
  <c r="J12" i="26"/>
  <c r="H12" i="26" a="1"/>
  <c r="H12" i="26" s="1"/>
  <c r="K12" i="26"/>
  <c r="L12" i="26"/>
  <c r="I12" i="26" a="1"/>
  <c r="I12" i="26" s="1"/>
  <c r="H11" i="26" a="1"/>
  <c r="H11" i="26" s="1"/>
  <c r="J11" i="26"/>
  <c r="K11" i="26"/>
  <c r="L11" i="26"/>
  <c r="N23" i="25"/>
  <c r="M23" i="25"/>
  <c r="J23" i="25" a="1"/>
  <c r="J23" i="25" s="1"/>
  <c r="G23" i="25" a="1"/>
  <c r="G23" i="25" s="1"/>
  <c r="P23" i="25"/>
  <c r="L23" i="25"/>
  <c r="L26" i="25"/>
  <c r="J26" i="25" a="1"/>
  <c r="J26" i="25" s="1"/>
  <c r="N26" i="25"/>
  <c r="P26" i="25"/>
  <c r="G29" i="26" a="1"/>
  <c r="G29" i="26" s="1"/>
  <c r="L29" i="26"/>
  <c r="J29" i="26"/>
  <c r="K29" i="26"/>
  <c r="L31" i="26"/>
  <c r="K31" i="26"/>
  <c r="J31" i="26"/>
  <c r="G31" i="26" a="1"/>
  <c r="G31" i="26" s="1"/>
  <c r="G32" i="26" a="1"/>
  <c r="G32" i="26" s="1"/>
  <c r="K32" i="26"/>
  <c r="L32" i="26"/>
  <c r="J32" i="26"/>
  <c r="K40" i="26"/>
  <c r="J40" i="26"/>
  <c r="G123" i="23" a="1"/>
  <c r="G123" i="23" s="1"/>
  <c r="M123" i="23" s="1"/>
  <c r="H123" i="23" a="1"/>
  <c r="H123" i="23" s="1"/>
  <c r="L123" i="23" a="1"/>
  <c r="L123" i="23" s="1"/>
  <c r="K123" i="23" a="1"/>
  <c r="K123" i="23" s="1"/>
  <c r="J123" i="23" a="1"/>
  <c r="J123" i="23" s="1"/>
  <c r="I123" i="23" a="1"/>
  <c r="I123" i="23" s="1"/>
  <c r="G11" i="25" a="1"/>
  <c r="G11" i="25" s="1"/>
  <c r="K11" i="25" a="1"/>
  <c r="K11" i="25" s="1"/>
  <c r="G45" i="25" a="1"/>
  <c r="G45" i="25" s="1"/>
  <c r="K45" i="25" a="1"/>
  <c r="K45" i="25" s="1"/>
  <c r="G69" i="26" a="1"/>
  <c r="G69" i="26" s="1"/>
  <c r="I69" i="26" a="1"/>
  <c r="I69" i="26" s="1"/>
  <c r="G114" i="26" a="1"/>
  <c r="G114" i="26" s="1"/>
  <c r="I114" i="26" a="1"/>
  <c r="I114" i="26" s="1"/>
  <c r="I11" i="26" a="1"/>
  <c r="I11" i="26" s="1"/>
  <c r="G11" i="26" a="1"/>
  <c r="G11" i="26" s="1"/>
  <c r="M11" i="26" s="1"/>
  <c r="O23" i="25"/>
  <c r="K23" i="25" a="1"/>
  <c r="K23" i="25" s="1"/>
  <c r="H23" i="25" a="1"/>
  <c r="H23" i="25" s="1"/>
  <c r="I23" i="25" a="1"/>
  <c r="I23" i="25" s="1"/>
  <c r="I26" i="25" a="1"/>
  <c r="I26" i="25" s="1"/>
  <c r="K26" i="25" a="1"/>
  <c r="K26" i="25" s="1"/>
  <c r="H26" i="25" a="1"/>
  <c r="H26" i="25" s="1"/>
  <c r="G26" i="25" a="1"/>
  <c r="G26" i="25" s="1"/>
  <c r="Q26" i="25" s="1"/>
  <c r="I31" i="26" a="1"/>
  <c r="I31" i="26" s="1"/>
  <c r="H31" i="26" a="1"/>
  <c r="H31" i="26" s="1"/>
  <c r="G33" i="26" a="1"/>
  <c r="G33" i="26" s="1"/>
  <c r="K33" i="26"/>
  <c r="L33" i="26"/>
  <c r="G40" i="26" a="1"/>
  <c r="G40" i="26" s="1"/>
  <c r="L40" i="26"/>
  <c r="I41" i="26" a="1"/>
  <c r="I41" i="26" s="1"/>
  <c r="G41" i="26" a="1"/>
  <c r="G41" i="26" s="1"/>
  <c r="H41" i="26" a="1"/>
  <c r="H41" i="26" s="1"/>
  <c r="J41" i="26"/>
  <c r="K41" i="26"/>
  <c r="L41" i="26"/>
  <c r="J44" i="26"/>
  <c r="K44" i="26"/>
  <c r="I44" i="26" a="1"/>
  <c r="I44" i="26" s="1"/>
  <c r="H44" i="26" a="1"/>
  <c r="H44" i="26" s="1"/>
  <c r="M44" i="26" s="1"/>
  <c r="L44" i="26"/>
  <c r="K43" i="26"/>
  <c r="G43" i="26" a="1"/>
  <c r="G43" i="26" s="1"/>
  <c r="L43" i="26"/>
  <c r="J43" i="26"/>
  <c r="H45" i="26" a="1"/>
  <c r="H45" i="26" s="1"/>
  <c r="I45" i="26" a="1"/>
  <c r="I45" i="26" s="1"/>
  <c r="L45" i="26"/>
  <c r="J45" i="26"/>
  <c r="G45" i="26" a="1"/>
  <c r="G45" i="26" s="1"/>
  <c r="M45" i="26" s="1"/>
  <c r="K45" i="26"/>
  <c r="J46" i="26"/>
  <c r="I46" i="26" a="1"/>
  <c r="I46" i="26" s="1"/>
  <c r="K46" i="26"/>
  <c r="L46" i="26"/>
  <c r="I71" i="26" a="1"/>
  <c r="I71" i="26" s="1"/>
  <c r="L71" i="26"/>
  <c r="K71" i="26"/>
  <c r="J71" i="26"/>
  <c r="G74" i="26" a="1"/>
  <c r="G74" i="26" s="1"/>
  <c r="J74" i="26"/>
  <c r="K75" i="26"/>
  <c r="J75" i="26"/>
  <c r="K78" i="26"/>
  <c r="G78" i="26" a="1"/>
  <c r="G78" i="26" s="1"/>
  <c r="L78" i="26"/>
  <c r="I78" i="26" a="1"/>
  <c r="I78" i="26" s="1"/>
  <c r="I83" i="25" a="1"/>
  <c r="I83" i="25" s="1"/>
  <c r="H83" i="25" a="1"/>
  <c r="H83" i="25" s="1"/>
  <c r="I84" i="26" a="1"/>
  <c r="I84" i="26" s="1"/>
  <c r="K84" i="26"/>
  <c r="G84" i="26" a="1"/>
  <c r="G84" i="26" s="1"/>
  <c r="I83" i="26" a="1"/>
  <c r="I83" i="26" s="1"/>
  <c r="K83" i="26"/>
  <c r="J83" i="26"/>
  <c r="L83" i="26"/>
  <c r="J82" i="26"/>
  <c r="K82" i="26"/>
  <c r="L82" i="26"/>
  <c r="G86" i="26" a="1"/>
  <c r="G86" i="26" s="1"/>
  <c r="K86" i="26"/>
  <c r="L86" i="26"/>
  <c r="J86" i="26"/>
  <c r="K10" i="26"/>
  <c r="J10" i="26"/>
  <c r="L10" i="26"/>
  <c r="H10" i="25" a="1"/>
  <c r="H10" i="25" s="1"/>
  <c r="N10" i="25"/>
  <c r="L10" i="25"/>
  <c r="P10" i="25"/>
  <c r="J10" i="25" a="1"/>
  <c r="J10" i="25" s="1"/>
  <c r="K10" i="25" a="1"/>
  <c r="K10" i="25" s="1"/>
  <c r="O10" i="25"/>
  <c r="M10" i="25"/>
  <c r="G10" i="25" a="1"/>
  <c r="G10" i="25" s="1"/>
  <c r="Q10" i="25" s="1"/>
  <c r="I11" i="25" a="1"/>
  <c r="I11" i="25" s="1"/>
  <c r="N11" i="25"/>
  <c r="O11" i="25"/>
  <c r="H11" i="25" a="1"/>
  <c r="H11" i="25" s="1"/>
  <c r="J11" i="25" a="1"/>
  <c r="J11" i="25" s="1"/>
  <c r="P11" i="25"/>
  <c r="M11" i="25"/>
  <c r="L11" i="25"/>
  <c r="M13" i="25"/>
  <c r="O13" i="25"/>
  <c r="N13" i="25"/>
  <c r="J13" i="25" a="1"/>
  <c r="J13" i="25" s="1"/>
  <c r="P13" i="25"/>
  <c r="L13" i="25"/>
  <c r="P12" i="25"/>
  <c r="O12" i="25"/>
  <c r="N12" i="25"/>
  <c r="M12" i="25"/>
  <c r="L12" i="25"/>
  <c r="J12" i="25" a="1"/>
  <c r="J12" i="25" s="1"/>
  <c r="H12" i="25" a="1"/>
  <c r="H12" i="25" s="1"/>
  <c r="H29" i="25" a="1"/>
  <c r="H29" i="25" s="1"/>
  <c r="K29" i="25" a="1"/>
  <c r="K29" i="25" s="1"/>
  <c r="I29" i="25" a="1"/>
  <c r="I29" i="25" s="1"/>
  <c r="J29" i="25" a="1"/>
  <c r="J29" i="25" s="1"/>
  <c r="P29" i="25"/>
  <c r="G29" i="25" a="1"/>
  <c r="G29" i="25" s="1"/>
  <c r="Q29" i="25" s="1"/>
  <c r="O31" i="25"/>
  <c r="G31" i="25" a="1"/>
  <c r="G31" i="25" s="1"/>
  <c r="K31" i="25" a="1"/>
  <c r="K31" i="25" s="1"/>
  <c r="I31" i="25" a="1"/>
  <c r="I31" i="25" s="1"/>
  <c r="H31" i="25" a="1"/>
  <c r="H31" i="25" s="1"/>
  <c r="N31" i="25"/>
  <c r="J31" i="25" a="1"/>
  <c r="J31" i="25" s="1"/>
  <c r="K30" i="25" a="1"/>
  <c r="K30" i="25" s="1"/>
  <c r="P30" i="25"/>
  <c r="I30" i="25" a="1"/>
  <c r="I30" i="25" s="1"/>
  <c r="G30" i="25" a="1"/>
  <c r="G30" i="25" s="1"/>
  <c r="M30" i="25"/>
  <c r="H30" i="25" a="1"/>
  <c r="H30" i="25" s="1"/>
  <c r="O30" i="25"/>
  <c r="J30" i="25" a="1"/>
  <c r="J30" i="25" s="1"/>
  <c r="G33" i="25" a="1"/>
  <c r="G33" i="25" s="1"/>
  <c r="M33" i="25"/>
  <c r="H33" i="25" a="1"/>
  <c r="H33" i="25" s="1"/>
  <c r="P33" i="25"/>
  <c r="N33" i="25"/>
  <c r="O33" i="25"/>
  <c r="J33" i="25" a="1"/>
  <c r="J33" i="25" s="1"/>
  <c r="O35" i="25"/>
  <c r="N35" i="25"/>
  <c r="M35" i="25"/>
  <c r="H35" i="25" a="1"/>
  <c r="H35" i="25" s="1"/>
  <c r="J35" i="25" a="1"/>
  <c r="J35" i="25" s="1"/>
  <c r="J34" i="25" a="1"/>
  <c r="J34" i="25" s="1"/>
  <c r="M34" i="25"/>
  <c r="O34" i="25"/>
  <c r="H34" i="25" a="1"/>
  <c r="H34" i="25" s="1"/>
  <c r="L32" i="25"/>
  <c r="M32" i="25"/>
  <c r="K32" i="25" a="1"/>
  <c r="K32" i="25" s="1"/>
  <c r="P32" i="25"/>
  <c r="O32" i="25"/>
  <c r="H32" i="25" a="1"/>
  <c r="H32" i="25" s="1"/>
  <c r="G32" i="25" a="1"/>
  <c r="G32" i="25" s="1"/>
  <c r="N32" i="25"/>
  <c r="J32" i="25" a="1"/>
  <c r="J32" i="25" s="1"/>
  <c r="O41" i="25"/>
  <c r="J41" i="25" a="1"/>
  <c r="J41" i="25" s="1"/>
  <c r="M41" i="25"/>
  <c r="N41" i="25"/>
  <c r="P41" i="25"/>
  <c r="K41" i="25" a="1"/>
  <c r="K41" i="25" s="1"/>
  <c r="I41" i="25" a="1"/>
  <c r="I41" i="25" s="1"/>
  <c r="G41" i="25" a="1"/>
  <c r="G41" i="25" s="1"/>
  <c r="P42" i="25"/>
  <c r="I42" i="25" a="1"/>
  <c r="I42" i="25" s="1"/>
  <c r="J42" i="25" a="1"/>
  <c r="J42" i="25" s="1"/>
  <c r="K42" i="25" a="1"/>
  <c r="K42" i="25" s="1"/>
  <c r="M42" i="25"/>
  <c r="H42" i="25" a="1"/>
  <c r="H42" i="25" s="1"/>
  <c r="G42" i="25" a="1"/>
  <c r="G42" i="25" s="1"/>
  <c r="Q42" i="25" s="1"/>
  <c r="O42" i="25"/>
  <c r="J43" i="25" a="1"/>
  <c r="J43" i="25" s="1"/>
  <c r="H43" i="25" a="1"/>
  <c r="H43" i="25" s="1"/>
  <c r="G43" i="25" a="1"/>
  <c r="G43" i="25" s="1"/>
  <c r="Q43" i="25" s="1"/>
  <c r="K43" i="25" a="1"/>
  <c r="K43" i="25" s="1"/>
  <c r="M44" i="25"/>
  <c r="J44" i="25" a="1"/>
  <c r="J44" i="25" s="1"/>
  <c r="N44" i="25"/>
  <c r="K44" i="25" a="1"/>
  <c r="K44" i="25" s="1"/>
  <c r="H44" i="25" a="1"/>
  <c r="H44" i="25" s="1"/>
  <c r="P44" i="25"/>
  <c r="O44" i="25"/>
  <c r="G44" i="25" a="1"/>
  <c r="G44" i="25" s="1"/>
  <c r="I45" i="25" a="1"/>
  <c r="I45" i="25" s="1"/>
  <c r="O45" i="25"/>
  <c r="J45" i="25" a="1"/>
  <c r="J45" i="25" s="1"/>
  <c r="M45" i="25"/>
  <c r="H45" i="25" a="1"/>
  <c r="H45" i="25" s="1"/>
  <c r="Q45" i="25" s="1"/>
  <c r="H47" i="25" a="1"/>
  <c r="H47" i="25" s="1"/>
  <c r="J47" i="25" a="1"/>
  <c r="J47" i="25" s="1"/>
  <c r="N46" i="25"/>
  <c r="H46" i="25" a="1"/>
  <c r="H46" i="25" s="1"/>
  <c r="J46" i="25" a="1"/>
  <c r="J46" i="25" s="1"/>
  <c r="O46" i="25"/>
  <c r="M46" i="25"/>
  <c r="J69" i="25" a="1"/>
  <c r="J69" i="25" s="1"/>
  <c r="O69" i="25"/>
  <c r="P69" i="25"/>
  <c r="H69" i="25" a="1"/>
  <c r="H69" i="25" s="1"/>
  <c r="H74" i="25" a="1"/>
  <c r="H74" i="25" s="1"/>
  <c r="G74" i="25" a="1"/>
  <c r="G74" i="25" s="1"/>
  <c r="K74" i="25" a="1"/>
  <c r="K74" i="25" s="1"/>
  <c r="J74" i="25" a="1"/>
  <c r="J74" i="25" s="1"/>
  <c r="I74" i="25" a="1"/>
  <c r="I74" i="25" s="1"/>
  <c r="G73" i="25" a="1"/>
  <c r="G73" i="25" s="1"/>
  <c r="K73" i="25" a="1"/>
  <c r="K73" i="25" s="1"/>
  <c r="I73" i="25" a="1"/>
  <c r="I73" i="25" s="1"/>
  <c r="J73" i="25" a="1"/>
  <c r="J73" i="25" s="1"/>
  <c r="H72" i="25" a="1"/>
  <c r="H72" i="25" s="1"/>
  <c r="J72" i="25" a="1"/>
  <c r="J72" i="25" s="1"/>
  <c r="I72" i="25" a="1"/>
  <c r="I72" i="25" s="1"/>
  <c r="H77" i="25" a="1"/>
  <c r="H77" i="25" s="1"/>
  <c r="K77" i="25" a="1"/>
  <c r="K77" i="25" s="1"/>
  <c r="J77" i="25" a="1"/>
  <c r="J77" i="25" s="1"/>
  <c r="G77" i="25" a="1"/>
  <c r="G77" i="25" s="1"/>
  <c r="Q77" i="25" s="1"/>
  <c r="J78" i="25" a="1"/>
  <c r="J78" i="25" s="1"/>
  <c r="H78" i="25" a="1"/>
  <c r="H78" i="25" s="1"/>
  <c r="G78" i="25" a="1"/>
  <c r="G78" i="25" s="1"/>
  <c r="H76" i="25" a="1"/>
  <c r="H76" i="25" s="1"/>
  <c r="I76" i="25" a="1"/>
  <c r="I76" i="25" s="1"/>
  <c r="J76" i="25" a="1"/>
  <c r="J76" i="25" s="1"/>
  <c r="K76" i="25" a="1"/>
  <c r="K76" i="25" s="1"/>
  <c r="G76" i="25" a="1"/>
  <c r="G76" i="25" s="1"/>
  <c r="Q76" i="25" s="1"/>
  <c r="H81" i="25" a="1"/>
  <c r="H81" i="25" s="1"/>
  <c r="J81" i="25" a="1"/>
  <c r="J81" i="25" s="1"/>
  <c r="J82" i="25" a="1"/>
  <c r="J82" i="25" s="1"/>
  <c r="I82" i="25" a="1"/>
  <c r="I82" i="25" s="1"/>
  <c r="H82" i="25" a="1"/>
  <c r="H82" i="25" s="1"/>
  <c r="J80" i="25" a="1"/>
  <c r="J80" i="25" s="1"/>
  <c r="H80" i="25" a="1"/>
  <c r="H80" i="25" s="1"/>
  <c r="J89" i="25" a="1"/>
  <c r="J89" i="25" s="1"/>
  <c r="K89" i="25" a="1"/>
  <c r="K89" i="25" s="1"/>
  <c r="G89" i="25" a="1"/>
  <c r="G89" i="25" s="1"/>
  <c r="H88" i="25" a="1"/>
  <c r="H88" i="25" s="1"/>
  <c r="K88" i="25" a="1"/>
  <c r="K88" i="25" s="1"/>
  <c r="G88" i="25" a="1"/>
  <c r="G88" i="25" s="1"/>
  <c r="J88" i="25" a="1"/>
  <c r="J88" i="25" s="1"/>
  <c r="I90" i="25" a="1"/>
  <c r="I90" i="25" s="1"/>
  <c r="G90" i="25" a="1"/>
  <c r="G90" i="25" s="1"/>
  <c r="J90" i="25" a="1"/>
  <c r="J90" i="25" s="1"/>
  <c r="M90" i="25"/>
  <c r="H90" i="25" a="1"/>
  <c r="H90" i="25" s="1"/>
  <c r="I94" i="25" a="1"/>
  <c r="I94" i="25" s="1"/>
  <c r="J94" i="25" a="1"/>
  <c r="J94" i="25" s="1"/>
  <c r="H94" i="25" a="1"/>
  <c r="H94" i="25" s="1"/>
  <c r="N94" i="25"/>
  <c r="I93" i="25" a="1"/>
  <c r="I93" i="25" s="1"/>
  <c r="N93" i="25"/>
  <c r="J93" i="25" a="1"/>
  <c r="J93" i="25" s="1"/>
  <c r="O93" i="25"/>
  <c r="H93" i="25" a="1"/>
  <c r="H93" i="25" s="1"/>
  <c r="J92" i="25" a="1"/>
  <c r="J92" i="25" s="1"/>
  <c r="H92" i="25" a="1"/>
  <c r="H92" i="25" s="1"/>
  <c r="O92" i="25"/>
  <c r="L119" i="25"/>
  <c r="J119" i="25" a="1"/>
  <c r="J119" i="25" s="1"/>
  <c r="K119" i="25" a="1"/>
  <c r="K119" i="25" s="1"/>
  <c r="G119" i="25" a="1"/>
  <c r="G119" i="25" s="1"/>
  <c r="I119" i="25" a="1"/>
  <c r="I119" i="25" s="1"/>
  <c r="H119" i="25" a="1"/>
  <c r="H119" i="25" s="1"/>
  <c r="L120" i="25"/>
  <c r="J120" i="25" a="1"/>
  <c r="J120" i="25" s="1"/>
  <c r="I120" i="25" a="1"/>
  <c r="I120" i="25" s="1"/>
  <c r="G120" i="25" a="1"/>
  <c r="G120" i="25" s="1"/>
  <c r="K120" i="25" a="1"/>
  <c r="K120" i="25" s="1"/>
  <c r="H120" i="25" a="1"/>
  <c r="H120" i="25" s="1"/>
  <c r="H118" i="25" a="1"/>
  <c r="H118" i="25" s="1"/>
  <c r="K118" i="25" a="1"/>
  <c r="K118" i="25" s="1"/>
  <c r="I118" i="25" a="1"/>
  <c r="I118" i="25" s="1"/>
  <c r="J118" i="25" a="1"/>
  <c r="J118" i="25" s="1"/>
  <c r="G118" i="25" a="1"/>
  <c r="G118" i="25" s="1"/>
  <c r="Q118" i="25" s="1"/>
  <c r="G117" i="25" a="1"/>
  <c r="G117" i="25" s="1"/>
  <c r="K117" i="25" a="1"/>
  <c r="K117" i="25" s="1"/>
  <c r="I117" i="25" a="1"/>
  <c r="I117" i="25" s="1"/>
  <c r="H117" i="25" a="1"/>
  <c r="H117" i="25" s="1"/>
  <c r="J117" i="25" a="1"/>
  <c r="J117" i="25" s="1"/>
  <c r="G124" i="25" a="1"/>
  <c r="G124" i="25" s="1"/>
  <c r="J124" i="25" a="1"/>
  <c r="J124" i="25" s="1"/>
  <c r="J123" i="25" a="1"/>
  <c r="J123" i="25" s="1"/>
  <c r="G123" i="25" a="1"/>
  <c r="G123" i="25" s="1"/>
  <c r="H122" i="25" a="1"/>
  <c r="H122" i="25" s="1"/>
  <c r="J122" i="25" a="1"/>
  <c r="J122" i="25" s="1"/>
  <c r="G122" i="25" a="1"/>
  <c r="G122" i="25" s="1"/>
  <c r="Q122" i="25" s="1"/>
  <c r="K122" i="25" a="1"/>
  <c r="K122" i="25" s="1"/>
  <c r="K48" i="42" a="1"/>
  <c r="K48" i="42" s="1"/>
  <c r="J48" i="42" a="1"/>
  <c r="J48" i="42" s="1"/>
  <c r="L48" i="42" a="1"/>
  <c r="L48" i="42" s="1"/>
  <c r="J69" i="42" a="1"/>
  <c r="J69" i="42" s="1"/>
  <c r="K69" i="42" a="1"/>
  <c r="K69" i="42" s="1"/>
  <c r="L69" i="42" a="1"/>
  <c r="L69" i="42" s="1"/>
  <c r="K162" i="42" a="1"/>
  <c r="K162" i="42" s="1"/>
  <c r="J162" i="42" a="1"/>
  <c r="J162" i="42" s="1"/>
  <c r="L162" i="42" a="1"/>
  <c r="L162" i="42" s="1"/>
  <c r="L133" i="42" a="1"/>
  <c r="L133" i="42" s="1"/>
  <c r="J133" i="42" a="1"/>
  <c r="J133" i="42" s="1"/>
  <c r="K133" i="42" a="1"/>
  <c r="K133" i="42" s="1"/>
  <c r="K83" i="25" a="1"/>
  <c r="K83" i="25" s="1"/>
  <c r="G83" i="25" a="1"/>
  <c r="G83" i="25" s="1"/>
  <c r="G116" i="26" a="1"/>
  <c r="G116" i="26" s="1"/>
  <c r="I116" i="26" a="1"/>
  <c r="I116" i="26" s="1"/>
  <c r="I10" i="26" a="1"/>
  <c r="I10" i="26" s="1"/>
  <c r="G10" i="26" a="1"/>
  <c r="G10" i="26" s="1"/>
  <c r="H10" i="26" a="1"/>
  <c r="H10" i="26" s="1"/>
  <c r="G13" i="25" a="1"/>
  <c r="G13" i="25" s="1"/>
  <c r="I13" i="25" a="1"/>
  <c r="I13" i="25" s="1"/>
  <c r="K13" i="25" a="1"/>
  <c r="K13" i="25" s="1"/>
  <c r="G12" i="25" a="1"/>
  <c r="G12" i="25" s="1"/>
  <c r="K12" i="25" a="1"/>
  <c r="K12" i="25" s="1"/>
  <c r="I12" i="25" a="1"/>
  <c r="I12" i="25" s="1"/>
  <c r="L33" i="25"/>
  <c r="I33" i="25" a="1"/>
  <c r="I33" i="25" s="1"/>
  <c r="G35" i="25" a="1"/>
  <c r="G35" i="25" s="1"/>
  <c r="I35" i="25" a="1"/>
  <c r="I35" i="25" s="1"/>
  <c r="K35" i="25" a="1"/>
  <c r="K35" i="25" s="1"/>
  <c r="I34" i="25" a="1"/>
  <c r="I34" i="25" s="1"/>
  <c r="K34" i="25" a="1"/>
  <c r="K34" i="25" s="1"/>
  <c r="I39" i="26" a="1"/>
  <c r="I39" i="26" s="1"/>
  <c r="H39" i="26" a="1"/>
  <c r="H39" i="26" s="1"/>
  <c r="L41" i="25"/>
  <c r="H41" i="25" a="1"/>
  <c r="H41" i="25" s="1"/>
  <c r="L44" i="25"/>
  <c r="I44" i="25" a="1"/>
  <c r="I44" i="25" s="1"/>
  <c r="G42" i="26" a="1"/>
  <c r="G42" i="26" s="1"/>
  <c r="H42" i="26" a="1"/>
  <c r="H42" i="26" s="1"/>
  <c r="G47" i="25" a="1"/>
  <c r="G47" i="25" s="1"/>
  <c r="I47" i="25" a="1"/>
  <c r="I47" i="25" s="1"/>
  <c r="K47" i="25" a="1"/>
  <c r="K47" i="25" s="1"/>
  <c r="K46" i="25" a="1"/>
  <c r="K46" i="25" s="1"/>
  <c r="G46" i="25" a="1"/>
  <c r="G46" i="25" s="1"/>
  <c r="I46" i="25" a="1"/>
  <c r="I46" i="25" s="1"/>
  <c r="K69" i="25" a="1"/>
  <c r="K69" i="25" s="1"/>
  <c r="G69" i="25" a="1"/>
  <c r="G69" i="25" s="1"/>
  <c r="I69" i="25" a="1"/>
  <c r="I69" i="25" s="1"/>
  <c r="K72" i="25" a="1"/>
  <c r="K72" i="25" s="1"/>
  <c r="G72" i="25" a="1"/>
  <c r="G72" i="25" s="1"/>
  <c r="Q72" i="25" s="1"/>
  <c r="I72" i="26" a="1"/>
  <c r="I72" i="26" s="1"/>
  <c r="H72" i="26" a="1"/>
  <c r="H72" i="26" s="1"/>
  <c r="N78" i="25"/>
  <c r="I78" i="25" a="1"/>
  <c r="I78" i="25" s="1"/>
  <c r="G76" i="26" a="1"/>
  <c r="G76" i="26" s="1"/>
  <c r="I76" i="26" a="1"/>
  <c r="I76" i="26" s="1"/>
  <c r="H76" i="26" a="1"/>
  <c r="H76" i="26" s="1"/>
  <c r="I81" i="25" a="1"/>
  <c r="I81" i="25" s="1"/>
  <c r="G81" i="25" a="1"/>
  <c r="G81" i="25" s="1"/>
  <c r="Q81" i="25" s="1"/>
  <c r="K81" i="25" a="1"/>
  <c r="K81" i="25" s="1"/>
  <c r="I77" i="26" a="1"/>
  <c r="I77" i="26" s="1"/>
  <c r="G77" i="26" a="1"/>
  <c r="G77" i="26" s="1"/>
  <c r="G82" i="25" a="1"/>
  <c r="G82" i="25" s="1"/>
  <c r="Q82" i="25" s="1"/>
  <c r="K82" i="25" a="1"/>
  <c r="K82" i="25" s="1"/>
  <c r="I80" i="25" a="1"/>
  <c r="I80" i="25" s="1"/>
  <c r="K80" i="25" a="1"/>
  <c r="K80" i="25" s="1"/>
  <c r="G80" i="25" a="1"/>
  <c r="G80" i="25" s="1"/>
  <c r="Q80" i="25" s="1"/>
  <c r="H89" i="25" a="1"/>
  <c r="H89" i="25" s="1"/>
  <c r="I89" i="25" a="1"/>
  <c r="I89" i="25" s="1"/>
  <c r="K94" i="25" a="1"/>
  <c r="K94" i="25" s="1"/>
  <c r="G94" i="25" a="1"/>
  <c r="G94" i="25" s="1"/>
  <c r="Q94" i="25" s="1"/>
  <c r="G93" i="25" a="1"/>
  <c r="G93" i="25" s="1"/>
  <c r="Q93" i="25" s="1"/>
  <c r="K93" i="25" a="1"/>
  <c r="K93" i="25" s="1"/>
  <c r="L85" i="26"/>
  <c r="G85" i="26" a="1"/>
  <c r="G85" i="26" s="1"/>
  <c r="I92" i="25" a="1"/>
  <c r="I92" i="25" s="1"/>
  <c r="G92" i="25" a="1"/>
  <c r="G92" i="25" s="1"/>
  <c r="Q92" i="25" s="1"/>
  <c r="K92" i="25" a="1"/>
  <c r="K92" i="25" s="1"/>
  <c r="G111" i="26" a="1"/>
  <c r="G111" i="26" s="1"/>
  <c r="H111" i="26" a="1"/>
  <c r="H111" i="26" s="1"/>
  <c r="H124" i="25" a="1"/>
  <c r="H124" i="25" s="1"/>
  <c r="I124" i="25" a="1"/>
  <c r="I124" i="25" s="1"/>
  <c r="H123" i="25" a="1"/>
  <c r="H123" i="25" s="1"/>
  <c r="I123" i="25" a="1"/>
  <c r="I123" i="25" s="1"/>
  <c r="O26" i="25"/>
  <c r="M26" i="25"/>
  <c r="I29" i="26" a="1"/>
  <c r="I29" i="26" s="1"/>
  <c r="H29" i="26" a="1"/>
  <c r="H29" i="26" s="1"/>
  <c r="M29" i="26" s="1"/>
  <c r="I32" i="26" a="1"/>
  <c r="I32" i="26" s="1"/>
  <c r="H32" i="26" a="1"/>
  <c r="H32" i="26" s="1"/>
  <c r="I33" i="26" a="1"/>
  <c r="I33" i="26" s="1"/>
  <c r="H33" i="26" a="1"/>
  <c r="H33" i="26" s="1"/>
  <c r="I40" i="26" a="1"/>
  <c r="I40" i="26" s="1"/>
  <c r="H40" i="26" a="1"/>
  <c r="H40" i="26" s="1"/>
  <c r="I43" i="26" a="1"/>
  <c r="I43" i="26" s="1"/>
  <c r="H43" i="26" a="1"/>
  <c r="H43" i="26" s="1"/>
  <c r="G46" i="26" a="1"/>
  <c r="G46" i="26" s="1"/>
  <c r="H46" i="26" a="1"/>
  <c r="H46" i="26" s="1"/>
  <c r="K74" i="26"/>
  <c r="L74" i="26"/>
  <c r="G75" i="26" a="1"/>
  <c r="G75" i="26" s="1"/>
  <c r="H75" i="26" a="1"/>
  <c r="H75" i="26" s="1"/>
  <c r="L75" i="26"/>
  <c r="J78" i="26"/>
  <c r="H78" i="26" a="1"/>
  <c r="H78" i="26" s="1"/>
  <c r="J84" i="26"/>
  <c r="H84" i="26" a="1"/>
  <c r="H84" i="26" s="1"/>
  <c r="L84" i="26"/>
  <c r="G83" i="26" a="1"/>
  <c r="G83" i="26" s="1"/>
  <c r="H83" i="26" a="1"/>
  <c r="H83" i="26" s="1"/>
  <c r="I88" i="26" a="1"/>
  <c r="I88" i="26" s="1"/>
  <c r="L88" i="26"/>
  <c r="H88" i="26" a="1"/>
  <c r="H88" i="26" s="1"/>
  <c r="M88" i="26" s="1"/>
  <c r="K88" i="26"/>
  <c r="J88" i="26"/>
  <c r="I87" i="26" a="1"/>
  <c r="I87" i="26" s="1"/>
  <c r="K87" i="26"/>
  <c r="L87" i="26"/>
  <c r="J87" i="26"/>
  <c r="H87" i="26" a="1"/>
  <c r="H87" i="26" s="1"/>
  <c r="M87" i="26" s="1"/>
  <c r="I86" i="26" a="1"/>
  <c r="I86" i="26" s="1"/>
  <c r="H86" i="26" a="1"/>
  <c r="H86" i="26" s="1"/>
  <c r="G112" i="26" a="1"/>
  <c r="G112" i="26" s="1"/>
  <c r="J112" i="26"/>
  <c r="H112" i="26" a="1"/>
  <c r="H112" i="26" s="1"/>
  <c r="L112" i="26"/>
  <c r="K112" i="26"/>
  <c r="L113" i="26"/>
  <c r="J113" i="26"/>
  <c r="K113" i="26"/>
  <c r="I117" i="26" a="1"/>
  <c r="I117" i="26" s="1"/>
  <c r="L117" i="26"/>
  <c r="K117" i="26"/>
  <c r="J117" i="26"/>
  <c r="H117" i="26" a="1"/>
  <c r="H117" i="26" s="1"/>
  <c r="M117" i="26" s="1"/>
  <c r="J116" i="26"/>
  <c r="K116" i="26"/>
  <c r="H116" i="26" a="1"/>
  <c r="H116" i="26" s="1"/>
  <c r="L116" i="26"/>
  <c r="G115" i="26" a="1"/>
  <c r="G115" i="26" s="1"/>
  <c r="J115" i="26"/>
  <c r="K115" i="26"/>
  <c r="L115" i="26"/>
  <c r="H115" i="26" a="1"/>
  <c r="H115" i="26" s="1"/>
  <c r="K28" i="26"/>
  <c r="L28" i="26"/>
  <c r="J28" i="26"/>
  <c r="N29" i="25"/>
  <c r="L29" i="25"/>
  <c r="M29" i="25"/>
  <c r="O29" i="25"/>
  <c r="I27" i="26" a="1"/>
  <c r="I27" i="26" s="1"/>
  <c r="H27" i="26" a="1"/>
  <c r="H27" i="26" s="1"/>
  <c r="M27" i="26" s="1"/>
  <c r="J27" i="26"/>
  <c r="L27" i="26"/>
  <c r="K27" i="26"/>
  <c r="L31" i="25"/>
  <c r="P31" i="25"/>
  <c r="M31" i="25"/>
  <c r="N30" i="25"/>
  <c r="L30" i="25"/>
  <c r="I30" i="26" a="1"/>
  <c r="I30" i="26" s="1"/>
  <c r="K30" i="26"/>
  <c r="L30" i="26"/>
  <c r="H30" i="26" a="1"/>
  <c r="H30" i="26" s="1"/>
  <c r="M30" i="26" s="1"/>
  <c r="J30" i="26"/>
  <c r="L35" i="25"/>
  <c r="P35" i="25"/>
  <c r="L34" i="25"/>
  <c r="N34" i="25"/>
  <c r="P34" i="25"/>
  <c r="K38" i="26"/>
  <c r="J38" i="26"/>
  <c r="L38" i="26"/>
  <c r="G39" i="26" a="1"/>
  <c r="G39" i="26" s="1"/>
  <c r="J39" i="26"/>
  <c r="K39" i="26"/>
  <c r="L39" i="26"/>
  <c r="O43" i="25"/>
  <c r="L43" i="25"/>
  <c r="P43" i="25"/>
  <c r="N43" i="25"/>
  <c r="M43" i="25"/>
  <c r="I42" i="26" a="1"/>
  <c r="I42" i="26" s="1"/>
  <c r="L42" i="26"/>
  <c r="K42" i="26"/>
  <c r="J42" i="26"/>
  <c r="L45" i="25"/>
  <c r="P45" i="25"/>
  <c r="N45" i="25"/>
  <c r="O47" i="25"/>
  <c r="P47" i="25"/>
  <c r="L47" i="25"/>
  <c r="N47" i="25"/>
  <c r="M47" i="25"/>
  <c r="L46" i="25"/>
  <c r="P46" i="25"/>
  <c r="M69" i="25"/>
  <c r="N69" i="25"/>
  <c r="L69" i="25"/>
  <c r="I65" i="26" a="1"/>
  <c r="I65" i="26" s="1"/>
  <c r="L65" i="26"/>
  <c r="J65" i="26"/>
  <c r="H65" i="26" a="1"/>
  <c r="H65" i="26" s="1"/>
  <c r="M65" i="26" s="1"/>
  <c r="K65" i="26"/>
  <c r="M74" i="25"/>
  <c r="O74" i="25"/>
  <c r="N74" i="25"/>
  <c r="P74" i="25"/>
  <c r="L74" i="25"/>
  <c r="G70" i="26" a="1"/>
  <c r="G70" i="26" s="1"/>
  <c r="J70" i="26"/>
  <c r="K70" i="26"/>
  <c r="H70" i="26" a="1"/>
  <c r="H70" i="26" s="1"/>
  <c r="L70" i="26"/>
  <c r="P73" i="25"/>
  <c r="N73" i="25"/>
  <c r="M73" i="25"/>
  <c r="O73" i="25"/>
  <c r="L73" i="25"/>
  <c r="L72" i="25"/>
  <c r="N72" i="25"/>
  <c r="O72" i="25"/>
  <c r="P72" i="25"/>
  <c r="M72" i="25"/>
  <c r="H69" i="26" a="1"/>
  <c r="H69" i="26" s="1"/>
  <c r="M69" i="26" s="1"/>
  <c r="J69" i="26"/>
  <c r="L69" i="26"/>
  <c r="K69" i="26"/>
  <c r="P77" i="25"/>
  <c r="L77" i="25"/>
  <c r="N77" i="25"/>
  <c r="O77" i="25"/>
  <c r="M77" i="25"/>
  <c r="G72" i="26" a="1"/>
  <c r="G72" i="26" s="1"/>
  <c r="L72" i="26"/>
  <c r="K72" i="26"/>
  <c r="J72" i="26"/>
  <c r="P78" i="25"/>
  <c r="L78" i="25"/>
  <c r="O78" i="25"/>
  <c r="M78" i="25"/>
  <c r="O76" i="25"/>
  <c r="L76" i="25"/>
  <c r="M76" i="25"/>
  <c r="N76" i="25"/>
  <c r="P76" i="25"/>
  <c r="K73" i="26"/>
  <c r="L73" i="26"/>
  <c r="J73" i="26"/>
  <c r="J76" i="26"/>
  <c r="K76" i="26"/>
  <c r="L76" i="26"/>
  <c r="L81" i="25"/>
  <c r="N81" i="25"/>
  <c r="O81" i="25"/>
  <c r="P81" i="25"/>
  <c r="M81" i="25"/>
  <c r="H77" i="26" a="1"/>
  <c r="H77" i="26" s="1"/>
  <c r="K77" i="26"/>
  <c r="J77" i="26"/>
  <c r="L77" i="26"/>
  <c r="L82" i="25"/>
  <c r="O82" i="25"/>
  <c r="M82" i="25"/>
  <c r="N82" i="25"/>
  <c r="P82" i="25"/>
  <c r="L80" i="25"/>
  <c r="P80" i="25"/>
  <c r="N80" i="25"/>
  <c r="M80" i="25"/>
  <c r="O80" i="25"/>
  <c r="M89" i="25"/>
  <c r="L89" i="25"/>
  <c r="P89" i="25"/>
  <c r="O89" i="25"/>
  <c r="N89" i="25"/>
  <c r="G81" i="26" a="1"/>
  <c r="G81" i="26" s="1"/>
  <c r="J81" i="26"/>
  <c r="L81" i="26"/>
  <c r="K81" i="26"/>
  <c r="H81" i="26" a="1"/>
  <c r="H81" i="26" s="1"/>
  <c r="L88" i="25"/>
  <c r="P88" i="25"/>
  <c r="O88" i="25"/>
  <c r="N88" i="25"/>
  <c r="M88" i="25"/>
  <c r="L90" i="25"/>
  <c r="P90" i="25"/>
  <c r="N90" i="25"/>
  <c r="O90" i="25"/>
  <c r="M94" i="25"/>
  <c r="P94" i="25"/>
  <c r="L94" i="25"/>
  <c r="O94" i="25"/>
  <c r="M93" i="25"/>
  <c r="P93" i="25"/>
  <c r="L93" i="25"/>
  <c r="M92" i="25"/>
  <c r="N92" i="25"/>
  <c r="L92" i="25"/>
  <c r="P92" i="25"/>
  <c r="M119" i="25"/>
  <c r="P119" i="25"/>
  <c r="N119" i="25"/>
  <c r="O119" i="25"/>
  <c r="M120" i="25"/>
  <c r="P120" i="25"/>
  <c r="O120" i="25"/>
  <c r="N120" i="25"/>
  <c r="K111" i="26"/>
  <c r="J111" i="26"/>
  <c r="L118" i="25"/>
  <c r="M118" i="25"/>
  <c r="P118" i="25"/>
  <c r="N118" i="25"/>
  <c r="O118" i="25"/>
  <c r="L117" i="25"/>
  <c r="P117" i="25"/>
  <c r="N117" i="25"/>
  <c r="M117" i="25"/>
  <c r="O117" i="25"/>
  <c r="N124" i="25"/>
  <c r="O124" i="25"/>
  <c r="M124" i="25"/>
  <c r="L124" i="25"/>
  <c r="P124" i="25"/>
  <c r="N123" i="25"/>
  <c r="O123" i="25"/>
  <c r="M123" i="25"/>
  <c r="L123" i="25"/>
  <c r="P123" i="25"/>
  <c r="H114" i="26" a="1"/>
  <c r="H114" i="26" s="1"/>
  <c r="L114" i="26"/>
  <c r="K114" i="26"/>
  <c r="J114" i="26"/>
  <c r="M122" i="25"/>
  <c r="N122" i="25"/>
  <c r="L122" i="25"/>
  <c r="O122" i="25"/>
  <c r="P122" i="25"/>
  <c r="L213" i="42" a="1"/>
  <c r="L213" i="42" s="1"/>
  <c r="J202" i="42" a="1"/>
  <c r="J202" i="42" s="1"/>
  <c r="K202" i="42" a="1"/>
  <c r="K202" i="42" s="1"/>
  <c r="L202" i="42" a="1"/>
  <c r="L202" i="42" s="1"/>
  <c r="K50" i="42" a="1"/>
  <c r="K50" i="42" s="1"/>
  <c r="J50" i="42" a="1"/>
  <c r="J50" i="42" s="1"/>
  <c r="L50" i="42" a="1"/>
  <c r="L50" i="42" s="1"/>
  <c r="K159" i="42" a="1"/>
  <c r="K159" i="42" s="1"/>
  <c r="L159" i="42" a="1"/>
  <c r="L159" i="42" s="1"/>
  <c r="J159" i="42" a="1"/>
  <c r="J159" i="42" s="1"/>
  <c r="K6" i="42" a="1"/>
  <c r="K6" i="42" s="1"/>
  <c r="J6" i="42" a="1"/>
  <c r="J6" i="42" s="1"/>
  <c r="L6" i="42" a="1"/>
  <c r="L6" i="42" s="1"/>
  <c r="K72" i="42" a="1"/>
  <c r="K72" i="42" s="1"/>
  <c r="J72" i="42" a="1"/>
  <c r="J72" i="42" s="1"/>
  <c r="L72" i="42" a="1"/>
  <c r="L72" i="42" s="1"/>
  <c r="K110" i="42" a="1"/>
  <c r="K110" i="42" s="1"/>
  <c r="J110" i="42" a="1"/>
  <c r="J110" i="42" s="1"/>
  <c r="L110" i="42" a="1"/>
  <c r="L110" i="42" s="1"/>
  <c r="J74" i="42" a="1"/>
  <c r="J74" i="42" s="1"/>
  <c r="L74" i="42" a="1"/>
  <c r="L74" i="42" s="1"/>
  <c r="K74" i="42" a="1"/>
  <c r="K74" i="42" s="1"/>
  <c r="K170" i="42" a="1"/>
  <c r="K170" i="42" s="1"/>
  <c r="J170" i="42" a="1"/>
  <c r="J170" i="42" s="1"/>
  <c r="L170" i="42" a="1"/>
  <c r="L170" i="42" s="1"/>
  <c r="L143" i="42" a="1"/>
  <c r="L143" i="42" s="1"/>
  <c r="J143" i="42" a="1"/>
  <c r="J143" i="42" s="1"/>
  <c r="K143" i="42" a="1"/>
  <c r="K143" i="42" s="1"/>
  <c r="L41" i="42" a="1"/>
  <c r="L41" i="42" s="1"/>
  <c r="K41" i="42" a="1"/>
  <c r="K41" i="42" s="1"/>
  <c r="J41" i="42" a="1"/>
  <c r="J41" i="42" s="1"/>
  <c r="L86" i="42" a="1"/>
  <c r="L86" i="42" s="1"/>
  <c r="K86" i="42" a="1"/>
  <c r="K86" i="42" s="1"/>
  <c r="J86" i="42" a="1"/>
  <c r="J86" i="42" s="1"/>
  <c r="J97" i="42" a="1"/>
  <c r="J97" i="42" s="1"/>
  <c r="K97" i="42" a="1"/>
  <c r="K97" i="42" s="1"/>
  <c r="L97" i="42" a="1"/>
  <c r="L97" i="42" s="1"/>
  <c r="K121" i="42" a="1"/>
  <c r="K121" i="42" s="1"/>
  <c r="J121" i="42" a="1"/>
  <c r="J121" i="42" s="1"/>
  <c r="L121" i="42" a="1"/>
  <c r="L121" i="42" s="1"/>
  <c r="K100" i="42" a="1"/>
  <c r="K100" i="42" s="1"/>
  <c r="L100" i="42" a="1"/>
  <c r="L100" i="42" s="1"/>
  <c r="K45" i="42" a="1"/>
  <c r="K45" i="42" s="1"/>
  <c r="J45" i="42" a="1"/>
  <c r="J45" i="42" s="1"/>
  <c r="L45" i="42" a="1"/>
  <c r="L45" i="42" s="1"/>
  <c r="J19" i="42" a="1"/>
  <c r="J19" i="42" s="1"/>
  <c r="K19" i="42" a="1"/>
  <c r="K19" i="42" s="1"/>
  <c r="L19" i="42" a="1"/>
  <c r="L19" i="42" s="1"/>
  <c r="L99" i="42" a="1"/>
  <c r="L99" i="42" s="1"/>
  <c r="J99" i="42" a="1"/>
  <c r="J99" i="42" s="1"/>
  <c r="K95" i="42" a="1"/>
  <c r="K95" i="42" s="1"/>
  <c r="L95" i="42" a="1"/>
  <c r="L95" i="42" s="1"/>
  <c r="J2" i="42" a="1"/>
  <c r="J2" i="42" s="1"/>
  <c r="K2" i="42" a="1"/>
  <c r="K2" i="42" s="1"/>
  <c r="J139" i="42" a="1"/>
  <c r="J139" i="42" s="1"/>
  <c r="L139" i="42" a="1"/>
  <c r="L139" i="42" s="1"/>
  <c r="K139" i="42" a="1"/>
  <c r="K139" i="42" s="1"/>
  <c r="J136" i="42" a="1"/>
  <c r="J136" i="42" s="1"/>
  <c r="K136" i="42" a="1"/>
  <c r="K136" i="42" s="1"/>
  <c r="K52" i="42" a="1"/>
  <c r="K52" i="42" s="1"/>
  <c r="J52" i="42" a="1"/>
  <c r="J52" i="42" s="1"/>
  <c r="G38" i="26" a="1"/>
  <c r="G38" i="26" s="1"/>
  <c r="H38" i="26" a="1"/>
  <c r="H38" i="26" s="1"/>
  <c r="L42" i="25"/>
  <c r="N42" i="25"/>
  <c r="G71" i="26" a="1"/>
  <c r="G71" i="26" s="1"/>
  <c r="H71" i="26" a="1"/>
  <c r="H71" i="26" s="1"/>
  <c r="M12" i="26"/>
  <c r="L83" i="25"/>
  <c r="O83" i="25"/>
  <c r="N83" i="25"/>
  <c r="P83" i="25"/>
  <c r="M83" i="25"/>
  <c r="J83" i="25" a="1"/>
  <c r="J83" i="25" s="1"/>
  <c r="L14" i="42" a="1"/>
  <c r="L14" i="42" s="1"/>
  <c r="J14" i="42" a="1"/>
  <c r="J14" i="42" s="1"/>
  <c r="K14" i="42" a="1"/>
  <c r="K14" i="42" s="1"/>
  <c r="L20" i="42" a="1"/>
  <c r="L20" i="42" s="1"/>
  <c r="J20" i="42" a="1"/>
  <c r="J20" i="42" s="1"/>
  <c r="K20" i="42" a="1"/>
  <c r="K20" i="42" s="1"/>
  <c r="J208" i="42" a="1"/>
  <c r="J208" i="42" s="1"/>
  <c r="K208" i="42" a="1"/>
  <c r="K208" i="42" s="1"/>
  <c r="L208" i="42" a="1"/>
  <c r="L208" i="42" s="1"/>
  <c r="L27" i="42" a="1"/>
  <c r="L27" i="42" s="1"/>
  <c r="J27" i="42" a="1"/>
  <c r="J27" i="42" s="1"/>
  <c r="I28" i="26" a="1"/>
  <c r="I28" i="26" s="1"/>
  <c r="H28" i="26" a="1"/>
  <c r="H28" i="26" s="1"/>
  <c r="M28" i="26" s="1"/>
  <c r="L24" i="42" a="1"/>
  <c r="L24" i="42" s="1"/>
  <c r="J24" i="42" a="1"/>
  <c r="J24" i="42" s="1"/>
  <c r="J44" i="42" a="1"/>
  <c r="J44" i="42" s="1"/>
  <c r="K44" i="42" a="1"/>
  <c r="K44" i="42" s="1"/>
  <c r="L44" i="42" a="1"/>
  <c r="L44" i="42" s="1"/>
  <c r="I74" i="26" a="1"/>
  <c r="I74" i="26" s="1"/>
  <c r="H74" i="26" a="1"/>
  <c r="H74" i="26" s="1"/>
  <c r="K189" i="42" a="1"/>
  <c r="K189" i="42" s="1"/>
  <c r="L189" i="42" a="1"/>
  <c r="L189" i="42" s="1"/>
  <c r="J189" i="42" a="1"/>
  <c r="J189" i="42" s="1"/>
  <c r="G113" i="26" a="1"/>
  <c r="G113" i="26" s="1"/>
  <c r="M113" i="26" s="1"/>
  <c r="H113" i="26" a="1"/>
  <c r="H113" i="26" s="1"/>
  <c r="J109" i="42" a="1"/>
  <c r="J109" i="42" s="1"/>
  <c r="K109" i="42" a="1"/>
  <c r="K109" i="42" s="1"/>
  <c r="L109" i="42" a="1"/>
  <c r="L109" i="42" s="1"/>
  <c r="K150" i="42" a="1"/>
  <c r="K150" i="42" s="1"/>
  <c r="J150" i="42" a="1"/>
  <c r="J150" i="42" s="1"/>
  <c r="J126" i="42" a="1"/>
  <c r="J126" i="42" s="1"/>
  <c r="K126" i="42" a="1"/>
  <c r="K126" i="42" s="1"/>
  <c r="I82" i="26" a="1"/>
  <c r="I82" i="26" s="1"/>
  <c r="H82" i="26" a="1"/>
  <c r="H82" i="26" s="1"/>
  <c r="M82" i="26" s="1"/>
  <c r="L115" i="42" a="1"/>
  <c r="L115" i="42" s="1"/>
  <c r="J115" i="42" a="1"/>
  <c r="J115" i="42" s="1"/>
  <c r="K115" i="42" a="1"/>
  <c r="K115" i="42" s="1"/>
  <c r="K129" i="42" a="1"/>
  <c r="K129" i="42" s="1"/>
  <c r="L129" i="42" a="1"/>
  <c r="L129" i="42" s="1"/>
  <c r="J113" i="42" a="1"/>
  <c r="J113" i="42" s="1"/>
  <c r="K113" i="42" a="1"/>
  <c r="K113" i="42" s="1"/>
  <c r="L113" i="42" a="1"/>
  <c r="L113" i="42" s="1"/>
  <c r="J34" i="42" a="1"/>
  <c r="J34" i="42" s="1"/>
  <c r="K34" i="42" a="1"/>
  <c r="K34" i="42" s="1"/>
  <c r="L34" i="42" a="1"/>
  <c r="L34" i="42" s="1"/>
  <c r="K163" i="42" a="1"/>
  <c r="K163" i="42" s="1"/>
  <c r="L163" i="42" a="1"/>
  <c r="L163" i="42" s="1"/>
  <c r="J163" i="42" a="1"/>
  <c r="J163" i="42" s="1"/>
  <c r="L56" i="42" a="1"/>
  <c r="L56" i="42" s="1"/>
  <c r="K56" i="42" a="1"/>
  <c r="K56" i="42" s="1"/>
  <c r="J56" i="42" a="1"/>
  <c r="J56" i="42" s="1"/>
  <c r="J21" i="42" a="1"/>
  <c r="J21" i="42" s="1"/>
  <c r="K21" i="42" a="1"/>
  <c r="K21" i="42" s="1"/>
  <c r="L21" i="42" a="1"/>
  <c r="L21" i="42" s="1"/>
  <c r="L33" i="42" a="1"/>
  <c r="L33" i="42" s="1"/>
  <c r="K33" i="42" a="1"/>
  <c r="K33" i="42" s="1"/>
  <c r="J33" i="42" a="1"/>
  <c r="J33" i="42" s="1"/>
  <c r="L61" i="42" a="1"/>
  <c r="L61" i="42" s="1"/>
  <c r="K61" i="42" a="1"/>
  <c r="K61" i="42" s="1"/>
  <c r="O22" i="33"/>
  <c r="L22" i="33"/>
  <c r="M22" i="33"/>
  <c r="P22" i="33"/>
  <c r="J145" i="42" a="1"/>
  <c r="J145" i="42" s="1"/>
  <c r="K145" i="42" a="1"/>
  <c r="K145" i="42" s="1"/>
  <c r="L145" i="42" a="1"/>
  <c r="L145" i="42" s="1"/>
  <c r="L29" i="42" a="1"/>
  <c r="L29" i="42" s="1"/>
  <c r="J29" i="42" a="1"/>
  <c r="J29" i="42" s="1"/>
  <c r="K29" i="42" a="1"/>
  <c r="K29" i="42" s="1"/>
  <c r="J70" i="42" a="1"/>
  <c r="J70" i="42" s="1"/>
  <c r="K70" i="42" a="1"/>
  <c r="K70" i="42" s="1"/>
  <c r="L70" i="42" a="1"/>
  <c r="L70" i="42" s="1"/>
  <c r="L155" i="42" a="1"/>
  <c r="L155" i="42" s="1"/>
  <c r="K155" i="42" a="1"/>
  <c r="K155" i="42" s="1"/>
  <c r="K119" i="42" a="1"/>
  <c r="K119" i="42" s="1"/>
  <c r="J119" i="42" a="1"/>
  <c r="J119" i="42" s="1"/>
  <c r="L119" i="42" a="1"/>
  <c r="L119" i="42" s="1"/>
  <c r="L93" i="42" a="1"/>
  <c r="L93" i="42" s="1"/>
  <c r="K93" i="42" a="1"/>
  <c r="K93" i="42" s="1"/>
  <c r="K205" i="42" a="1"/>
  <c r="K205" i="42" s="1"/>
  <c r="L205" i="42" a="1"/>
  <c r="L205" i="42" s="1"/>
  <c r="L141" i="42" a="1"/>
  <c r="L141" i="42" s="1"/>
  <c r="K141" i="42" a="1"/>
  <c r="K141" i="42" s="1"/>
  <c r="J141" i="42" a="1"/>
  <c r="J141" i="42" s="1"/>
  <c r="L76" i="42" a="1"/>
  <c r="L76" i="42" s="1"/>
  <c r="J76" i="42" a="1"/>
  <c r="J76" i="42" s="1"/>
  <c r="K76" i="42" a="1"/>
  <c r="K76" i="42" s="1"/>
  <c r="J68" i="42" a="1"/>
  <c r="J68" i="42" s="1"/>
  <c r="L68" i="42" a="1"/>
  <c r="L68" i="42" s="1"/>
  <c r="K68" i="42" a="1"/>
  <c r="K68" i="42" s="1"/>
  <c r="J127" i="42" a="1"/>
  <c r="J127" i="42" s="1"/>
  <c r="L127" i="42" a="1"/>
  <c r="L127" i="42" s="1"/>
  <c r="K127" i="42" a="1"/>
  <c r="K127" i="42" s="1"/>
  <c r="L13" i="42" a="1"/>
  <c r="L13" i="42" s="1"/>
  <c r="J13" i="42" a="1"/>
  <c r="J13" i="42" s="1"/>
  <c r="K13" i="42" a="1"/>
  <c r="K13" i="42" s="1"/>
  <c r="L147" i="42" a="1"/>
  <c r="L147" i="42" s="1"/>
  <c r="K147" i="42" a="1"/>
  <c r="K147" i="42" s="1"/>
  <c r="J147" i="42" a="1"/>
  <c r="J147" i="42" s="1"/>
  <c r="L17" i="42" a="1"/>
  <c r="L17" i="42" s="1"/>
  <c r="J17" i="42" a="1"/>
  <c r="J17" i="42" s="1"/>
  <c r="K17" i="42" a="1"/>
  <c r="K17" i="42" s="1"/>
  <c r="J112" i="42" a="1"/>
  <c r="J112" i="42" s="1"/>
  <c r="L112" i="42" a="1"/>
  <c r="L112" i="42" s="1"/>
  <c r="J123" i="42" a="1"/>
  <c r="J123" i="42" s="1"/>
  <c r="L123" i="42" a="1"/>
  <c r="L123" i="42" s="1"/>
  <c r="K25" i="42" a="1"/>
  <c r="K25" i="42" s="1"/>
  <c r="L25" i="42" a="1"/>
  <c r="L25" i="42" s="1"/>
  <c r="L71" i="42" a="1"/>
  <c r="L71" i="42" s="1"/>
  <c r="J71" i="42" a="1"/>
  <c r="J71" i="42" s="1"/>
  <c r="K71" i="42" a="1"/>
  <c r="K71" i="42" s="1"/>
  <c r="K28" i="42" a="1"/>
  <c r="K28" i="42" s="1"/>
  <c r="J28" i="42" a="1"/>
  <c r="J28" i="42" s="1"/>
  <c r="L28" i="42" a="1"/>
  <c r="L28" i="42" s="1"/>
  <c r="O8" i="33"/>
  <c r="M8" i="33"/>
  <c r="J112" i="36"/>
  <c r="L112" i="36"/>
  <c r="K112" i="36"/>
  <c r="L3" i="34"/>
  <c r="M3" i="34"/>
  <c r="N3" i="34"/>
  <c r="P3" i="34"/>
  <c r="O48" i="33"/>
  <c r="P48" i="33"/>
  <c r="L48" i="33"/>
  <c r="M48" i="33"/>
  <c r="L14" i="36"/>
  <c r="K14" i="36"/>
  <c r="J14" i="36"/>
  <c r="P110" i="34"/>
  <c r="L110" i="34"/>
  <c r="N110" i="34"/>
  <c r="M110" i="34"/>
  <c r="L12" i="33"/>
  <c r="P12" i="33"/>
  <c r="O12" i="33"/>
  <c r="M12" i="33"/>
  <c r="J6" i="36"/>
  <c r="L6" i="36"/>
  <c r="K6" i="36"/>
  <c r="L14" i="33"/>
  <c r="P14" i="33"/>
  <c r="O14" i="33"/>
  <c r="M14" i="33"/>
  <c r="P15" i="33"/>
  <c r="L15" i="33"/>
  <c r="O15" i="33"/>
  <c r="M15" i="33"/>
  <c r="M72" i="33"/>
  <c r="O72" i="33"/>
  <c r="L72" i="33"/>
  <c r="P72" i="33"/>
  <c r="M72" i="34"/>
  <c r="L72" i="34"/>
  <c r="M7" i="34"/>
  <c r="L7" i="34"/>
  <c r="P7" i="34"/>
  <c r="N7" i="34"/>
  <c r="L88" i="34"/>
  <c r="N88" i="34"/>
  <c r="M88" i="34"/>
  <c r="P88" i="34"/>
  <c r="I73" i="26" a="1"/>
  <c r="I73" i="26" s="1"/>
  <c r="H73" i="26" a="1"/>
  <c r="H73" i="26" s="1"/>
  <c r="M73" i="26" s="1"/>
  <c r="I85" i="26" a="1"/>
  <c r="I85" i="26" s="1"/>
  <c r="H85" i="26" a="1"/>
  <c r="H85" i="26" s="1"/>
  <c r="J85" i="26"/>
  <c r="K85" i="26"/>
  <c r="I111" i="26" a="1"/>
  <c r="I111" i="26" s="1"/>
  <c r="L111" i="26"/>
  <c r="G119" i="23" a="1"/>
  <c r="G119" i="23" s="1"/>
  <c r="I119" i="23" a="1"/>
  <c r="I119" i="23" s="1"/>
  <c r="I120" i="23" a="1"/>
  <c r="I120" i="23" s="1"/>
  <c r="G120" i="23" a="1"/>
  <c r="G120" i="23" s="1"/>
  <c r="I121" i="23" a="1"/>
  <c r="I121" i="23" s="1"/>
  <c r="G121" i="23" a="1"/>
  <c r="G121" i="23" s="1"/>
  <c r="G122" i="23" a="1"/>
  <c r="G122" i="23" s="1"/>
  <c r="I122" i="23" a="1"/>
  <c r="I122" i="23" s="1"/>
  <c r="G126" i="23" a="1"/>
  <c r="G126" i="23" s="1"/>
  <c r="I126" i="23" a="1"/>
  <c r="I126" i="23" s="1"/>
  <c r="I130" i="23" a="1"/>
  <c r="I130" i="23" s="1"/>
  <c r="G130" i="23" a="1"/>
  <c r="G130" i="23" s="1"/>
  <c r="G129" i="23" a="1"/>
  <c r="G129" i="23" s="1"/>
  <c r="I129" i="23" a="1"/>
  <c r="I129" i="23" s="1"/>
  <c r="I128" i="23" a="1"/>
  <c r="I128" i="23" s="1"/>
  <c r="L128" i="23" a="1"/>
  <c r="L128" i="23" s="1"/>
  <c r="G128" i="23" a="1"/>
  <c r="G128" i="23" s="1"/>
  <c r="G127" i="23" a="1"/>
  <c r="G127" i="23" s="1"/>
  <c r="I127" i="23" a="1"/>
  <c r="I127" i="23" s="1"/>
  <c r="G125" i="23" a="1"/>
  <c r="G125" i="23" s="1"/>
  <c r="I125" i="23" a="1"/>
  <c r="I125" i="23" s="1"/>
  <c r="I137" i="23" a="1"/>
  <c r="I137" i="23" s="1"/>
  <c r="G137" i="23" a="1"/>
  <c r="G137" i="23" s="1"/>
  <c r="L136" i="23" a="1"/>
  <c r="L136" i="23" s="1"/>
  <c r="G136" i="23" a="1"/>
  <c r="G136" i="23" s="1"/>
  <c r="I135" i="23" a="1"/>
  <c r="I135" i="23" s="1"/>
  <c r="G135" i="23" a="1"/>
  <c r="G135" i="23" s="1"/>
  <c r="G134" i="23" a="1"/>
  <c r="G134" i="23" s="1"/>
  <c r="I134" i="23" a="1"/>
  <c r="I134" i="23" s="1"/>
  <c r="G133" i="23" a="1"/>
  <c r="G133" i="23" s="1"/>
  <c r="I133" i="23" a="1"/>
  <c r="I133" i="23" s="1"/>
  <c r="G132" i="23" a="1"/>
  <c r="G132" i="23" s="1"/>
  <c r="I132" i="23" a="1"/>
  <c r="I132" i="23" s="1"/>
  <c r="I15" i="23" a="1"/>
  <c r="I15" i="23" s="1"/>
  <c r="G15" i="23" a="1"/>
  <c r="G15" i="23" s="1"/>
  <c r="G16" i="23" a="1"/>
  <c r="G16" i="23" s="1"/>
  <c r="I16" i="23" a="1"/>
  <c r="I16" i="23" s="1"/>
  <c r="G17" i="23" a="1"/>
  <c r="G17" i="23" s="1"/>
  <c r="I17" i="23" a="1"/>
  <c r="I17" i="23" s="1"/>
  <c r="G18" i="23" a="1"/>
  <c r="G18" i="23" s="1"/>
  <c r="I18" i="23" a="1"/>
  <c r="I18" i="23" s="1"/>
  <c r="I19" i="23" a="1"/>
  <c r="I19" i="23" s="1"/>
  <c r="G19" i="23" a="1"/>
  <c r="G19" i="23" s="1"/>
  <c r="I20" i="23" a="1"/>
  <c r="I20" i="23" s="1"/>
  <c r="G20" i="23" a="1"/>
  <c r="G20" i="23" s="1"/>
  <c r="I21" i="23" a="1"/>
  <c r="I21" i="23" s="1"/>
  <c r="G21" i="23" a="1"/>
  <c r="G21" i="23" s="1"/>
  <c r="I40" i="23" a="1"/>
  <c r="I40" i="23" s="1"/>
  <c r="G40" i="23" a="1"/>
  <c r="G40" i="23" s="1"/>
  <c r="G43" i="23" a="1"/>
  <c r="G43" i="23" s="1"/>
  <c r="I43" i="23" a="1"/>
  <c r="I43" i="23" s="1"/>
  <c r="I44" i="23" a="1"/>
  <c r="I44" i="23" s="1"/>
  <c r="G44" i="23" a="1"/>
  <c r="G44" i="23" s="1"/>
  <c r="I45" i="23" a="1"/>
  <c r="I45" i="23" s="1"/>
  <c r="G45" i="23" a="1"/>
  <c r="G45" i="23" s="1"/>
  <c r="I46" i="23" a="1"/>
  <c r="I46" i="23" s="1"/>
  <c r="G46" i="23" a="1"/>
  <c r="G46" i="23" s="1"/>
  <c r="O112" i="25"/>
  <c r="P112" i="25"/>
  <c r="J188" i="23" a="1"/>
  <c r="J188" i="23" s="1"/>
  <c r="G188" i="23" a="1"/>
  <c r="G188" i="23" s="1"/>
  <c r="I188" i="23" a="1"/>
  <c r="I188" i="23" s="1"/>
  <c r="H127" i="23" a="1"/>
  <c r="H127" i="23" s="1"/>
  <c r="H120" i="23" a="1"/>
  <c r="H120" i="23" s="1"/>
  <c r="M120" i="23" s="1"/>
  <c r="H125" i="23" a="1"/>
  <c r="H125" i="23" s="1"/>
  <c r="H18" i="23" a="1"/>
  <c r="H18" i="23" s="1"/>
  <c r="H130" i="23" a="1"/>
  <c r="H130" i="23" s="1"/>
  <c r="M130" i="23" s="1"/>
  <c r="H42" i="23" a="1"/>
  <c r="H42" i="23" s="1"/>
  <c r="H121" i="23" a="1"/>
  <c r="H121" i="23" s="1"/>
  <c r="H133" i="23" a="1"/>
  <c r="H133" i="23" s="1"/>
  <c r="H43" i="23" a="1"/>
  <c r="H43" i="23" s="1"/>
  <c r="H16" i="23" a="1"/>
  <c r="H16" i="23" s="1"/>
  <c r="M16" i="23" s="1"/>
  <c r="H189" i="23" a="1"/>
  <c r="H189" i="23" s="1"/>
  <c r="H44" i="23" a="1"/>
  <c r="H44" i="23" s="1"/>
  <c r="H15" i="23" a="1"/>
  <c r="H15" i="23" s="1"/>
  <c r="H132" i="23" a="1"/>
  <c r="H132" i="23" s="1"/>
  <c r="H135" i="23" a="1"/>
  <c r="H135" i="23" s="1"/>
  <c r="H119" i="23" a="1"/>
  <c r="H119" i="23" s="1"/>
  <c r="O7" i="24"/>
  <c r="G7" i="24" a="1"/>
  <c r="G7" i="24" s="1"/>
  <c r="L7" i="24"/>
  <c r="P7" i="24"/>
  <c r="M7" i="24"/>
  <c r="H7" i="24" a="1"/>
  <c r="H7" i="24" s="1"/>
  <c r="I7" i="24" a="1"/>
  <c r="I7" i="24" s="1"/>
  <c r="K7" i="24" a="1"/>
  <c r="K7" i="24" s="1"/>
  <c r="J7" i="24" a="1"/>
  <c r="J7" i="24" s="1"/>
  <c r="N7" i="24"/>
  <c r="G8" i="24" a="1"/>
  <c r="G8" i="24" s="1"/>
  <c r="O8" i="24"/>
  <c r="M8" i="24"/>
  <c r="P8" i="24"/>
  <c r="K8" i="24" a="1"/>
  <c r="K8" i="24" s="1"/>
  <c r="N8" i="24"/>
  <c r="J8" i="24" a="1"/>
  <c r="J8" i="24" s="1"/>
  <c r="H8" i="24" a="1"/>
  <c r="H8" i="24" s="1"/>
  <c r="L8" i="24"/>
  <c r="H9" i="25" a="1"/>
  <c r="H9" i="25" s="1"/>
  <c r="L9" i="25"/>
  <c r="M9" i="25"/>
  <c r="N9" i="25"/>
  <c r="G9" i="25" a="1"/>
  <c r="G9" i="25" s="1"/>
  <c r="P9" i="25"/>
  <c r="O9" i="25"/>
  <c r="J9" i="25" a="1"/>
  <c r="J9" i="25" s="1"/>
  <c r="I9" i="25" a="1"/>
  <c r="I9" i="25" s="1"/>
  <c r="K9" i="25" a="1"/>
  <c r="K9" i="25" s="1"/>
  <c r="K20" i="24" a="1"/>
  <c r="K20" i="24" s="1"/>
  <c r="I20" i="24" a="1"/>
  <c r="I20" i="24" s="1"/>
  <c r="L20" i="24"/>
  <c r="O20" i="24"/>
  <c r="N20" i="24"/>
  <c r="P20" i="24"/>
  <c r="K19" i="24" a="1"/>
  <c r="K19" i="24" s="1"/>
  <c r="L19" i="24"/>
  <c r="P19" i="24"/>
  <c r="I19" i="24" a="1"/>
  <c r="I19" i="24" s="1"/>
  <c r="M19" i="24"/>
  <c r="O19" i="24"/>
  <c r="I18" i="24" a="1"/>
  <c r="I18" i="24" s="1"/>
  <c r="O18" i="24"/>
  <c r="N18" i="24"/>
  <c r="J18" i="24" a="1"/>
  <c r="J18" i="24" s="1"/>
  <c r="P18" i="24"/>
  <c r="K18" i="24" a="1"/>
  <c r="K18" i="24" s="1"/>
  <c r="M18" i="24"/>
  <c r="M28" i="25"/>
  <c r="H28" i="25" a="1"/>
  <c r="H28" i="25" s="1"/>
  <c r="J28" i="25" a="1"/>
  <c r="J28" i="25" s="1"/>
  <c r="O28" i="25"/>
  <c r="P28" i="25"/>
  <c r="I28" i="25" a="1"/>
  <c r="I28" i="25" s="1"/>
  <c r="L28" i="25"/>
  <c r="G28" i="25" a="1"/>
  <c r="G28" i="25" s="1"/>
  <c r="K28" i="25" a="1"/>
  <c r="K28" i="25" s="1"/>
  <c r="N28" i="25"/>
  <c r="K21" i="24" a="1"/>
  <c r="K21" i="24" s="1"/>
  <c r="O21" i="24"/>
  <c r="P21" i="24"/>
  <c r="M21" i="24"/>
  <c r="G21" i="24" a="1"/>
  <c r="G21" i="24" s="1"/>
  <c r="I21" i="24" a="1"/>
  <c r="I21" i="24" s="1"/>
  <c r="H21" i="24" a="1"/>
  <c r="H21" i="24" s="1"/>
  <c r="N21" i="24"/>
  <c r="K23" i="24" a="1"/>
  <c r="K23" i="24" s="1"/>
  <c r="I23" i="24" a="1"/>
  <c r="I23" i="24" s="1"/>
  <c r="L23" i="24"/>
  <c r="P23" i="24"/>
  <c r="N23" i="24"/>
  <c r="M23" i="24"/>
  <c r="K22" i="24" a="1"/>
  <c r="K22" i="24" s="1"/>
  <c r="N22" i="24"/>
  <c r="O22" i="24"/>
  <c r="G22" i="24" a="1"/>
  <c r="G22" i="24" s="1"/>
  <c r="P22" i="24"/>
  <c r="L22" i="24"/>
  <c r="M22" i="24"/>
  <c r="L40" i="25"/>
  <c r="G40" i="25" a="1"/>
  <c r="G40" i="25" s="1"/>
  <c r="P40" i="25"/>
  <c r="O40" i="25"/>
  <c r="N40" i="25"/>
  <c r="M40" i="25"/>
  <c r="I40" i="25" a="1"/>
  <c r="I40" i="25" s="1"/>
  <c r="J40" i="25" a="1"/>
  <c r="J40" i="25" s="1"/>
  <c r="H40" i="25" a="1"/>
  <c r="H40" i="25" s="1"/>
  <c r="K40" i="25" a="1"/>
  <c r="K40" i="25" s="1"/>
  <c r="N26" i="24"/>
  <c r="I26" i="24" a="1"/>
  <c r="I26" i="24" s="1"/>
  <c r="K26" i="24" a="1"/>
  <c r="K26" i="24" s="1"/>
  <c r="P26" i="24"/>
  <c r="H26" i="24" a="1"/>
  <c r="H26" i="24" s="1"/>
  <c r="M26" i="24"/>
  <c r="G26" i="24" a="1"/>
  <c r="G26" i="24" s="1"/>
  <c r="O26" i="24"/>
  <c r="K27" i="24" a="1"/>
  <c r="K27" i="24" s="1"/>
  <c r="J27" i="24" a="1"/>
  <c r="J27" i="24" s="1"/>
  <c r="I27" i="24" a="1"/>
  <c r="I27" i="24" s="1"/>
  <c r="P27" i="24"/>
  <c r="O27" i="24"/>
  <c r="L27" i="24"/>
  <c r="M27" i="24"/>
  <c r="K28" i="24" a="1"/>
  <c r="K28" i="24" s="1"/>
  <c r="J28" i="24" a="1"/>
  <c r="J28" i="24" s="1"/>
  <c r="P28" i="24"/>
  <c r="I28" i="24" a="1"/>
  <c r="I28" i="24" s="1"/>
  <c r="N28" i="24"/>
  <c r="L28" i="24"/>
  <c r="M28" i="24"/>
  <c r="K29" i="24" a="1"/>
  <c r="K29" i="24" s="1"/>
  <c r="J29" i="24" a="1"/>
  <c r="J29" i="24" s="1"/>
  <c r="L29" i="24"/>
  <c r="M29" i="24"/>
  <c r="P29" i="24"/>
  <c r="I29" i="24" a="1"/>
  <c r="I29" i="24" s="1"/>
  <c r="O29" i="24"/>
  <c r="L119" i="23" a="1"/>
  <c r="L119" i="23" s="1"/>
  <c r="K119" i="23" a="1"/>
  <c r="K119" i="23" s="1"/>
  <c r="J119" i="23" a="1"/>
  <c r="J119" i="23" s="1"/>
  <c r="L120" i="23" a="1"/>
  <c r="L120" i="23" s="1"/>
  <c r="J120" i="23" a="1"/>
  <c r="J120" i="23" s="1"/>
  <c r="K120" i="23" a="1"/>
  <c r="K120" i="23" s="1"/>
  <c r="L121" i="23" a="1"/>
  <c r="L121" i="23" s="1"/>
  <c r="J121" i="23" a="1"/>
  <c r="J121" i="23" s="1"/>
  <c r="K121" i="23" a="1"/>
  <c r="K121" i="23" s="1"/>
  <c r="H71" i="25" a="1"/>
  <c r="H71" i="25" s="1"/>
  <c r="K71" i="25" a="1"/>
  <c r="K71" i="25" s="1"/>
  <c r="G71" i="25" a="1"/>
  <c r="G71" i="25" s="1"/>
  <c r="I71" i="25" a="1"/>
  <c r="I71" i="25" s="1"/>
  <c r="P71" i="25"/>
  <c r="J71" i="25" a="1"/>
  <c r="J71" i="25" s="1"/>
  <c r="L122" i="23" a="1"/>
  <c r="L122" i="23" s="1"/>
  <c r="K122" i="23" a="1"/>
  <c r="K122" i="23" s="1"/>
  <c r="J122" i="23" a="1"/>
  <c r="J122" i="23" s="1"/>
  <c r="K47" i="24" a="1"/>
  <c r="K47" i="24" s="1"/>
  <c r="L47" i="24"/>
  <c r="I47" i="24" a="1"/>
  <c r="I47" i="24" s="1"/>
  <c r="N47" i="24"/>
  <c r="P47" i="24"/>
  <c r="O47" i="24"/>
  <c r="O46" i="24"/>
  <c r="M46" i="24"/>
  <c r="P46" i="24"/>
  <c r="N46" i="24"/>
  <c r="I46" i="24" a="1"/>
  <c r="I46" i="24" s="1"/>
  <c r="L46" i="24"/>
  <c r="M45" i="24"/>
  <c r="L45" i="24"/>
  <c r="I45" i="24" a="1"/>
  <c r="I45" i="24" s="1"/>
  <c r="O45" i="24"/>
  <c r="P45" i="24"/>
  <c r="L126" i="23" a="1"/>
  <c r="L126" i="23" s="1"/>
  <c r="H126" i="23" a="1"/>
  <c r="H126" i="23" s="1"/>
  <c r="K126" i="23" a="1"/>
  <c r="K126" i="23" s="1"/>
  <c r="J126" i="23" a="1"/>
  <c r="J126" i="23" s="1"/>
  <c r="I75" i="25" a="1"/>
  <c r="I75" i="25" s="1"/>
  <c r="J75" i="25" a="1"/>
  <c r="J75" i="25" s="1"/>
  <c r="H75" i="25" a="1"/>
  <c r="H75" i="25" s="1"/>
  <c r="P75" i="25"/>
  <c r="K75" i="25" a="1"/>
  <c r="K75" i="25" s="1"/>
  <c r="O75" i="25"/>
  <c r="G75" i="25" a="1"/>
  <c r="G75" i="25" s="1"/>
  <c r="N75" i="25"/>
  <c r="M49" i="24"/>
  <c r="O49" i="24"/>
  <c r="I49" i="24" a="1"/>
  <c r="I49" i="24" s="1"/>
  <c r="N49" i="24"/>
  <c r="P49" i="24"/>
  <c r="M50" i="24"/>
  <c r="I50" i="24" a="1"/>
  <c r="I50" i="24" s="1"/>
  <c r="O50" i="24"/>
  <c r="N50" i="24"/>
  <c r="P50" i="24"/>
  <c r="K48" i="24" a="1"/>
  <c r="K48" i="24" s="1"/>
  <c r="O48" i="24"/>
  <c r="N48" i="24"/>
  <c r="P48" i="24"/>
  <c r="I48" i="24" a="1"/>
  <c r="I48" i="24" s="1"/>
  <c r="L48" i="24"/>
  <c r="L130" i="23" a="1"/>
  <c r="L130" i="23" s="1"/>
  <c r="K130" i="23" a="1"/>
  <c r="K130" i="23" s="1"/>
  <c r="J130" i="23" a="1"/>
  <c r="J130" i="23" s="1"/>
  <c r="L129" i="23" a="1"/>
  <c r="L129" i="23" s="1"/>
  <c r="J129" i="23" a="1"/>
  <c r="J129" i="23" s="1"/>
  <c r="K129" i="23" a="1"/>
  <c r="K129" i="23" s="1"/>
  <c r="K128" i="23" a="1"/>
  <c r="K128" i="23" s="1"/>
  <c r="J128" i="23" a="1"/>
  <c r="J128" i="23" s="1"/>
  <c r="L127" i="23" a="1"/>
  <c r="L127" i="23" s="1"/>
  <c r="J127" i="23" a="1"/>
  <c r="J127" i="23" s="1"/>
  <c r="K127" i="23" a="1"/>
  <c r="K127" i="23" s="1"/>
  <c r="L125" i="23" a="1"/>
  <c r="L125" i="23" s="1"/>
  <c r="J125" i="23" a="1"/>
  <c r="J125" i="23" s="1"/>
  <c r="K125" i="23" a="1"/>
  <c r="K125" i="23" s="1"/>
  <c r="I52" i="24" a="1"/>
  <c r="I52" i="24" s="1"/>
  <c r="O52" i="24"/>
  <c r="N52" i="24"/>
  <c r="P52" i="24"/>
  <c r="L52" i="24"/>
  <c r="I53" i="24" a="1"/>
  <c r="I53" i="24" s="1"/>
  <c r="O53" i="24"/>
  <c r="P53" i="24"/>
  <c r="L53" i="24"/>
  <c r="N53" i="24"/>
  <c r="O51" i="24"/>
  <c r="N51" i="24"/>
  <c r="I51" i="24" a="1"/>
  <c r="I51" i="24" s="1"/>
  <c r="L51" i="24"/>
  <c r="P51" i="24"/>
  <c r="I79" i="25" a="1"/>
  <c r="I79" i="25" s="1"/>
  <c r="J79" i="25" a="1"/>
  <c r="J79" i="25" s="1"/>
  <c r="H79" i="25" a="1"/>
  <c r="H79" i="25" s="1"/>
  <c r="L137" i="23" a="1"/>
  <c r="L137" i="23" s="1"/>
  <c r="K137" i="23" a="1"/>
  <c r="K137" i="23" s="1"/>
  <c r="J137" i="23" a="1"/>
  <c r="J137" i="23" s="1"/>
  <c r="I136" i="23" a="1"/>
  <c r="I136" i="23" s="1"/>
  <c r="K136" i="23" a="1"/>
  <c r="K136" i="23" s="1"/>
  <c r="J136" i="23" a="1"/>
  <c r="J136" i="23" s="1"/>
  <c r="L135" i="23" a="1"/>
  <c r="L135" i="23" s="1"/>
  <c r="J135" i="23" a="1"/>
  <c r="J135" i="23" s="1"/>
  <c r="K135" i="23" a="1"/>
  <c r="K135" i="23" s="1"/>
  <c r="L134" i="23" a="1"/>
  <c r="L134" i="23" s="1"/>
  <c r="K134" i="23" a="1"/>
  <c r="K134" i="23" s="1"/>
  <c r="J134" i="23" a="1"/>
  <c r="J134" i="23" s="1"/>
  <c r="L133" i="23" a="1"/>
  <c r="L133" i="23" s="1"/>
  <c r="J133" i="23" a="1"/>
  <c r="J133" i="23" s="1"/>
  <c r="K133" i="23" a="1"/>
  <c r="K133" i="23" s="1"/>
  <c r="L132" i="23" a="1"/>
  <c r="L132" i="23" s="1"/>
  <c r="J132" i="23" a="1"/>
  <c r="J132" i="23" s="1"/>
  <c r="K132" i="23" a="1"/>
  <c r="K132" i="23" s="1"/>
  <c r="H87" i="25" a="1"/>
  <c r="H87" i="25" s="1"/>
  <c r="J87" i="25" a="1"/>
  <c r="J87" i="25" s="1"/>
  <c r="K58" i="24" a="1"/>
  <c r="K58" i="24" s="1"/>
  <c r="L58" i="24"/>
  <c r="N58" i="24"/>
  <c r="I58" i="24" a="1"/>
  <c r="I58" i="24" s="1"/>
  <c r="P58" i="24"/>
  <c r="M58" i="24"/>
  <c r="K57" i="24" a="1"/>
  <c r="K57" i="24" s="1"/>
  <c r="L57" i="24"/>
  <c r="P57" i="24"/>
  <c r="N57" i="24"/>
  <c r="M57" i="24"/>
  <c r="O57" i="24"/>
  <c r="P59" i="24"/>
  <c r="O59" i="24"/>
  <c r="M59" i="24"/>
  <c r="I59" i="24" a="1"/>
  <c r="I59" i="24" s="1"/>
  <c r="L59" i="24"/>
  <c r="P62" i="24"/>
  <c r="O62" i="24"/>
  <c r="L62" i="24"/>
  <c r="I62" i="24" a="1"/>
  <c r="I62" i="24" s="1"/>
  <c r="M62" i="24"/>
  <c r="H91" i="25" a="1"/>
  <c r="H91" i="25" s="1"/>
  <c r="I91" i="25" a="1"/>
  <c r="I91" i="25" s="1"/>
  <c r="J91" i="25" a="1"/>
  <c r="J91" i="25" s="1"/>
  <c r="M91" i="25"/>
  <c r="N91" i="25"/>
  <c r="I60" i="24" a="1"/>
  <c r="I60" i="24" s="1"/>
  <c r="P60" i="24"/>
  <c r="O60" i="24"/>
  <c r="L60" i="24"/>
  <c r="N60" i="24"/>
  <c r="K61" i="24" a="1"/>
  <c r="K61" i="24" s="1"/>
  <c r="M61" i="24"/>
  <c r="O61" i="24"/>
  <c r="I61" i="24" a="1"/>
  <c r="I61" i="24" s="1"/>
  <c r="P61" i="24"/>
  <c r="L61" i="24"/>
  <c r="K82" i="24" a="1"/>
  <c r="K82" i="24" s="1"/>
  <c r="O82" i="24"/>
  <c r="N82" i="24"/>
  <c r="P82" i="24"/>
  <c r="I82" i="24" a="1"/>
  <c r="I82" i="24" s="1"/>
  <c r="M82" i="24"/>
  <c r="P83" i="24"/>
  <c r="I83" i="24" a="1"/>
  <c r="I83" i="24" s="1"/>
  <c r="N83" i="24"/>
  <c r="M83" i="24"/>
  <c r="O83" i="24"/>
  <c r="K81" i="24" a="1"/>
  <c r="K81" i="24" s="1"/>
  <c r="P81" i="24"/>
  <c r="M81" i="24"/>
  <c r="L81" i="24"/>
  <c r="I81" i="24" a="1"/>
  <c r="I81" i="24" s="1"/>
  <c r="O81" i="24"/>
  <c r="K85" i="24" a="1"/>
  <c r="K85" i="24" s="1"/>
  <c r="O85" i="24"/>
  <c r="P85" i="24"/>
  <c r="L85" i="24"/>
  <c r="I85" i="24" a="1"/>
  <c r="I85" i="24" s="1"/>
  <c r="N85" i="24"/>
  <c r="N84" i="24"/>
  <c r="M84" i="24"/>
  <c r="P84" i="24"/>
  <c r="O84" i="24"/>
  <c r="I84" i="24" a="1"/>
  <c r="I84" i="24" s="1"/>
  <c r="P86" i="24"/>
  <c r="O86" i="24"/>
  <c r="I86" i="24" a="1"/>
  <c r="I86" i="24" s="1"/>
  <c r="L86" i="24"/>
  <c r="M86" i="24"/>
  <c r="L2" i="25"/>
  <c r="P2" i="25"/>
  <c r="M2" i="25"/>
  <c r="I2" i="25" a="1"/>
  <c r="I2" i="25" s="1"/>
  <c r="J2" i="25" a="1"/>
  <c r="J2" i="25" s="1"/>
  <c r="O2" i="25"/>
  <c r="N2" i="25"/>
  <c r="H2" i="25" a="1"/>
  <c r="H2" i="25" s="1"/>
  <c r="N3" i="24"/>
  <c r="L3" i="24"/>
  <c r="O3" i="24"/>
  <c r="P3" i="24"/>
  <c r="I3" i="24" a="1"/>
  <c r="I3" i="24" s="1"/>
  <c r="P21" i="40"/>
  <c r="O21" i="40"/>
  <c r="M21" i="40"/>
  <c r="L21" i="40"/>
  <c r="L15" i="23" a="1"/>
  <c r="L15" i="23" s="1"/>
  <c r="J15" i="23" a="1"/>
  <c r="J15" i="23" s="1"/>
  <c r="K15" i="23" a="1"/>
  <c r="K15" i="23" s="1"/>
  <c r="L16" i="23" a="1"/>
  <c r="L16" i="23" s="1"/>
  <c r="J16" i="23" a="1"/>
  <c r="J16" i="23" s="1"/>
  <c r="K16" i="23" a="1"/>
  <c r="K16" i="23" s="1"/>
  <c r="J17" i="23" a="1"/>
  <c r="J17" i="23" s="1"/>
  <c r="K17" i="23" a="1"/>
  <c r="K17" i="23" s="1"/>
  <c r="L18" i="23" a="1"/>
  <c r="L18" i="23" s="1"/>
  <c r="K18" i="23" a="1"/>
  <c r="K18" i="23" s="1"/>
  <c r="J18" i="23" a="1"/>
  <c r="J18" i="23" s="1"/>
  <c r="L19" i="23" a="1"/>
  <c r="L19" i="23" s="1"/>
  <c r="K19" i="23" a="1"/>
  <c r="K19" i="23" s="1"/>
  <c r="J19" i="23" a="1"/>
  <c r="J19" i="23" s="1"/>
  <c r="L20" i="23" a="1"/>
  <c r="L20" i="23" s="1"/>
  <c r="J20" i="23" a="1"/>
  <c r="J20" i="23" s="1"/>
  <c r="K20" i="23" a="1"/>
  <c r="K20" i="23" s="1"/>
  <c r="L21" i="23" a="1"/>
  <c r="L21" i="23" s="1"/>
  <c r="K21" i="23" a="1"/>
  <c r="K21" i="23" s="1"/>
  <c r="J21" i="23" a="1"/>
  <c r="J21" i="23" s="1"/>
  <c r="L40" i="23" a="1"/>
  <c r="L40" i="23" s="1"/>
  <c r="K40" i="23" a="1"/>
  <c r="K40" i="23" s="1"/>
  <c r="J40" i="23" a="1"/>
  <c r="J40" i="23" s="1"/>
  <c r="L42" i="23" a="1"/>
  <c r="L42" i="23" s="1"/>
  <c r="G42" i="23" a="1"/>
  <c r="G42" i="23" s="1"/>
  <c r="I42" i="23" a="1"/>
  <c r="I42" i="23" s="1"/>
  <c r="K42" i="23" a="1"/>
  <c r="K42" i="23" s="1"/>
  <c r="J42" i="23" a="1"/>
  <c r="J42" i="23" s="1"/>
  <c r="L43" i="23" a="1"/>
  <c r="L43" i="23" s="1"/>
  <c r="K43" i="23" a="1"/>
  <c r="K43" i="23" s="1"/>
  <c r="J43" i="23" a="1"/>
  <c r="J43" i="23" s="1"/>
  <c r="L44" i="23" a="1"/>
  <c r="L44" i="23" s="1"/>
  <c r="J44" i="23" a="1"/>
  <c r="J44" i="23" s="1"/>
  <c r="K44" i="23" a="1"/>
  <c r="K44" i="23" s="1"/>
  <c r="L45" i="23" a="1"/>
  <c r="L45" i="23" s="1"/>
  <c r="J45" i="23" a="1"/>
  <c r="J45" i="23" s="1"/>
  <c r="K45" i="23" a="1"/>
  <c r="K45" i="23" s="1"/>
  <c r="L46" i="23" a="1"/>
  <c r="L46" i="23" s="1"/>
  <c r="J46" i="23" a="1"/>
  <c r="J46" i="23" s="1"/>
  <c r="K46" i="23" a="1"/>
  <c r="K46" i="23" s="1"/>
  <c r="J187" i="23" a="1"/>
  <c r="J187" i="23" s="1"/>
  <c r="K187" i="23" a="1"/>
  <c r="K187" i="23" s="1"/>
  <c r="K46" i="24" a="1"/>
  <c r="K46" i="24" s="1"/>
  <c r="G46" i="24" a="1"/>
  <c r="G46" i="24" s="1"/>
  <c r="G45" i="24" a="1"/>
  <c r="G45" i="24" s="1"/>
  <c r="H45" i="24" a="1"/>
  <c r="H45" i="24" s="1"/>
  <c r="K45" i="24" a="1"/>
  <c r="K45" i="24" s="1"/>
  <c r="H49" i="24" a="1"/>
  <c r="H49" i="24" s="1"/>
  <c r="K49" i="24" a="1"/>
  <c r="K49" i="24" s="1"/>
  <c r="L50" i="24"/>
  <c r="K50" i="24" a="1"/>
  <c r="K50" i="24" s="1"/>
  <c r="H50" i="24" a="1"/>
  <c r="H50" i="24" s="1"/>
  <c r="J50" i="24" a="1"/>
  <c r="J50" i="24" s="1"/>
  <c r="G50" i="24" a="1"/>
  <c r="G50" i="24" s="1"/>
  <c r="J52" i="24" a="1"/>
  <c r="J52" i="24" s="1"/>
  <c r="K52" i="24" a="1"/>
  <c r="K52" i="24" s="1"/>
  <c r="K53" i="24" a="1"/>
  <c r="K53" i="24" s="1"/>
  <c r="J53" i="24" a="1"/>
  <c r="J53" i="24" s="1"/>
  <c r="K51" i="24" a="1"/>
  <c r="K51" i="24" s="1"/>
  <c r="J51" i="24" a="1"/>
  <c r="J51" i="24" s="1"/>
  <c r="K59" i="24" a="1"/>
  <c r="K59" i="24" s="1"/>
  <c r="H59" i="24" a="1"/>
  <c r="H59" i="24" s="1"/>
  <c r="G59" i="24" a="1"/>
  <c r="G59" i="24" s="1"/>
  <c r="K62" i="24" a="1"/>
  <c r="K62" i="24" s="1"/>
  <c r="J62" i="24" a="1"/>
  <c r="J62" i="24" s="1"/>
  <c r="K60" i="24" a="1"/>
  <c r="K60" i="24" s="1"/>
  <c r="G60" i="24" a="1"/>
  <c r="G60" i="24" s="1"/>
  <c r="H60" i="24" a="1"/>
  <c r="H60" i="24" s="1"/>
  <c r="K83" i="24" a="1"/>
  <c r="K83" i="24" s="1"/>
  <c r="H83" i="24" a="1"/>
  <c r="H83" i="24" s="1"/>
  <c r="G83" i="24" a="1"/>
  <c r="G83" i="24" s="1"/>
  <c r="H84" i="24" a="1"/>
  <c r="H84" i="24" s="1"/>
  <c r="G84" i="24" a="1"/>
  <c r="G84" i="24" s="1"/>
  <c r="K84" i="24" a="1"/>
  <c r="K84" i="24" s="1"/>
  <c r="J86" i="24" a="1"/>
  <c r="J86" i="24" s="1"/>
  <c r="K86" i="24" a="1"/>
  <c r="K86" i="24" s="1"/>
  <c r="K3" i="24" a="1"/>
  <c r="K3" i="24" s="1"/>
  <c r="J3" i="24" a="1"/>
  <c r="J3" i="24" s="1"/>
  <c r="M20" i="24"/>
  <c r="H20" i="24" a="1"/>
  <c r="H20" i="24" s="1"/>
  <c r="G20" i="24" a="1"/>
  <c r="G20" i="24" s="1"/>
  <c r="J20" i="24" a="1"/>
  <c r="J20" i="24" s="1"/>
  <c r="N19" i="24"/>
  <c r="H19" i="24" a="1"/>
  <c r="H19" i="24" s="1"/>
  <c r="J19" i="24" a="1"/>
  <c r="J19" i="24" s="1"/>
  <c r="G19" i="24" a="1"/>
  <c r="G19" i="24" s="1"/>
  <c r="L18" i="24"/>
  <c r="G18" i="24" a="1"/>
  <c r="G18" i="24" s="1"/>
  <c r="H18" i="24" a="1"/>
  <c r="H18" i="24" s="1"/>
  <c r="L21" i="24"/>
  <c r="J21" i="24" a="1"/>
  <c r="J21" i="24" s="1"/>
  <c r="O23" i="24"/>
  <c r="H23" i="24" a="1"/>
  <c r="H23" i="24" s="1"/>
  <c r="J23" i="24" a="1"/>
  <c r="J23" i="24" s="1"/>
  <c r="G23" i="24" a="1"/>
  <c r="G23" i="24" s="1"/>
  <c r="H22" i="24" a="1"/>
  <c r="H22" i="24" s="1"/>
  <c r="J22" i="24" a="1"/>
  <c r="J22" i="24" s="1"/>
  <c r="L26" i="24"/>
  <c r="J26" i="24" a="1"/>
  <c r="J26" i="24" s="1"/>
  <c r="N27" i="24"/>
  <c r="H27" i="24" a="1"/>
  <c r="H27" i="24" s="1"/>
  <c r="G27" i="24" a="1"/>
  <c r="G27" i="24" s="1"/>
  <c r="O28" i="24"/>
  <c r="H28" i="24" a="1"/>
  <c r="H28" i="24" s="1"/>
  <c r="G28" i="24" a="1"/>
  <c r="G28" i="24" s="1"/>
  <c r="N29" i="24"/>
  <c r="H29" i="24" a="1"/>
  <c r="H29" i="24" s="1"/>
  <c r="G29" i="24" a="1"/>
  <c r="G29" i="24" s="1"/>
  <c r="O71" i="25"/>
  <c r="L71" i="25"/>
  <c r="N71" i="25"/>
  <c r="M47" i="24"/>
  <c r="G47" i="24" a="1"/>
  <c r="G47" i="24" s="1"/>
  <c r="J47" i="24" a="1"/>
  <c r="J47" i="24" s="1"/>
  <c r="H47" i="24" a="1"/>
  <c r="H47" i="24" s="1"/>
  <c r="H46" i="24" a="1"/>
  <c r="H46" i="24" s="1"/>
  <c r="J46" i="24" a="1"/>
  <c r="J46" i="24" s="1"/>
  <c r="N45" i="24"/>
  <c r="J45" i="24" a="1"/>
  <c r="J45" i="24" s="1"/>
  <c r="M75" i="25"/>
  <c r="L75" i="25"/>
  <c r="L49" i="24"/>
  <c r="G49" i="24" a="1"/>
  <c r="G49" i="24" s="1"/>
  <c r="J49" i="24" a="1"/>
  <c r="J49" i="24" s="1"/>
  <c r="M48" i="24"/>
  <c r="H48" i="24" a="1"/>
  <c r="H48" i="24" s="1"/>
  <c r="G48" i="24" a="1"/>
  <c r="G48" i="24" s="1"/>
  <c r="J48" i="24" a="1"/>
  <c r="J48" i="24" s="1"/>
  <c r="M52" i="24"/>
  <c r="H52" i="24" a="1"/>
  <c r="H52" i="24" s="1"/>
  <c r="G52" i="24" a="1"/>
  <c r="G52" i="24" s="1"/>
  <c r="M53" i="24"/>
  <c r="H53" i="24" a="1"/>
  <c r="H53" i="24" s="1"/>
  <c r="G53" i="24" a="1"/>
  <c r="G53" i="24" s="1"/>
  <c r="M51" i="24"/>
  <c r="G51" i="24" a="1"/>
  <c r="G51" i="24" s="1"/>
  <c r="H51" i="24" a="1"/>
  <c r="H51" i="24" s="1"/>
  <c r="P79" i="25"/>
  <c r="G79" i="25" a="1"/>
  <c r="G79" i="25" s="1"/>
  <c r="M79" i="25"/>
  <c r="K79" i="25" a="1"/>
  <c r="K79" i="25" s="1"/>
  <c r="O79" i="25"/>
  <c r="L79" i="25"/>
  <c r="L87" i="25"/>
  <c r="G87" i="25" a="1"/>
  <c r="G87" i="25" s="1"/>
  <c r="K87" i="25" a="1"/>
  <c r="K87" i="25" s="1"/>
  <c r="I87" i="25" a="1"/>
  <c r="I87" i="25" s="1"/>
  <c r="P87" i="25"/>
  <c r="O87" i="25"/>
  <c r="N87" i="25"/>
  <c r="M87" i="25"/>
  <c r="O58" i="24"/>
  <c r="G58" i="24" a="1"/>
  <c r="G58" i="24" s="1"/>
  <c r="H58" i="24" a="1"/>
  <c r="H58" i="24" s="1"/>
  <c r="J58" i="24" a="1"/>
  <c r="J58" i="24" s="1"/>
  <c r="J57" i="24" a="1"/>
  <c r="J57" i="24" s="1"/>
  <c r="H57" i="24" a="1"/>
  <c r="H57" i="24" s="1"/>
  <c r="G57" i="24" a="1"/>
  <c r="G57" i="24" s="1"/>
  <c r="Q57" i="24" s="1"/>
  <c r="N59" i="24"/>
  <c r="J59" i="24" a="1"/>
  <c r="J59" i="24" s="1"/>
  <c r="N62" i="24"/>
  <c r="G62" i="24" a="1"/>
  <c r="G62" i="24" s="1"/>
  <c r="H62" i="24" a="1"/>
  <c r="H62" i="24" s="1"/>
  <c r="L91" i="25"/>
  <c r="O91" i="25"/>
  <c r="G91" i="25" a="1"/>
  <c r="G91" i="25" s="1"/>
  <c r="K91" i="25" a="1"/>
  <c r="K91" i="25" s="1"/>
  <c r="P91" i="25"/>
  <c r="M60" i="24"/>
  <c r="J60" i="24" a="1"/>
  <c r="J60" i="24" s="1"/>
  <c r="N61" i="24"/>
  <c r="G61" i="24" a="1"/>
  <c r="G61" i="24" s="1"/>
  <c r="H61" i="24" a="1"/>
  <c r="H61" i="24" s="1"/>
  <c r="J61" i="24" a="1"/>
  <c r="J61" i="24" s="1"/>
  <c r="L82" i="24"/>
  <c r="H82" i="24" a="1"/>
  <c r="H82" i="24" s="1"/>
  <c r="G82" i="24" a="1"/>
  <c r="G82" i="24" s="1"/>
  <c r="J82" i="24" a="1"/>
  <c r="J82" i="24" s="1"/>
  <c r="L83" i="24"/>
  <c r="J83" i="24" a="1"/>
  <c r="J83" i="24" s="1"/>
  <c r="N81" i="24"/>
  <c r="H81" i="24" a="1"/>
  <c r="H81" i="24" s="1"/>
  <c r="J81" i="24" a="1"/>
  <c r="J81" i="24" s="1"/>
  <c r="G81" i="24" a="1"/>
  <c r="G81" i="24" s="1"/>
  <c r="L121" i="25"/>
  <c r="H121" i="25" a="1"/>
  <c r="H121" i="25" s="1"/>
  <c r="K121" i="25" a="1"/>
  <c r="K121" i="25" s="1"/>
  <c r="P121" i="25"/>
  <c r="I121" i="25" a="1"/>
  <c r="I121" i="25" s="1"/>
  <c r="O121" i="25"/>
  <c r="G121" i="25" a="1"/>
  <c r="G121" i="25" s="1"/>
  <c r="Q121" i="25" s="1"/>
  <c r="N121" i="25"/>
  <c r="M121" i="25"/>
  <c r="M85" i="24"/>
  <c r="G85" i="24" a="1"/>
  <c r="G85" i="24" s="1"/>
  <c r="J85" i="24" a="1"/>
  <c r="J85" i="24" s="1"/>
  <c r="H85" i="24" a="1"/>
  <c r="H85" i="24" s="1"/>
  <c r="L84" i="24"/>
  <c r="J84" i="24" a="1"/>
  <c r="J84" i="24" s="1"/>
  <c r="N86" i="24"/>
  <c r="G86" i="24" a="1"/>
  <c r="G86" i="24" s="1"/>
  <c r="H86" i="24" a="1"/>
  <c r="H86" i="24" s="1"/>
  <c r="K2" i="25" a="1"/>
  <c r="K2" i="25" s="1"/>
  <c r="G2" i="25" a="1"/>
  <c r="G2" i="25" s="1"/>
  <c r="M3" i="24"/>
  <c r="H3" i="24" a="1"/>
  <c r="H3" i="24" s="1"/>
  <c r="G3" i="24" a="1"/>
  <c r="G3" i="24" s="1"/>
  <c r="N112" i="25"/>
  <c r="M112" i="25"/>
  <c r="H59" i="23" a="1"/>
  <c r="H59" i="23" s="1"/>
  <c r="H75" i="23" a="1"/>
  <c r="H75" i="23" s="1"/>
  <c r="H25" i="23" a="1"/>
  <c r="H25" i="23" s="1"/>
  <c r="H47" i="23" a="1"/>
  <c r="H47" i="23" s="1"/>
  <c r="H202" i="23" a="1"/>
  <c r="H202" i="23" s="1"/>
  <c r="H194" i="23" a="1"/>
  <c r="H194" i="23" s="1"/>
  <c r="H56" i="23" a="1"/>
  <c r="H56" i="23" s="1"/>
  <c r="H158" i="23" a="1"/>
  <c r="H158" i="23" s="1"/>
  <c r="H68" i="23" a="1"/>
  <c r="H68" i="23" s="1"/>
  <c r="H78" i="23" a="1"/>
  <c r="H78" i="23" s="1"/>
  <c r="H49" i="23" a="1"/>
  <c r="H49" i="23" s="1"/>
  <c r="H80" i="23" a="1"/>
  <c r="H80" i="23" s="1"/>
  <c r="H204" i="23" a="1"/>
  <c r="H204" i="23" s="1"/>
  <c r="H69" i="23" a="1"/>
  <c r="H69" i="23" s="1"/>
  <c r="H79" i="23" a="1"/>
  <c r="H79" i="23" s="1"/>
  <c r="H186" i="23" a="1"/>
  <c r="H186" i="23" s="1"/>
  <c r="H151" i="23" a="1"/>
  <c r="H151" i="23" s="1"/>
  <c r="H55" i="23" a="1"/>
  <c r="H55" i="23" s="1"/>
  <c r="H203" i="23" a="1"/>
  <c r="H203" i="23" s="1"/>
  <c r="H71" i="23" a="1"/>
  <c r="H71" i="23" s="1"/>
  <c r="H4" i="23" a="1"/>
  <c r="H4" i="23" s="1"/>
  <c r="H67" i="23" a="1"/>
  <c r="H67" i="23" s="1"/>
  <c r="H209" i="23" a="1"/>
  <c r="H209" i="23" s="1"/>
  <c r="H57" i="23" a="1"/>
  <c r="H57" i="23" s="1"/>
  <c r="H206" i="23" a="1"/>
  <c r="H206" i="23" s="1"/>
  <c r="H213" i="23" a="1"/>
  <c r="H213" i="23" s="1"/>
  <c r="H162" i="23" a="1"/>
  <c r="H162" i="23" s="1"/>
  <c r="H22" i="23" a="1"/>
  <c r="H22" i="23" s="1"/>
  <c r="H146" i="23" a="1"/>
  <c r="H146" i="23" s="1"/>
  <c r="H24" i="23" a="1"/>
  <c r="H24" i="23" s="1"/>
  <c r="H83" i="23" a="1"/>
  <c r="H83" i="23" s="1"/>
  <c r="H210" i="23" a="1"/>
  <c r="H210" i="23" s="1"/>
  <c r="H58" i="23" a="1"/>
  <c r="H58" i="23" s="1"/>
  <c r="H160" i="23" a="1"/>
  <c r="H160" i="23" s="1"/>
  <c r="H131" i="23" a="1"/>
  <c r="H131" i="23" s="1"/>
  <c r="H73" i="23" a="1"/>
  <c r="H73" i="23" s="1"/>
  <c r="H164" i="23" a="1"/>
  <c r="H164" i="23" s="1"/>
  <c r="L203" i="42" a="1"/>
  <c r="L203" i="42" s="1"/>
  <c r="J203" i="42" a="1"/>
  <c r="J203" i="42" s="1"/>
  <c r="K203" i="42" a="1"/>
  <c r="K203" i="42" s="1"/>
  <c r="J59" i="42" a="1"/>
  <c r="J59" i="42" s="1"/>
  <c r="K59" i="42" a="1"/>
  <c r="K59" i="42" s="1"/>
  <c r="J135" i="42" a="1"/>
  <c r="J135" i="42" s="1"/>
  <c r="L135" i="42" a="1"/>
  <c r="L135" i="42" s="1"/>
  <c r="L193" i="42" a="1"/>
  <c r="L193" i="42" s="1"/>
  <c r="K193" i="42" a="1"/>
  <c r="K193" i="42" s="1"/>
  <c r="J5" i="42" a="1"/>
  <c r="J5" i="42" s="1"/>
  <c r="L5" i="42" a="1"/>
  <c r="L5" i="42" s="1"/>
  <c r="K5" i="42" a="1"/>
  <c r="K5" i="42" s="1"/>
  <c r="L212" i="42" a="1"/>
  <c r="L212" i="42" s="1"/>
  <c r="J212" i="42" a="1"/>
  <c r="J212" i="42" s="1"/>
  <c r="K212" i="42" a="1"/>
  <c r="K212" i="42" s="1"/>
  <c r="J210" i="42" a="1"/>
  <c r="J210" i="42" s="1"/>
  <c r="K210" i="42" a="1"/>
  <c r="K210" i="42" s="1"/>
  <c r="L210" i="42" a="1"/>
  <c r="L210" i="42" s="1"/>
  <c r="K7" i="42" a="1"/>
  <c r="K7" i="42" s="1"/>
  <c r="L7" i="42" a="1"/>
  <c r="L7" i="42" s="1"/>
  <c r="J7" i="42" a="1"/>
  <c r="J7" i="42" s="1"/>
  <c r="J77" i="42" a="1"/>
  <c r="J77" i="42" s="1"/>
  <c r="L77" i="42" a="1"/>
  <c r="L77" i="42" s="1"/>
  <c r="L201" i="35" a="1"/>
  <c r="L201" i="35" s="1"/>
  <c r="K201" i="35" a="1"/>
  <c r="K201" i="35" s="1"/>
  <c r="J201" i="35" a="1"/>
  <c r="J201" i="35" s="1"/>
  <c r="L25" i="35" a="1"/>
  <c r="L25" i="35" s="1"/>
  <c r="K25" i="35" a="1"/>
  <c r="K25" i="35" s="1"/>
  <c r="J25" i="35" a="1"/>
  <c r="J25" i="35" s="1"/>
  <c r="L26" i="35" a="1"/>
  <c r="L26" i="35" s="1"/>
  <c r="K26" i="35" a="1"/>
  <c r="K26" i="35" s="1"/>
  <c r="J26" i="35" a="1"/>
  <c r="J26" i="35" s="1"/>
  <c r="J205" i="35" a="1"/>
  <c r="J205" i="35" s="1"/>
  <c r="K205" i="35" a="1"/>
  <c r="K205" i="35" s="1"/>
  <c r="L205" i="35" a="1"/>
  <c r="L205" i="35" s="1"/>
  <c r="K27" i="35" a="1"/>
  <c r="K27" i="35" s="1"/>
  <c r="L27" i="35" a="1"/>
  <c r="L27" i="35" s="1"/>
  <c r="J27" i="35" a="1"/>
  <c r="J27" i="35" s="1"/>
  <c r="P8" i="33"/>
  <c r="L8" i="33"/>
  <c r="K207" i="35" a="1"/>
  <c r="K207" i="35" s="1"/>
  <c r="L207" i="35" a="1"/>
  <c r="L207" i="35" s="1"/>
  <c r="J207" i="35" a="1"/>
  <c r="J207" i="35" s="1"/>
  <c r="K210" i="35" a="1"/>
  <c r="K210" i="35" s="1"/>
  <c r="J210" i="35" a="1"/>
  <c r="J210" i="35" s="1"/>
  <c r="L210" i="35" a="1"/>
  <c r="L210" i="35" s="1"/>
  <c r="J114" i="36"/>
  <c r="L114" i="36"/>
  <c r="K110" i="35" a="1"/>
  <c r="K110" i="35" s="1"/>
  <c r="L110" i="35" a="1"/>
  <c r="L110" i="35" s="1"/>
  <c r="J110" i="35" a="1"/>
  <c r="J110" i="35" s="1"/>
  <c r="J7" i="36"/>
  <c r="K7" i="36"/>
  <c r="L7" i="36"/>
  <c r="J10" i="35" a="1"/>
  <c r="J10" i="35" s="1"/>
  <c r="L10" i="35" a="1"/>
  <c r="L10" i="35" s="1"/>
  <c r="K10" i="35" a="1"/>
  <c r="K10" i="35" s="1"/>
  <c r="K30" i="36"/>
  <c r="J30" i="36"/>
  <c r="K105" i="36"/>
  <c r="J105" i="36"/>
  <c r="L105" i="36"/>
  <c r="L48" i="35" a="1"/>
  <c r="L48" i="35" s="1"/>
  <c r="J48" i="35" a="1"/>
  <c r="J48" i="35" s="1"/>
  <c r="K48" i="35" a="1"/>
  <c r="K48" i="35" s="1"/>
  <c r="L206" i="35" a="1"/>
  <c r="L206" i="35" s="1"/>
  <c r="K206" i="35" a="1"/>
  <c r="K206" i="35" s="1"/>
  <c r="J206" i="35" a="1"/>
  <c r="J206" i="35" s="1"/>
  <c r="J137" i="35" a="1"/>
  <c r="J137" i="35" s="1"/>
  <c r="L137" i="35" a="1"/>
  <c r="L137" i="35" s="1"/>
  <c r="K137" i="35" a="1"/>
  <c r="K137" i="35" s="1"/>
  <c r="L12" i="35" a="1"/>
  <c r="L12" i="35" s="1"/>
  <c r="J12" i="35" a="1"/>
  <c r="J12" i="35" s="1"/>
  <c r="K12" i="35" a="1"/>
  <c r="K12" i="35" s="1"/>
  <c r="J33" i="35" a="1"/>
  <c r="J33" i="35" s="1"/>
  <c r="L33" i="35" a="1"/>
  <c r="L33" i="35" s="1"/>
  <c r="K33" i="35" a="1"/>
  <c r="K33" i="35" s="1"/>
  <c r="J85" i="35" a="1"/>
  <c r="J85" i="35" s="1"/>
  <c r="L85" i="35" a="1"/>
  <c r="L85" i="35" s="1"/>
  <c r="K85" i="35" a="1"/>
  <c r="K85" i="35" s="1"/>
  <c r="L47" i="23" a="1"/>
  <c r="L47" i="23" s="1"/>
  <c r="G47" i="23" a="1"/>
  <c r="G47" i="23" s="1"/>
  <c r="J47" i="23" a="1"/>
  <c r="J47" i="23" s="1"/>
  <c r="I47" i="23" a="1"/>
  <c r="I47" i="23" s="1"/>
  <c r="K47" i="23" a="1"/>
  <c r="K47" i="23" s="1"/>
  <c r="J23" i="36"/>
  <c r="L23" i="36"/>
  <c r="K23" i="36"/>
  <c r="J38" i="36"/>
  <c r="L38" i="36"/>
  <c r="K38" i="36"/>
  <c r="K18" i="36"/>
  <c r="J18" i="36"/>
  <c r="L18" i="36"/>
  <c r="K13" i="35" a="1"/>
  <c r="K13" i="35" s="1"/>
  <c r="J13" i="35" a="1"/>
  <c r="J13" i="35" s="1"/>
  <c r="L13" i="35" a="1"/>
  <c r="L13" i="35" s="1"/>
  <c r="P17" i="33"/>
  <c r="O17" i="33"/>
  <c r="M17" i="33"/>
  <c r="L17" i="33"/>
  <c r="J32" i="36"/>
  <c r="L32" i="36"/>
  <c r="K32" i="36"/>
  <c r="L18" i="33"/>
  <c r="M18" i="33"/>
  <c r="O18" i="33"/>
  <c r="P18" i="33"/>
  <c r="J10" i="36"/>
  <c r="L10" i="36"/>
  <c r="K10" i="36"/>
  <c r="L48" i="23" a="1"/>
  <c r="L48" i="23" s="1"/>
  <c r="I48" i="23" a="1"/>
  <c r="I48" i="23" s="1"/>
  <c r="H48" i="23" a="1"/>
  <c r="H48" i="23" s="1"/>
  <c r="G48" i="23" a="1"/>
  <c r="G48" i="23" s="1"/>
  <c r="K48" i="23" a="1"/>
  <c r="K48" i="23" s="1"/>
  <c r="J48" i="23" a="1"/>
  <c r="J48" i="23" s="1"/>
  <c r="L49" i="23" a="1"/>
  <c r="L49" i="23" s="1"/>
  <c r="I49" i="23" a="1"/>
  <c r="I49" i="23" s="1"/>
  <c r="K49" i="23" a="1"/>
  <c r="K49" i="23" s="1"/>
  <c r="G49" i="23" a="1"/>
  <c r="G49" i="23" s="1"/>
  <c r="J49" i="23" a="1"/>
  <c r="J49" i="23" s="1"/>
  <c r="L50" i="23" a="1"/>
  <c r="L50" i="23" s="1"/>
  <c r="K50" i="23" a="1"/>
  <c r="K50" i="23" s="1"/>
  <c r="H50" i="23" a="1"/>
  <c r="H50" i="23" s="1"/>
  <c r="G50" i="23" a="1"/>
  <c r="G50" i="23" s="1"/>
  <c r="J50" i="23" a="1"/>
  <c r="J50" i="23" s="1"/>
  <c r="I50" i="23" a="1"/>
  <c r="I50" i="23" s="1"/>
  <c r="L51" i="23" a="1"/>
  <c r="L51" i="23" s="1"/>
  <c r="K51" i="23" a="1"/>
  <c r="K51" i="23" s="1"/>
  <c r="G51" i="23" a="1"/>
  <c r="G51" i="23" s="1"/>
  <c r="I51" i="23" a="1"/>
  <c r="I51" i="23" s="1"/>
  <c r="J51" i="23" a="1"/>
  <c r="J51" i="23" s="1"/>
  <c r="L52" i="23" a="1"/>
  <c r="L52" i="23" s="1"/>
  <c r="I52" i="23" a="1"/>
  <c r="I52" i="23" s="1"/>
  <c r="K52" i="23" a="1"/>
  <c r="K52" i="23" s="1"/>
  <c r="G52" i="23" a="1"/>
  <c r="G52" i="23" s="1"/>
  <c r="J52" i="23" a="1"/>
  <c r="J52" i="23" s="1"/>
  <c r="L53" i="23" a="1"/>
  <c r="L53" i="23" s="1"/>
  <c r="G53" i="23" a="1"/>
  <c r="G53" i="23" s="1"/>
  <c r="K53" i="23" a="1"/>
  <c r="K53" i="23" s="1"/>
  <c r="J53" i="23" a="1"/>
  <c r="J53" i="23" s="1"/>
  <c r="I53" i="23" a="1"/>
  <c r="I53" i="23" s="1"/>
  <c r="L54" i="23" a="1"/>
  <c r="L54" i="23" s="1"/>
  <c r="K54" i="23" a="1"/>
  <c r="K54" i="23" s="1"/>
  <c r="G54" i="23" a="1"/>
  <c r="G54" i="23" s="1"/>
  <c r="J54" i="23" a="1"/>
  <c r="J54" i="23" s="1"/>
  <c r="I54" i="23" a="1"/>
  <c r="I54" i="23" s="1"/>
  <c r="L55" i="23" a="1"/>
  <c r="L55" i="23" s="1"/>
  <c r="J55" i="23" a="1"/>
  <c r="J55" i="23" s="1"/>
  <c r="K55" i="23" a="1"/>
  <c r="K55" i="23" s="1"/>
  <c r="G55" i="23" a="1"/>
  <c r="G55" i="23" s="1"/>
  <c r="I55" i="23" a="1"/>
  <c r="I55" i="23" s="1"/>
  <c r="J60" i="35" a="1"/>
  <c r="J60" i="35" s="1"/>
  <c r="L60" i="35" a="1"/>
  <c r="L60" i="35" s="1"/>
  <c r="K60" i="35" a="1"/>
  <c r="K60" i="35" s="1"/>
  <c r="L13" i="33"/>
  <c r="M13" i="33"/>
  <c r="L56" i="23" a="1"/>
  <c r="L56" i="23" s="1"/>
  <c r="K56" i="23" a="1"/>
  <c r="K56" i="23" s="1"/>
  <c r="J56" i="23" a="1"/>
  <c r="J56" i="23" s="1"/>
  <c r="G56" i="23" a="1"/>
  <c r="G56" i="23" s="1"/>
  <c r="I56" i="23" a="1"/>
  <c r="I56" i="23" s="1"/>
  <c r="K89" i="35" a="1"/>
  <c r="K89" i="35" s="1"/>
  <c r="J89" i="35" a="1"/>
  <c r="J89" i="35" s="1"/>
  <c r="L89" i="35" a="1"/>
  <c r="L89" i="35" s="1"/>
  <c r="L59" i="23" a="1"/>
  <c r="L59" i="23" s="1"/>
  <c r="K59" i="23" a="1"/>
  <c r="K59" i="23" s="1"/>
  <c r="J59" i="23" a="1"/>
  <c r="J59" i="23" s="1"/>
  <c r="I59" i="23" a="1"/>
  <c r="I59" i="23" s="1"/>
  <c r="G59" i="23" a="1"/>
  <c r="G59" i="23" s="1"/>
  <c r="L58" i="23" a="1"/>
  <c r="L58" i="23" s="1"/>
  <c r="K58" i="23" a="1"/>
  <c r="K58" i="23" s="1"/>
  <c r="J58" i="23" a="1"/>
  <c r="J58" i="23" s="1"/>
  <c r="I58" i="23" a="1"/>
  <c r="I58" i="23" s="1"/>
  <c r="G58" i="23" a="1"/>
  <c r="G58" i="23" s="1"/>
  <c r="L57" i="23" a="1"/>
  <c r="L57" i="23" s="1"/>
  <c r="K57" i="23" a="1"/>
  <c r="K57" i="23" s="1"/>
  <c r="J57" i="23" a="1"/>
  <c r="J57" i="23" s="1"/>
  <c r="I57" i="23" a="1"/>
  <c r="I57" i="23" s="1"/>
  <c r="G57" i="23" a="1"/>
  <c r="G57" i="23" s="1"/>
  <c r="L60" i="23" a="1"/>
  <c r="L60" i="23" s="1"/>
  <c r="J60" i="23" a="1"/>
  <c r="J60" i="23" s="1"/>
  <c r="I60" i="23" a="1"/>
  <c r="I60" i="23" s="1"/>
  <c r="K60" i="23" a="1"/>
  <c r="K60" i="23" s="1"/>
  <c r="G60" i="23" a="1"/>
  <c r="G60" i="23" s="1"/>
  <c r="L70" i="23" a="1"/>
  <c r="L70" i="23" s="1"/>
  <c r="G70" i="23" a="1"/>
  <c r="G70" i="23" s="1"/>
  <c r="I70" i="23" a="1"/>
  <c r="I70" i="23" s="1"/>
  <c r="K70" i="23" a="1"/>
  <c r="K70" i="23" s="1"/>
  <c r="J70" i="23" a="1"/>
  <c r="J70" i="23" s="1"/>
  <c r="L69" i="23" a="1"/>
  <c r="L69" i="23" s="1"/>
  <c r="K69" i="23" a="1"/>
  <c r="K69" i="23" s="1"/>
  <c r="I69" i="23" a="1"/>
  <c r="I69" i="23" s="1"/>
  <c r="G69" i="23" a="1"/>
  <c r="G69" i="23" s="1"/>
  <c r="J69" i="23" a="1"/>
  <c r="J69" i="23" s="1"/>
  <c r="L68" i="23" a="1"/>
  <c r="L68" i="23" s="1"/>
  <c r="J68" i="23" a="1"/>
  <c r="J68" i="23" s="1"/>
  <c r="K68" i="23" a="1"/>
  <c r="K68" i="23" s="1"/>
  <c r="I68" i="23" a="1"/>
  <c r="I68" i="23" s="1"/>
  <c r="G68" i="23" a="1"/>
  <c r="G68" i="23" s="1"/>
  <c r="L67" i="23" a="1"/>
  <c r="L67" i="23" s="1"/>
  <c r="G67" i="23" a="1"/>
  <c r="G67" i="23" s="1"/>
  <c r="K67" i="23" a="1"/>
  <c r="K67" i="23" s="1"/>
  <c r="I67" i="23" a="1"/>
  <c r="I67" i="23" s="1"/>
  <c r="J67" i="23" a="1"/>
  <c r="J67" i="23" s="1"/>
  <c r="H66" i="23" a="1"/>
  <c r="H66" i="23" s="1"/>
  <c r="J66" i="23" a="1"/>
  <c r="J66" i="23" s="1"/>
  <c r="K66" i="23" a="1"/>
  <c r="K66" i="23" s="1"/>
  <c r="L66" i="23" a="1"/>
  <c r="L66" i="23" s="1"/>
  <c r="I66" i="23" a="1"/>
  <c r="I66" i="23" s="1"/>
  <c r="G66" i="23" a="1"/>
  <c r="G66" i="23" s="1"/>
  <c r="L76" i="23" a="1"/>
  <c r="L76" i="23" s="1"/>
  <c r="K76" i="23" a="1"/>
  <c r="K76" i="23" s="1"/>
  <c r="I76" i="23" a="1"/>
  <c r="I76" i="23" s="1"/>
  <c r="J76" i="23" a="1"/>
  <c r="J76" i="23" s="1"/>
  <c r="G76" i="23" a="1"/>
  <c r="G76" i="23" s="1"/>
  <c r="L77" i="23" a="1"/>
  <c r="L77" i="23" s="1"/>
  <c r="K77" i="23" a="1"/>
  <c r="K77" i="23" s="1"/>
  <c r="J77" i="23" a="1"/>
  <c r="J77" i="23" s="1"/>
  <c r="G77" i="23" a="1"/>
  <c r="G77" i="23" s="1"/>
  <c r="I77" i="23" a="1"/>
  <c r="I77" i="23" s="1"/>
  <c r="L71" i="23" a="1"/>
  <c r="L71" i="23" s="1"/>
  <c r="J71" i="23" a="1"/>
  <c r="J71" i="23" s="1"/>
  <c r="K71" i="23" a="1"/>
  <c r="K71" i="23" s="1"/>
  <c r="G71" i="23" a="1"/>
  <c r="G71" i="23" s="1"/>
  <c r="I71" i="23" a="1"/>
  <c r="I71" i="23" s="1"/>
  <c r="I72" i="23" a="1"/>
  <c r="I72" i="23" s="1"/>
  <c r="K72" i="23" a="1"/>
  <c r="K72" i="23" s="1"/>
  <c r="J72" i="23" a="1"/>
  <c r="J72" i="23" s="1"/>
  <c r="G72" i="23" a="1"/>
  <c r="G72" i="23" s="1"/>
  <c r="L75" i="23" a="1"/>
  <c r="L75" i="23" s="1"/>
  <c r="G75" i="23" a="1"/>
  <c r="G75" i="23" s="1"/>
  <c r="K75" i="23" a="1"/>
  <c r="K75" i="23" s="1"/>
  <c r="I75" i="23" a="1"/>
  <c r="I75" i="23" s="1"/>
  <c r="J75" i="23" a="1"/>
  <c r="J75" i="23" s="1"/>
  <c r="L74" i="23" a="1"/>
  <c r="L74" i="23" s="1"/>
  <c r="J74" i="23" a="1"/>
  <c r="J74" i="23" s="1"/>
  <c r="G74" i="23" a="1"/>
  <c r="G74" i="23" s="1"/>
  <c r="K74" i="23" a="1"/>
  <c r="K74" i="23" s="1"/>
  <c r="I74" i="23" a="1"/>
  <c r="I74" i="23" s="1"/>
  <c r="L73" i="23" a="1"/>
  <c r="L73" i="23" s="1"/>
  <c r="I73" i="23" a="1"/>
  <c r="I73" i="23" s="1"/>
  <c r="J73" i="23" a="1"/>
  <c r="J73" i="23" s="1"/>
  <c r="G73" i="23" a="1"/>
  <c r="G73" i="23" s="1"/>
  <c r="K73" i="23" a="1"/>
  <c r="K73" i="23" s="1"/>
  <c r="L83" i="23" a="1"/>
  <c r="L83" i="23" s="1"/>
  <c r="G83" i="23" a="1"/>
  <c r="G83" i="23" s="1"/>
  <c r="K83" i="23" a="1"/>
  <c r="K83" i="23" s="1"/>
  <c r="I83" i="23" a="1"/>
  <c r="I83" i="23" s="1"/>
  <c r="J83" i="23" a="1"/>
  <c r="J83" i="23" s="1"/>
  <c r="L84" i="23" a="1"/>
  <c r="L84" i="23" s="1"/>
  <c r="J84" i="23" a="1"/>
  <c r="J84" i="23" s="1"/>
  <c r="G84" i="23" a="1"/>
  <c r="G84" i="23" s="1"/>
  <c r="I84" i="23" a="1"/>
  <c r="I84" i="23" s="1"/>
  <c r="K84" i="23" a="1"/>
  <c r="K84" i="23" s="1"/>
  <c r="L85" i="23" a="1"/>
  <c r="L85" i="23" s="1"/>
  <c r="G85" i="23" a="1"/>
  <c r="G85" i="23" s="1"/>
  <c r="K85" i="23" a="1"/>
  <c r="K85" i="23" s="1"/>
  <c r="I85" i="23" a="1"/>
  <c r="I85" i="23" s="1"/>
  <c r="J85" i="23" a="1"/>
  <c r="J85" i="23" s="1"/>
  <c r="K80" i="23" a="1"/>
  <c r="K80" i="23" s="1"/>
  <c r="J80" i="23" a="1"/>
  <c r="J80" i="23" s="1"/>
  <c r="G80" i="23" a="1"/>
  <c r="G80" i="23" s="1"/>
  <c r="I80" i="23" a="1"/>
  <c r="I80" i="23" s="1"/>
  <c r="L80" i="23" a="1"/>
  <c r="L80" i="23" s="1"/>
  <c r="L79" i="23" a="1"/>
  <c r="L79" i="23" s="1"/>
  <c r="J79" i="23" a="1"/>
  <c r="J79" i="23" s="1"/>
  <c r="I79" i="23" a="1"/>
  <c r="I79" i="23" s="1"/>
  <c r="K79" i="23" a="1"/>
  <c r="K79" i="23" s="1"/>
  <c r="G79" i="23" a="1"/>
  <c r="G79" i="23" s="1"/>
  <c r="J78" i="23" a="1"/>
  <c r="J78" i="23" s="1"/>
  <c r="I78" i="23" a="1"/>
  <c r="I78" i="23" s="1"/>
  <c r="K78" i="23" a="1"/>
  <c r="K78" i="23" s="1"/>
  <c r="L81" i="23" a="1"/>
  <c r="L81" i="23" s="1"/>
  <c r="J81" i="23" a="1"/>
  <c r="J81" i="23" s="1"/>
  <c r="I81" i="23" a="1"/>
  <c r="I81" i="23" s="1"/>
  <c r="K81" i="23" a="1"/>
  <c r="K81" i="23" s="1"/>
  <c r="G81" i="23" a="1"/>
  <c r="G81" i="23" s="1"/>
  <c r="I82" i="23" a="1"/>
  <c r="I82" i="23" s="1"/>
  <c r="G82" i="23" a="1"/>
  <c r="G82" i="23" s="1"/>
  <c r="K82" i="23" a="1"/>
  <c r="K82" i="23" s="1"/>
  <c r="G124" i="23" a="1"/>
  <c r="G124" i="23" s="1"/>
  <c r="L124" i="23" a="1"/>
  <c r="L124" i="23" s="1"/>
  <c r="I124" i="23" a="1"/>
  <c r="I124" i="23" s="1"/>
  <c r="H124" i="23" a="1"/>
  <c r="H124" i="23" s="1"/>
  <c r="K124" i="23" a="1"/>
  <c r="K124" i="23" s="1"/>
  <c r="J124" i="23" a="1"/>
  <c r="J124" i="23" s="1"/>
  <c r="K166" i="42" a="1"/>
  <c r="K166" i="42" s="1"/>
  <c r="L166" i="42" a="1"/>
  <c r="L166" i="42" s="1"/>
  <c r="J166" i="42" a="1"/>
  <c r="J166" i="42" s="1"/>
  <c r="G131" i="23" a="1"/>
  <c r="G131" i="23" s="1"/>
  <c r="K131" i="23" a="1"/>
  <c r="K131" i="23" s="1"/>
  <c r="J131" i="23" a="1"/>
  <c r="J131" i="23" s="1"/>
  <c r="L169" i="35" a="1"/>
  <c r="L169" i="35" s="1"/>
  <c r="L143" i="23" a="1"/>
  <c r="L143" i="23" s="1"/>
  <c r="G143" i="23" a="1"/>
  <c r="G143" i="23" s="1"/>
  <c r="J143" i="23" a="1"/>
  <c r="J143" i="23" s="1"/>
  <c r="I143" i="23" a="1"/>
  <c r="I143" i="23" s="1"/>
  <c r="K143" i="23" a="1"/>
  <c r="K143" i="23" s="1"/>
  <c r="G148" i="23" a="1"/>
  <c r="G148" i="23" s="1"/>
  <c r="I148" i="23" a="1"/>
  <c r="I148" i="23" s="1"/>
  <c r="L148" i="23" a="1"/>
  <c r="L148" i="23" s="1"/>
  <c r="J147" i="23" a="1"/>
  <c r="J147" i="23" s="1"/>
  <c r="G147" i="23" a="1"/>
  <c r="G147" i="23" s="1"/>
  <c r="K147" i="23" a="1"/>
  <c r="K147" i="23" s="1"/>
  <c r="I147" i="23" a="1"/>
  <c r="I147" i="23" s="1"/>
  <c r="L146" i="23" a="1"/>
  <c r="L146" i="23" s="1"/>
  <c r="K146" i="23" a="1"/>
  <c r="K146" i="23" s="1"/>
  <c r="J146" i="23" a="1"/>
  <c r="J146" i="23" s="1"/>
  <c r="I146" i="23" a="1"/>
  <c r="I146" i="23" s="1"/>
  <c r="G146" i="23" a="1"/>
  <c r="G146" i="23" s="1"/>
  <c r="J145" i="23" a="1"/>
  <c r="J145" i="23" s="1"/>
  <c r="I145" i="23" a="1"/>
  <c r="I145" i="23" s="1"/>
  <c r="G145" i="23" a="1"/>
  <c r="G145" i="23" s="1"/>
  <c r="K145" i="23" a="1"/>
  <c r="K145" i="23" s="1"/>
  <c r="I150" i="23" a="1"/>
  <c r="I150" i="23" s="1"/>
  <c r="K150" i="23" a="1"/>
  <c r="K150" i="23" s="1"/>
  <c r="J150" i="23" a="1"/>
  <c r="J150" i="23" s="1"/>
  <c r="I149" i="23" a="1"/>
  <c r="I149" i="23" s="1"/>
  <c r="K149" i="23" a="1"/>
  <c r="K149" i="23" s="1"/>
  <c r="J149" i="23" a="1"/>
  <c r="J149" i="23" s="1"/>
  <c r="J156" i="23" a="1"/>
  <c r="J156" i="23" s="1"/>
  <c r="I156" i="23" a="1"/>
  <c r="I156" i="23" s="1"/>
  <c r="G156" i="23" a="1"/>
  <c r="G156" i="23" s="1"/>
  <c r="G154" i="23" a="1"/>
  <c r="G154" i="23" s="1"/>
  <c r="I154" i="23" a="1"/>
  <c r="I154" i="23" s="1"/>
  <c r="J155" i="23" a="1"/>
  <c r="J155" i="23" s="1"/>
  <c r="G155" i="23" a="1"/>
  <c r="G155" i="23" s="1"/>
  <c r="I155" i="23" a="1"/>
  <c r="I155" i="23" s="1"/>
  <c r="G157" i="23" a="1"/>
  <c r="G157" i="23" s="1"/>
  <c r="K157" i="23" a="1"/>
  <c r="K157" i="23" s="1"/>
  <c r="I157" i="23" a="1"/>
  <c r="I157" i="23" s="1"/>
  <c r="K158" i="23" a="1"/>
  <c r="K158" i="23" s="1"/>
  <c r="I158" i="23" a="1"/>
  <c r="I158" i="23" s="1"/>
  <c r="G158" i="23" a="1"/>
  <c r="G158" i="23" s="1"/>
  <c r="L159" i="23" a="1"/>
  <c r="L159" i="23" s="1"/>
  <c r="I159" i="23" a="1"/>
  <c r="I159" i="23" s="1"/>
  <c r="G159" i="23" a="1"/>
  <c r="G159" i="23" s="1"/>
  <c r="J159" i="23" a="1"/>
  <c r="J159" i="23" s="1"/>
  <c r="K159" i="23" a="1"/>
  <c r="K159" i="23" s="1"/>
  <c r="L153" i="23" a="1"/>
  <c r="L153" i="23" s="1"/>
  <c r="G153" i="23" a="1"/>
  <c r="G153" i="23" s="1"/>
  <c r="G152" i="23" a="1"/>
  <c r="G152" i="23" s="1"/>
  <c r="J152" i="23" a="1"/>
  <c r="J152" i="23" s="1"/>
  <c r="K152" i="23" a="1"/>
  <c r="K152" i="23" s="1"/>
  <c r="K163" i="23" a="1"/>
  <c r="K163" i="23" s="1"/>
  <c r="J163" i="23" a="1"/>
  <c r="J163" i="23" s="1"/>
  <c r="I161" i="23" a="1"/>
  <c r="I161" i="23" s="1"/>
  <c r="K161" i="23" a="1"/>
  <c r="K161" i="23" s="1"/>
  <c r="K160" i="23" a="1"/>
  <c r="K160" i="23" s="1"/>
  <c r="I160" i="23" a="1"/>
  <c r="I160" i="23" s="1"/>
  <c r="J160" i="23" a="1"/>
  <c r="J160" i="23" s="1"/>
  <c r="K164" i="23" a="1"/>
  <c r="K164" i="23" s="1"/>
  <c r="J164" i="23" a="1"/>
  <c r="J164" i="23" s="1"/>
  <c r="G164" i="23" a="1"/>
  <c r="G164" i="23" s="1"/>
  <c r="L202" i="23" a="1"/>
  <c r="L202" i="23" s="1"/>
  <c r="G202" i="23" a="1"/>
  <c r="G202" i="23" s="1"/>
  <c r="I202" i="23" a="1"/>
  <c r="I202" i="23" s="1"/>
  <c r="J202" i="23" a="1"/>
  <c r="J202" i="23" s="1"/>
  <c r="K202" i="23" a="1"/>
  <c r="K202" i="23" s="1"/>
  <c r="I205" i="23" a="1"/>
  <c r="I205" i="23" s="1"/>
  <c r="J205" i="23" a="1"/>
  <c r="J205" i="23" s="1"/>
  <c r="G205" i="23" a="1"/>
  <c r="G205" i="23" s="1"/>
  <c r="G206" i="23" a="1"/>
  <c r="G206" i="23" s="1"/>
  <c r="J206" i="23" a="1"/>
  <c r="J206" i="23" s="1"/>
  <c r="K206" i="23" a="1"/>
  <c r="K206" i="23" s="1"/>
  <c r="I203" i="23" a="1"/>
  <c r="I203" i="23" s="1"/>
  <c r="G203" i="23" a="1"/>
  <c r="G203" i="23" s="1"/>
  <c r="K203" i="23" a="1"/>
  <c r="K203" i="23" s="1"/>
  <c r="G204" i="23" a="1"/>
  <c r="G204" i="23" s="1"/>
  <c r="K204" i="23" a="1"/>
  <c r="K204" i="23" s="1"/>
  <c r="J204" i="23" a="1"/>
  <c r="J204" i="23" s="1"/>
  <c r="J211" i="23" a="1"/>
  <c r="J211" i="23" s="1"/>
  <c r="I211" i="23" a="1"/>
  <c r="I211" i="23" s="1"/>
  <c r="K211" i="23" a="1"/>
  <c r="K211" i="23" s="1"/>
  <c r="G213" i="23" a="1"/>
  <c r="G213" i="23" s="1"/>
  <c r="K213" i="23" a="1"/>
  <c r="K213" i="23" s="1"/>
  <c r="I213" i="23" a="1"/>
  <c r="I213" i="23" s="1"/>
  <c r="G212" i="23" a="1"/>
  <c r="G212" i="23" s="1"/>
  <c r="K212" i="23" a="1"/>
  <c r="K212" i="23" s="1"/>
  <c r="I212" i="23" a="1"/>
  <c r="I212" i="23" s="1"/>
  <c r="K210" i="23" a="1"/>
  <c r="K210" i="23" s="1"/>
  <c r="I210" i="23" a="1"/>
  <c r="I210" i="23" s="1"/>
  <c r="J210" i="23" a="1"/>
  <c r="J210" i="23" s="1"/>
  <c r="I3" i="23" a="1"/>
  <c r="I3" i="23" s="1"/>
  <c r="L3" i="23" a="1"/>
  <c r="L3" i="23" s="1"/>
  <c r="J2" i="23" a="1"/>
  <c r="J2" i="23" s="1"/>
  <c r="G2" i="23" a="1"/>
  <c r="G2" i="23" s="1"/>
  <c r="K134" i="42" a="1"/>
  <c r="K134" i="42" s="1"/>
  <c r="L134" i="42" a="1"/>
  <c r="L134" i="42" s="1"/>
  <c r="J134" i="42" a="1"/>
  <c r="J134" i="42" s="1"/>
  <c r="M65" i="24"/>
  <c r="J65" i="24" a="1"/>
  <c r="J65" i="24" s="1"/>
  <c r="H65" i="24" a="1"/>
  <c r="H65" i="24" s="1"/>
  <c r="G65" i="24" a="1"/>
  <c r="G65" i="24" s="1"/>
  <c r="P65" i="24"/>
  <c r="I16" i="25" a="1"/>
  <c r="I16" i="25" s="1"/>
  <c r="K16" i="25" a="1"/>
  <c r="K16" i="25" s="1"/>
  <c r="J186" i="23" a="1"/>
  <c r="J186" i="23" s="1"/>
  <c r="K186" i="23" a="1"/>
  <c r="K186" i="23" s="1"/>
  <c r="K118" i="42" a="1"/>
  <c r="K118" i="42" s="1"/>
  <c r="L118" i="42" a="1"/>
  <c r="L118" i="42" s="1"/>
  <c r="J118" i="42" a="1"/>
  <c r="J118" i="42" s="1"/>
  <c r="J132" i="42" a="1"/>
  <c r="J132" i="42" s="1"/>
  <c r="K132" i="42" a="1"/>
  <c r="K132" i="42" s="1"/>
  <c r="L132" i="42" a="1"/>
  <c r="L132" i="42" s="1"/>
  <c r="J27" i="23" a="1"/>
  <c r="J27" i="23" s="1"/>
  <c r="K27" i="23" a="1"/>
  <c r="K27" i="23" s="1"/>
  <c r="K15" i="25" a="1"/>
  <c r="K15" i="25" s="1"/>
  <c r="I15" i="25" a="1"/>
  <c r="I15" i="25" s="1"/>
  <c r="G23" i="23" a="1"/>
  <c r="G23" i="23" s="1"/>
  <c r="I23" i="23" a="1"/>
  <c r="I23" i="23" s="1"/>
  <c r="P61" i="25"/>
  <c r="K61" i="25" a="1"/>
  <c r="K61" i="25" s="1"/>
  <c r="I61" i="25" a="1"/>
  <c r="I61" i="25" s="1"/>
  <c r="N61" i="25"/>
  <c r="O61" i="25"/>
  <c r="M61" i="25"/>
  <c r="L200" i="42" a="1"/>
  <c r="L200" i="42" s="1"/>
  <c r="K200" i="42" a="1"/>
  <c r="K200" i="42" s="1"/>
  <c r="J200" i="42" a="1"/>
  <c r="J200" i="42" s="1"/>
  <c r="J47" i="42" a="1"/>
  <c r="J47" i="42" s="1"/>
  <c r="L47" i="42" a="1"/>
  <c r="L47" i="42" s="1"/>
  <c r="K47" i="42" a="1"/>
  <c r="K47" i="42" s="1"/>
  <c r="K188" i="42" a="1"/>
  <c r="K188" i="42" s="1"/>
  <c r="J188" i="42" a="1"/>
  <c r="J188" i="42" s="1"/>
  <c r="L188" i="42" a="1"/>
  <c r="L188" i="42" s="1"/>
  <c r="K161" i="42" a="1"/>
  <c r="K161" i="42" s="1"/>
  <c r="L161" i="42" a="1"/>
  <c r="L161" i="42" s="1"/>
  <c r="J161" i="42" a="1"/>
  <c r="J161" i="42" s="1"/>
  <c r="J184" i="42" a="1"/>
  <c r="J184" i="42" s="1"/>
  <c r="L184" i="42" a="1"/>
  <c r="L184" i="42" s="1"/>
  <c r="K184" i="42" a="1"/>
  <c r="K184" i="42" s="1"/>
  <c r="J191" i="42" a="1"/>
  <c r="J191" i="42" s="1"/>
  <c r="K191" i="42" a="1"/>
  <c r="K191" i="42" s="1"/>
  <c r="L191" i="42" a="1"/>
  <c r="L191" i="42" s="1"/>
  <c r="L176" i="42" a="1"/>
  <c r="L176" i="42" s="1"/>
  <c r="L182" i="42" a="1"/>
  <c r="L182" i="42" s="1"/>
  <c r="L211" i="42" a="1"/>
  <c r="L211" i="42" s="1"/>
  <c r="L75" i="42" a="1"/>
  <c r="L75" i="42" s="1"/>
  <c r="J49" i="35" a="1"/>
  <c r="J49" i="35" s="1"/>
  <c r="L49" i="35" a="1"/>
  <c r="L49" i="35" s="1"/>
  <c r="K49" i="35" a="1"/>
  <c r="K49" i="35" s="1"/>
  <c r="L121" i="35" a="1"/>
  <c r="L121" i="35" s="1"/>
  <c r="J121" i="35" a="1"/>
  <c r="J121" i="35" s="1"/>
  <c r="K121" i="35" a="1"/>
  <c r="K121" i="35" s="1"/>
  <c r="K59" i="35" a="1"/>
  <c r="K59" i="35" s="1"/>
  <c r="J59" i="35" a="1"/>
  <c r="J59" i="35" s="1"/>
  <c r="L59" i="35" a="1"/>
  <c r="L59" i="35" s="1"/>
  <c r="J61" i="35" a="1"/>
  <c r="J61" i="35" s="1"/>
  <c r="L61" i="35" a="1"/>
  <c r="L61" i="35" s="1"/>
  <c r="K61" i="35" a="1"/>
  <c r="K61" i="35" s="1"/>
  <c r="L113" i="35" a="1"/>
  <c r="L113" i="35" s="1"/>
  <c r="K113" i="35" a="1"/>
  <c r="K113" i="35" s="1"/>
  <c r="J113" i="35" a="1"/>
  <c r="J113" i="35" s="1"/>
  <c r="K21" i="35" a="1"/>
  <c r="K21" i="35" s="1"/>
  <c r="J21" i="35" a="1"/>
  <c r="J21" i="35" s="1"/>
  <c r="L21" i="35" a="1"/>
  <c r="L21" i="35" s="1"/>
  <c r="J74" i="35" a="1"/>
  <c r="J74" i="35" s="1"/>
  <c r="L74" i="35" a="1"/>
  <c r="L74" i="35" s="1"/>
  <c r="K74" i="35" a="1"/>
  <c r="K74" i="35" s="1"/>
  <c r="L78" i="23" a="1"/>
  <c r="L78" i="23" s="1"/>
  <c r="G78" i="23" a="1"/>
  <c r="G78" i="23" s="1"/>
  <c r="J40" i="35" a="1"/>
  <c r="J40" i="35" s="1"/>
  <c r="K40" i="35" a="1"/>
  <c r="K40" i="35" s="1"/>
  <c r="L40" i="35" a="1"/>
  <c r="L40" i="35" s="1"/>
  <c r="K161" i="35" a="1"/>
  <c r="K161" i="35" s="1"/>
  <c r="L161" i="35" a="1"/>
  <c r="L161" i="35" s="1"/>
  <c r="J161" i="35" a="1"/>
  <c r="J161" i="35" s="1"/>
  <c r="J166" i="35" a="1"/>
  <c r="J166" i="35" s="1"/>
  <c r="L166" i="35" a="1"/>
  <c r="L166" i="35" s="1"/>
  <c r="K166" i="35" a="1"/>
  <c r="K166" i="35" s="1"/>
  <c r="K144" i="35" a="1"/>
  <c r="K144" i="35" s="1"/>
  <c r="J144" i="35" a="1"/>
  <c r="J144" i="35" s="1"/>
  <c r="L144" i="35" a="1"/>
  <c r="L144" i="35" s="1"/>
  <c r="K129" i="35" a="1"/>
  <c r="K129" i="35" s="1"/>
  <c r="L129" i="35" a="1"/>
  <c r="L129" i="35" s="1"/>
  <c r="J129" i="35" a="1"/>
  <c r="J129" i="35" s="1"/>
  <c r="L131" i="23" a="1"/>
  <c r="L131" i="23" s="1"/>
  <c r="I131" i="23" a="1"/>
  <c r="I131" i="23" s="1"/>
  <c r="L170" i="35" a="1"/>
  <c r="L170" i="35" s="1"/>
  <c r="L180" i="35" a="1"/>
  <c r="L180" i="35" s="1"/>
  <c r="K180" i="35" a="1"/>
  <c r="K180" i="35" s="1"/>
  <c r="J180" i="35" a="1"/>
  <c r="J180" i="35" s="1"/>
  <c r="J47" i="35" a="1"/>
  <c r="J47" i="35" s="1"/>
  <c r="K47" i="35" a="1"/>
  <c r="K47" i="35" s="1"/>
  <c r="L47" i="35" a="1"/>
  <c r="L47" i="35" s="1"/>
  <c r="L149" i="23" a="1"/>
  <c r="L149" i="23" s="1"/>
  <c r="G149" i="23" a="1"/>
  <c r="G149" i="23" s="1"/>
  <c r="J86" i="35" a="1"/>
  <c r="J86" i="35" s="1"/>
  <c r="K86" i="35" a="1"/>
  <c r="K86" i="35" s="1"/>
  <c r="L86" i="35" a="1"/>
  <c r="L86" i="35" s="1"/>
  <c r="I194" i="23" a="1"/>
  <c r="I194" i="23" s="1"/>
  <c r="G194" i="23" a="1"/>
  <c r="G194" i="23" s="1"/>
  <c r="J42" i="35" a="1"/>
  <c r="J42" i="35" s="1"/>
  <c r="K42" i="35" a="1"/>
  <c r="K42" i="35" s="1"/>
  <c r="L42" i="35" a="1"/>
  <c r="L42" i="35" s="1"/>
  <c r="L204" i="23" a="1"/>
  <c r="L204" i="23" s="1"/>
  <c r="I204" i="23" a="1"/>
  <c r="I204" i="23" s="1"/>
  <c r="J56" i="35" a="1"/>
  <c r="J56" i="35" s="1"/>
  <c r="K56" i="35" a="1"/>
  <c r="K56" i="35" s="1"/>
  <c r="L56" i="35" a="1"/>
  <c r="L56" i="35" s="1"/>
  <c r="K4" i="23" a="1"/>
  <c r="K4" i="23" s="1"/>
  <c r="I4" i="23" a="1"/>
  <c r="I4" i="23" s="1"/>
  <c r="H2" i="23" a="1"/>
  <c r="H2" i="23" s="1"/>
  <c r="I2" i="23" a="1"/>
  <c r="I2" i="23" s="1"/>
  <c r="L90" i="42" a="1"/>
  <c r="L90" i="42" s="1"/>
  <c r="K90" i="42" a="1"/>
  <c r="K90" i="42" s="1"/>
  <c r="J90" i="42" a="1"/>
  <c r="J90" i="42" s="1"/>
  <c r="K81" i="42" a="1"/>
  <c r="K81" i="42" s="1"/>
  <c r="J81" i="42" a="1"/>
  <c r="J81" i="42" s="1"/>
  <c r="L81" i="42" a="1"/>
  <c r="L81" i="42" s="1"/>
  <c r="J58" i="42" a="1"/>
  <c r="J58" i="42" s="1"/>
  <c r="K58" i="42" a="1"/>
  <c r="K58" i="42" s="1"/>
  <c r="L58" i="42" a="1"/>
  <c r="L58" i="42" s="1"/>
  <c r="J91" i="35" a="1"/>
  <c r="J91" i="35" s="1"/>
  <c r="K91" i="35" a="1"/>
  <c r="K91" i="35" s="1"/>
  <c r="L91" i="35" a="1"/>
  <c r="L91" i="35" s="1"/>
  <c r="K25" i="23" a="1"/>
  <c r="K25" i="23" s="1"/>
  <c r="I25" i="23" a="1"/>
  <c r="I25" i="23" s="1"/>
  <c r="G25" i="23" a="1"/>
  <c r="G25" i="23" s="1"/>
  <c r="L130" i="42" a="1"/>
  <c r="L130" i="42" s="1"/>
  <c r="K130" i="42" a="1"/>
  <c r="K130" i="42" s="1"/>
  <c r="J130" i="42" a="1"/>
  <c r="J130" i="42" s="1"/>
  <c r="J83" i="42" a="1"/>
  <c r="J83" i="42" s="1"/>
  <c r="K83" i="42" a="1"/>
  <c r="K83" i="42" s="1"/>
  <c r="L83" i="42" a="1"/>
  <c r="L83" i="42" s="1"/>
  <c r="J34" i="35" a="1"/>
  <c r="J34" i="35" s="1"/>
  <c r="K34" i="35" a="1"/>
  <c r="K34" i="35" s="1"/>
  <c r="L34" i="35" a="1"/>
  <c r="L34" i="35" s="1"/>
  <c r="G24" i="23" a="1"/>
  <c r="G24" i="23" s="1"/>
  <c r="I24" i="23" a="1"/>
  <c r="I24" i="23" s="1"/>
  <c r="G22" i="23" a="1"/>
  <c r="G22" i="23" s="1"/>
  <c r="I22" i="23" a="1"/>
  <c r="I22" i="23" s="1"/>
  <c r="L153" i="42" a="1"/>
  <c r="L153" i="42" s="1"/>
  <c r="J153" i="42" a="1"/>
  <c r="J153" i="42" s="1"/>
  <c r="K153" i="42" a="1"/>
  <c r="K153" i="42" s="1"/>
  <c r="J185" i="42" a="1"/>
  <c r="J185" i="42" s="1"/>
  <c r="L185" i="42" a="1"/>
  <c r="L185" i="42" s="1"/>
  <c r="K185" i="42" a="1"/>
  <c r="K185" i="42" s="1"/>
  <c r="K104" i="42" a="1"/>
  <c r="K104" i="42" s="1"/>
  <c r="L104" i="42" a="1"/>
  <c r="L104" i="42" s="1"/>
  <c r="J104" i="42" a="1"/>
  <c r="J104" i="42" s="1"/>
  <c r="J3" i="42" a="1"/>
  <c r="J3" i="42" s="1"/>
  <c r="L3" i="42" a="1"/>
  <c r="L3" i="42" s="1"/>
  <c r="K3" i="42" a="1"/>
  <c r="K3" i="42" s="1"/>
  <c r="K140" i="42" a="1"/>
  <c r="K140" i="42" s="1"/>
  <c r="J140" i="42" a="1"/>
  <c r="J140" i="42" s="1"/>
  <c r="L140" i="42" a="1"/>
  <c r="L140" i="42" s="1"/>
  <c r="J189" i="23" a="1"/>
  <c r="J189" i="23" s="1"/>
  <c r="I189" i="23" a="1"/>
  <c r="I189" i="23" s="1"/>
  <c r="G189" i="23" a="1"/>
  <c r="G189" i="23" s="1"/>
  <c r="I190" i="23" a="1"/>
  <c r="I190" i="23" s="1"/>
  <c r="G190" i="23" a="1"/>
  <c r="G190" i="23" s="1"/>
  <c r="L82" i="42" a="1"/>
  <c r="L82" i="42" s="1"/>
  <c r="K82" i="42" a="1"/>
  <c r="K82" i="42" s="1"/>
  <c r="J82" i="42" a="1"/>
  <c r="J82" i="42" s="1"/>
  <c r="L37" i="42" a="1"/>
  <c r="L37" i="42" s="1"/>
  <c r="K37" i="42" a="1"/>
  <c r="K37" i="42" s="1"/>
  <c r="J37" i="42" a="1"/>
  <c r="J37" i="42" s="1"/>
  <c r="H185" i="23" a="1"/>
  <c r="H185" i="23" s="1"/>
  <c r="J65" i="36"/>
  <c r="L65" i="36"/>
  <c r="K65" i="36"/>
  <c r="L35" i="36"/>
  <c r="J35" i="36"/>
  <c r="L70" i="34"/>
  <c r="N70" i="34"/>
  <c r="M70" i="34"/>
  <c r="P70" i="34"/>
  <c r="L72" i="23" a="1"/>
  <c r="L72" i="23" s="1"/>
  <c r="H72" i="23" a="1"/>
  <c r="H72" i="23" s="1"/>
  <c r="J22" i="35" a="1"/>
  <c r="J22" i="35" s="1"/>
  <c r="K22" i="35" a="1"/>
  <c r="K22" i="35" s="1"/>
  <c r="L22" i="35" a="1"/>
  <c r="L22" i="35" s="1"/>
  <c r="L76" i="35" a="1"/>
  <c r="L76" i="35" s="1"/>
  <c r="J191" i="35" a="1"/>
  <c r="J191" i="35" s="1"/>
  <c r="K191" i="35" a="1"/>
  <c r="K191" i="35" s="1"/>
  <c r="L191" i="35" a="1"/>
  <c r="L191" i="35" s="1"/>
  <c r="K148" i="23" a="1"/>
  <c r="K148" i="23" s="1"/>
  <c r="J148" i="23" a="1"/>
  <c r="J148" i="23" s="1"/>
  <c r="J151" i="23" a="1"/>
  <c r="J151" i="23" s="1"/>
  <c r="K151" i="23" a="1"/>
  <c r="K151" i="23" s="1"/>
  <c r="J117" i="35" a="1"/>
  <c r="J117" i="35" s="1"/>
  <c r="L117" i="35" a="1"/>
  <c r="L117" i="35" s="1"/>
  <c r="K117" i="35" a="1"/>
  <c r="K117" i="35" s="1"/>
  <c r="J31" i="35" a="1"/>
  <c r="J31" i="35" s="1"/>
  <c r="K31" i="35" a="1"/>
  <c r="K31" i="35" s="1"/>
  <c r="L31" i="35" a="1"/>
  <c r="L31" i="35" s="1"/>
  <c r="L156" i="23" a="1"/>
  <c r="L156" i="23" s="1"/>
  <c r="K156" i="23" a="1"/>
  <c r="K156" i="23" s="1"/>
  <c r="L212" i="35" a="1"/>
  <c r="L212" i="35" s="1"/>
  <c r="L112" i="35" a="1"/>
  <c r="L112" i="35" s="1"/>
  <c r="J99" i="35" a="1"/>
  <c r="J99" i="35" s="1"/>
  <c r="L99" i="35" a="1"/>
  <c r="L99" i="35" s="1"/>
  <c r="J207" i="23" a="1"/>
  <c r="J207" i="23" s="1"/>
  <c r="K207" i="23" a="1"/>
  <c r="K207" i="23" s="1"/>
  <c r="K162" i="35" a="1"/>
  <c r="K162" i="35" s="1"/>
  <c r="L162" i="35" a="1"/>
  <c r="L162" i="35" s="1"/>
  <c r="J162" i="35" a="1"/>
  <c r="J162" i="35" s="1"/>
  <c r="L124" i="42" a="1"/>
  <c r="L124" i="42" s="1"/>
  <c r="K124" i="42" a="1"/>
  <c r="K124" i="42" s="1"/>
  <c r="J124" i="42" a="1"/>
  <c r="J124" i="42" s="1"/>
  <c r="K111" i="35" a="1"/>
  <c r="K111" i="35" s="1"/>
  <c r="L111" i="35" a="1"/>
  <c r="L111" i="35" s="1"/>
  <c r="J111" i="35" a="1"/>
  <c r="J111" i="35" s="1"/>
  <c r="J92" i="35" a="1"/>
  <c r="J92" i="35" s="1"/>
  <c r="L92" i="35" a="1"/>
  <c r="L92" i="35" s="1"/>
  <c r="K92" i="35" a="1"/>
  <c r="K92" i="35" s="1"/>
  <c r="J79" i="35" a="1"/>
  <c r="J79" i="35" s="1"/>
  <c r="L79" i="35" a="1"/>
  <c r="L79" i="35" s="1"/>
  <c r="K79" i="35" a="1"/>
  <c r="K79" i="35" s="1"/>
  <c r="J139" i="35" a="1"/>
  <c r="J139" i="35" s="1"/>
  <c r="L139" i="35" a="1"/>
  <c r="L139" i="35" s="1"/>
  <c r="K139" i="35" a="1"/>
  <c r="K139" i="35" s="1"/>
  <c r="L142" i="42" a="1"/>
  <c r="L142" i="42" s="1"/>
  <c r="K142" i="42" a="1"/>
  <c r="K142" i="42" s="1"/>
  <c r="J142" i="42" a="1"/>
  <c r="J142" i="42" s="1"/>
  <c r="K46" i="42" a="1"/>
  <c r="K46" i="42" s="1"/>
  <c r="J46" i="42" a="1"/>
  <c r="J46" i="42" s="1"/>
  <c r="L46" i="42" a="1"/>
  <c r="L46" i="42" s="1"/>
  <c r="L66" i="42" a="1"/>
  <c r="L66" i="42" s="1"/>
  <c r="K66" i="42" a="1"/>
  <c r="K66" i="42" s="1"/>
  <c r="J66" i="42" a="1"/>
  <c r="J66" i="42" s="1"/>
  <c r="L23" i="42" a="1"/>
  <c r="L23" i="42" s="1"/>
  <c r="K23" i="42" a="1"/>
  <c r="K23" i="42" s="1"/>
  <c r="J23" i="42" a="1"/>
  <c r="J23" i="42" s="1"/>
  <c r="J126" i="35" a="1"/>
  <c r="J126" i="35" s="1"/>
  <c r="K126" i="35" a="1"/>
  <c r="K126" i="35" s="1"/>
  <c r="L126" i="35" a="1"/>
  <c r="L126" i="35" s="1"/>
  <c r="K125" i="35" a="1"/>
  <c r="K125" i="35" s="1"/>
  <c r="L125" i="35" a="1"/>
  <c r="L125" i="35" s="1"/>
  <c r="J125" i="35" a="1"/>
  <c r="J125" i="35" s="1"/>
  <c r="J77" i="35" a="1"/>
  <c r="J77" i="35" s="1"/>
  <c r="K77" i="35" a="1"/>
  <c r="K77" i="35" s="1"/>
  <c r="L77" i="35" a="1"/>
  <c r="L77" i="35" s="1"/>
  <c r="J118" i="35" a="1"/>
  <c r="J118" i="35" s="1"/>
  <c r="L118" i="35" a="1"/>
  <c r="L118" i="35" s="1"/>
  <c r="K118" i="35" a="1"/>
  <c r="K118" i="35" s="1"/>
  <c r="J124" i="35" a="1"/>
  <c r="J124" i="35" s="1"/>
  <c r="K124" i="35" a="1"/>
  <c r="K124" i="35" s="1"/>
  <c r="L124" i="35" a="1"/>
  <c r="L124" i="35" s="1"/>
  <c r="J102" i="42" a="1"/>
  <c r="J102" i="42" s="1"/>
  <c r="K102" i="42" a="1"/>
  <c r="K102" i="42" s="1"/>
  <c r="L102" i="42" a="1"/>
  <c r="L102" i="42" s="1"/>
  <c r="J179" i="42" a="1"/>
  <c r="J179" i="42" s="1"/>
  <c r="L179" i="42" a="1"/>
  <c r="L179" i="42" s="1"/>
  <c r="K179" i="42" a="1"/>
  <c r="K179" i="42" s="1"/>
  <c r="J16" i="42" a="1"/>
  <c r="J16" i="42" s="1"/>
  <c r="K16" i="42" a="1"/>
  <c r="K16" i="42" s="1"/>
  <c r="L16" i="42" a="1"/>
  <c r="L16" i="42" s="1"/>
  <c r="L196" i="42" a="1"/>
  <c r="L196" i="42" s="1"/>
  <c r="L9" i="42" a="1"/>
  <c r="L9" i="42" s="1"/>
  <c r="J158" i="35" a="1"/>
  <c r="J158" i="35" s="1"/>
  <c r="L158" i="35" a="1"/>
  <c r="L158" i="35" s="1"/>
  <c r="K158" i="35" a="1"/>
  <c r="K158" i="35" s="1"/>
  <c r="K12" i="42" a="1"/>
  <c r="K12" i="42" s="1"/>
  <c r="L12" i="42" a="1"/>
  <c r="L12" i="42" s="1"/>
  <c r="K185" i="23" a="1"/>
  <c r="K185" i="23" s="1"/>
  <c r="J185" i="23" a="1"/>
  <c r="J185" i="23" s="1"/>
  <c r="L89" i="42" a="1"/>
  <c r="L89" i="42" s="1"/>
  <c r="K89" i="42" a="1"/>
  <c r="K89" i="42" s="1"/>
  <c r="J89" i="42" a="1"/>
  <c r="J89" i="42" s="1"/>
  <c r="J98" i="42" a="1"/>
  <c r="J98" i="42" s="1"/>
  <c r="K98" i="42" a="1"/>
  <c r="K98" i="42" s="1"/>
  <c r="L98" i="42" a="1"/>
  <c r="L98" i="42" s="1"/>
  <c r="K96" i="35" a="1"/>
  <c r="K96" i="35" s="1"/>
  <c r="L96" i="35" a="1"/>
  <c r="L96" i="35" s="1"/>
  <c r="L67" i="35" a="1"/>
  <c r="L67" i="35" s="1"/>
  <c r="K67" i="35" a="1"/>
  <c r="K67" i="35" s="1"/>
  <c r="L68" i="35" a="1"/>
  <c r="L68" i="35" s="1"/>
  <c r="K68" i="35" a="1"/>
  <c r="K68" i="35" s="1"/>
  <c r="J71" i="35" a="1"/>
  <c r="J71" i="35" s="1"/>
  <c r="K71" i="35" a="1"/>
  <c r="K71" i="35" s="1"/>
  <c r="L71" i="35" a="1"/>
  <c r="L71" i="35" s="1"/>
  <c r="J102" i="35" a="1"/>
  <c r="J102" i="35" s="1"/>
  <c r="L102" i="35" a="1"/>
  <c r="L102" i="35" s="1"/>
  <c r="K102" i="35" a="1"/>
  <c r="K102" i="35" s="1"/>
  <c r="J46" i="35" a="1"/>
  <c r="J46" i="35" s="1"/>
  <c r="K46" i="35" a="1"/>
  <c r="K46" i="35" s="1"/>
  <c r="L46" i="35" a="1"/>
  <c r="L46" i="35" s="1"/>
  <c r="J39" i="35" a="1"/>
  <c r="J39" i="35" s="1"/>
  <c r="L39" i="35" a="1"/>
  <c r="L39" i="35" s="1"/>
  <c r="K39" i="35" a="1"/>
  <c r="K39" i="35" s="1"/>
  <c r="J15" i="36"/>
  <c r="K15" i="36"/>
  <c r="L15" i="36"/>
  <c r="J109" i="36"/>
  <c r="L109" i="36"/>
  <c r="K109" i="36"/>
  <c r="K86" i="36"/>
  <c r="L86" i="36"/>
  <c r="J86" i="36"/>
  <c r="K22" i="36"/>
  <c r="L22" i="36"/>
  <c r="J22" i="36"/>
  <c r="N113" i="34"/>
  <c r="M113" i="34"/>
  <c r="P113" i="34"/>
  <c r="L75" i="35" a="1"/>
  <c r="L75" i="35" s="1"/>
  <c r="J75" i="35" a="1"/>
  <c r="J75" i="35" s="1"/>
  <c r="K75" i="35" a="1"/>
  <c r="K75" i="35" s="1"/>
  <c r="J72" i="35" a="1"/>
  <c r="J72" i="35" s="1"/>
  <c r="L72" i="35" a="1"/>
  <c r="L72" i="35" s="1"/>
  <c r="K72" i="35" a="1"/>
  <c r="K72" i="35" s="1"/>
  <c r="L132" i="35" a="1"/>
  <c r="L132" i="35" s="1"/>
  <c r="K132" i="35" a="1"/>
  <c r="K132" i="35" s="1"/>
  <c r="L14" i="35" a="1"/>
  <c r="L14" i="35" s="1"/>
  <c r="K14" i="35" a="1"/>
  <c r="K14" i="35" s="1"/>
  <c r="L82" i="23" a="1"/>
  <c r="L82" i="23" s="1"/>
  <c r="J82" i="23" a="1"/>
  <c r="J82" i="23" s="1"/>
  <c r="J62" i="35" a="1"/>
  <c r="J62" i="35" s="1"/>
  <c r="K62" i="35" a="1"/>
  <c r="K62" i="35" s="1"/>
  <c r="L62" i="35" a="1"/>
  <c r="L62" i="35" s="1"/>
  <c r="J208" i="35" a="1"/>
  <c r="J208" i="35" s="1"/>
  <c r="K208" i="35" a="1"/>
  <c r="K208" i="35" s="1"/>
  <c r="L208" i="35" a="1"/>
  <c r="L208" i="35" s="1"/>
  <c r="J115" i="35" a="1"/>
  <c r="J115" i="35" s="1"/>
  <c r="K115" i="35" a="1"/>
  <c r="K115" i="35" s="1"/>
  <c r="L115" i="35" a="1"/>
  <c r="L115" i="35" s="1"/>
  <c r="L116" i="35" a="1"/>
  <c r="L116" i="35" s="1"/>
  <c r="J116" i="35" a="1"/>
  <c r="J116" i="35" s="1"/>
  <c r="K116" i="35" a="1"/>
  <c r="K116" i="35" s="1"/>
  <c r="K5" i="35" a="1"/>
  <c r="K5" i="35" s="1"/>
  <c r="L5" i="35" a="1"/>
  <c r="L5" i="35" s="1"/>
  <c r="J140" i="35" a="1"/>
  <c r="J140" i="35" s="1"/>
  <c r="L140" i="35" a="1"/>
  <c r="L140" i="35" s="1"/>
  <c r="K140" i="35" a="1"/>
  <c r="K140" i="35" s="1"/>
  <c r="L95" i="35" a="1"/>
  <c r="L95" i="35" s="1"/>
  <c r="J114" i="35" a="1"/>
  <c r="J114" i="35" s="1"/>
  <c r="K114" i="35" a="1"/>
  <c r="K114" i="35" s="1"/>
  <c r="K23" i="35" a="1"/>
  <c r="K23" i="35" s="1"/>
  <c r="J23" i="35" a="1"/>
  <c r="J23" i="35" s="1"/>
  <c r="L150" i="23" a="1"/>
  <c r="L150" i="23" s="1"/>
  <c r="G150" i="23" a="1"/>
  <c r="G150" i="23" s="1"/>
  <c r="L213" i="35" a="1"/>
  <c r="L213" i="35" s="1"/>
  <c r="L157" i="23" a="1"/>
  <c r="L157" i="23" s="1"/>
  <c r="J157" i="23" a="1"/>
  <c r="J157" i="23" s="1"/>
  <c r="K162" i="23" a="1"/>
  <c r="K162" i="23" s="1"/>
  <c r="I162" i="23" a="1"/>
  <c r="I162" i="23" s="1"/>
  <c r="J161" i="23" a="1"/>
  <c r="J161" i="23" s="1"/>
  <c r="G161" i="23" a="1"/>
  <c r="G161" i="23" s="1"/>
  <c r="L160" i="23" a="1"/>
  <c r="L160" i="23" s="1"/>
  <c r="G160" i="23" a="1"/>
  <c r="G160" i="23" s="1"/>
  <c r="K41" i="35" a="1"/>
  <c r="K41" i="35" s="1"/>
  <c r="L41" i="35" a="1"/>
  <c r="L41" i="35" s="1"/>
  <c r="L69" i="35" a="1"/>
  <c r="L69" i="35" s="1"/>
  <c r="J69" i="35" a="1"/>
  <c r="J69" i="35" s="1"/>
  <c r="K69" i="35" a="1"/>
  <c r="K69" i="35" s="1"/>
  <c r="K187" i="35" a="1"/>
  <c r="K187" i="35" s="1"/>
  <c r="L187" i="35" a="1"/>
  <c r="L187" i="35" s="1"/>
  <c r="K93" i="35" a="1"/>
  <c r="K93" i="35" s="1"/>
  <c r="J93" i="35" a="1"/>
  <c r="J93" i="35" s="1"/>
  <c r="L93" i="35" a="1"/>
  <c r="L93" i="35" s="1"/>
  <c r="L52" i="35" a="1"/>
  <c r="L52" i="35" s="1"/>
  <c r="J52" i="35" a="1"/>
  <c r="J52" i="35" s="1"/>
  <c r="L203" i="23" a="1"/>
  <c r="L203" i="23" s="1"/>
  <c r="J203" i="23" a="1"/>
  <c r="J203" i="23" s="1"/>
  <c r="K208" i="23" a="1"/>
  <c r="K208" i="23" s="1"/>
  <c r="G208" i="23" a="1"/>
  <c r="G208" i="23" s="1"/>
  <c r="L103" i="35" a="1"/>
  <c r="L103" i="35" s="1"/>
  <c r="K103" i="35" a="1"/>
  <c r="K103" i="35" s="1"/>
  <c r="J209" i="23" a="1"/>
  <c r="J209" i="23" s="1"/>
  <c r="K209" i="23" a="1"/>
  <c r="K209" i="23" s="1"/>
  <c r="J120" i="35" a="1"/>
  <c r="J120" i="35" s="1"/>
  <c r="L120" i="35" a="1"/>
  <c r="L120" i="35" s="1"/>
  <c r="K120" i="35" a="1"/>
  <c r="K120" i="35" s="1"/>
  <c r="L55" i="35" a="1"/>
  <c r="L55" i="35" s="1"/>
  <c r="J55" i="35" a="1"/>
  <c r="J55" i="35" s="1"/>
  <c r="K55" i="35" a="1"/>
  <c r="K55" i="35" s="1"/>
  <c r="K60" i="42" a="1"/>
  <c r="K60" i="42" s="1"/>
  <c r="L60" i="42" a="1"/>
  <c r="L60" i="42" s="1"/>
  <c r="J60" i="42" a="1"/>
  <c r="J60" i="42" s="1"/>
  <c r="J137" i="42" a="1"/>
  <c r="J137" i="42" s="1"/>
  <c r="L137" i="42" a="1"/>
  <c r="L137" i="42" s="1"/>
  <c r="K137" i="42" a="1"/>
  <c r="K137" i="42" s="1"/>
  <c r="J4" i="42" a="1"/>
  <c r="J4" i="42" s="1"/>
  <c r="K4" i="42" a="1"/>
  <c r="K4" i="42" s="1"/>
  <c r="L4" i="42" a="1"/>
  <c r="L4" i="42" s="1"/>
  <c r="J30" i="42" a="1"/>
  <c r="J30" i="42" s="1"/>
  <c r="K30" i="42" a="1"/>
  <c r="K30" i="42" s="1"/>
  <c r="L30" i="42" a="1"/>
  <c r="L30" i="42" s="1"/>
  <c r="O65" i="24"/>
  <c r="K65" i="24" a="1"/>
  <c r="K65" i="24" s="1"/>
  <c r="K43" i="35" a="1"/>
  <c r="K43" i="35" s="1"/>
  <c r="J43" i="35" a="1"/>
  <c r="J43" i="35" s="1"/>
  <c r="L43" i="35" a="1"/>
  <c r="L43" i="35" s="1"/>
  <c r="J186" i="35" a="1"/>
  <c r="J186" i="35" s="1"/>
  <c r="L186" i="35" a="1"/>
  <c r="L186" i="35" s="1"/>
  <c r="K186" i="35" a="1"/>
  <c r="K186" i="35" s="1"/>
  <c r="K55" i="42" a="1"/>
  <c r="K55" i="42" s="1"/>
  <c r="L55" i="42" a="1"/>
  <c r="L55" i="42" s="1"/>
  <c r="J55" i="42" a="1"/>
  <c r="J55" i="42" s="1"/>
  <c r="J67" i="42" a="1"/>
  <c r="J67" i="42" s="1"/>
  <c r="K67" i="42" a="1"/>
  <c r="K67" i="42" s="1"/>
  <c r="L67" i="42" a="1"/>
  <c r="L67" i="42" s="1"/>
  <c r="J177" i="35" a="1"/>
  <c r="J177" i="35" s="1"/>
  <c r="K177" i="35" a="1"/>
  <c r="K177" i="35" s="1"/>
  <c r="L177" i="35" a="1"/>
  <c r="L177" i="35" s="1"/>
  <c r="J175" i="35" a="1"/>
  <c r="J175" i="35" s="1"/>
  <c r="L175" i="35" a="1"/>
  <c r="L175" i="35" s="1"/>
  <c r="K175" i="35" a="1"/>
  <c r="K175" i="35" s="1"/>
  <c r="J26" i="23" a="1"/>
  <c r="J26" i="23" s="1"/>
  <c r="I26" i="23" a="1"/>
  <c r="I26" i="23" s="1"/>
  <c r="K10" i="24" a="1"/>
  <c r="K10" i="24" s="1"/>
  <c r="H10" i="24" a="1"/>
  <c r="H10" i="24" s="1"/>
  <c r="G10" i="24" a="1"/>
  <c r="G10" i="24" s="1"/>
  <c r="J10" i="24" a="1"/>
  <c r="J10" i="24" s="1"/>
  <c r="K164" i="35" a="1"/>
  <c r="K164" i="35" s="1"/>
  <c r="L164" i="35" a="1"/>
  <c r="L164" i="35" s="1"/>
  <c r="J157" i="35" a="1"/>
  <c r="J157" i="35" s="1"/>
  <c r="K157" i="35" a="1"/>
  <c r="K157" i="35" s="1"/>
  <c r="L157" i="35" a="1"/>
  <c r="L157" i="35" s="1"/>
  <c r="J165" i="35" a="1"/>
  <c r="J165" i="35" s="1"/>
  <c r="K165" i="35" a="1"/>
  <c r="K165" i="35" s="1"/>
  <c r="L165" i="35" a="1"/>
  <c r="L165" i="35" s="1"/>
  <c r="G61" i="25" a="1"/>
  <c r="G61" i="25" s="1"/>
  <c r="H61" i="25" a="1"/>
  <c r="H61" i="25" s="1"/>
  <c r="J65" i="42" a="1"/>
  <c r="J65" i="42" s="1"/>
  <c r="K65" i="42" a="1"/>
  <c r="K65" i="42" s="1"/>
  <c r="L65" i="42" a="1"/>
  <c r="L65" i="42" s="1"/>
  <c r="J88" i="42" a="1"/>
  <c r="J88" i="42" s="1"/>
  <c r="K88" i="42" a="1"/>
  <c r="K88" i="42" s="1"/>
  <c r="L88" i="42" a="1"/>
  <c r="L88" i="42" s="1"/>
  <c r="J178" i="42" a="1"/>
  <c r="J178" i="42" s="1"/>
  <c r="L178" i="42" a="1"/>
  <c r="L178" i="42" s="1"/>
  <c r="K178" i="42" a="1"/>
  <c r="K178" i="42" s="1"/>
  <c r="L157" i="42" a="1"/>
  <c r="L157" i="42" s="1"/>
  <c r="L63" i="35" a="1"/>
  <c r="L63" i="35" s="1"/>
  <c r="L159" i="35" a="1"/>
  <c r="L159" i="35" s="1"/>
  <c r="K125" i="42" a="1"/>
  <c r="K125" i="42" s="1"/>
  <c r="L125" i="42" a="1"/>
  <c r="L125" i="42" s="1"/>
  <c r="L79" i="42" a="1"/>
  <c r="L79" i="42" s="1"/>
  <c r="K79" i="42" a="1"/>
  <c r="K79" i="42" s="1"/>
  <c r="J79" i="42" a="1"/>
  <c r="J79" i="42" s="1"/>
  <c r="K112" i="25" a="1"/>
  <c r="K112" i="25" s="1"/>
  <c r="G112" i="25" a="1"/>
  <c r="G112" i="25" s="1"/>
  <c r="L175" i="42" a="1"/>
  <c r="L175" i="42" s="1"/>
  <c r="K175" i="42" a="1"/>
  <c r="K175" i="42" s="1"/>
  <c r="L190" i="23" a="1"/>
  <c r="L190" i="23" s="1"/>
  <c r="K190" i="23" a="1"/>
  <c r="K190" i="23" s="1"/>
  <c r="J190" i="23" a="1"/>
  <c r="J190" i="23" s="1"/>
  <c r="J151" i="42" a="1"/>
  <c r="J151" i="42" s="1"/>
  <c r="K151" i="42" a="1"/>
  <c r="K151" i="42" s="1"/>
  <c r="L151" i="42" a="1"/>
  <c r="L151" i="42" s="1"/>
  <c r="G192" i="23" a="1"/>
  <c r="G192" i="23" s="1"/>
  <c r="I192" i="23" a="1"/>
  <c r="I192" i="23" s="1"/>
  <c r="L87" i="42" a="1"/>
  <c r="L87" i="42" s="1"/>
  <c r="J87" i="42" a="1"/>
  <c r="J87" i="42" s="1"/>
  <c r="K87" i="42" a="1"/>
  <c r="K87" i="42" s="1"/>
  <c r="J184" i="23" a="1"/>
  <c r="J184" i="23" s="1"/>
  <c r="K184" i="23" a="1"/>
  <c r="K184" i="23" s="1"/>
  <c r="G191" i="23" a="1"/>
  <c r="G191" i="23" s="1"/>
  <c r="I191" i="23" a="1"/>
  <c r="I191" i="23" s="1"/>
  <c r="K191" i="23" a="1"/>
  <c r="K191" i="23" s="1"/>
  <c r="L192" i="42" a="1"/>
  <c r="L192" i="42" s="1"/>
  <c r="K192" i="42" a="1"/>
  <c r="K192" i="42" s="1"/>
  <c r="J192" i="42" a="1"/>
  <c r="J192" i="42" s="1"/>
  <c r="L18" i="42" a="1"/>
  <c r="L18" i="42" s="1"/>
  <c r="L54" i="35" a="1"/>
  <c r="L54" i="35" s="1"/>
  <c r="L17" i="23" a="1"/>
  <c r="L17" i="23" s="1"/>
  <c r="H17" i="23" a="1"/>
  <c r="H17" i="23" s="1"/>
  <c r="K58" i="35" a="1"/>
  <c r="K58" i="35" s="1"/>
  <c r="L58" i="35" a="1"/>
  <c r="L58" i="35" s="1"/>
  <c r="K38" i="35" a="1"/>
  <c r="K38" i="35" s="1"/>
  <c r="L38" i="35" a="1"/>
  <c r="L38" i="35" s="1"/>
  <c r="J38" i="35" a="1"/>
  <c r="J38" i="35" s="1"/>
  <c r="K41" i="36"/>
  <c r="J41" i="36"/>
  <c r="L26" i="36"/>
  <c r="J26" i="36"/>
  <c r="K20" i="36"/>
  <c r="L20" i="36"/>
  <c r="J20" i="36"/>
  <c r="K111" i="36"/>
  <c r="L111" i="36"/>
  <c r="L17" i="36"/>
  <c r="K17" i="36"/>
  <c r="J48" i="36"/>
  <c r="K48" i="36"/>
  <c r="L48" i="36"/>
  <c r="J52" i="36"/>
  <c r="L52" i="36"/>
  <c r="K52" i="36"/>
  <c r="J73" i="36"/>
  <c r="L73" i="36"/>
  <c r="K73" i="36"/>
  <c r="K167" i="35" a="1"/>
  <c r="K167" i="35" s="1"/>
  <c r="L167" i="35" a="1"/>
  <c r="L167" i="35" s="1"/>
  <c r="J59" i="36"/>
  <c r="L59" i="36"/>
  <c r="K59" i="36"/>
  <c r="K44" i="36"/>
  <c r="L44" i="36"/>
  <c r="J44" i="36"/>
  <c r="L90" i="35" a="1"/>
  <c r="L90" i="35" s="1"/>
  <c r="K90" i="35" a="1"/>
  <c r="K90" i="35" s="1"/>
  <c r="L92" i="36"/>
  <c r="K92" i="36"/>
  <c r="J92" i="36"/>
  <c r="K37" i="36"/>
  <c r="J37" i="36"/>
  <c r="L37" i="36"/>
  <c r="J69" i="36"/>
  <c r="K69" i="36"/>
  <c r="L69" i="36"/>
  <c r="J77" i="36"/>
  <c r="L77" i="36"/>
  <c r="K77" i="36"/>
  <c r="L64" i="36"/>
  <c r="K64" i="36"/>
  <c r="J64" i="36"/>
  <c r="L50" i="36"/>
  <c r="K50" i="36"/>
  <c r="J50" i="36"/>
  <c r="L112" i="34"/>
  <c r="P112" i="34"/>
  <c r="N112" i="34"/>
  <c r="M112" i="34"/>
  <c r="L152" i="35" a="1"/>
  <c r="L152" i="35" s="1"/>
  <c r="J152" i="35" a="1"/>
  <c r="J152" i="35" s="1"/>
  <c r="L88" i="36"/>
  <c r="J88" i="36"/>
  <c r="K88" i="36"/>
  <c r="P51" i="34"/>
  <c r="L51" i="34"/>
  <c r="N51" i="34"/>
  <c r="M51" i="34"/>
  <c r="K149" i="35" a="1"/>
  <c r="K149" i="35" s="1"/>
  <c r="L149" i="35" a="1"/>
  <c r="L149" i="35" s="1"/>
  <c r="J104" i="36"/>
  <c r="L104" i="36"/>
  <c r="K104" i="36"/>
  <c r="K190" i="35" a="1"/>
  <c r="K190" i="35" s="1"/>
  <c r="L190" i="35" a="1"/>
  <c r="L190" i="35" s="1"/>
  <c r="J87" i="36"/>
  <c r="K87" i="36"/>
  <c r="L87" i="36"/>
  <c r="J62" i="36"/>
  <c r="L62" i="36"/>
  <c r="K62" i="36"/>
  <c r="K57" i="36"/>
  <c r="J57" i="36"/>
  <c r="L57" i="36"/>
  <c r="K42" i="36"/>
  <c r="J42" i="36"/>
  <c r="L42" i="36"/>
  <c r="L168" i="35" a="1"/>
  <c r="L168" i="35" s="1"/>
  <c r="P89" i="34"/>
  <c r="M89" i="34"/>
  <c r="N89" i="34"/>
  <c r="L2" i="36"/>
  <c r="K2" i="36"/>
  <c r="J2" i="36"/>
  <c r="K115" i="36"/>
  <c r="L115" i="36"/>
  <c r="J115" i="36"/>
  <c r="J204" i="35" a="1"/>
  <c r="J204" i="35" s="1"/>
  <c r="K204" i="35" a="1"/>
  <c r="K204" i="35" s="1"/>
  <c r="L204" i="35" a="1"/>
  <c r="L204" i="35" s="1"/>
  <c r="L78" i="34"/>
  <c r="P78" i="34"/>
  <c r="N78" i="34"/>
  <c r="M78" i="34"/>
  <c r="K34" i="36"/>
  <c r="L34" i="36"/>
  <c r="J34" i="36"/>
  <c r="J60" i="36"/>
  <c r="L60" i="36"/>
  <c r="K60" i="36"/>
  <c r="J74" i="36"/>
  <c r="K74" i="36"/>
  <c r="L74" i="36"/>
  <c r="L147" i="23" a="1"/>
  <c r="L147" i="23" s="1"/>
  <c r="H147" i="23" a="1"/>
  <c r="H147" i="23" s="1"/>
  <c r="L43" i="36"/>
  <c r="J43" i="36"/>
  <c r="K43" i="36"/>
  <c r="L87" i="35" a="1"/>
  <c r="L87" i="35" s="1"/>
  <c r="J87" i="35" a="1"/>
  <c r="J87" i="35" s="1"/>
  <c r="K88" i="35" a="1"/>
  <c r="K88" i="35" s="1"/>
  <c r="J88" i="35" a="1"/>
  <c r="J88" i="35" s="1"/>
  <c r="L88" i="35" a="1"/>
  <c r="L88" i="35" s="1"/>
  <c r="L33" i="36"/>
  <c r="J154" i="23" a="1"/>
  <c r="J154" i="23" s="1"/>
  <c r="K154" i="23" a="1"/>
  <c r="K154" i="23" s="1"/>
  <c r="L155" i="23" a="1"/>
  <c r="L155" i="23" s="1"/>
  <c r="K155" i="23" a="1"/>
  <c r="K155" i="23" s="1"/>
  <c r="L211" i="35" a="1"/>
  <c r="L211" i="35" s="1"/>
  <c r="L158" i="23" a="1"/>
  <c r="L158" i="23" s="1"/>
  <c r="J158" i="23" a="1"/>
  <c r="J158" i="23" s="1"/>
  <c r="K117" i="36"/>
  <c r="J117" i="36"/>
  <c r="L117" i="36"/>
  <c r="H153" i="23" a="1"/>
  <c r="H153" i="23" s="1"/>
  <c r="J153" i="23" a="1"/>
  <c r="J153" i="23" s="1"/>
  <c r="L214" i="35" a="1"/>
  <c r="L214" i="35" s="1"/>
  <c r="P122" i="34"/>
  <c r="M122" i="34"/>
  <c r="N122" i="34"/>
  <c r="L81" i="36"/>
  <c r="J81" i="36"/>
  <c r="K81" i="36"/>
  <c r="J71" i="36"/>
  <c r="L71" i="36"/>
  <c r="K71" i="36"/>
  <c r="K94" i="36"/>
  <c r="L94" i="36"/>
  <c r="J94" i="36"/>
  <c r="J5" i="36"/>
  <c r="L5" i="36"/>
  <c r="K5" i="36"/>
  <c r="J100" i="36"/>
  <c r="K100" i="36"/>
  <c r="L100" i="36"/>
  <c r="J113" i="36"/>
  <c r="K113" i="36"/>
  <c r="L113" i="36"/>
  <c r="J199" i="35" a="1"/>
  <c r="J199" i="35" s="1"/>
  <c r="K199" i="35" a="1"/>
  <c r="K199" i="35" s="1"/>
  <c r="L199" i="35" a="1"/>
  <c r="L199" i="35" s="1"/>
  <c r="J4" i="36"/>
  <c r="L4" i="36"/>
  <c r="K4" i="36"/>
  <c r="K68" i="36"/>
  <c r="L68" i="36"/>
  <c r="J68" i="36"/>
  <c r="L194" i="23" a="1"/>
  <c r="L194" i="23" s="1"/>
  <c r="J194" i="23" a="1"/>
  <c r="J194" i="23" s="1"/>
  <c r="M98" i="34"/>
  <c r="N98" i="34"/>
  <c r="P98" i="34"/>
  <c r="L205" i="23" a="1"/>
  <c r="L205" i="23" s="1"/>
  <c r="K205" i="23" a="1"/>
  <c r="K205" i="23" s="1"/>
  <c r="K40" i="36"/>
  <c r="L40" i="36"/>
  <c r="J40" i="36"/>
  <c r="K65" i="35" a="1"/>
  <c r="K65" i="35" s="1"/>
  <c r="L65" i="35" a="1"/>
  <c r="L65" i="35" s="1"/>
  <c r="L208" i="23" a="1"/>
  <c r="L208" i="23" s="1"/>
  <c r="J208" i="23" a="1"/>
  <c r="J208" i="23" s="1"/>
  <c r="K110" i="36"/>
  <c r="J110" i="36"/>
  <c r="L110" i="36"/>
  <c r="L108" i="36"/>
  <c r="K108" i="36"/>
  <c r="J108" i="36"/>
  <c r="L213" i="23" a="1"/>
  <c r="L213" i="23" s="1"/>
  <c r="J213" i="23" a="1"/>
  <c r="J213" i="23" s="1"/>
  <c r="L212" i="23" a="1"/>
  <c r="L212" i="23" s="1"/>
  <c r="J212" i="23" a="1"/>
  <c r="J212" i="23" s="1"/>
  <c r="K90" i="36"/>
  <c r="J90" i="36"/>
  <c r="L90" i="36"/>
  <c r="K82" i="36"/>
  <c r="J82" i="36"/>
  <c r="L82" i="36"/>
  <c r="L72" i="36"/>
  <c r="J72" i="36"/>
  <c r="K72" i="36"/>
  <c r="J153" i="35" a="1"/>
  <c r="J153" i="35" s="1"/>
  <c r="K153" i="35" a="1"/>
  <c r="K153" i="35" s="1"/>
  <c r="L153" i="35" a="1"/>
  <c r="L153" i="35" s="1"/>
  <c r="K2" i="26"/>
  <c r="J2" i="26"/>
  <c r="L2" i="26"/>
  <c r="L93" i="36"/>
  <c r="J93" i="36"/>
  <c r="K93" i="36"/>
  <c r="K49" i="36"/>
  <c r="L49" i="36"/>
  <c r="J49" i="36"/>
  <c r="J3" i="23" a="1"/>
  <c r="J3" i="23" s="1"/>
  <c r="K3" i="23" a="1"/>
  <c r="K3" i="23" s="1"/>
  <c r="L2" i="23" a="1"/>
  <c r="L2" i="23" s="1"/>
  <c r="K2" i="23" a="1"/>
  <c r="K2" i="23" s="1"/>
  <c r="K120" i="42" a="1"/>
  <c r="K120" i="42" s="1"/>
  <c r="J120" i="42" a="1"/>
  <c r="J120" i="42" s="1"/>
  <c r="L120" i="42" a="1"/>
  <c r="L120" i="42" s="1"/>
  <c r="K40" i="42" a="1"/>
  <c r="K40" i="42" s="1"/>
  <c r="J40" i="42" a="1"/>
  <c r="J40" i="42" s="1"/>
  <c r="L40" i="42" a="1"/>
  <c r="L40" i="42" s="1"/>
  <c r="J11" i="36"/>
  <c r="L11" i="36"/>
  <c r="K11" i="36"/>
  <c r="O23" i="40"/>
  <c r="M23" i="40"/>
  <c r="L23" i="40"/>
  <c r="P23" i="40"/>
  <c r="K67" i="36"/>
  <c r="J67" i="36"/>
  <c r="L67" i="36"/>
  <c r="O83" i="40"/>
  <c r="P83" i="40"/>
  <c r="M84" i="40"/>
  <c r="L84" i="40"/>
  <c r="O84" i="40"/>
  <c r="P84" i="40"/>
  <c r="M16" i="25"/>
  <c r="O16" i="25"/>
  <c r="L16" i="25"/>
  <c r="N16" i="25"/>
  <c r="P16" i="25"/>
  <c r="L25" i="23" a="1"/>
  <c r="L25" i="23" s="1"/>
  <c r="J25" i="23" a="1"/>
  <c r="J25" i="23" s="1"/>
  <c r="J111" i="42" a="1"/>
  <c r="J111" i="42" s="1"/>
  <c r="L111" i="42" a="1"/>
  <c r="L111" i="42" s="1"/>
  <c r="K111" i="42" a="1"/>
  <c r="K111" i="42" s="1"/>
  <c r="K80" i="36"/>
  <c r="L80" i="36"/>
  <c r="J80" i="36"/>
  <c r="J183" i="35" a="1"/>
  <c r="J183" i="35" s="1"/>
  <c r="K183" i="35" a="1"/>
  <c r="K183" i="35" s="1"/>
  <c r="L183" i="35" a="1"/>
  <c r="L183" i="35" s="1"/>
  <c r="J85" i="36"/>
  <c r="K85" i="36"/>
  <c r="L85" i="36"/>
  <c r="K80" i="42" a="1"/>
  <c r="K80" i="42" s="1"/>
  <c r="J80" i="42" a="1"/>
  <c r="J80" i="42" s="1"/>
  <c r="L80" i="42" a="1"/>
  <c r="L80" i="42" s="1"/>
  <c r="K42" i="42" a="1"/>
  <c r="K42" i="42" s="1"/>
  <c r="L42" i="42" a="1"/>
  <c r="L42" i="42" s="1"/>
  <c r="J42" i="42" a="1"/>
  <c r="J42" i="42" s="1"/>
  <c r="L4" i="40"/>
  <c r="O4" i="40"/>
  <c r="P4" i="40"/>
  <c r="M4" i="40"/>
  <c r="K9" i="36"/>
  <c r="J9" i="36"/>
  <c r="L9" i="36"/>
  <c r="K76" i="36"/>
  <c r="L76" i="36"/>
  <c r="J76" i="36"/>
  <c r="K46" i="36"/>
  <c r="L46" i="36"/>
  <c r="J46" i="36"/>
  <c r="K144" i="42" a="1"/>
  <c r="K144" i="42" s="1"/>
  <c r="J144" i="42" a="1"/>
  <c r="J144" i="42" s="1"/>
  <c r="L144" i="42" a="1"/>
  <c r="L144" i="42" s="1"/>
  <c r="I8" i="26" a="1"/>
  <c r="I8" i="26" s="1"/>
  <c r="H8" i="26" a="1"/>
  <c r="H8" i="26" s="1"/>
  <c r="L8" i="26"/>
  <c r="K8" i="26"/>
  <c r="L26" i="40"/>
  <c r="P26" i="40"/>
  <c r="O26" i="40"/>
  <c r="M26" i="40"/>
  <c r="L58" i="40"/>
  <c r="P58" i="40"/>
  <c r="M58" i="40"/>
  <c r="M57" i="40"/>
  <c r="P57" i="40"/>
  <c r="O57" i="40"/>
  <c r="K25" i="36"/>
  <c r="L25" i="36"/>
  <c r="J25" i="36"/>
  <c r="J16" i="36"/>
  <c r="K16" i="36"/>
  <c r="L16" i="36"/>
  <c r="L24" i="23" a="1"/>
  <c r="L24" i="23" s="1"/>
  <c r="K24" i="23" a="1"/>
  <c r="K24" i="23" s="1"/>
  <c r="K176" i="35" a="1"/>
  <c r="K176" i="35" s="1"/>
  <c r="L176" i="35" a="1"/>
  <c r="L176" i="35" s="1"/>
  <c r="J176" i="35" a="1"/>
  <c r="J176" i="35" s="1"/>
  <c r="L14" i="25"/>
  <c r="M14" i="25"/>
  <c r="N14" i="25"/>
  <c r="O14" i="25"/>
  <c r="P14" i="25"/>
  <c r="L178" i="35" a="1"/>
  <c r="L178" i="35" s="1"/>
  <c r="J178" i="35" a="1"/>
  <c r="J178" i="35" s="1"/>
  <c r="K178" i="35" a="1"/>
  <c r="K178" i="35" s="1"/>
  <c r="K106" i="36"/>
  <c r="L106" i="36"/>
  <c r="J106" i="36"/>
  <c r="M10" i="24"/>
  <c r="N10" i="24"/>
  <c r="O10" i="24"/>
  <c r="H13" i="26" a="1"/>
  <c r="H13" i="26" s="1"/>
  <c r="L13" i="26"/>
  <c r="J13" i="26"/>
  <c r="K13" i="26"/>
  <c r="J97" i="36"/>
  <c r="L97" i="36"/>
  <c r="K97" i="36"/>
  <c r="M73" i="40"/>
  <c r="L73" i="40"/>
  <c r="P73" i="40"/>
  <c r="J3" i="36"/>
  <c r="L3" i="36"/>
  <c r="K3" i="36"/>
  <c r="L74" i="40"/>
  <c r="P74" i="40"/>
  <c r="M74" i="40"/>
  <c r="O74" i="40"/>
  <c r="G15" i="25" a="1"/>
  <c r="G15" i="25" s="1"/>
  <c r="N15" i="25"/>
  <c r="M15" i="25"/>
  <c r="P15" i="25"/>
  <c r="J15" i="25" a="1"/>
  <c r="J15" i="25" s="1"/>
  <c r="O15" i="25"/>
  <c r="H14" i="26" a="1"/>
  <c r="H14" i="26" s="1"/>
  <c r="K14" i="26"/>
  <c r="J14" i="26"/>
  <c r="L14" i="26"/>
  <c r="K104" i="35" a="1"/>
  <c r="K104" i="35" s="1"/>
  <c r="L104" i="35" a="1"/>
  <c r="L104" i="35" s="1"/>
  <c r="J104" i="35" a="1"/>
  <c r="J104" i="35" s="1"/>
  <c r="J21" i="36"/>
  <c r="L21" i="36"/>
  <c r="K21" i="36"/>
  <c r="K96" i="36"/>
  <c r="L96" i="36"/>
  <c r="J96" i="36"/>
  <c r="L101" i="36"/>
  <c r="J101" i="36"/>
  <c r="K101" i="36"/>
  <c r="J23" i="23" a="1"/>
  <c r="J23" i="23" s="1"/>
  <c r="K23" i="23" a="1"/>
  <c r="K23" i="23" s="1"/>
  <c r="M22" i="40"/>
  <c r="O22" i="40"/>
  <c r="L22" i="40"/>
  <c r="P22" i="40"/>
  <c r="L22" i="23" a="1"/>
  <c r="L22" i="23" s="1"/>
  <c r="K22" i="23" a="1"/>
  <c r="K22" i="23" s="1"/>
  <c r="J22" i="23" a="1"/>
  <c r="J22" i="23" s="1"/>
  <c r="L27" i="36"/>
  <c r="K27" i="36"/>
  <c r="J27" i="36"/>
  <c r="J91" i="36"/>
  <c r="K91" i="36"/>
  <c r="L91" i="36"/>
  <c r="O53" i="40"/>
  <c r="L53" i="40"/>
  <c r="P53" i="40"/>
  <c r="M53" i="40"/>
  <c r="P78" i="40"/>
  <c r="O78" i="40"/>
  <c r="M78" i="40"/>
  <c r="L47" i="36"/>
  <c r="J99" i="36"/>
  <c r="L99" i="36"/>
  <c r="K99" i="36"/>
  <c r="K102" i="36"/>
  <c r="L102" i="36"/>
  <c r="J102" i="36"/>
  <c r="J55" i="36"/>
  <c r="L55" i="36"/>
  <c r="K55" i="36"/>
  <c r="J89" i="36"/>
  <c r="L89" i="36"/>
  <c r="K89" i="36"/>
  <c r="M63" i="40"/>
  <c r="L63" i="40"/>
  <c r="O63" i="40"/>
  <c r="P63" i="40"/>
  <c r="L188" i="23" a="1"/>
  <c r="L188" i="23" s="1"/>
  <c r="K188" i="23" a="1"/>
  <c r="K188" i="23" s="1"/>
  <c r="O64" i="40"/>
  <c r="L64" i="40"/>
  <c r="M64" i="40"/>
  <c r="O65" i="40"/>
  <c r="M65" i="40"/>
  <c r="L192" i="23" a="1"/>
  <c r="L192" i="23" s="1"/>
  <c r="J192" i="23" a="1"/>
  <c r="J192" i="23" s="1"/>
  <c r="K192" i="23" a="1"/>
  <c r="K192" i="23" s="1"/>
  <c r="J61" i="36"/>
  <c r="L61" i="36"/>
  <c r="K61" i="36"/>
  <c r="L35" i="40"/>
  <c r="M35" i="40"/>
  <c r="O35" i="40"/>
  <c r="P35" i="40"/>
  <c r="L191" i="23" a="1"/>
  <c r="L191" i="23" s="1"/>
  <c r="J191" i="23" a="1"/>
  <c r="J191" i="23" s="1"/>
  <c r="K51" i="36"/>
  <c r="J51" i="36"/>
  <c r="L51" i="36"/>
  <c r="J116" i="36"/>
  <c r="K116" i="36"/>
  <c r="L116" i="36"/>
  <c r="K19" i="36"/>
  <c r="J19" i="36"/>
  <c r="L19" i="36"/>
  <c r="L53" i="42" a="1"/>
  <c r="L53" i="42" s="1"/>
  <c r="K35" i="42" a="1"/>
  <c r="K35" i="42" s="1"/>
  <c r="J35" i="42" a="1"/>
  <c r="J35" i="42" s="1"/>
  <c r="L35" i="42" a="1"/>
  <c r="L35" i="42" s="1"/>
  <c r="L131" i="42" a="1"/>
  <c r="L131" i="42" s="1"/>
  <c r="K131" i="42" a="1"/>
  <c r="K131" i="42" s="1"/>
  <c r="J131" i="42" a="1"/>
  <c r="J131" i="42" s="1"/>
  <c r="K54" i="36"/>
  <c r="J54" i="36"/>
  <c r="L54" i="36"/>
  <c r="I192" i="42" a="1"/>
  <c r="I192" i="42" s="1"/>
  <c r="K68" i="34" a="1"/>
  <c r="K68" i="34" s="1"/>
  <c r="I32" i="35" a="1"/>
  <c r="I32" i="35" s="1"/>
  <c r="I147" i="35" a="1"/>
  <c r="I147" i="35" s="1"/>
  <c r="I160" i="35" a="1"/>
  <c r="I160" i="35" s="1"/>
  <c r="I71" i="36" a="1"/>
  <c r="I71" i="36" s="1"/>
  <c r="I56" i="36" a="1"/>
  <c r="I56" i="36" s="1"/>
  <c r="I67" i="34" a="1"/>
  <c r="I67" i="34" s="1"/>
  <c r="M5" i="34"/>
  <c r="L5" i="34"/>
  <c r="N5" i="34"/>
  <c r="P5" i="34"/>
  <c r="N4" i="34"/>
  <c r="M4" i="34"/>
  <c r="L4" i="34"/>
  <c r="P4" i="34"/>
  <c r="P104" i="34"/>
  <c r="M104" i="34"/>
  <c r="N104" i="34"/>
  <c r="P38" i="34"/>
  <c r="N38" i="34"/>
  <c r="M38" i="34"/>
  <c r="P76" i="34"/>
  <c r="N76" i="34"/>
  <c r="M76" i="34"/>
  <c r="L76" i="34"/>
  <c r="N72" i="34"/>
  <c r="P72" i="34"/>
  <c r="N77" i="34"/>
  <c r="M77" i="34"/>
  <c r="L77" i="34"/>
  <c r="P77" i="34"/>
  <c r="N66" i="34"/>
  <c r="M66" i="34"/>
  <c r="P66" i="34"/>
  <c r="L66" i="34"/>
  <c r="P26" i="34"/>
  <c r="L26" i="34"/>
  <c r="M26" i="34"/>
  <c r="N26" i="34"/>
  <c r="N40" i="34"/>
  <c r="P40" i="34"/>
  <c r="L40" i="34"/>
  <c r="M40" i="34"/>
  <c r="L41" i="34"/>
  <c r="P41" i="34"/>
  <c r="N41" i="34"/>
  <c r="M41" i="34"/>
  <c r="L73" i="34"/>
  <c r="N73" i="34"/>
  <c r="P73" i="34"/>
  <c r="M73" i="34"/>
  <c r="P19" i="34"/>
  <c r="N19" i="34"/>
  <c r="M19" i="34"/>
  <c r="L19" i="34"/>
  <c r="O21" i="33"/>
  <c r="M21" i="33"/>
  <c r="P21" i="33"/>
  <c r="L21" i="33"/>
  <c r="O13" i="33"/>
  <c r="P13" i="33"/>
  <c r="P20" i="33"/>
  <c r="M20" i="33"/>
  <c r="L20" i="33"/>
  <c r="O20" i="33"/>
  <c r="L74" i="34"/>
  <c r="N74" i="34"/>
  <c r="M74" i="34"/>
  <c r="P74" i="34"/>
  <c r="N15" i="34"/>
  <c r="L15" i="34"/>
  <c r="M15" i="34"/>
  <c r="P15" i="34"/>
  <c r="O9" i="33"/>
  <c r="P9" i="33"/>
  <c r="L9" i="33"/>
  <c r="M9" i="33"/>
  <c r="M71" i="34"/>
  <c r="N71" i="34"/>
  <c r="P71" i="34"/>
  <c r="L71" i="34"/>
  <c r="M23" i="33"/>
  <c r="P23" i="33"/>
  <c r="O23" i="33"/>
  <c r="L23" i="33"/>
  <c r="M105" i="34"/>
  <c r="N105" i="34"/>
  <c r="P105" i="34"/>
  <c r="J107" i="36"/>
  <c r="K107" i="36"/>
  <c r="N36" i="34"/>
  <c r="P36" i="34"/>
  <c r="M36" i="34"/>
  <c r="M35" i="34"/>
  <c r="N35" i="34"/>
  <c r="P35" i="34"/>
  <c r="M81" i="34"/>
  <c r="N81" i="34"/>
  <c r="P81" i="34"/>
  <c r="M80" i="34"/>
  <c r="N80" i="34"/>
  <c r="P80" i="34"/>
  <c r="N95" i="34"/>
  <c r="P95" i="34"/>
  <c r="M95" i="34"/>
  <c r="P114" i="34"/>
  <c r="N114" i="34"/>
  <c r="M114" i="34"/>
  <c r="P115" i="34"/>
  <c r="N115" i="34"/>
  <c r="M115" i="34"/>
  <c r="K18" i="35" a="1"/>
  <c r="K18" i="35" s="1"/>
  <c r="L18" i="35" a="1"/>
  <c r="L18" i="35" s="1"/>
  <c r="J18" i="35" a="1"/>
  <c r="J18" i="35" s="1"/>
  <c r="L31" i="33"/>
  <c r="O31" i="33"/>
  <c r="M31" i="33"/>
  <c r="P31" i="33"/>
  <c r="P32" i="33"/>
  <c r="O32" i="33"/>
  <c r="M32" i="33"/>
  <c r="L32" i="33"/>
  <c r="L52" i="34"/>
  <c r="M52" i="34"/>
  <c r="N52" i="34"/>
  <c r="P52" i="34"/>
  <c r="N123" i="34"/>
  <c r="M123" i="34"/>
  <c r="P123" i="34"/>
  <c r="L73" i="35" a="1"/>
  <c r="L73" i="35" s="1"/>
  <c r="J73" i="35" a="1"/>
  <c r="J73" i="35" s="1"/>
  <c r="K73" i="35" a="1"/>
  <c r="K73" i="35" s="1"/>
  <c r="M8" i="34"/>
  <c r="N8" i="34"/>
  <c r="L8" i="34"/>
  <c r="P8" i="34"/>
  <c r="L65" i="33"/>
  <c r="M65" i="33"/>
  <c r="P65" i="33"/>
  <c r="O65" i="33"/>
  <c r="L9" i="34"/>
  <c r="P9" i="34"/>
  <c r="M9" i="34"/>
  <c r="N9" i="34"/>
  <c r="M10" i="34"/>
  <c r="P10" i="34"/>
  <c r="L10" i="34"/>
  <c r="N10" i="34"/>
  <c r="K78" i="36"/>
  <c r="J78" i="36"/>
  <c r="M63" i="33"/>
  <c r="P63" i="33"/>
  <c r="O63" i="33"/>
  <c r="L63" i="33"/>
  <c r="J78" i="35" a="1"/>
  <c r="J78" i="35" s="1"/>
  <c r="L78" i="35" a="1"/>
  <c r="L78" i="35" s="1"/>
  <c r="K78" i="35" a="1"/>
  <c r="K78" i="35" s="1"/>
  <c r="P108" i="34"/>
  <c r="M108" i="34"/>
  <c r="N108" i="34"/>
  <c r="L108" i="34"/>
  <c r="N53" i="34"/>
  <c r="M53" i="34"/>
  <c r="L53" i="34"/>
  <c r="P53" i="34"/>
  <c r="L54" i="34"/>
  <c r="N54" i="34"/>
  <c r="P54" i="34"/>
  <c r="M54" i="34"/>
  <c r="L37" i="33"/>
  <c r="M37" i="33"/>
  <c r="O37" i="33"/>
  <c r="P37" i="33"/>
  <c r="P39" i="34"/>
  <c r="L39" i="34"/>
  <c r="M39" i="34"/>
  <c r="N39" i="34"/>
  <c r="J141" i="35" a="1"/>
  <c r="J141" i="35" s="1"/>
  <c r="K141" i="35" a="1"/>
  <c r="K141" i="35" s="1"/>
  <c r="L141" i="35" a="1"/>
  <c r="L141" i="35" s="1"/>
  <c r="O44" i="33"/>
  <c r="M44" i="33"/>
  <c r="P44" i="33"/>
  <c r="L44" i="33"/>
  <c r="L150" i="35" a="1"/>
  <c r="L150" i="35" s="1"/>
  <c r="J150" i="35" a="1"/>
  <c r="J150" i="35" s="1"/>
  <c r="K150" i="35" a="1"/>
  <c r="K150" i="35" s="1"/>
  <c r="M4" i="33"/>
  <c r="L4" i="33"/>
  <c r="P4" i="33"/>
  <c r="O4" i="33"/>
  <c r="N49" i="34"/>
  <c r="P49" i="34"/>
  <c r="M49" i="34"/>
  <c r="M43" i="33"/>
  <c r="P43" i="33"/>
  <c r="L43" i="33"/>
  <c r="O43" i="33"/>
  <c r="P56" i="34"/>
  <c r="N56" i="34"/>
  <c r="M56" i="34"/>
  <c r="M91" i="34"/>
  <c r="P91" i="34"/>
  <c r="N91" i="34"/>
  <c r="M57" i="34"/>
  <c r="P57" i="34"/>
  <c r="N57" i="34"/>
  <c r="J98" i="36"/>
  <c r="K98" i="36"/>
  <c r="M63" i="34"/>
  <c r="P63" i="34"/>
  <c r="L63" i="34"/>
  <c r="N63" i="34"/>
  <c r="M49" i="33"/>
  <c r="P49" i="33"/>
  <c r="O49" i="33"/>
  <c r="L49" i="33"/>
  <c r="O42" i="33"/>
  <c r="P42" i="33"/>
  <c r="L42" i="33"/>
  <c r="M42" i="33"/>
  <c r="O50" i="33"/>
  <c r="L50" i="33"/>
  <c r="M50" i="33"/>
  <c r="P50" i="33"/>
  <c r="L31" i="34"/>
  <c r="M31" i="34"/>
  <c r="N31" i="34"/>
  <c r="P31" i="34"/>
  <c r="K143" i="35" a="1"/>
  <c r="K143" i="35" s="1"/>
  <c r="J143" i="35" a="1"/>
  <c r="J143" i="35" s="1"/>
  <c r="L143" i="35" a="1"/>
  <c r="L143" i="35" s="1"/>
  <c r="L101" i="34"/>
  <c r="M101" i="34"/>
  <c r="P101" i="34"/>
  <c r="N101" i="34"/>
  <c r="K75" i="36"/>
  <c r="J75" i="36"/>
  <c r="M62" i="34"/>
  <c r="L62" i="34"/>
  <c r="N62" i="34"/>
  <c r="P62" i="34"/>
  <c r="L57" i="35" a="1"/>
  <c r="L57" i="35" s="1"/>
  <c r="K95" i="36"/>
  <c r="J95" i="36"/>
  <c r="N83" i="34"/>
  <c r="M83" i="34"/>
  <c r="P83" i="34"/>
  <c r="P90" i="34"/>
  <c r="M90" i="34"/>
  <c r="N90" i="34"/>
  <c r="N21" i="34"/>
  <c r="P21" i="34"/>
  <c r="L21" i="34"/>
  <c r="M21" i="34"/>
  <c r="P100" i="34"/>
  <c r="M100" i="34"/>
  <c r="N100" i="34"/>
  <c r="L100" i="34"/>
  <c r="J203" i="35" a="1"/>
  <c r="J203" i="35" s="1"/>
  <c r="K203" i="35" a="1"/>
  <c r="K203" i="35" s="1"/>
  <c r="L203" i="35" a="1"/>
  <c r="L203" i="35" s="1"/>
  <c r="M50" i="34"/>
  <c r="N50" i="34"/>
  <c r="P50" i="34"/>
  <c r="L50" i="34"/>
  <c r="L55" i="33"/>
  <c r="M55" i="33"/>
  <c r="P55" i="33"/>
  <c r="O55" i="33"/>
  <c r="P56" i="33"/>
  <c r="M56" i="33"/>
  <c r="L56" i="33"/>
  <c r="O56" i="33"/>
  <c r="K202" i="35" a="1"/>
  <c r="K202" i="35" s="1"/>
  <c r="L202" i="35" a="1"/>
  <c r="L202" i="35" s="1"/>
  <c r="J202" i="35" a="1"/>
  <c r="J202" i="35" s="1"/>
  <c r="N20" i="34"/>
  <c r="P20" i="34"/>
  <c r="M20" i="34"/>
  <c r="L20" i="34"/>
  <c r="O68" i="33"/>
  <c r="L68" i="33"/>
  <c r="M68" i="33"/>
  <c r="P68" i="33"/>
  <c r="P24" i="34"/>
  <c r="N24" i="34"/>
  <c r="M24" i="34"/>
  <c r="L24" i="34"/>
  <c r="P58" i="33"/>
  <c r="M58" i="33"/>
  <c r="O58" i="33"/>
  <c r="L58" i="33"/>
  <c r="M59" i="33"/>
  <c r="L59" i="33"/>
  <c r="P59" i="33"/>
  <c r="O59" i="33"/>
  <c r="L145" i="23" a="1"/>
  <c r="L145" i="23" s="1"/>
  <c r="H145" i="23" a="1"/>
  <c r="H145" i="23" s="1"/>
  <c r="L151" i="23" a="1"/>
  <c r="L151" i="23" s="1"/>
  <c r="G151" i="23" a="1"/>
  <c r="G151" i="23" s="1"/>
  <c r="M48" i="34"/>
  <c r="L48" i="34"/>
  <c r="N48" i="34"/>
  <c r="P48" i="34"/>
  <c r="N47" i="34"/>
  <c r="L47" i="34"/>
  <c r="P47" i="34"/>
  <c r="M47" i="34"/>
  <c r="P19" i="33"/>
  <c r="O19" i="33"/>
  <c r="M19" i="33"/>
  <c r="L19" i="33"/>
  <c r="L154" i="23" a="1"/>
  <c r="L154" i="23" s="1"/>
  <c r="H154" i="23" a="1"/>
  <c r="H154" i="23" s="1"/>
  <c r="M75" i="34"/>
  <c r="N75" i="34"/>
  <c r="P75" i="34"/>
  <c r="N121" i="34"/>
  <c r="P121" i="34"/>
  <c r="M121" i="34"/>
  <c r="K153" i="23" a="1"/>
  <c r="K153" i="23" s="1"/>
  <c r="I153" i="23" a="1"/>
  <c r="I153" i="23" s="1"/>
  <c r="L152" i="23" a="1"/>
  <c r="L152" i="23" s="1"/>
  <c r="I152" i="23" a="1"/>
  <c r="I152" i="23" s="1"/>
  <c r="H152" i="23" a="1"/>
  <c r="H152" i="23" s="1"/>
  <c r="L163" i="23" a="1"/>
  <c r="L163" i="23" s="1"/>
  <c r="G163" i="23" a="1"/>
  <c r="G163" i="23" s="1"/>
  <c r="I163" i="23" a="1"/>
  <c r="I163" i="23" s="1"/>
  <c r="L162" i="23" a="1"/>
  <c r="L162" i="23" s="1"/>
  <c r="G162" i="23" a="1"/>
  <c r="G162" i="23" s="1"/>
  <c r="L161" i="23" a="1"/>
  <c r="L161" i="23" s="1"/>
  <c r="H161" i="23" a="1"/>
  <c r="H161" i="23" s="1"/>
  <c r="P96" i="34"/>
  <c r="M96" i="34"/>
  <c r="N96" i="34"/>
  <c r="L164" i="23" a="1"/>
  <c r="L164" i="23" s="1"/>
  <c r="I164" i="23" a="1"/>
  <c r="I164" i="23" s="1"/>
  <c r="P60" i="34"/>
  <c r="N60" i="34"/>
  <c r="M60" i="34"/>
  <c r="N59" i="34"/>
  <c r="M59" i="34"/>
  <c r="P59" i="34"/>
  <c r="M107" i="34"/>
  <c r="L107" i="34"/>
  <c r="P107" i="34"/>
  <c r="N107" i="34"/>
  <c r="L103" i="36"/>
  <c r="K103" i="36"/>
  <c r="P71" i="33"/>
  <c r="O71" i="33"/>
  <c r="L71" i="33"/>
  <c r="M71" i="33"/>
  <c r="L70" i="33"/>
  <c r="P70" i="33"/>
  <c r="O70" i="33"/>
  <c r="M70" i="33"/>
  <c r="M69" i="33"/>
  <c r="L69" i="33"/>
  <c r="O69" i="33"/>
  <c r="P69" i="33"/>
  <c r="L172" i="35" a="1"/>
  <c r="L172" i="35" s="1"/>
  <c r="J172" i="35" a="1"/>
  <c r="J172" i="35" s="1"/>
  <c r="K172" i="35" a="1"/>
  <c r="K172" i="35" s="1"/>
  <c r="P61" i="34"/>
  <c r="M61" i="34"/>
  <c r="N61" i="34"/>
  <c r="L61" i="34"/>
  <c r="L93" i="34"/>
  <c r="P93" i="34"/>
  <c r="N93" i="34"/>
  <c r="M93" i="34"/>
  <c r="P84" i="33"/>
  <c r="M84" i="33"/>
  <c r="O84" i="33"/>
  <c r="L84" i="33"/>
  <c r="N58" i="34"/>
  <c r="M58" i="34"/>
  <c r="L58" i="34"/>
  <c r="P58" i="34"/>
  <c r="M69" i="34"/>
  <c r="P69" i="34"/>
  <c r="L69" i="34"/>
  <c r="N69" i="34"/>
  <c r="J79" i="36"/>
  <c r="K79" i="36"/>
  <c r="L80" i="33"/>
  <c r="M80" i="33"/>
  <c r="P80" i="33"/>
  <c r="O80" i="33"/>
  <c r="M2" i="33"/>
  <c r="O2" i="33"/>
  <c r="L2" i="33"/>
  <c r="P2" i="33"/>
  <c r="P97" i="34"/>
  <c r="L97" i="34"/>
  <c r="M97" i="34"/>
  <c r="N97" i="34"/>
  <c r="J8" i="36"/>
  <c r="K8" i="36"/>
  <c r="L8" i="36"/>
  <c r="P6" i="34"/>
  <c r="N6" i="34"/>
  <c r="M6" i="34"/>
  <c r="L6" i="34"/>
  <c r="L207" i="23" a="1"/>
  <c r="L207" i="23" s="1"/>
  <c r="I207" i="23" a="1"/>
  <c r="I207" i="23" s="1"/>
  <c r="P11" i="33"/>
  <c r="L11" i="33"/>
  <c r="M11" i="33"/>
  <c r="O11" i="33"/>
  <c r="L206" i="23" a="1"/>
  <c r="L206" i="23" s="1"/>
  <c r="I206" i="23" a="1"/>
  <c r="I206" i="23" s="1"/>
  <c r="J12" i="36"/>
  <c r="K12" i="36"/>
  <c r="M83" i="33"/>
  <c r="P83" i="33"/>
  <c r="O83" i="33"/>
  <c r="L83" i="33"/>
  <c r="J66" i="36"/>
  <c r="K66" i="36"/>
  <c r="L66" i="36"/>
  <c r="P18" i="34"/>
  <c r="M18" i="34"/>
  <c r="N18" i="34"/>
  <c r="J64" i="35" a="1"/>
  <c r="J64" i="35" s="1"/>
  <c r="K64" i="35" a="1"/>
  <c r="K64" i="35" s="1"/>
  <c r="L64" i="35" a="1"/>
  <c r="L64" i="35" s="1"/>
  <c r="L43" i="34"/>
  <c r="M43" i="34"/>
  <c r="N43" i="34"/>
  <c r="P43" i="34"/>
  <c r="M82" i="34"/>
  <c r="P82" i="34"/>
  <c r="L82" i="34"/>
  <c r="N82" i="34"/>
  <c r="L82" i="33"/>
  <c r="P82" i="33"/>
  <c r="M82" i="33"/>
  <c r="O82" i="33"/>
  <c r="M44" i="34"/>
  <c r="L44" i="34"/>
  <c r="P44" i="34"/>
  <c r="N44" i="34"/>
  <c r="K66" i="35" a="1"/>
  <c r="K66" i="35" s="1"/>
  <c r="J66" i="35" a="1"/>
  <c r="J66" i="35" s="1"/>
  <c r="L66" i="35" a="1"/>
  <c r="L66" i="35" s="1"/>
  <c r="L211" i="23" a="1"/>
  <c r="L211" i="23" s="1"/>
  <c r="G211" i="23" a="1"/>
  <c r="G211" i="23" s="1"/>
  <c r="H211" i="23" a="1"/>
  <c r="H211" i="23" s="1"/>
  <c r="L210" i="23" a="1"/>
  <c r="L210" i="23" s="1"/>
  <c r="G210" i="23" a="1"/>
  <c r="G210" i="23" s="1"/>
  <c r="L209" i="23" a="1"/>
  <c r="L209" i="23" s="1"/>
  <c r="G209" i="23" a="1"/>
  <c r="G209" i="23" s="1"/>
  <c r="M124" i="34"/>
  <c r="N124" i="34"/>
  <c r="P124" i="34"/>
  <c r="P99" i="34"/>
  <c r="N99" i="34"/>
  <c r="M99" i="34"/>
  <c r="N125" i="34"/>
  <c r="P125" i="34"/>
  <c r="M125" i="34"/>
  <c r="L84" i="34"/>
  <c r="N84" i="34"/>
  <c r="M84" i="34"/>
  <c r="P84" i="34"/>
  <c r="P85" i="34"/>
  <c r="N85" i="34"/>
  <c r="M85" i="34"/>
  <c r="N34" i="34"/>
  <c r="L34" i="34"/>
  <c r="M34" i="34"/>
  <c r="P34" i="34"/>
  <c r="P3" i="33"/>
  <c r="O3" i="33"/>
  <c r="L3" i="33"/>
  <c r="M3" i="33"/>
  <c r="G2" i="26" a="1"/>
  <c r="G2" i="26" s="1"/>
  <c r="I2" i="26" a="1"/>
  <c r="I2" i="26" s="1"/>
  <c r="H2" i="26" a="1"/>
  <c r="H2" i="26" s="1"/>
  <c r="L94" i="34"/>
  <c r="N94" i="34"/>
  <c r="M94" i="34"/>
  <c r="P94" i="34"/>
  <c r="L45" i="33"/>
  <c r="M45" i="33"/>
  <c r="P45" i="33"/>
  <c r="O45" i="33"/>
  <c r="J198" i="35" a="1"/>
  <c r="J198" i="35" s="1"/>
  <c r="L198" i="35" a="1"/>
  <c r="L198" i="35" s="1"/>
  <c r="K198" i="35" a="1"/>
  <c r="K198" i="35" s="1"/>
  <c r="L4" i="23" a="1"/>
  <c r="L4" i="23" s="1"/>
  <c r="G4" i="23" a="1"/>
  <c r="G4" i="23" s="1"/>
  <c r="H3" i="23" a="1"/>
  <c r="H3" i="23" s="1"/>
  <c r="G3" i="23" a="1"/>
  <c r="G3" i="23" s="1"/>
  <c r="L65" i="24"/>
  <c r="I65" i="24" a="1"/>
  <c r="I65" i="24" s="1"/>
  <c r="N65" i="24"/>
  <c r="L26" i="33"/>
  <c r="O26" i="33"/>
  <c r="P26" i="33"/>
  <c r="M26" i="33"/>
  <c r="M23" i="34"/>
  <c r="N23" i="34"/>
  <c r="P23" i="34"/>
  <c r="L23" i="34"/>
  <c r="L32" i="34"/>
  <c r="N32" i="34"/>
  <c r="M32" i="34"/>
  <c r="P32" i="34"/>
  <c r="O34" i="33"/>
  <c r="L34" i="33"/>
  <c r="M34" i="33"/>
  <c r="P34" i="33"/>
  <c r="L33" i="34"/>
  <c r="P33" i="34"/>
  <c r="M33" i="34"/>
  <c r="N33" i="34"/>
  <c r="M35" i="33"/>
  <c r="O35" i="33"/>
  <c r="P35" i="33"/>
  <c r="L35" i="33"/>
  <c r="N79" i="34"/>
  <c r="L79" i="34"/>
  <c r="P79" i="34"/>
  <c r="M79" i="34"/>
  <c r="M86" i="34"/>
  <c r="N86" i="34"/>
  <c r="P86" i="34"/>
  <c r="L86" i="34"/>
  <c r="K94" i="35" a="1"/>
  <c r="K94" i="35" s="1"/>
  <c r="L94" i="35" a="1"/>
  <c r="L94" i="35" s="1"/>
  <c r="J94" i="35" a="1"/>
  <c r="J94" i="35" s="1"/>
  <c r="H16" i="25" a="1"/>
  <c r="H16" i="25" s="1"/>
  <c r="G16" i="25" a="1"/>
  <c r="G16" i="25" s="1"/>
  <c r="J16" i="25" a="1"/>
  <c r="J16" i="25" s="1"/>
  <c r="K3" i="35" a="1"/>
  <c r="K3" i="35" s="1"/>
  <c r="L3" i="35" a="1"/>
  <c r="L3" i="35" s="1"/>
  <c r="J3" i="35" a="1"/>
  <c r="J3" i="35" s="1"/>
  <c r="K70" i="36"/>
  <c r="J70" i="36"/>
  <c r="L80" i="35" a="1"/>
  <c r="L80" i="35" s="1"/>
  <c r="J80" i="35" a="1"/>
  <c r="J80" i="35" s="1"/>
  <c r="K80" i="35" a="1"/>
  <c r="K80" i="35" s="1"/>
  <c r="K81" i="35" a="1"/>
  <c r="K81" i="35" s="1"/>
  <c r="J81" i="35" a="1"/>
  <c r="J81" i="35" s="1"/>
  <c r="L81" i="35" a="1"/>
  <c r="L81" i="35" s="1"/>
  <c r="L82" i="35" a="1"/>
  <c r="L82" i="35" s="1"/>
  <c r="J82" i="35" a="1"/>
  <c r="J82" i="35" s="1"/>
  <c r="K82" i="35" a="1"/>
  <c r="K82" i="35" s="1"/>
  <c r="P64" i="34"/>
  <c r="L64" i="34"/>
  <c r="M64" i="34"/>
  <c r="N64" i="34"/>
  <c r="M106" i="34"/>
  <c r="L106" i="34"/>
  <c r="N106" i="34"/>
  <c r="P106" i="34"/>
  <c r="L186" i="23" a="1"/>
  <c r="L186" i="23" s="1"/>
  <c r="G186" i="23" a="1"/>
  <c r="G186" i="23" s="1"/>
  <c r="I186" i="23" a="1"/>
  <c r="I186" i="23" s="1"/>
  <c r="K200" i="35" a="1"/>
  <c r="K200" i="35" s="1"/>
  <c r="J200" i="35" a="1"/>
  <c r="J200" i="35" s="1"/>
  <c r="M75" i="33"/>
  <c r="O75" i="33"/>
  <c r="L75" i="33"/>
  <c r="P75" i="33"/>
  <c r="N109" i="34"/>
  <c r="M109" i="34"/>
  <c r="L109" i="34"/>
  <c r="P109" i="34"/>
  <c r="M29" i="34"/>
  <c r="L29" i="34"/>
  <c r="P29" i="34"/>
  <c r="N29" i="34"/>
  <c r="L73" i="33"/>
  <c r="P73" i="33"/>
  <c r="M73" i="33"/>
  <c r="O73" i="33"/>
  <c r="O24" i="33"/>
  <c r="P24" i="33"/>
  <c r="L24" i="33"/>
  <c r="M24" i="33"/>
  <c r="P12" i="34"/>
  <c r="M12" i="34"/>
  <c r="N12" i="34"/>
  <c r="N118" i="34"/>
  <c r="L118" i="34"/>
  <c r="P118" i="34"/>
  <c r="M118" i="34"/>
  <c r="O6" i="33"/>
  <c r="L6" i="33"/>
  <c r="P6" i="33"/>
  <c r="M6" i="33"/>
  <c r="M5" i="33"/>
  <c r="L5" i="33"/>
  <c r="O5" i="33"/>
  <c r="P5" i="33"/>
  <c r="N87" i="34"/>
  <c r="L87" i="34"/>
  <c r="P87" i="34"/>
  <c r="M87" i="34"/>
  <c r="P92" i="34"/>
  <c r="M92" i="34"/>
  <c r="N92" i="34"/>
  <c r="K14" i="25" a="1"/>
  <c r="K14" i="25" s="1"/>
  <c r="G14" i="25" a="1"/>
  <c r="G14" i="25" s="1"/>
  <c r="M60" i="33"/>
  <c r="O60" i="33"/>
  <c r="L60" i="33"/>
  <c r="P60" i="33"/>
  <c r="O74" i="33"/>
  <c r="M74" i="33"/>
  <c r="P74" i="33"/>
  <c r="L74" i="33"/>
  <c r="L67" i="34"/>
  <c r="N67" i="34"/>
  <c r="P67" i="34"/>
  <c r="M67" i="34"/>
  <c r="L26" i="23" a="1"/>
  <c r="L26" i="23" s="1"/>
  <c r="G26" i="23" a="1"/>
  <c r="G26" i="23" s="1"/>
  <c r="L27" i="23" a="1"/>
  <c r="L27" i="23" s="1"/>
  <c r="G27" i="23" a="1"/>
  <c r="G27" i="23" s="1"/>
  <c r="I27" i="23" a="1"/>
  <c r="I27" i="23" s="1"/>
  <c r="M10" i="33"/>
  <c r="L10" i="33"/>
  <c r="O10" i="33"/>
  <c r="P10" i="33"/>
  <c r="L68" i="34"/>
  <c r="N68" i="34"/>
  <c r="M68" i="34"/>
  <c r="P68" i="34"/>
  <c r="L54" i="33"/>
  <c r="P54" i="33"/>
  <c r="M54" i="33"/>
  <c r="O54" i="33"/>
  <c r="M116" i="34"/>
  <c r="L116" i="34"/>
  <c r="L128" i="35" a="1"/>
  <c r="L128" i="35" s="1"/>
  <c r="K128" i="35" a="1"/>
  <c r="K128" i="35" s="1"/>
  <c r="J17" i="35" a="1"/>
  <c r="J17" i="35" s="1"/>
  <c r="L17" i="35" a="1"/>
  <c r="L17" i="35" s="1"/>
  <c r="L23" i="23" a="1"/>
  <c r="L23" i="23" s="1"/>
  <c r="H23" i="23" a="1"/>
  <c r="H23" i="23" s="1"/>
  <c r="P14" i="34"/>
  <c r="N14" i="34"/>
  <c r="M14" i="34"/>
  <c r="P13" i="34"/>
  <c r="N13" i="34"/>
  <c r="M13" i="34"/>
  <c r="J92" i="42" a="1"/>
  <c r="J92" i="42" s="1"/>
  <c r="K92" i="42" a="1"/>
  <c r="K92" i="42" s="1"/>
  <c r="L160" i="35" a="1"/>
  <c r="L160" i="35" s="1"/>
  <c r="L138" i="42" a="1"/>
  <c r="L138" i="42" s="1"/>
  <c r="J138" i="42" a="1"/>
  <c r="J138" i="42" s="1"/>
  <c r="K138" i="42" a="1"/>
  <c r="K138" i="42" s="1"/>
  <c r="L187" i="23" a="1"/>
  <c r="L187" i="23" s="1"/>
  <c r="G187" i="23" a="1"/>
  <c r="G187" i="23" s="1"/>
  <c r="H112" i="25" a="1"/>
  <c r="H112" i="25" s="1"/>
  <c r="I112" i="25" a="1"/>
  <c r="I112" i="25" s="1"/>
  <c r="O76" i="33"/>
  <c r="M76" i="33"/>
  <c r="L76" i="33"/>
  <c r="P76" i="33"/>
  <c r="L119" i="34"/>
  <c r="P119" i="34"/>
  <c r="N119" i="34"/>
  <c r="M119" i="34"/>
  <c r="O77" i="33"/>
  <c r="P77" i="33"/>
  <c r="L77" i="33"/>
  <c r="M77" i="33"/>
  <c r="L101" i="35" a="1"/>
  <c r="L101" i="35" s="1"/>
  <c r="J101" i="35" a="1"/>
  <c r="J101" i="35" s="1"/>
  <c r="K101" i="35" a="1"/>
  <c r="K101" i="35" s="1"/>
  <c r="L189" i="23" a="1"/>
  <c r="L189" i="23" s="1"/>
  <c r="K189" i="23" a="1"/>
  <c r="K189" i="23" s="1"/>
  <c r="P78" i="33"/>
  <c r="L78" i="33"/>
  <c r="O78" i="33"/>
  <c r="M78" i="33"/>
  <c r="J148" i="42" a="1"/>
  <c r="J148" i="42" s="1"/>
  <c r="L148" i="42" a="1"/>
  <c r="L148" i="42" s="1"/>
  <c r="L51" i="33"/>
  <c r="O51" i="33"/>
  <c r="P51" i="33"/>
  <c r="M51" i="33"/>
  <c r="L16" i="35" a="1"/>
  <c r="L16" i="35" s="1"/>
  <c r="J16" i="35" a="1"/>
  <c r="J16" i="35" s="1"/>
  <c r="K16" i="35" a="1"/>
  <c r="K16" i="35" s="1"/>
  <c r="I184" i="23" a="1"/>
  <c r="I184" i="23" s="1"/>
  <c r="G184" i="23" a="1"/>
  <c r="G184" i="23" s="1"/>
  <c r="P102" i="34"/>
  <c r="M102" i="34"/>
  <c r="N102" i="34"/>
  <c r="L102" i="34"/>
  <c r="L36" i="36"/>
  <c r="K36" i="36"/>
  <c r="J128" i="42" a="1"/>
  <c r="J128" i="42" s="1"/>
  <c r="K128" i="42" a="1"/>
  <c r="K128" i="42" s="1"/>
  <c r="L128" i="42" a="1"/>
  <c r="L128" i="42" s="1"/>
  <c r="L185" i="23" a="1"/>
  <c r="L185" i="23" s="1"/>
  <c r="I185" i="23" a="1"/>
  <c r="I185" i="23" s="1"/>
  <c r="G185" i="23" a="1"/>
  <c r="G185" i="23" s="1"/>
  <c r="L103" i="34"/>
  <c r="N103" i="34"/>
  <c r="P103" i="34"/>
  <c r="M103" i="34"/>
  <c r="J29" i="36"/>
  <c r="K29" i="36"/>
  <c r="K45" i="36"/>
  <c r="J45" i="36"/>
  <c r="J195" i="42" a="1"/>
  <c r="J195" i="42" s="1"/>
  <c r="K195" i="42" a="1"/>
  <c r="K195" i="42" s="1"/>
  <c r="L195" i="42" a="1"/>
  <c r="L195" i="42" s="1"/>
  <c r="L167" i="42" a="1"/>
  <c r="L167" i="42" s="1"/>
  <c r="J167" i="42" a="1"/>
  <c r="J167" i="42" s="1"/>
  <c r="K167" i="42" a="1"/>
  <c r="K167" i="42" s="1"/>
  <c r="L38" i="42" a="1"/>
  <c r="L38" i="42" s="1"/>
  <c r="K38" i="42" a="1"/>
  <c r="K38" i="42" s="1"/>
  <c r="J38" i="42" a="1"/>
  <c r="J38" i="42" s="1"/>
  <c r="K15" i="42" a="1"/>
  <c r="K15" i="42" s="1"/>
  <c r="J15" i="42" a="1"/>
  <c r="J15" i="42" s="1"/>
  <c r="L15" i="42" a="1"/>
  <c r="L15" i="42" s="1"/>
  <c r="J149" i="42" a="1"/>
  <c r="J149" i="42" s="1"/>
  <c r="K149" i="42" a="1"/>
  <c r="K149" i="42" s="1"/>
  <c r="L149" i="42" a="1"/>
  <c r="L149" i="42" s="1"/>
  <c r="U71" i="39" a="1"/>
  <c r="U71" i="39" s="1"/>
  <c r="N16" i="34"/>
  <c r="M16" i="34"/>
  <c r="J164" i="42" a="1"/>
  <c r="J164" i="42" s="1"/>
  <c r="K164" i="42" a="1"/>
  <c r="K164" i="42" s="1"/>
  <c r="L164" i="42" a="1"/>
  <c r="L164" i="42" s="1"/>
  <c r="K116" i="42" a="1"/>
  <c r="K116" i="42" s="1"/>
  <c r="L116" i="42" a="1"/>
  <c r="L116" i="42" s="1"/>
  <c r="J8" i="26"/>
  <c r="G8" i="26" a="1"/>
  <c r="G8" i="26" s="1"/>
  <c r="H14" i="25" a="1"/>
  <c r="H14" i="25" s="1"/>
  <c r="J14" i="25" a="1"/>
  <c r="J14" i="25" s="1"/>
  <c r="N111" i="34"/>
  <c r="M111" i="34"/>
  <c r="P111" i="34"/>
  <c r="L10" i="24"/>
  <c r="I10" i="24" a="1"/>
  <c r="I10" i="24" s="1"/>
  <c r="G13" i="26" a="1"/>
  <c r="G13" i="26" s="1"/>
  <c r="I13" i="26" a="1"/>
  <c r="I13" i="26" s="1"/>
  <c r="L15" i="25"/>
  <c r="H15" i="25" a="1"/>
  <c r="H15" i="25" s="1"/>
  <c r="G14" i="26" a="1"/>
  <c r="G14" i="26" s="1"/>
  <c r="I14" i="26" a="1"/>
  <c r="I14" i="26" s="1"/>
  <c r="L61" i="25"/>
  <c r="J61" i="25" a="1"/>
  <c r="J61" i="25" s="1"/>
  <c r="J180" i="42" a="1"/>
  <c r="J180" i="42" s="1"/>
  <c r="L180" i="42" a="1"/>
  <c r="L180" i="42" s="1"/>
  <c r="K8" i="42" a="1"/>
  <c r="K8" i="42" s="1"/>
  <c r="L8" i="42" a="1"/>
  <c r="L8" i="42" s="1"/>
  <c r="M17" i="34"/>
  <c r="N17" i="34"/>
  <c r="P17" i="34"/>
  <c r="N120" i="34"/>
  <c r="P120" i="34"/>
  <c r="M120" i="34"/>
  <c r="L154" i="42" a="1"/>
  <c r="L154" i="42" s="1"/>
  <c r="K154" i="42" a="1"/>
  <c r="K154" i="42" s="1"/>
  <c r="J154" i="42" a="1"/>
  <c r="J154" i="42" s="1"/>
  <c r="K146" i="42" a="1"/>
  <c r="K146" i="42" s="1"/>
  <c r="J146" i="42" a="1"/>
  <c r="J146" i="42" s="1"/>
  <c r="L146" i="42" a="1"/>
  <c r="L146" i="42" s="1"/>
  <c r="L112" i="25"/>
  <c r="J112" i="25" a="1"/>
  <c r="J112" i="25" s="1"/>
  <c r="K114" i="42" a="1"/>
  <c r="K114" i="42" s="1"/>
  <c r="L114" i="42" a="1"/>
  <c r="L114" i="42" s="1"/>
  <c r="L184" i="23" a="1"/>
  <c r="L184" i="23" s="1"/>
  <c r="H184" i="23" a="1"/>
  <c r="H184" i="23" s="1"/>
  <c r="L204" i="42" a="1"/>
  <c r="L204" i="42" s="1"/>
  <c r="K204" i="42" a="1"/>
  <c r="K204" i="42" s="1"/>
  <c r="J204" i="42" a="1"/>
  <c r="J204" i="42" s="1"/>
  <c r="J201" i="42" a="1"/>
  <c r="J201" i="42" s="1"/>
  <c r="L201" i="42" a="1"/>
  <c r="L201" i="42" s="1"/>
  <c r="L207" i="42" a="1"/>
  <c r="L207" i="42" s="1"/>
  <c r="K207" i="42" a="1"/>
  <c r="K207" i="42" s="1"/>
  <c r="M65" i="34"/>
  <c r="N65" i="34"/>
  <c r="P65" i="34"/>
  <c r="M117" i="34"/>
  <c r="N117" i="34"/>
  <c r="K117" i="42" a="1"/>
  <c r="K117" i="42" s="1"/>
  <c r="J117" i="42" a="1"/>
  <c r="J117" i="42" s="1"/>
  <c r="P64" i="40"/>
  <c r="L83" i="40"/>
  <c r="M83" i="40"/>
  <c r="L50" i="35" a="1"/>
  <c r="L50" i="35" s="1"/>
  <c r="L200" i="35" a="1"/>
  <c r="L200" i="35" s="1"/>
  <c r="K50" i="35" a="1"/>
  <c r="K50" i="35" s="1"/>
  <c r="L127" i="35" a="1"/>
  <c r="L127" i="35" s="1"/>
  <c r="K127" i="35" a="1"/>
  <c r="K127" i="35" s="1"/>
  <c r="L12" i="34"/>
  <c r="K17" i="35" a="1"/>
  <c r="K17" i="35" s="1"/>
  <c r="K75" i="43"/>
  <c r="K21" i="43"/>
  <c r="K73" i="43"/>
  <c r="U238" i="39" a="1"/>
  <c r="U238" i="39" s="1"/>
  <c r="K74" i="43"/>
  <c r="L24" i="36"/>
  <c r="K24" i="36"/>
  <c r="P116" i="34"/>
  <c r="N116" i="34"/>
  <c r="N42" i="34"/>
  <c r="M42" i="34"/>
  <c r="L42" i="34"/>
  <c r="L58" i="43"/>
  <c r="U114" i="39" a="1"/>
  <c r="U114" i="39" s="1"/>
  <c r="U400" i="39" a="1"/>
  <c r="U400" i="39" s="1"/>
  <c r="K123" i="35" a="1"/>
  <c r="K123" i="35" s="1"/>
  <c r="J98" i="35" a="1"/>
  <c r="J98" i="35" s="1"/>
  <c r="L98" i="35" a="1"/>
  <c r="L98" i="35" s="1"/>
  <c r="L148" i="35" a="1"/>
  <c r="L148" i="35" s="1"/>
  <c r="L97" i="35" a="1"/>
  <c r="L97" i="35" s="1"/>
  <c r="L123" i="35" a="1"/>
  <c r="L123" i="35" s="1"/>
  <c r="J97" i="35" a="1"/>
  <c r="J97" i="35" s="1"/>
  <c r="J100" i="35" a="1"/>
  <c r="J100" i="35" s="1"/>
  <c r="K100" i="35" a="1"/>
  <c r="K100" i="35" s="1"/>
  <c r="L189" i="35" a="1"/>
  <c r="L189" i="35" s="1"/>
  <c r="L65" i="40"/>
  <c r="P65" i="40"/>
  <c r="L12" i="40"/>
  <c r="P12" i="40"/>
  <c r="M12" i="40"/>
  <c r="L214" i="42" a="1"/>
  <c r="L214" i="42" s="1"/>
  <c r="J11" i="42" a="1"/>
  <c r="J11" i="42" s="1"/>
  <c r="K11" i="42" a="1"/>
  <c r="K11" i="42" s="1"/>
  <c r="L63" i="42" a="1"/>
  <c r="L63" i="42" s="1"/>
  <c r="L117" i="42" a="1"/>
  <c r="L117" i="42" s="1"/>
  <c r="L18" i="34"/>
  <c r="V132" i="39" a="1"/>
  <c r="V132" i="39" s="1"/>
  <c r="W38" i="38"/>
  <c r="N473" i="39" s="1" a="1"/>
  <c r="N473" i="39" s="1"/>
  <c r="I99" i="42" a="1"/>
  <c r="I99" i="42" s="1"/>
  <c r="I3" i="42" a="1"/>
  <c r="I3" i="42" s="1"/>
  <c r="J31" i="43"/>
  <c r="K31" i="43"/>
  <c r="K117" i="43"/>
  <c r="L44" i="43"/>
  <c r="K20" i="43"/>
  <c r="L16" i="43"/>
  <c r="K19" i="43"/>
  <c r="L60" i="43"/>
  <c r="K18" i="43"/>
  <c r="U97" i="39" a="1"/>
  <c r="U97" i="39" s="1"/>
  <c r="V342" i="39" a="1"/>
  <c r="V342" i="39" s="1"/>
  <c r="L2" i="43"/>
  <c r="L59" i="43"/>
  <c r="U146" i="39" a="1"/>
  <c r="U146" i="39" s="1"/>
  <c r="H46" i="36" a="1"/>
  <c r="H46" i="36" s="1"/>
  <c r="L72" i="43"/>
  <c r="L15" i="43"/>
  <c r="J11" i="43"/>
  <c r="L49" i="34"/>
  <c r="K56" i="43"/>
  <c r="T124" i="39" a="1"/>
  <c r="T124" i="39" s="1"/>
  <c r="T146" i="39" a="1"/>
  <c r="T146" i="39" s="1"/>
  <c r="R146" i="39" a="1"/>
  <c r="R146" i="39" s="1"/>
  <c r="V146" i="39" a="1"/>
  <c r="V146" i="39" s="1"/>
  <c r="V64" i="39" a="1"/>
  <c r="V64" i="39" s="1"/>
  <c r="U62" i="39" a="1"/>
  <c r="U62" i="39" s="1"/>
  <c r="L91" i="43"/>
  <c r="J90" i="43"/>
  <c r="M12" i="41"/>
  <c r="L68" i="43"/>
  <c r="L46" i="43"/>
  <c r="L29" i="43"/>
  <c r="L77" i="43"/>
  <c r="L85" i="43"/>
  <c r="U342" i="39" a="1"/>
  <c r="U342" i="39" s="1"/>
  <c r="K60" i="43"/>
  <c r="T425" i="39" a="1"/>
  <c r="T425" i="39" s="1"/>
  <c r="T386" i="39" a="1"/>
  <c r="T386" i="39" s="1"/>
  <c r="J3" i="43"/>
  <c r="U395" i="39" a="1"/>
  <c r="U395" i="39" s="1"/>
  <c r="U398" i="39" a="1"/>
  <c r="U398" i="39" s="1"/>
  <c r="U378" i="39" a="1"/>
  <c r="U378" i="39" s="1"/>
  <c r="U67" i="39" a="1"/>
  <c r="U67" i="39" s="1"/>
  <c r="U78" i="39" a="1"/>
  <c r="U78" i="39" s="1"/>
  <c r="K13" i="43"/>
  <c r="K4" i="43"/>
  <c r="T443" i="39" a="1"/>
  <c r="T443" i="39" s="1"/>
  <c r="N72" i="41"/>
  <c r="M2" i="41"/>
  <c r="L48" i="41"/>
  <c r="T481" i="39" a="1"/>
  <c r="T481" i="39" s="1"/>
  <c r="L105" i="41"/>
  <c r="L82" i="41"/>
  <c r="V185" i="39" a="1"/>
  <c r="V185" i="39" s="1"/>
  <c r="V118" i="39" a="1"/>
  <c r="V118" i="39" s="1"/>
  <c r="U27" i="39" a="1"/>
  <c r="U27" i="39" s="1"/>
  <c r="L83" i="41"/>
  <c r="L32" i="43"/>
  <c r="N65" i="41"/>
  <c r="M94" i="41"/>
  <c r="M103" i="41"/>
  <c r="K112" i="43"/>
  <c r="T252" i="39" a="1"/>
  <c r="T252" i="39" s="1"/>
  <c r="M9" i="41"/>
  <c r="V14" i="39" a="1"/>
  <c r="V14" i="39" s="1"/>
  <c r="U59" i="39" a="1"/>
  <c r="U59" i="39" s="1"/>
  <c r="L100" i="41"/>
  <c r="L9" i="43"/>
  <c r="K47" i="43"/>
  <c r="T395" i="39" a="1"/>
  <c r="T395" i="39" s="1"/>
  <c r="N118" i="41"/>
  <c r="V351" i="39" a="1"/>
  <c r="V351" i="39" s="1"/>
  <c r="V338" i="39" a="1"/>
  <c r="V338" i="39" s="1"/>
  <c r="N43" i="41"/>
  <c r="N330" i="39" a="1"/>
  <c r="N330" i="39" s="1"/>
  <c r="U351" i="39" a="1"/>
  <c r="U351" i="39" s="1"/>
  <c r="P124" i="41"/>
  <c r="N348" i="39" a="1"/>
  <c r="N348" i="39" s="1"/>
  <c r="N312" i="39" a="1"/>
  <c r="N312" i="39" s="1"/>
  <c r="P72" i="41"/>
  <c r="P105" i="41"/>
  <c r="N484" i="39" a="1"/>
  <c r="N484" i="39" s="1"/>
  <c r="L100" i="43"/>
  <c r="J10" i="43"/>
  <c r="V56" i="39" a="1"/>
  <c r="V56" i="39" s="1"/>
  <c r="V443" i="39" a="1"/>
  <c r="V443" i="39" s="1"/>
  <c r="K89" i="43"/>
  <c r="K5" i="43"/>
  <c r="J12" i="43"/>
  <c r="K90" i="43"/>
  <c r="U119" i="39" a="1"/>
  <c r="U119" i="39" s="1"/>
  <c r="V165" i="39" a="1"/>
  <c r="V165" i="39" s="1"/>
  <c r="J46" i="43"/>
  <c r="J117" i="43"/>
  <c r="K66" i="43"/>
  <c r="K91" i="43"/>
  <c r="K92" i="43"/>
  <c r="T150" i="39" a="1"/>
  <c r="T150" i="39" s="1"/>
  <c r="V386" i="39" a="1"/>
  <c r="V386" i="39" s="1"/>
  <c r="K116" i="43"/>
  <c r="K55" i="43"/>
  <c r="U46" i="39" a="1"/>
  <c r="U46" i="39" s="1"/>
  <c r="U56" i="39" a="1"/>
  <c r="U56" i="39" s="1"/>
  <c r="V62" i="39" a="1"/>
  <c r="V62" i="39" s="1"/>
  <c r="V46" i="39" a="1"/>
  <c r="V46" i="39" s="1"/>
  <c r="U485" i="39" a="1"/>
  <c r="U485" i="39" s="1"/>
  <c r="V395" i="39" a="1"/>
  <c r="V395" i="39" s="1"/>
  <c r="N37" i="39" a="1"/>
  <c r="N37" i="39" s="1"/>
  <c r="J4" i="43"/>
  <c r="L30" i="43"/>
  <c r="K65" i="43"/>
  <c r="J112" i="43"/>
  <c r="T165" i="39" a="1"/>
  <c r="T165" i="39" s="1"/>
  <c r="U443" i="39" a="1"/>
  <c r="U443" i="39" s="1"/>
  <c r="K78" i="43"/>
  <c r="J50" i="43"/>
  <c r="K67" i="43"/>
  <c r="U505" i="39" a="1"/>
  <c r="U505" i="39" s="1"/>
  <c r="N100" i="39" a="1"/>
  <c r="N100" i="39" s="1"/>
  <c r="L84" i="43"/>
  <c r="K23" i="43"/>
  <c r="J43" i="43"/>
  <c r="K3" i="43"/>
  <c r="V98" i="39" a="1"/>
  <c r="V98" i="39" s="1"/>
  <c r="L3" i="43"/>
  <c r="L4" i="43"/>
  <c r="L97" i="43"/>
  <c r="L112" i="43"/>
  <c r="V432" i="39" a="1"/>
  <c r="V432" i="39" s="1"/>
  <c r="W288" i="39" a="1"/>
  <c r="W288" i="39" s="1"/>
  <c r="V150" i="39" a="1"/>
  <c r="V150" i="39" s="1"/>
  <c r="L12" i="43"/>
  <c r="L50" i="43"/>
  <c r="L11" i="43"/>
  <c r="T56" i="39" a="1"/>
  <c r="T56" i="39" s="1"/>
  <c r="T46" i="39" a="1"/>
  <c r="T46" i="39" s="1"/>
  <c r="P42" i="41"/>
  <c r="L10" i="43"/>
  <c r="V271" i="39" a="1"/>
  <c r="V271" i="39" s="1"/>
  <c r="U73" i="39" a="1"/>
  <c r="U73" i="39" s="1"/>
  <c r="T28" i="39" a="1"/>
  <c r="T28" i="39" s="1"/>
  <c r="V83" i="39" a="1"/>
  <c r="V83" i="39" s="1"/>
  <c r="V524" i="39" a="1"/>
  <c r="V524" i="39" s="1"/>
  <c r="J23" i="43"/>
  <c r="V234" i="39" a="1"/>
  <c r="V234" i="39" s="1"/>
  <c r="U357" i="39" a="1"/>
  <c r="U357" i="39" s="1"/>
  <c r="M106" i="41"/>
  <c r="N45" i="41"/>
  <c r="P3" i="41"/>
  <c r="N31" i="41"/>
  <c r="L75" i="43"/>
  <c r="J36" i="43"/>
  <c r="L55" i="41"/>
  <c r="N119" i="41"/>
  <c r="N116" i="41"/>
  <c r="I34" i="42" a="1"/>
  <c r="I34" i="42" s="1"/>
  <c r="M76" i="41"/>
  <c r="P81" i="41"/>
  <c r="P74" i="41"/>
  <c r="P4" i="41"/>
  <c r="L106" i="41"/>
  <c r="N16" i="41"/>
  <c r="P30" i="41"/>
  <c r="J35" i="43"/>
  <c r="K97" i="43"/>
  <c r="J2" i="43"/>
  <c r="M105" i="41"/>
  <c r="K85" i="43"/>
  <c r="N120" i="39" a="1"/>
  <c r="N120" i="39" s="1"/>
  <c r="N471" i="39" a="1"/>
  <c r="N471" i="39" s="1"/>
  <c r="P92" i="41"/>
  <c r="M42" i="41"/>
  <c r="M112" i="41"/>
  <c r="M93" i="41"/>
  <c r="V218" i="39" a="1"/>
  <c r="V218" i="39" s="1"/>
  <c r="J74" i="43"/>
  <c r="I202" i="42" a="1"/>
  <c r="I202" i="42" s="1"/>
  <c r="P103" i="41"/>
  <c r="I88" i="42" a="1"/>
  <c r="I88" i="42" s="1"/>
  <c r="I201" i="42" a="1"/>
  <c r="I201" i="42" s="1"/>
  <c r="J116" i="43"/>
  <c r="N172" i="39" a="1"/>
  <c r="N172" i="39" s="1"/>
  <c r="N94" i="41"/>
  <c r="T541" i="39" a="1"/>
  <c r="T541" i="39" s="1"/>
  <c r="T119" i="39" a="1"/>
  <c r="T119" i="39" s="1"/>
  <c r="N455" i="39" a="1"/>
  <c r="N455" i="39" s="1"/>
  <c r="L95" i="41"/>
  <c r="M88" i="41"/>
  <c r="L41" i="41"/>
  <c r="L21" i="41"/>
  <c r="L88" i="43"/>
  <c r="I92" i="42" a="1"/>
  <c r="I92" i="42" s="1"/>
  <c r="L54" i="43"/>
  <c r="P5" i="41"/>
  <c r="U520" i="39" a="1"/>
  <c r="U520" i="39" s="1"/>
  <c r="M8" i="41"/>
  <c r="K50" i="43"/>
  <c r="L26" i="43"/>
  <c r="P19" i="41"/>
  <c r="N113" i="41"/>
  <c r="L113" i="43"/>
  <c r="T4" i="39" a="1"/>
  <c r="T4" i="39" s="1"/>
  <c r="U128" i="39" a="1"/>
  <c r="U128" i="39" s="1"/>
  <c r="J45" i="43"/>
  <c r="L14" i="43"/>
  <c r="L13" i="43"/>
  <c r="L114" i="43"/>
  <c r="L19" i="43"/>
  <c r="V465" i="39" a="1"/>
  <c r="V465" i="39" s="1"/>
  <c r="P37" i="41"/>
  <c r="M116" i="41"/>
  <c r="T132" i="39" a="1"/>
  <c r="T132" i="39" s="1"/>
  <c r="M114" i="41"/>
  <c r="I184" i="42" a="1"/>
  <c r="I184" i="42" s="1"/>
  <c r="P10" i="41"/>
  <c r="P89" i="41"/>
  <c r="M28" i="41"/>
  <c r="N3" i="41"/>
  <c r="K30" i="43"/>
  <c r="V468" i="39" a="1"/>
  <c r="V468" i="39" s="1"/>
  <c r="V6" i="39" a="1"/>
  <c r="V6" i="39" s="1"/>
  <c r="P104" i="41"/>
  <c r="P110" i="41"/>
  <c r="N90" i="41"/>
  <c r="N89" i="41"/>
  <c r="L81" i="41"/>
  <c r="M92" i="41"/>
  <c r="P8" i="41"/>
  <c r="L25" i="43"/>
  <c r="J61" i="43"/>
  <c r="J54" i="43"/>
  <c r="U373" i="39" a="1"/>
  <c r="U373" i="39" s="1"/>
  <c r="T468" i="39" a="1"/>
  <c r="T468" i="39" s="1"/>
  <c r="T394" i="39" a="1"/>
  <c r="T394" i="39" s="1"/>
  <c r="T370" i="39" a="1"/>
  <c r="T370" i="39" s="1"/>
  <c r="N10" i="41"/>
  <c r="T338" i="39" a="1"/>
  <c r="T338" i="39" s="1"/>
  <c r="N25" i="41"/>
  <c r="N9" i="41"/>
  <c r="J97" i="43"/>
  <c r="J102" i="43"/>
  <c r="L80" i="43"/>
  <c r="K84" i="43"/>
  <c r="J66" i="43"/>
  <c r="U394" i="39" a="1"/>
  <c r="U394" i="39" s="1"/>
  <c r="U74" i="39" a="1"/>
  <c r="U74" i="39" s="1"/>
  <c r="V364" i="39" a="1"/>
  <c r="V364" i="39" s="1"/>
  <c r="L112" i="41"/>
  <c r="R25" i="39" a="1"/>
  <c r="R25" i="39" s="1"/>
  <c r="K62" i="43"/>
  <c r="T147" i="39" a="1"/>
  <c r="T147" i="39" s="1"/>
  <c r="N88" i="41"/>
  <c r="M7" i="41"/>
  <c r="L8" i="41"/>
  <c r="N8" i="41"/>
  <c r="J85" i="43"/>
  <c r="L82" i="43"/>
  <c r="K54" i="43"/>
  <c r="K28" i="43"/>
  <c r="T41" i="39" a="1"/>
  <c r="T41" i="39" s="1"/>
  <c r="V127" i="39" a="1"/>
  <c r="V127" i="39" s="1"/>
  <c r="V359" i="39" a="1"/>
  <c r="V359" i="39" s="1"/>
  <c r="T17" i="39" a="1"/>
  <c r="T17" i="39" s="1"/>
  <c r="I207" i="42" a="1"/>
  <c r="I207" i="42" s="1"/>
  <c r="I37" i="42" a="1"/>
  <c r="I37" i="42" s="1"/>
  <c r="J39" i="43"/>
  <c r="J40" i="43"/>
  <c r="L81" i="43"/>
  <c r="T177" i="39" a="1"/>
  <c r="T177" i="39" s="1"/>
  <c r="U41" i="39" a="1"/>
  <c r="U41" i="39" s="1"/>
  <c r="V193" i="39" a="1"/>
  <c r="V193" i="39" s="1"/>
  <c r="V545" i="39" a="1"/>
  <c r="V545" i="39" s="1"/>
  <c r="V433" i="39" a="1"/>
  <c r="V433" i="39" s="1"/>
  <c r="V382" i="39" a="1"/>
  <c r="V382" i="39" s="1"/>
  <c r="I28" i="42" a="1"/>
  <c r="I28" i="42" s="1"/>
  <c r="J41" i="43"/>
  <c r="L93" i="43"/>
  <c r="T62" i="39" a="1"/>
  <c r="T62" i="39" s="1"/>
  <c r="U177" i="39" a="1"/>
  <c r="U177" i="39" s="1"/>
  <c r="T397" i="39" a="1"/>
  <c r="T397" i="39" s="1"/>
  <c r="U50" i="39" a="1"/>
  <c r="U50" i="39" s="1"/>
  <c r="T94" i="39" a="1"/>
  <c r="T94" i="39" s="1"/>
  <c r="V73" i="39" a="1"/>
  <c r="V73" i="39" s="1"/>
  <c r="N26" i="41"/>
  <c r="K71" i="43"/>
  <c r="T359" i="39" a="1"/>
  <c r="T359" i="39" s="1"/>
  <c r="L104" i="41"/>
  <c r="P76" i="41"/>
  <c r="P7" i="41"/>
  <c r="I204" i="42" a="1"/>
  <c r="I204" i="42" s="1"/>
  <c r="J101" i="43"/>
  <c r="J44" i="43"/>
  <c r="U397" i="39" a="1"/>
  <c r="U397" i="39" s="1"/>
  <c r="T50" i="39" a="1"/>
  <c r="T50" i="39" s="1"/>
  <c r="U524" i="39" a="1"/>
  <c r="U524" i="39" s="1"/>
  <c r="T364" i="39" a="1"/>
  <c r="T364" i="39" s="1"/>
  <c r="V177" i="39" a="1"/>
  <c r="V177" i="39" s="1"/>
  <c r="V41" i="39" a="1"/>
  <c r="V41" i="39" s="1"/>
  <c r="J28" i="43"/>
  <c r="L117" i="41"/>
  <c r="L75" i="41"/>
  <c r="V181" i="39" a="1"/>
  <c r="V181" i="39" s="1"/>
  <c r="T545" i="39" a="1"/>
  <c r="T545" i="39" s="1"/>
  <c r="K35" i="43"/>
  <c r="L9" i="41"/>
  <c r="N103" i="41"/>
  <c r="I191" i="42" a="1"/>
  <c r="I191" i="42" s="1"/>
  <c r="L55" i="43"/>
  <c r="L115" i="43"/>
  <c r="K43" i="43"/>
  <c r="L116" i="43"/>
  <c r="J103" i="43"/>
  <c r="L109" i="43"/>
  <c r="T420" i="39" a="1"/>
  <c r="T420" i="39" s="1"/>
  <c r="T218" i="39" a="1"/>
  <c r="T218" i="39" s="1"/>
  <c r="U364" i="39" a="1"/>
  <c r="U364" i="39" s="1"/>
  <c r="V374" i="39" a="1"/>
  <c r="V374" i="39" s="1"/>
  <c r="L110" i="43"/>
  <c r="T27" i="39" a="1"/>
  <c r="T27" i="39" s="1"/>
  <c r="L90" i="41"/>
  <c r="N7" i="41"/>
  <c r="M10" i="41"/>
  <c r="P9" i="41"/>
  <c r="K2" i="43"/>
  <c r="K39" i="43"/>
  <c r="L39" i="43"/>
  <c r="L33" i="43"/>
  <c r="L40" i="43"/>
  <c r="L108" i="43"/>
  <c r="L111" i="43"/>
  <c r="T342" i="39" a="1"/>
  <c r="T342" i="39" s="1"/>
  <c r="U64" i="39" a="1"/>
  <c r="U64" i="39" s="1"/>
  <c r="V562" i="39" a="1"/>
  <c r="V562" i="39" s="1"/>
  <c r="N549" i="39" a="1"/>
  <c r="N549" i="39" s="1"/>
  <c r="L11" i="41"/>
  <c r="N56" i="41"/>
  <c r="N124" i="41"/>
  <c r="N76" i="41"/>
  <c r="L7" i="41"/>
  <c r="N105" i="41"/>
  <c r="L10" i="41"/>
  <c r="L103" i="41"/>
  <c r="I153" i="42" a="1"/>
  <c r="I153" i="42" s="1"/>
  <c r="K44" i="43"/>
  <c r="K59" i="43"/>
  <c r="K41" i="43"/>
  <c r="L41" i="43"/>
  <c r="J86" i="43"/>
  <c r="K45" i="43"/>
  <c r="K58" i="43"/>
  <c r="L38" i="43"/>
  <c r="N221" i="39" a="1"/>
  <c r="N221" i="39" s="1"/>
  <c r="V50" i="39" a="1"/>
  <c r="V50" i="39" s="1"/>
  <c r="N264" i="39" a="1"/>
  <c r="N264" i="39" s="1"/>
  <c r="V397" i="39" a="1"/>
  <c r="V397" i="39" s="1"/>
  <c r="L76" i="41"/>
  <c r="N104" i="41"/>
  <c r="J37" i="43"/>
  <c r="J65" i="43"/>
  <c r="K40" i="43"/>
  <c r="J84" i="43"/>
  <c r="T432" i="39" a="1"/>
  <c r="T432" i="39" s="1"/>
  <c r="T78" i="39" a="1"/>
  <c r="T78" i="39" s="1"/>
  <c r="T400" i="39" a="1"/>
  <c r="T400" i="39" s="1"/>
  <c r="V506" i="39" a="1"/>
  <c r="V506" i="39" s="1"/>
  <c r="V411" i="39" a="1"/>
  <c r="V411" i="39" s="1"/>
  <c r="V124" i="39" a="1"/>
  <c r="V124" i="39" s="1"/>
  <c r="V369" i="39" a="1"/>
  <c r="V369" i="39" s="1"/>
  <c r="V414" i="39" a="1"/>
  <c r="V414" i="39" s="1"/>
  <c r="I178" i="42" a="1"/>
  <c r="I178" i="42" s="1"/>
  <c r="L96" i="43"/>
  <c r="P95" i="41"/>
  <c r="M120" i="41"/>
  <c r="V198" i="39" a="1"/>
  <c r="V198" i="39" s="1"/>
  <c r="K93" i="43"/>
  <c r="M4" i="41"/>
  <c r="L25" i="41"/>
  <c r="M104" i="41"/>
  <c r="J67" i="43"/>
  <c r="L56" i="43"/>
  <c r="J89" i="43"/>
  <c r="U432" i="39" a="1"/>
  <c r="U432" i="39" s="1"/>
  <c r="T59" i="39" a="1"/>
  <c r="T59" i="39" s="1"/>
  <c r="V59" i="39" a="1"/>
  <c r="V59" i="39" s="1"/>
  <c r="N509" i="39" a="1"/>
  <c r="N509" i="39" s="1"/>
  <c r="V505" i="39" a="1"/>
  <c r="V505" i="39" s="1"/>
  <c r="P122" i="41"/>
  <c r="P115" i="41"/>
  <c r="V501" i="39" a="1"/>
  <c r="V501" i="39" s="1"/>
  <c r="P117" i="41"/>
  <c r="P116" i="41"/>
  <c r="V33" i="39" a="1"/>
  <c r="V33" i="39" s="1"/>
  <c r="P112" i="41"/>
  <c r="P113" i="41"/>
  <c r="P111" i="41"/>
  <c r="P36" i="41"/>
  <c r="W199" i="39" a="1"/>
  <c r="W199" i="39" s="1"/>
  <c r="W368" i="39" a="1"/>
  <c r="W368" i="39" s="1"/>
  <c r="K77" i="43"/>
  <c r="U425" i="39" a="1"/>
  <c r="U425" i="39" s="1"/>
  <c r="U255" i="39" a="1"/>
  <c r="U255" i="39" s="1"/>
  <c r="K64" i="43"/>
  <c r="W239" i="39" a="1"/>
  <c r="W239" i="39" s="1"/>
  <c r="W210" i="39" a="1"/>
  <c r="W210" i="39" s="1"/>
  <c r="W220" i="39" a="1"/>
  <c r="W220" i="39" s="1"/>
  <c r="W502" i="39" a="1"/>
  <c r="W502" i="39" s="1"/>
  <c r="W515" i="39" a="1"/>
  <c r="W515" i="39" s="1"/>
  <c r="W308" i="39" a="1"/>
  <c r="W308" i="39" s="1"/>
  <c r="W36" i="39" a="1"/>
  <c r="W36" i="39" s="1"/>
  <c r="W72" i="39" a="1"/>
  <c r="W72" i="39" s="1"/>
  <c r="W452" i="39" a="1"/>
  <c r="W452" i="39" s="1"/>
  <c r="W206" i="39" a="1"/>
  <c r="W206" i="39" s="1"/>
  <c r="W192" i="39" a="1"/>
  <c r="W192" i="39" s="1"/>
  <c r="W466" i="39" a="1"/>
  <c r="W466" i="39" s="1"/>
  <c r="W26" i="39" a="1"/>
  <c r="W26" i="39" s="1"/>
  <c r="W292" i="39" a="1"/>
  <c r="W292" i="39" s="1"/>
  <c r="W340" i="39" a="1"/>
  <c r="W340" i="39" s="1"/>
  <c r="W511" i="39" a="1"/>
  <c r="W511" i="39" s="1"/>
  <c r="W250" i="39" a="1"/>
  <c r="W250" i="39" s="1"/>
  <c r="W385" i="39" a="1"/>
  <c r="W385" i="39" s="1"/>
  <c r="W408" i="39" a="1"/>
  <c r="W408" i="39" s="1"/>
  <c r="W423" i="39" a="1"/>
  <c r="W423" i="39" s="1"/>
  <c r="W448" i="39" a="1"/>
  <c r="W448" i="39" s="1"/>
  <c r="W343" i="39" a="1"/>
  <c r="W343" i="39" s="1"/>
  <c r="W79" i="39" a="1"/>
  <c r="W79" i="39" s="1"/>
  <c r="W539" i="39" a="1"/>
  <c r="W539" i="39" s="1"/>
  <c r="W551" i="39" a="1"/>
  <c r="W551" i="39" s="1"/>
  <c r="W261" i="39" a="1"/>
  <c r="W261" i="39" s="1"/>
  <c r="W309" i="39" a="1"/>
  <c r="W309" i="39" s="1"/>
  <c r="W521" i="39" a="1"/>
  <c r="W521" i="39" s="1"/>
  <c r="W535" i="39" a="1"/>
  <c r="W535" i="39" s="1"/>
  <c r="W498" i="39" a="1"/>
  <c r="W498" i="39" s="1"/>
  <c r="W384" i="39" a="1"/>
  <c r="W384" i="39" s="1"/>
  <c r="W42" i="39" a="1"/>
  <c r="W42" i="39" s="1"/>
  <c r="W358" i="39" a="1"/>
  <c r="W358" i="39" s="1"/>
  <c r="W552" i="39" a="1"/>
  <c r="W552" i="39" s="1"/>
  <c r="W494" i="39" a="1"/>
  <c r="W494" i="39" s="1"/>
  <c r="W280" i="39" a="1"/>
  <c r="W280" i="39" s="1"/>
  <c r="W195" i="39" a="1"/>
  <c r="W195" i="39" s="1"/>
  <c r="W532" i="39" a="1"/>
  <c r="W532" i="39" s="1"/>
  <c r="W458" i="39" a="1"/>
  <c r="W458" i="39" s="1"/>
  <c r="W99" i="39" a="1"/>
  <c r="W99" i="39" s="1"/>
  <c r="W232" i="39" a="1"/>
  <c r="W232" i="39" s="1"/>
  <c r="W534" i="39" a="1"/>
  <c r="W534" i="39" s="1"/>
  <c r="W269" i="39" a="1"/>
  <c r="W269" i="39" s="1"/>
  <c r="W457" i="39" a="1"/>
  <c r="W457" i="39" s="1"/>
  <c r="W272" i="39" a="1"/>
  <c r="W272" i="39" s="1"/>
  <c r="W227" i="39" a="1"/>
  <c r="W227" i="39" s="1"/>
  <c r="W335" i="39" a="1"/>
  <c r="W335" i="39" s="1"/>
  <c r="W424" i="39" a="1"/>
  <c r="W424" i="39" s="1"/>
  <c r="W526" i="39" a="1"/>
  <c r="W526" i="39" s="1"/>
  <c r="W514" i="39" a="1"/>
  <c r="W514" i="39" s="1"/>
  <c r="W462" i="39" a="1"/>
  <c r="W462" i="39" s="1"/>
  <c r="W388" i="39" a="1"/>
  <c r="W388" i="39" s="1"/>
  <c r="W449" i="39" a="1"/>
  <c r="W449" i="39" s="1"/>
  <c r="W483" i="39" a="1"/>
  <c r="W483" i="39" s="1"/>
  <c r="W104" i="39" a="1"/>
  <c r="W104" i="39" s="1"/>
  <c r="W318" i="39" a="1"/>
  <c r="W318" i="39" s="1"/>
  <c r="W29" i="39" a="1"/>
  <c r="W29" i="39" s="1"/>
  <c r="W53" i="39" a="1"/>
  <c r="W53" i="39" s="1"/>
  <c r="W86" i="39" a="1"/>
  <c r="W86" i="39" s="1"/>
  <c r="W555" i="39" a="1"/>
  <c r="W555" i="39" s="1"/>
  <c r="W371" i="39" a="1"/>
  <c r="W371" i="39" s="1"/>
  <c r="W319" i="39" a="1"/>
  <c r="W319" i="39" s="1"/>
  <c r="W440" i="39" a="1"/>
  <c r="W440" i="39" s="1"/>
  <c r="W273" i="39" a="1"/>
  <c r="W273" i="39" s="1"/>
  <c r="W559" i="39" a="1"/>
  <c r="W559" i="39" s="1"/>
  <c r="W35" i="39" a="1"/>
  <c r="W35" i="39" s="1"/>
  <c r="W305" i="39" a="1"/>
  <c r="W305" i="39" s="1"/>
  <c r="W383" i="39" a="1"/>
  <c r="W383" i="39" s="1"/>
  <c r="W512" i="39" a="1"/>
  <c r="W512" i="39" s="1"/>
  <c r="W560" i="39" a="1"/>
  <c r="W560" i="39" s="1"/>
  <c r="W108" i="39" a="1"/>
  <c r="W108" i="39" s="1"/>
  <c r="W13" i="39" a="1"/>
  <c r="W13" i="39" s="1"/>
  <c r="W96" i="39" a="1"/>
  <c r="W96" i="39" s="1"/>
  <c r="W225" i="39" a="1"/>
  <c r="W225" i="39" s="1"/>
  <c r="W315" i="39" a="1"/>
  <c r="W315" i="39" s="1"/>
  <c r="W415" i="39" a="1"/>
  <c r="W415" i="39" s="1"/>
  <c r="W138" i="39" a="1"/>
  <c r="W138" i="39" s="1"/>
  <c r="W326" i="39" a="1"/>
  <c r="W326" i="39" s="1"/>
  <c r="W216" i="39" a="1"/>
  <c r="W216" i="39" s="1"/>
  <c r="W367" i="39" a="1"/>
  <c r="W367" i="39" s="1"/>
  <c r="W513" i="39" a="1"/>
  <c r="W513" i="39" s="1"/>
  <c r="W322" i="39" a="1"/>
  <c r="W322" i="39" s="1"/>
  <c r="W164" i="39" a="1"/>
  <c r="W164" i="39" s="1"/>
  <c r="W389" i="39" a="1"/>
  <c r="W389" i="39" s="1"/>
  <c r="W281" i="39" a="1"/>
  <c r="W281" i="39" s="1"/>
  <c r="W5" i="39" a="1"/>
  <c r="W5" i="39" s="1"/>
  <c r="W497" i="39" a="1"/>
  <c r="W497" i="39" s="1"/>
  <c r="W546" i="39" a="1"/>
  <c r="W546" i="39" s="1"/>
  <c r="W240" i="39" a="1"/>
  <c r="W240" i="39" s="1"/>
  <c r="W331" i="39" a="1"/>
  <c r="W331" i="39" s="1"/>
  <c r="W141" i="39" a="1"/>
  <c r="W141" i="39" s="1"/>
  <c r="W63" i="39" a="1"/>
  <c r="W63" i="39" s="1"/>
  <c r="W92" i="39" a="1"/>
  <c r="W92" i="39" s="1"/>
  <c r="W265" i="39" a="1"/>
  <c r="W265" i="39" s="1"/>
  <c r="W168" i="39" a="1"/>
  <c r="W168" i="39" s="1"/>
  <c r="W563" i="39" a="1"/>
  <c r="W563" i="39" s="1"/>
  <c r="W245" i="39" a="1"/>
  <c r="W245" i="39" s="1"/>
  <c r="W407" i="39" a="1"/>
  <c r="W407" i="39" s="1"/>
  <c r="W39" i="39" a="1"/>
  <c r="W39" i="39" s="1"/>
  <c r="W522" i="39" a="1"/>
  <c r="W522" i="39" s="1"/>
  <c r="W543" i="39" a="1"/>
  <c r="W543" i="39" s="1"/>
  <c r="W431" i="39" a="1"/>
  <c r="W431" i="39" s="1"/>
  <c r="W542" i="39" a="1"/>
  <c r="W542" i="39" s="1"/>
  <c r="W23" i="39" a="1"/>
  <c r="W23" i="39" s="1"/>
  <c r="W486" i="39" a="1"/>
  <c r="W486" i="39" s="1"/>
  <c r="W268" i="39" a="1"/>
  <c r="W268" i="39" s="1"/>
  <c r="W75" i="39" a="1"/>
  <c r="W75" i="39" s="1"/>
  <c r="W354" i="39" a="1"/>
  <c r="W354" i="39" s="1"/>
  <c r="W393" i="39" a="1"/>
  <c r="W393" i="39" s="1"/>
  <c r="W422" i="39" a="1"/>
  <c r="W422" i="39" s="1"/>
  <c r="W302" i="39" a="1"/>
  <c r="W302" i="39" s="1"/>
  <c r="W416" i="39" a="1"/>
  <c r="W416" i="39" s="1"/>
  <c r="W163" i="39" a="1"/>
  <c r="W163" i="39" s="1"/>
  <c r="W402" i="39" a="1"/>
  <c r="W402" i="39" s="1"/>
  <c r="W214" i="39" a="1"/>
  <c r="W214" i="39" s="1"/>
  <c r="W57" i="39" a="1"/>
  <c r="W57" i="39" s="1"/>
  <c r="W246" i="39" a="1"/>
  <c r="W246" i="39" s="1"/>
  <c r="W19" i="39" a="1"/>
  <c r="W19" i="39" s="1"/>
  <c r="W12" i="39" a="1"/>
  <c r="W12" i="39" s="1"/>
  <c r="W207" i="39" a="1"/>
  <c r="W207" i="39" s="1"/>
  <c r="W350" i="39" a="1"/>
  <c r="W350" i="39" s="1"/>
  <c r="W44" i="39" a="1"/>
  <c r="W44" i="39" s="1"/>
  <c r="W130" i="39" a="1"/>
  <c r="W130" i="39" s="1"/>
  <c r="W140" i="39" a="1"/>
  <c r="W140" i="39" s="1"/>
  <c r="W366" i="39" a="1"/>
  <c r="W366" i="39" s="1"/>
  <c r="W444" i="39" a="1"/>
  <c r="W444" i="39" s="1"/>
  <c r="W87" i="39" a="1"/>
  <c r="W87" i="39" s="1"/>
  <c r="W487" i="39" a="1"/>
  <c r="W487" i="39" s="1"/>
  <c r="W105" i="39" a="1"/>
  <c r="W105" i="39" s="1"/>
  <c r="W404" i="39" a="1"/>
  <c r="W404" i="39" s="1"/>
  <c r="W112" i="39" a="1"/>
  <c r="W112" i="39" s="1"/>
  <c r="W279" i="39" a="1"/>
  <c r="W279" i="39" s="1"/>
  <c r="W121" i="39" a="1"/>
  <c r="W121" i="39" s="1"/>
  <c r="W336" i="39" a="1"/>
  <c r="W336" i="39" s="1"/>
  <c r="W122" i="39" a="1"/>
  <c r="W122" i="39" s="1"/>
  <c r="W180" i="39" a="1"/>
  <c r="W180" i="39" s="1"/>
  <c r="W30" i="39" a="1"/>
  <c r="W30" i="39" s="1"/>
  <c r="W43" i="39" a="1"/>
  <c r="W43" i="39" s="1"/>
  <c r="W375" i="39" a="1"/>
  <c r="W375" i="39" s="1"/>
  <c r="W115" i="39" a="1"/>
  <c r="W115" i="39" s="1"/>
  <c r="W518" i="39" a="1"/>
  <c r="W518" i="39" s="1"/>
  <c r="W463" i="39" a="1"/>
  <c r="W463" i="39" s="1"/>
  <c r="W54" i="39" a="1"/>
  <c r="W54" i="39" s="1"/>
  <c r="W144" i="39" a="1"/>
  <c r="W144" i="39" s="1"/>
  <c r="W469" i="39" a="1"/>
  <c r="W469" i="39" s="1"/>
  <c r="W503" i="39" a="1"/>
  <c r="W503" i="39" s="1"/>
  <c r="W47" i="39" a="1"/>
  <c r="W47" i="39" s="1"/>
  <c r="W151" i="39" a="1"/>
  <c r="W151" i="39" s="1"/>
  <c r="W219" i="39" a="1"/>
  <c r="W219" i="39" s="1"/>
  <c r="W344" i="39" a="1"/>
  <c r="W344" i="39" s="1"/>
  <c r="W148" i="39" a="1"/>
  <c r="W148" i="39" s="1"/>
  <c r="W376" i="39" a="1"/>
  <c r="W376" i="39" s="1"/>
  <c r="W569" i="39" a="1"/>
  <c r="W569" i="39" s="1"/>
  <c r="W396" i="39" a="1"/>
  <c r="W396" i="39" s="1"/>
  <c r="W69" i="39" a="1"/>
  <c r="W69" i="39" s="1"/>
  <c r="W479" i="39" a="1"/>
  <c r="W479" i="39" s="1"/>
  <c r="W301" i="39" a="1"/>
  <c r="W301" i="39" s="1"/>
  <c r="W88" i="39" a="1"/>
  <c r="W88" i="39" s="1"/>
  <c r="W332" i="39" a="1"/>
  <c r="W332" i="39" s="1"/>
  <c r="W441" i="39" a="1"/>
  <c r="W441" i="39" s="1"/>
  <c r="W176" i="39" a="1"/>
  <c r="W176" i="39" s="1"/>
  <c r="W189" i="39" a="1"/>
  <c r="W189" i="39" s="1"/>
  <c r="W167" i="39" a="1"/>
  <c r="W167" i="39" s="1"/>
  <c r="W52" i="39" a="1"/>
  <c r="W52" i="39" s="1"/>
  <c r="W85" i="39" a="1"/>
  <c r="W85" i="39" s="1"/>
  <c r="W133" i="39" a="1"/>
  <c r="W133" i="39" s="1"/>
  <c r="W76" i="39" a="1"/>
  <c r="W76" i="39" s="1"/>
  <c r="W184" i="39" a="1"/>
  <c r="W184" i="39" s="1"/>
  <c r="W353" i="39" a="1"/>
  <c r="W353" i="39" s="1"/>
  <c r="W430" i="39" a="1"/>
  <c r="W430" i="39" s="1"/>
  <c r="W22" i="39" a="1"/>
  <c r="W22" i="39" s="1"/>
  <c r="W298" i="39" a="1"/>
  <c r="W298" i="39" s="1"/>
  <c r="W372" i="39" a="1"/>
  <c r="W372" i="39" s="1"/>
  <c r="W91" i="39" a="1"/>
  <c r="W91" i="39" s="1"/>
  <c r="W412" i="39" a="1"/>
  <c r="W412" i="39" s="1"/>
  <c r="W482" i="39" a="1"/>
  <c r="W482" i="39" s="1"/>
  <c r="W253" i="39" a="1"/>
  <c r="W253" i="39" s="1"/>
  <c r="W538" i="39" a="1"/>
  <c r="W538" i="39" s="1"/>
  <c r="W284" i="39" a="1"/>
  <c r="W284" i="39" s="1"/>
  <c r="W152" i="39" a="1"/>
  <c r="W152" i="39" s="1"/>
  <c r="W461" i="39" a="1"/>
  <c r="W461" i="39" s="1"/>
  <c r="W200" i="39" a="1"/>
  <c r="W200" i="39" s="1"/>
  <c r="W556" i="39" a="1"/>
  <c r="W556" i="39" s="1"/>
  <c r="W349" i="39" a="1"/>
  <c r="W349" i="39" s="1"/>
  <c r="W173" i="39" a="1"/>
  <c r="W173" i="39" s="1"/>
  <c r="W492" i="39" a="1"/>
  <c r="W492" i="39" s="1"/>
  <c r="W125" i="39" a="1"/>
  <c r="W125" i="39" s="1"/>
  <c r="W291" i="39" a="1"/>
  <c r="W291" i="39" s="1"/>
  <c r="W256" i="39" a="1"/>
  <c r="W256" i="39" s="1"/>
  <c r="W211" i="39" a="1"/>
  <c r="W211" i="39" s="1"/>
  <c r="V74" i="39" a="1"/>
  <c r="V74" i="39" s="1"/>
  <c r="V481" i="39" a="1"/>
  <c r="V481" i="39" s="1"/>
  <c r="N346" i="39" a="1"/>
  <c r="N346" i="39" s="1"/>
  <c r="N421" i="39" a="1"/>
  <c r="N421" i="39" s="1"/>
  <c r="X421" i="39" s="1"/>
  <c r="N257" i="39" a="1"/>
  <c r="N257" i="39" s="1"/>
  <c r="V304" i="39" a="1"/>
  <c r="V304" i="39" s="1"/>
  <c r="N531" i="39" a="1"/>
  <c r="N531" i="39" s="1"/>
  <c r="X531" i="39" s="1"/>
  <c r="N472" i="39" a="1"/>
  <c r="N472" i="39" s="1"/>
  <c r="V4" i="39" a="1"/>
  <c r="V4" i="39" s="1"/>
  <c r="N320" i="39" a="1"/>
  <c r="N320" i="39" s="1"/>
  <c r="V111" i="39" a="1"/>
  <c r="V111" i="39" s="1"/>
  <c r="V24" i="39" a="1"/>
  <c r="V24" i="39" s="1"/>
  <c r="N209" i="39" a="1"/>
  <c r="N209" i="39" s="1"/>
  <c r="N488" i="39" a="1"/>
  <c r="N488" i="39" s="1"/>
  <c r="N554" i="39" a="1"/>
  <c r="N554" i="39" s="1"/>
  <c r="N519" i="39" a="1"/>
  <c r="N519" i="39" s="1"/>
  <c r="N548" i="39" a="1"/>
  <c r="N548" i="39" s="1"/>
  <c r="N243" i="39" a="1"/>
  <c r="N243" i="39" s="1"/>
  <c r="N278" i="39" a="1"/>
  <c r="N278" i="39" s="1"/>
  <c r="X278" i="39" s="1"/>
  <c r="V429" i="39" a="1"/>
  <c r="V429" i="39" s="1"/>
  <c r="N508" i="39" a="1"/>
  <c r="N508" i="39" s="1"/>
  <c r="V213" i="39" a="1"/>
  <c r="V213" i="39" s="1"/>
  <c r="N249" i="39" a="1"/>
  <c r="N249" i="39" s="1"/>
  <c r="V194" i="39" a="1"/>
  <c r="V194" i="39" s="1"/>
  <c r="N316" i="39" a="1"/>
  <c r="N316" i="39" s="1"/>
  <c r="V147" i="39" a="1"/>
  <c r="V147" i="39" s="1"/>
  <c r="N557" i="39" a="1"/>
  <c r="N557" i="39" s="1"/>
  <c r="V391" i="39" a="1"/>
  <c r="V391" i="39" s="1"/>
  <c r="N568" i="39" a="1"/>
  <c r="N568" i="39" s="1"/>
  <c r="V3" i="39" a="1"/>
  <c r="V3" i="39" s="1"/>
  <c r="V373" i="39" a="1"/>
  <c r="V373" i="39" s="1"/>
  <c r="N310" i="39" a="1"/>
  <c r="N310" i="39" s="1"/>
  <c r="N197" i="39" a="1"/>
  <c r="N197" i="39" s="1"/>
  <c r="N270" i="39" a="1"/>
  <c r="N270" i="39" s="1"/>
  <c r="V365" i="39" a="1"/>
  <c r="V365" i="39" s="1"/>
  <c r="N333" i="39" a="1"/>
  <c r="N333" i="39" s="1"/>
  <c r="N233" i="39" a="1"/>
  <c r="N233" i="39" s="1"/>
  <c r="N517" i="39" a="1"/>
  <c r="N517" i="39" s="1"/>
  <c r="N303" i="39" a="1"/>
  <c r="N303" i="39" s="1"/>
  <c r="N550" i="39" a="1"/>
  <c r="N550" i="39" s="1"/>
  <c r="N329" i="39" a="1"/>
  <c r="N329" i="39" s="1"/>
  <c r="V370" i="39" a="1"/>
  <c r="V370" i="39" s="1"/>
  <c r="V34" i="39" a="1"/>
  <c r="V34" i="39" s="1"/>
  <c r="V27" i="39" a="1"/>
  <c r="V27" i="39" s="1"/>
  <c r="V352" i="39" a="1"/>
  <c r="V352" i="39" s="1"/>
  <c r="V17" i="39" a="1"/>
  <c r="V17" i="39" s="1"/>
  <c r="V16" i="39" a="1"/>
  <c r="V16" i="39" s="1"/>
  <c r="V128" i="39" a="1"/>
  <c r="V128" i="39" s="1"/>
  <c r="N553" i="39" a="1"/>
  <c r="N553" i="39" s="1"/>
  <c r="N251" i="39" a="1"/>
  <c r="N251" i="39" s="1"/>
  <c r="N205" i="39" a="1"/>
  <c r="N205" i="39" s="1"/>
  <c r="X205" i="39" s="1"/>
  <c r="N283" i="39" a="1"/>
  <c r="N283" i="39" s="1"/>
  <c r="N450" i="39" a="1"/>
  <c r="N450" i="39" s="1"/>
  <c r="N263" i="39" a="1"/>
  <c r="N263" i="39" s="1"/>
  <c r="V15" i="39" a="1"/>
  <c r="V15" i="39" s="1"/>
  <c r="N510" i="39" a="1"/>
  <c r="N510" i="39" s="1"/>
  <c r="N495" i="39" a="1"/>
  <c r="N495" i="39" s="1"/>
  <c r="V252" i="39" a="1"/>
  <c r="V252" i="39" s="1"/>
  <c r="N570" i="39" a="1"/>
  <c r="N570" i="39" s="1"/>
  <c r="X570" i="39" s="1"/>
  <c r="V520" i="39" a="1"/>
  <c r="V520" i="39" s="1"/>
  <c r="V357" i="39" a="1"/>
  <c r="V357" i="39" s="1"/>
  <c r="N327" i="39" a="1"/>
  <c r="N327" i="39" s="1"/>
  <c r="V541" i="39" a="1"/>
  <c r="V541" i="39" s="1"/>
  <c r="N296" i="39" a="1"/>
  <c r="N296" i="39" s="1"/>
  <c r="N337" i="39" a="1"/>
  <c r="N337" i="39" s="1"/>
  <c r="N547" i="39" a="1"/>
  <c r="N547" i="39" s="1"/>
  <c r="V362" i="39" a="1"/>
  <c r="V362" i="39" s="1"/>
  <c r="V25" i="39" a="1"/>
  <c r="V25" i="39" s="1"/>
  <c r="N277" i="39" a="1"/>
  <c r="N277" i="39" s="1"/>
  <c r="N157" i="39" a="1"/>
  <c r="N157" i="39" s="1"/>
  <c r="X157" i="39" s="1"/>
  <c r="N275" i="39" a="1"/>
  <c r="N275" i="39" s="1"/>
  <c r="N244" i="39" a="1"/>
  <c r="N244" i="39" s="1"/>
  <c r="V94" i="39" a="1"/>
  <c r="V94" i="39" s="1"/>
  <c r="N260" i="39" a="1"/>
  <c r="N260" i="39" s="1"/>
  <c r="N530" i="39" a="1"/>
  <c r="N530" i="39" s="1"/>
  <c r="N289" i="39" a="1"/>
  <c r="N289" i="39" s="1"/>
  <c r="N188" i="39" a="1"/>
  <c r="N188" i="39" s="1"/>
  <c r="N341" i="39" a="1"/>
  <c r="N341" i="39" s="1"/>
  <c r="N527" i="39" a="1"/>
  <c r="N527" i="39" s="1"/>
  <c r="N523" i="39" a="1"/>
  <c r="N523" i="39" s="1"/>
  <c r="N347" i="39" a="1"/>
  <c r="N347" i="39" s="1"/>
  <c r="N566" i="39" a="1"/>
  <c r="N566" i="39" s="1"/>
  <c r="N266" i="39" a="1"/>
  <c r="N266" i="39" s="1"/>
  <c r="N262" i="39" a="1"/>
  <c r="N262" i="39" s="1"/>
  <c r="T398" i="39" a="1"/>
  <c r="T398" i="39" s="1"/>
  <c r="T71" i="39" a="1"/>
  <c r="T71" i="39" s="1"/>
  <c r="T67" i="39" a="1"/>
  <c r="T67" i="39" s="1"/>
  <c r="W18" i="39" a="1"/>
  <c r="W18" i="39" s="1"/>
  <c r="W116" i="39" a="1"/>
  <c r="W116" i="39" s="1"/>
  <c r="W533" i="39" a="1"/>
  <c r="W533" i="39" s="1"/>
  <c r="W215" i="39" a="1"/>
  <c r="W215" i="39" s="1"/>
  <c r="W470" i="39" a="1"/>
  <c r="W470" i="39" s="1"/>
  <c r="W475" i="39" a="1"/>
  <c r="W475" i="39" s="1"/>
  <c r="W493" i="39" a="1"/>
  <c r="W493" i="39" s="1"/>
  <c r="W126" i="39" a="1"/>
  <c r="W126" i="39" s="1"/>
  <c r="W435" i="39" a="1"/>
  <c r="W435" i="39" s="1"/>
  <c r="W226" i="39" a="1"/>
  <c r="W226" i="39" s="1"/>
  <c r="W231" i="39" a="1"/>
  <c r="W231" i="39" s="1"/>
  <c r="W499" i="39" a="1"/>
  <c r="W499" i="39" s="1"/>
  <c r="W236" i="39" a="1"/>
  <c r="W236" i="39" s="1"/>
  <c r="W427" i="39" a="1"/>
  <c r="W427" i="39" s="1"/>
  <c r="W403" i="39" a="1"/>
  <c r="W403" i="39" s="1"/>
  <c r="W95" i="39" a="1"/>
  <c r="W95" i="39" s="1"/>
  <c r="W445" i="39" a="1"/>
  <c r="W445" i="39" s="1"/>
  <c r="W339" i="39" a="1"/>
  <c r="W339" i="39" s="1"/>
  <c r="W139" i="39" a="1"/>
  <c r="W139" i="39" s="1"/>
  <c r="W60" i="39" a="1"/>
  <c r="W60" i="39" s="1"/>
  <c r="W179" i="39" a="1"/>
  <c r="W179" i="39" s="1"/>
  <c r="W129" i="39" a="1"/>
  <c r="W129" i="39" s="1"/>
  <c r="W314" i="39" a="1"/>
  <c r="W314" i="39" s="1"/>
  <c r="W80" i="39" a="1"/>
  <c r="W80" i="39" s="1"/>
  <c r="W235" i="39" a="1"/>
  <c r="W235" i="39" s="1"/>
  <c r="W196" i="39" a="1"/>
  <c r="W196" i="39" s="1"/>
  <c r="W323" i="39" a="1"/>
  <c r="W323" i="39" s="1"/>
  <c r="W564" i="39" a="1"/>
  <c r="W564" i="39" s="1"/>
  <c r="W297" i="39" a="1"/>
  <c r="W297" i="39" s="1"/>
  <c r="W392" i="39" a="1"/>
  <c r="W392" i="39" s="1"/>
  <c r="U124" i="39" a="1"/>
  <c r="U124" i="39" s="1"/>
  <c r="T255" i="39" a="1"/>
  <c r="T255" i="39" s="1"/>
  <c r="U198" i="39" a="1"/>
  <c r="U198" i="39" s="1"/>
  <c r="N190" i="39" a="1"/>
  <c r="N190" i="39" s="1"/>
  <c r="N437" i="39" a="1"/>
  <c r="N437" i="39" s="1"/>
  <c r="N110" i="39" a="1"/>
  <c r="N110" i="39" s="1"/>
  <c r="V360" i="39" a="1"/>
  <c r="V360" i="39" s="1"/>
  <c r="V182" i="39" a="1"/>
  <c r="V182" i="39" s="1"/>
  <c r="V451" i="39" a="1"/>
  <c r="V451" i="39" s="1"/>
  <c r="V97" i="39" a="1"/>
  <c r="V97" i="39" s="1"/>
  <c r="V400" i="39" a="1"/>
  <c r="V400" i="39" s="1"/>
  <c r="N145" i="39" a="1"/>
  <c r="N145" i="39" s="1"/>
  <c r="T428" i="39" a="1"/>
  <c r="T428" i="39" s="1"/>
  <c r="T64" i="39" a="1"/>
  <c r="T64" i="39" s="1"/>
  <c r="U28" i="39" a="1"/>
  <c r="U28" i="39" s="1"/>
  <c r="N84" i="39" a="1"/>
  <c r="N84" i="39" s="1"/>
  <c r="N158" i="39" a="1"/>
  <c r="N158" i="39" s="1"/>
  <c r="N406" i="39" a="1"/>
  <c r="N406" i="39" s="1"/>
  <c r="N438" i="39" a="1"/>
  <c r="N438" i="39" s="1"/>
  <c r="U545" i="39" a="1"/>
  <c r="U545" i="39" s="1"/>
  <c r="V142" i="39" a="1"/>
  <c r="V142" i="39" s="1"/>
  <c r="V31" i="39" a="1"/>
  <c r="V31" i="39" s="1"/>
  <c r="U150" i="39" a="1"/>
  <c r="U150" i="39" s="1"/>
  <c r="U428" i="39" a="1"/>
  <c r="U428" i="39" s="1"/>
  <c r="T181" i="39" a="1"/>
  <c r="T181" i="39" s="1"/>
  <c r="U433" i="39" a="1"/>
  <c r="U433" i="39" s="1"/>
  <c r="U468" i="39" a="1"/>
  <c r="U468" i="39" s="1"/>
  <c r="T238" i="39" a="1"/>
  <c r="T238" i="39" s="1"/>
  <c r="V78" i="39" a="1"/>
  <c r="V78" i="39" s="1"/>
  <c r="N446" i="39" a="1"/>
  <c r="N446" i="39" s="1"/>
  <c r="V428" i="39" a="1"/>
  <c r="V428" i="39" s="1"/>
  <c r="U181" i="39" a="1"/>
  <c r="U181" i="39" s="1"/>
  <c r="V114" i="39" a="1"/>
  <c r="V114" i="39" s="1"/>
  <c r="V307" i="39" a="1"/>
  <c r="V307" i="39" s="1"/>
  <c r="N439" i="39" a="1"/>
  <c r="N439" i="39" s="1"/>
  <c r="N77" i="39" a="1"/>
  <c r="N77" i="39" s="1"/>
  <c r="U98" i="39" a="1"/>
  <c r="U98" i="39" s="1"/>
  <c r="U165" i="39" a="1"/>
  <c r="U165" i="39" s="1"/>
  <c r="V255" i="39" a="1"/>
  <c r="V255" i="39" s="1"/>
  <c r="N48" i="39" a="1"/>
  <c r="N48" i="39" s="1"/>
  <c r="N409" i="39" a="1"/>
  <c r="N409" i="39" s="1"/>
  <c r="N442" i="39" a="1"/>
  <c r="N442" i="39" s="1"/>
  <c r="V425" i="39" a="1"/>
  <c r="V425" i="39" s="1"/>
  <c r="N106" i="39" a="1"/>
  <c r="N106" i="39" s="1"/>
  <c r="V166" i="39" a="1"/>
  <c r="V166" i="39" s="1"/>
  <c r="V398" i="39" a="1"/>
  <c r="V398" i="39" s="1"/>
  <c r="T98" i="39" a="1"/>
  <c r="T98" i="39" s="1"/>
  <c r="U218" i="39" a="1"/>
  <c r="U218" i="39" s="1"/>
  <c r="N377" i="39" a="1"/>
  <c r="N377" i="39" s="1"/>
  <c r="N89" i="39" a="1"/>
  <c r="N89" i="39" s="1"/>
  <c r="V71" i="39" a="1"/>
  <c r="V71" i="39" s="1"/>
  <c r="N103" i="39" a="1"/>
  <c r="N103" i="39" s="1"/>
  <c r="N70" i="39" a="1"/>
  <c r="N70" i="39" s="1"/>
  <c r="V378" i="39" a="1"/>
  <c r="V378" i="39" s="1"/>
  <c r="U420" i="39" a="1"/>
  <c r="U420" i="39" s="1"/>
  <c r="T419" i="39" a="1"/>
  <c r="T419" i="39" s="1"/>
  <c r="V119" i="39" a="1"/>
  <c r="V119" i="39" s="1"/>
  <c r="N381" i="39" a="1"/>
  <c r="N381" i="39" s="1"/>
  <c r="N293" i="39" a="1"/>
  <c r="N293" i="39" s="1"/>
  <c r="N401" i="39" a="1"/>
  <c r="N401" i="39" s="1"/>
  <c r="V67" i="39" a="1"/>
  <c r="V67" i="39" s="1"/>
  <c r="V419" i="39" a="1"/>
  <c r="V419" i="39" s="1"/>
  <c r="V420" i="39" a="1"/>
  <c r="V420" i="39" s="1"/>
  <c r="N143" i="39" a="1"/>
  <c r="N143" i="39" s="1"/>
  <c r="V394" i="39" a="1"/>
  <c r="V394" i="39" s="1"/>
  <c r="T97" i="39" a="1"/>
  <c r="T97" i="39" s="1"/>
  <c r="U419" i="39" a="1"/>
  <c r="U419" i="39" s="1"/>
  <c r="T485" i="39" a="1"/>
  <c r="T485" i="39" s="1"/>
  <c r="T307" i="39" a="1"/>
  <c r="T307" i="39" s="1"/>
  <c r="U386" i="39" a="1"/>
  <c r="U386" i="39" s="1"/>
  <c r="V170" i="39" a="1"/>
  <c r="V170" i="39" s="1"/>
  <c r="N174" i="39" a="1"/>
  <c r="N174" i="39" s="1"/>
  <c r="V82" i="39" a="1"/>
  <c r="V82" i="39" s="1"/>
  <c r="N208" i="39" a="1"/>
  <c r="N208" i="39" s="1"/>
  <c r="T506" i="39" a="1"/>
  <c r="T506" i="39" s="1"/>
  <c r="U307" i="39" a="1"/>
  <c r="U307" i="39" s="1"/>
  <c r="U31" i="39" a="1"/>
  <c r="U31" i="39" s="1"/>
  <c r="T505" i="39" a="1"/>
  <c r="T505" i="39" s="1"/>
  <c r="V290" i="39" a="1"/>
  <c r="V290" i="39" s="1"/>
  <c r="V238" i="39" a="1"/>
  <c r="V238" i="39" s="1"/>
  <c r="N101" i="39" a="1"/>
  <c r="N101" i="39" s="1"/>
  <c r="N153" i="39" a="1"/>
  <c r="N153" i="39" s="1"/>
  <c r="N51" i="39" a="1"/>
  <c r="N51" i="39" s="1"/>
  <c r="N113" i="39" a="1"/>
  <c r="N113" i="39" s="1"/>
  <c r="V390" i="39" a="1"/>
  <c r="V390" i="39" s="1"/>
  <c r="T114" i="39" a="1"/>
  <c r="T114" i="39" s="1"/>
  <c r="T31" i="39" a="1"/>
  <c r="T31" i="39" s="1"/>
  <c r="U132" i="39" a="1"/>
  <c r="U132" i="39" s="1"/>
  <c r="N417" i="39" a="1"/>
  <c r="N417" i="39" s="1"/>
  <c r="V28" i="39" a="1"/>
  <c r="V28" i="39" s="1"/>
  <c r="T524" i="39" a="1"/>
  <c r="T524" i="39" s="1"/>
  <c r="T378" i="39" a="1"/>
  <c r="T378" i="39" s="1"/>
  <c r="V426" i="39" a="1"/>
  <c r="V426" i="39" s="1"/>
  <c r="N202" i="39" a="1"/>
  <c r="N202" i="39" s="1"/>
  <c r="N123" i="39" a="1"/>
  <c r="N123" i="39" s="1"/>
  <c r="N387" i="39" a="1"/>
  <c r="N387" i="39" s="1"/>
  <c r="N154" i="39" a="1"/>
  <c r="N154" i="39" s="1"/>
  <c r="V11" i="39" a="1"/>
  <c r="V11" i="39" s="1"/>
  <c r="N155" i="39" a="1"/>
  <c r="N155" i="39" s="1"/>
  <c r="V485" i="39" a="1"/>
  <c r="V485" i="39" s="1"/>
  <c r="T433" i="39" a="1"/>
  <c r="T433" i="39" s="1"/>
  <c r="N117" i="39" a="1"/>
  <c r="N117" i="39" s="1"/>
  <c r="N55" i="39" a="1"/>
  <c r="N55" i="39" s="1"/>
  <c r="N135" i="39" a="1"/>
  <c r="N135" i="39" s="1"/>
  <c r="T73" i="39" a="1"/>
  <c r="T73" i="39" s="1"/>
  <c r="T198" i="39" a="1"/>
  <c r="T198" i="39" s="1"/>
  <c r="N186" i="39" a="1"/>
  <c r="N186" i="39" s="1"/>
  <c r="N171" i="39" a="1"/>
  <c r="N171" i="39" s="1"/>
  <c r="N90" i="39" a="1"/>
  <c r="N90" i="39" s="1"/>
  <c r="V325" i="39" a="1"/>
  <c r="V325" i="39" s="1"/>
  <c r="W478" i="39" a="1"/>
  <c r="W478" i="39" s="1"/>
  <c r="W9" i="39" a="1"/>
  <c r="W9" i="39" s="1"/>
  <c r="W525" i="39" a="1"/>
  <c r="W525" i="39" s="1"/>
  <c r="W361" i="39" a="1"/>
  <c r="W361" i="39" s="1"/>
  <c r="W160" i="39" a="1"/>
  <c r="W160" i="39" s="1"/>
  <c r="W228" i="39" a="1"/>
  <c r="W228" i="39" s="1"/>
  <c r="W434" i="39" a="1"/>
  <c r="W434" i="39" s="1"/>
  <c r="W183" i="39" a="1"/>
  <c r="W183" i="39" s="1"/>
  <c r="W287" i="39" a="1"/>
  <c r="W287" i="39" s="1"/>
  <c r="W68" i="39" a="1"/>
  <c r="W68" i="39" s="1"/>
  <c r="W247" i="39" a="1"/>
  <c r="W247" i="39" s="1"/>
  <c r="W8" i="39" a="1"/>
  <c r="W8" i="39" s="1"/>
  <c r="T351" i="39" a="1"/>
  <c r="T351" i="39" s="1"/>
  <c r="U359" i="39" a="1"/>
  <c r="U359" i="39" s="1"/>
  <c r="U6" i="39" a="1"/>
  <c r="U6" i="39" s="1"/>
  <c r="U4" i="39" a="1"/>
  <c r="U4" i="39" s="1"/>
  <c r="T352" i="39" a="1"/>
  <c r="T352" i="39" s="1"/>
  <c r="U481" i="39" a="1"/>
  <c r="U481" i="39" s="1"/>
  <c r="T111" i="39" a="1"/>
  <c r="T111" i="39" s="1"/>
  <c r="U25" i="39" a="1"/>
  <c r="U25" i="39" s="1"/>
  <c r="T33" i="39" a="1"/>
  <c r="T33" i="39" s="1"/>
  <c r="T15" i="39" a="1"/>
  <c r="T15" i="39" s="1"/>
  <c r="U352" i="39" a="1"/>
  <c r="U352" i="39" s="1"/>
  <c r="U111" i="39" a="1"/>
  <c r="U111" i="39" s="1"/>
  <c r="T24" i="39" a="1"/>
  <c r="T24" i="39" s="1"/>
  <c r="T25" i="39" a="1"/>
  <c r="T25" i="39" s="1"/>
  <c r="T128" i="39" a="1"/>
  <c r="T128" i="39" s="1"/>
  <c r="U33" i="39" a="1"/>
  <c r="U33" i="39" s="1"/>
  <c r="U94" i="39" a="1"/>
  <c r="U94" i="39" s="1"/>
  <c r="U15" i="39" a="1"/>
  <c r="U15" i="39" s="1"/>
  <c r="U252" i="39" a="1"/>
  <c r="U252" i="39" s="1"/>
  <c r="U24" i="39" a="1"/>
  <c r="U24" i="39" s="1"/>
  <c r="U411" i="39" a="1"/>
  <c r="U411" i="39" s="1"/>
  <c r="T429" i="39" a="1"/>
  <c r="T429" i="39" s="1"/>
  <c r="U17" i="39" a="1"/>
  <c r="U17" i="39" s="1"/>
  <c r="T411" i="39" a="1"/>
  <c r="T411" i="39" s="1"/>
  <c r="U370" i="39" a="1"/>
  <c r="U370" i="39" s="1"/>
  <c r="T501" i="39" a="1"/>
  <c r="T501" i="39" s="1"/>
  <c r="T365" i="39" a="1"/>
  <c r="T365" i="39" s="1"/>
  <c r="T34" i="39" a="1"/>
  <c r="T34" i="39" s="1"/>
  <c r="U429" i="39" a="1"/>
  <c r="U429" i="39" s="1"/>
  <c r="T362" i="39" a="1"/>
  <c r="T362" i="39" s="1"/>
  <c r="U501" i="39" a="1"/>
  <c r="U501" i="39" s="1"/>
  <c r="U34" i="39" a="1"/>
  <c r="U34" i="39" s="1"/>
  <c r="T3" i="39" a="1"/>
  <c r="T3" i="39" s="1"/>
  <c r="U362" i="39" a="1"/>
  <c r="U362" i="39" s="1"/>
  <c r="T213" i="39" a="1"/>
  <c r="T213" i="39" s="1"/>
  <c r="U3" i="39" a="1"/>
  <c r="U3" i="39" s="1"/>
  <c r="T74" i="39" a="1"/>
  <c r="T74" i="39" s="1"/>
  <c r="U213" i="39" a="1"/>
  <c r="U213" i="39" s="1"/>
  <c r="T14" i="39" a="1"/>
  <c r="T14" i="39" s="1"/>
  <c r="T304" i="39" a="1"/>
  <c r="T304" i="39" s="1"/>
  <c r="U16" i="39" a="1"/>
  <c r="U16" i="39" s="1"/>
  <c r="T374" i="39" a="1"/>
  <c r="T374" i="39" s="1"/>
  <c r="U338" i="39" a="1"/>
  <c r="U338" i="39" s="1"/>
  <c r="U14" i="39" a="1"/>
  <c r="U14" i="39" s="1"/>
  <c r="T520" i="39" a="1"/>
  <c r="T520" i="39" s="1"/>
  <c r="T465" i="39" a="1"/>
  <c r="T465" i="39" s="1"/>
  <c r="U304" i="39" a="1"/>
  <c r="U304" i="39" s="1"/>
  <c r="T357" i="39" a="1"/>
  <c r="T357" i="39" s="1"/>
  <c r="U147" i="39" a="1"/>
  <c r="U147" i="39" s="1"/>
  <c r="T382" i="39" a="1"/>
  <c r="T382" i="39" s="1"/>
  <c r="U465" i="39" a="1"/>
  <c r="U465" i="39" s="1"/>
  <c r="T369" i="39" a="1"/>
  <c r="T369" i="39" s="1"/>
  <c r="T16" i="39" a="1"/>
  <c r="T16" i="39" s="1"/>
  <c r="U374" i="39" a="1"/>
  <c r="U374" i="39" s="1"/>
  <c r="U365" i="39" a="1"/>
  <c r="U365" i="39" s="1"/>
  <c r="T194" i="39" a="1"/>
  <c r="T194" i="39" s="1"/>
  <c r="U382" i="39" a="1"/>
  <c r="U382" i="39" s="1"/>
  <c r="U369" i="39" a="1"/>
  <c r="U369" i="39" s="1"/>
  <c r="T234" i="39" a="1"/>
  <c r="T234" i="39" s="1"/>
  <c r="T391" i="39" a="1"/>
  <c r="T391" i="39" s="1"/>
  <c r="T6" i="39" a="1"/>
  <c r="T6" i="39" s="1"/>
  <c r="U194" i="39" a="1"/>
  <c r="U194" i="39" s="1"/>
  <c r="U541" i="39" a="1"/>
  <c r="U541" i="39" s="1"/>
  <c r="U234" i="39" a="1"/>
  <c r="U234" i="39" s="1"/>
  <c r="U391" i="39" a="1"/>
  <c r="U391" i="39" s="1"/>
  <c r="T373" i="39" a="1"/>
  <c r="T373" i="39" s="1"/>
  <c r="AY41" i="3"/>
  <c r="AY53" i="3"/>
  <c r="AY65" i="3"/>
  <c r="AY42" i="3"/>
  <c r="AY54" i="3"/>
  <c r="AY66" i="3"/>
  <c r="AY43" i="3"/>
  <c r="AY55" i="3"/>
  <c r="AY67" i="3"/>
  <c r="AY44" i="3"/>
  <c r="AY56" i="3"/>
  <c r="AY68" i="3"/>
  <c r="AY45" i="3"/>
  <c r="AY57" i="3"/>
  <c r="AY69" i="3"/>
  <c r="AY46" i="3"/>
  <c r="AY58" i="3"/>
  <c r="AY47" i="3"/>
  <c r="AY59" i="3"/>
  <c r="AY48" i="3"/>
  <c r="AY60" i="3"/>
  <c r="AY49" i="3"/>
  <c r="AY61" i="3"/>
  <c r="AY50" i="3"/>
  <c r="AY62" i="3"/>
  <c r="AY39" i="3"/>
  <c r="AY51" i="3"/>
  <c r="AY63" i="3"/>
  <c r="AY40" i="3"/>
  <c r="AY52" i="3"/>
  <c r="AY64" i="3"/>
  <c r="L118" i="41"/>
  <c r="M110" i="41"/>
  <c r="L45" i="43"/>
  <c r="J20" i="43"/>
  <c r="L21" i="43"/>
  <c r="J13" i="43"/>
  <c r="J55" i="43"/>
  <c r="J18" i="43"/>
  <c r="K37" i="43"/>
  <c r="L117" i="43"/>
  <c r="K11" i="43"/>
  <c r="K32" i="43"/>
  <c r="L31" i="43"/>
  <c r="L36" i="43"/>
  <c r="L52" i="43"/>
  <c r="J92" i="43"/>
  <c r="J59" i="43"/>
  <c r="J25" i="43"/>
  <c r="L8" i="43"/>
  <c r="L76" i="43"/>
  <c r="L57" i="43"/>
  <c r="J30" i="43"/>
  <c r="K22" i="43"/>
  <c r="L47" i="43"/>
  <c r="J62" i="43"/>
  <c r="L79" i="43"/>
  <c r="L43" i="43"/>
  <c r="J32" i="43"/>
  <c r="L23" i="43"/>
  <c r="K17" i="43"/>
  <c r="L74" i="43"/>
  <c r="L70" i="43"/>
  <c r="K103" i="43"/>
  <c r="K24" i="43"/>
  <c r="L49" i="43"/>
  <c r="L27" i="43"/>
  <c r="J69" i="43"/>
  <c r="L104" i="43"/>
  <c r="L95" i="43"/>
  <c r="J56" i="43"/>
  <c r="K76" i="43"/>
  <c r="L86" i="43"/>
  <c r="L99" i="43"/>
  <c r="J57" i="43"/>
  <c r="K63" i="43"/>
  <c r="L64" i="43"/>
  <c r="L105" i="43"/>
  <c r="J24" i="43"/>
  <c r="L107" i="43"/>
  <c r="L6" i="43"/>
  <c r="J22" i="43"/>
  <c r="J81" i="43"/>
  <c r="L98" i="43"/>
  <c r="L101" i="43"/>
  <c r="J71" i="43"/>
  <c r="K46" i="43"/>
  <c r="K80" i="43"/>
  <c r="J58" i="43"/>
  <c r="K29" i="43"/>
  <c r="L48" i="43"/>
  <c r="J19" i="43"/>
  <c r="K36" i="43"/>
  <c r="L65" i="43"/>
  <c r="J70" i="43"/>
  <c r="K10" i="43"/>
  <c r="L78" i="43"/>
  <c r="L94" i="43"/>
  <c r="K49" i="43"/>
  <c r="L103" i="43"/>
  <c r="L35" i="43"/>
  <c r="K33" i="43"/>
  <c r="L18" i="43"/>
  <c r="J80" i="43"/>
  <c r="L51" i="43"/>
  <c r="J48" i="43"/>
  <c r="K82" i="43"/>
  <c r="L106" i="43"/>
  <c r="J60" i="43"/>
  <c r="K86" i="43"/>
  <c r="J17" i="43"/>
  <c r="L67" i="43"/>
  <c r="K12" i="43"/>
  <c r="L34" i="43"/>
  <c r="L17" i="43"/>
  <c r="L63" i="43"/>
  <c r="K9" i="43"/>
  <c r="J73" i="43"/>
  <c r="L90" i="43"/>
  <c r="L37" i="43"/>
  <c r="L20" i="43"/>
  <c r="J82" i="43"/>
  <c r="L53" i="43"/>
  <c r="L83" i="43"/>
  <c r="L61" i="43"/>
  <c r="J63" i="43"/>
  <c r="L87" i="43"/>
  <c r="J47" i="43"/>
  <c r="K81" i="43"/>
  <c r="J75" i="43"/>
  <c r="L92" i="43"/>
  <c r="L73" i="43"/>
  <c r="L62" i="43"/>
  <c r="L69" i="43"/>
  <c r="L7" i="43"/>
  <c r="K48" i="43"/>
  <c r="J21" i="43"/>
  <c r="L102" i="43"/>
  <c r="J49" i="43"/>
  <c r="J77" i="43"/>
  <c r="L89" i="43"/>
  <c r="K69" i="43"/>
  <c r="L71" i="43"/>
  <c r="J76" i="43"/>
  <c r="L5" i="43"/>
  <c r="L28" i="43"/>
  <c r="L22" i="43"/>
  <c r="L66" i="43"/>
  <c r="J5" i="43"/>
  <c r="J64" i="43"/>
  <c r="J93" i="43"/>
  <c r="K57" i="43"/>
  <c r="K70" i="43"/>
  <c r="L24" i="43"/>
  <c r="L42" i="43"/>
  <c r="J91" i="43"/>
  <c r="J29" i="43"/>
  <c r="K61" i="43"/>
  <c r="J78" i="43"/>
  <c r="K101" i="43"/>
  <c r="K25" i="43"/>
  <c r="J33" i="43"/>
  <c r="K102" i="43"/>
  <c r="J9" i="43"/>
  <c r="I51" i="42" a="1"/>
  <c r="I51" i="42" s="1"/>
  <c r="I136" i="42" a="1"/>
  <c r="I136" i="42" s="1"/>
  <c r="I60" i="42" a="1"/>
  <c r="I60" i="42" s="1"/>
  <c r="I116" i="42" a="1"/>
  <c r="I116" i="42" s="1"/>
  <c r="I168" i="42" a="1"/>
  <c r="I168" i="42" s="1"/>
  <c r="I121" i="42" a="1"/>
  <c r="I121" i="42" s="1"/>
  <c r="I135" i="42" a="1"/>
  <c r="I135" i="42" s="1"/>
  <c r="I155" i="42" a="1"/>
  <c r="I155" i="42" s="1"/>
  <c r="I71" i="42" a="1"/>
  <c r="I71" i="42" s="1"/>
  <c r="I141" i="42" a="1"/>
  <c r="I141" i="42" s="1"/>
  <c r="I149" i="42" a="1"/>
  <c r="I149" i="42" s="1"/>
  <c r="I33" i="42" a="1"/>
  <c r="I33" i="42" s="1"/>
  <c r="I188" i="42" a="1"/>
  <c r="I188" i="42" s="1"/>
  <c r="I144" i="42" a="1"/>
  <c r="I144" i="42" s="1"/>
  <c r="I194" i="42" a="1"/>
  <c r="I194" i="42" s="1"/>
  <c r="I108" i="42" a="1"/>
  <c r="I108" i="42" s="1"/>
  <c r="I205" i="42" a="1"/>
  <c r="I205" i="42" s="1"/>
  <c r="I134" i="42" a="1"/>
  <c r="I134" i="42" s="1"/>
  <c r="I210" i="42" a="1"/>
  <c r="I210" i="42" s="1"/>
  <c r="I213" i="42" a="1"/>
  <c r="I213" i="42" s="1"/>
  <c r="I109" i="42" a="1"/>
  <c r="I109" i="42" s="1"/>
  <c r="I161" i="42" a="1"/>
  <c r="I161" i="42" s="1"/>
  <c r="I208" i="42" a="1"/>
  <c r="I208" i="42" s="1"/>
  <c r="I120" i="42" a="1"/>
  <c r="I120" i="42" s="1"/>
  <c r="I67" i="42" a="1"/>
  <c r="I67" i="42" s="1"/>
  <c r="I129" i="42" a="1"/>
  <c r="I129" i="42" s="1"/>
  <c r="I128" i="42" a="1"/>
  <c r="I128" i="42" s="1"/>
  <c r="I146" i="42" a="1"/>
  <c r="I146" i="42" s="1"/>
  <c r="I63" i="42" a="1"/>
  <c r="I63" i="42" s="1"/>
  <c r="I75" i="42" a="1"/>
  <c r="I75" i="42" s="1"/>
  <c r="I137" i="42" a="1"/>
  <c r="I137" i="42" s="1"/>
  <c r="I142" i="42" a="1"/>
  <c r="I142" i="42" s="1"/>
  <c r="I173" i="42" a="1"/>
  <c r="I173" i="42" s="1"/>
  <c r="I211" i="42" a="1"/>
  <c r="I211" i="42" s="1"/>
  <c r="I123" i="42" a="1"/>
  <c r="I123" i="42" s="1"/>
  <c r="I165" i="42" a="1"/>
  <c r="I165" i="42" s="1"/>
  <c r="I167" i="42" a="1"/>
  <c r="I167" i="42" s="1"/>
  <c r="I50" i="42" a="1"/>
  <c r="I50" i="42" s="1"/>
  <c r="I122" i="42" a="1"/>
  <c r="I122" i="42" s="1"/>
  <c r="I150" i="42" a="1"/>
  <c r="I150" i="42" s="1"/>
  <c r="I199" i="42" a="1"/>
  <c r="I199" i="42" s="1"/>
  <c r="I148" i="42" a="1"/>
  <c r="I148" i="42" s="1"/>
  <c r="I111" i="42" a="1"/>
  <c r="I111" i="42" s="1"/>
  <c r="I147" i="42" a="1"/>
  <c r="I147" i="42" s="1"/>
  <c r="I73" i="42" a="1"/>
  <c r="I73" i="42" s="1"/>
  <c r="I160" i="42" a="1"/>
  <c r="I160" i="42" s="1"/>
  <c r="I81" i="42" a="1"/>
  <c r="I81" i="42" s="1"/>
  <c r="I124" i="42" a="1"/>
  <c r="I124" i="42" s="1"/>
  <c r="I102" i="42" a="1"/>
  <c r="I102" i="42" s="1"/>
  <c r="I130" i="42" a="1"/>
  <c r="I130" i="42" s="1"/>
  <c r="I198" i="42" a="1"/>
  <c r="I198" i="42" s="1"/>
  <c r="I172" i="42" a="1"/>
  <c r="I172" i="42" s="1"/>
  <c r="I169" i="42" a="1"/>
  <c r="I169" i="42" s="1"/>
  <c r="I197" i="42" a="1"/>
  <c r="I197" i="42" s="1"/>
  <c r="I82" i="42" a="1"/>
  <c r="I82" i="42" s="1"/>
  <c r="I72" i="42" a="1"/>
  <c r="I72" i="42" s="1"/>
  <c r="I26" i="42" a="1"/>
  <c r="I26" i="42" s="1"/>
  <c r="I159" i="42" a="1"/>
  <c r="I159" i="42" s="1"/>
  <c r="I32" i="42" a="1"/>
  <c r="I32" i="42" s="1"/>
  <c r="I132" i="42" a="1"/>
  <c r="I132" i="42" s="1"/>
  <c r="I119" i="42" a="1"/>
  <c r="I119" i="42" s="1"/>
  <c r="I151" i="42" a="1"/>
  <c r="I151" i="42" s="1"/>
  <c r="I83" i="42" a="1"/>
  <c r="I83" i="42" s="1"/>
  <c r="I30" i="42" a="1"/>
  <c r="I30" i="42" s="1"/>
  <c r="I110" i="42" a="1"/>
  <c r="I110" i="42" s="1"/>
  <c r="I38" i="42" a="1"/>
  <c r="I38" i="42" s="1"/>
  <c r="I126" i="42" a="1"/>
  <c r="I126" i="42" s="1"/>
  <c r="I193" i="42" a="1"/>
  <c r="I193" i="42" s="1"/>
  <c r="I154" i="42" a="1"/>
  <c r="I154" i="42" s="1"/>
  <c r="I48" i="42" a="1"/>
  <c r="I48" i="42" s="1"/>
  <c r="I157" i="42" a="1"/>
  <c r="I157" i="42" s="1"/>
  <c r="I70" i="42" a="1"/>
  <c r="I70" i="42" s="1"/>
  <c r="I196" i="42" a="1"/>
  <c r="I196" i="42" s="1"/>
  <c r="I176" i="42" a="1"/>
  <c r="I176" i="42" s="1"/>
  <c r="I206" i="42" a="1"/>
  <c r="I206" i="42" s="1"/>
  <c r="I156" i="42" a="1"/>
  <c r="I156" i="42" s="1"/>
  <c r="I166" i="42" a="1"/>
  <c r="I166" i="42" s="1"/>
  <c r="I189" i="42" a="1"/>
  <c r="I189" i="42" s="1"/>
  <c r="I29" i="42" a="1"/>
  <c r="I29" i="42" s="1"/>
  <c r="I158" i="42" a="1"/>
  <c r="I158" i="42" s="1"/>
  <c r="I190" i="42" a="1"/>
  <c r="I190" i="42" s="1"/>
  <c r="I140" i="42" a="1"/>
  <c r="I140" i="42" s="1"/>
  <c r="I49" i="42" a="1"/>
  <c r="I49" i="42" s="1"/>
  <c r="I35" i="42" a="1"/>
  <c r="I35" i="42" s="1"/>
  <c r="I181" i="42" a="1"/>
  <c r="I181" i="42" s="1"/>
  <c r="I182" i="42" a="1"/>
  <c r="I182" i="42" s="1"/>
  <c r="I125" i="42" a="1"/>
  <c r="I125" i="42" s="1"/>
  <c r="I187" i="42" a="1"/>
  <c r="I187" i="42" s="1"/>
  <c r="I195" i="42" a="1"/>
  <c r="I195" i="42" s="1"/>
  <c r="I93" i="42" a="1"/>
  <c r="I93" i="42" s="1"/>
  <c r="I143" i="42" a="1"/>
  <c r="I143" i="42" s="1"/>
  <c r="I179" i="42" a="1"/>
  <c r="I179" i="42" s="1"/>
  <c r="I74" i="42" a="1"/>
  <c r="I74" i="42" s="1"/>
  <c r="I64" i="42" a="1"/>
  <c r="I64" i="42" s="1"/>
  <c r="I133" i="42" a="1"/>
  <c r="I133" i="42" s="1"/>
  <c r="I76" i="42" a="1"/>
  <c r="I76" i="42" s="1"/>
  <c r="I163" i="42" a="1"/>
  <c r="I163" i="42" s="1"/>
  <c r="M3" i="41"/>
  <c r="I177" i="42" a="1"/>
  <c r="I177" i="42" s="1"/>
  <c r="I186" i="42" a="1"/>
  <c r="I186" i="42" s="1"/>
  <c r="I115" i="42" a="1"/>
  <c r="I115" i="42" s="1"/>
  <c r="I200" i="42" a="1"/>
  <c r="I200" i="42" s="1"/>
  <c r="I113" i="42" a="1"/>
  <c r="I113" i="42" s="1"/>
  <c r="I203" i="42" a="1"/>
  <c r="I203" i="42" s="1"/>
  <c r="I77" i="42" a="1"/>
  <c r="I77" i="42" s="1"/>
  <c r="I138" i="42" a="1"/>
  <c r="I138" i="42" s="1"/>
  <c r="I104" i="42" a="1"/>
  <c r="I104" i="42" s="1"/>
  <c r="I164" i="42" a="1"/>
  <c r="I164" i="42" s="1"/>
  <c r="I80" i="42" a="1"/>
  <c r="I80" i="42" s="1"/>
  <c r="I39" i="42" a="1"/>
  <c r="I39" i="42" s="1"/>
  <c r="I68" i="42" a="1"/>
  <c r="I68" i="42" s="1"/>
  <c r="I183" i="42" a="1"/>
  <c r="I183" i="42" s="1"/>
  <c r="I112" i="42" a="1"/>
  <c r="I112" i="42" s="1"/>
  <c r="I171" i="42" a="1"/>
  <c r="I171" i="42" s="1"/>
  <c r="I175" i="42" a="1"/>
  <c r="I175" i="42" s="1"/>
  <c r="I180" i="42" a="1"/>
  <c r="I180" i="42" s="1"/>
  <c r="I27" i="42" a="1"/>
  <c r="I27" i="42" s="1"/>
  <c r="I212" i="42" a="1"/>
  <c r="I212" i="42" s="1"/>
  <c r="I185" i="42" a="1"/>
  <c r="I185" i="42" s="1"/>
  <c r="I170" i="42" a="1"/>
  <c r="I170" i="42" s="1"/>
  <c r="I117" i="42" a="1"/>
  <c r="I117" i="42" s="1"/>
  <c r="I118" i="42" a="1"/>
  <c r="I118" i="42" s="1"/>
  <c r="I174" i="42" a="1"/>
  <c r="I174" i="42" s="1"/>
  <c r="I145" i="42" a="1"/>
  <c r="I145" i="42" s="1"/>
  <c r="I214" i="42" a="1"/>
  <c r="I214" i="42" s="1"/>
  <c r="I17" i="42" a="1"/>
  <c r="I17" i="42" s="1"/>
  <c r="I139" i="42" a="1"/>
  <c r="I139" i="42" s="1"/>
  <c r="I114" i="42" a="1"/>
  <c r="I114" i="42" s="1"/>
  <c r="I36" i="42" a="1"/>
  <c r="I36" i="42" s="1"/>
  <c r="I31" i="42" a="1"/>
  <c r="I31" i="42" s="1"/>
  <c r="I131" i="42" a="1"/>
  <c r="I131" i="42" s="1"/>
  <c r="I209" i="42" a="1"/>
  <c r="I209" i="42" s="1"/>
  <c r="I103" i="42" a="1"/>
  <c r="I103" i="42" s="1"/>
  <c r="I127" i="42" a="1"/>
  <c r="I127" i="42" s="1"/>
  <c r="P55" i="41"/>
  <c r="M5" i="41"/>
  <c r="M111" i="41"/>
  <c r="M20" i="41"/>
  <c r="M19" i="41"/>
  <c r="M18" i="41"/>
  <c r="N20" i="41"/>
  <c r="N11" i="41"/>
  <c r="N19" i="41"/>
  <c r="N37" i="41"/>
  <c r="N39" i="41"/>
  <c r="P27" i="41"/>
  <c r="P26" i="41"/>
  <c r="P21" i="41"/>
  <c r="P120" i="41"/>
  <c r="N112" i="41"/>
  <c r="N91" i="41"/>
  <c r="N122" i="41"/>
  <c r="M90" i="41"/>
  <c r="M89" i="41"/>
  <c r="L54" i="41"/>
  <c r="N115" i="41"/>
  <c r="N18" i="41"/>
  <c r="I106" i="42" a="1"/>
  <c r="I106" i="42" s="1"/>
  <c r="M65" i="41"/>
  <c r="M100" i="41"/>
  <c r="L5" i="41"/>
  <c r="L110" i="41"/>
  <c r="L3" i="41"/>
  <c r="R304" i="39" a="1"/>
  <c r="R304" i="39" s="1"/>
  <c r="L13" i="41"/>
  <c r="L80" i="41"/>
  <c r="N21" i="41"/>
  <c r="P56" i="41"/>
  <c r="P70" i="41"/>
  <c r="M80" i="41"/>
  <c r="N95" i="41"/>
  <c r="L12" i="41"/>
  <c r="L89" i="41"/>
  <c r="M13" i="41"/>
  <c r="P54" i="41"/>
  <c r="N111" i="41"/>
  <c r="M119" i="41"/>
  <c r="I9" i="42" a="1"/>
  <c r="I9" i="42" s="1"/>
  <c r="M124" i="41"/>
  <c r="M125" i="41"/>
  <c r="P121" i="41"/>
  <c r="M21" i="41"/>
  <c r="P44" i="41"/>
  <c r="N120" i="41"/>
  <c r="L18" i="41"/>
  <c r="M95" i="41"/>
  <c r="P75" i="41"/>
  <c r="P40" i="41"/>
  <c r="N81" i="41"/>
  <c r="L47" i="41"/>
  <c r="I100" i="42" a="1"/>
  <c r="I100" i="42" s="1"/>
  <c r="I78" i="42" a="1"/>
  <c r="I78" i="42" s="1"/>
  <c r="N71" i="41"/>
  <c r="N83" i="41"/>
  <c r="N121" i="41"/>
  <c r="P20" i="41"/>
  <c r="M41" i="41"/>
  <c r="N70" i="41"/>
  <c r="M40" i="41"/>
  <c r="P29" i="41"/>
  <c r="I54" i="42" a="1"/>
  <c r="I54" i="42" s="1"/>
  <c r="M70" i="41"/>
  <c r="M83" i="41"/>
  <c r="M54" i="41"/>
  <c r="M55" i="41"/>
  <c r="N12" i="41"/>
  <c r="N13" i="41"/>
  <c r="N80" i="41"/>
  <c r="P94" i="41"/>
  <c r="P93" i="41"/>
  <c r="N110" i="41"/>
  <c r="M121" i="41"/>
  <c r="M16" i="41"/>
  <c r="P82" i="41"/>
  <c r="P18" i="41"/>
  <c r="L4" i="41"/>
  <c r="P119" i="41"/>
  <c r="N5" i="41"/>
  <c r="M15" i="41"/>
  <c r="L36" i="41"/>
  <c r="L111" i="41"/>
  <c r="N30" i="41"/>
  <c r="AF3" i="38"/>
  <c r="I10" i="42" a="1"/>
  <c r="I10" i="42" s="1"/>
  <c r="I105" i="42" a="1"/>
  <c r="I105" i="42" s="1"/>
  <c r="I14" i="42" a="1"/>
  <c r="I14" i="42" s="1"/>
  <c r="I79" i="42" a="1"/>
  <c r="I79" i="42" s="1"/>
  <c r="I55" i="42" a="1"/>
  <c r="I55" i="42" s="1"/>
  <c r="I101" i="42" a="1"/>
  <c r="I101" i="42" s="1"/>
  <c r="I56" i="42" a="1"/>
  <c r="I56" i="42" s="1"/>
  <c r="I58" i="42" a="1"/>
  <c r="I58" i="42" s="1"/>
  <c r="I15" i="42" a="1"/>
  <c r="I15" i="42" s="1"/>
  <c r="I45" i="42" a="1"/>
  <c r="I45" i="42" s="1"/>
  <c r="I152" i="42" a="1"/>
  <c r="I152" i="42" s="1"/>
  <c r="I53" i="42" a="1"/>
  <c r="I53" i="42" s="1"/>
  <c r="I52" i="42" a="1"/>
  <c r="I52" i="42" s="1"/>
  <c r="I69" i="42" a="1"/>
  <c r="I69" i="42" s="1"/>
  <c r="I107" i="42" a="1"/>
  <c r="I107" i="42" s="1"/>
  <c r="I46" i="42" a="1"/>
  <c r="I46" i="42" s="1"/>
  <c r="M47" i="41"/>
  <c r="M46" i="41"/>
  <c r="M48" i="41"/>
  <c r="M91" i="41"/>
  <c r="M45" i="41"/>
  <c r="N40" i="41"/>
  <c r="L102" i="41"/>
  <c r="N82" i="41"/>
  <c r="M39" i="41"/>
  <c r="N41" i="41"/>
  <c r="M72" i="41"/>
  <c r="M27" i="41"/>
  <c r="P123" i="41"/>
  <c r="P125" i="41"/>
  <c r="L29" i="41"/>
  <c r="P45" i="41"/>
  <c r="P47" i="41"/>
  <c r="P48" i="41"/>
  <c r="N47" i="41"/>
  <c r="N46" i="41"/>
  <c r="N48" i="41"/>
  <c r="W3" i="38"/>
  <c r="I42" i="42" a="1"/>
  <c r="I42" i="42" s="1"/>
  <c r="I18" i="42" a="1"/>
  <c r="I18" i="42" s="1"/>
  <c r="I43" i="42" a="1"/>
  <c r="I43" i="42" s="1"/>
  <c r="I22" i="42" a="1"/>
  <c r="I22" i="42" s="1"/>
  <c r="I47" i="42" a="1"/>
  <c r="I47" i="42" s="1"/>
  <c r="I40" i="42" a="1"/>
  <c r="I40" i="42" s="1"/>
  <c r="I95" i="42" a="1"/>
  <c r="I95" i="42" s="1"/>
  <c r="I94" i="42" a="1"/>
  <c r="I94" i="42" s="1"/>
  <c r="I6" i="42" a="1"/>
  <c r="I6" i="42" s="1"/>
  <c r="I24" i="42" a="1"/>
  <c r="I24" i="42" s="1"/>
  <c r="I20" i="42" a="1"/>
  <c r="I20" i="42" s="1"/>
  <c r="I21" i="42" a="1"/>
  <c r="I21" i="42" s="1"/>
  <c r="I85" i="42" a="1"/>
  <c r="I85" i="42" s="1"/>
  <c r="I23" i="42" a="1"/>
  <c r="I23" i="42" s="1"/>
  <c r="I19" i="42" a="1"/>
  <c r="I19" i="42" s="1"/>
  <c r="I11" i="42" a="1"/>
  <c r="I11" i="42" s="1"/>
  <c r="I90" i="42" a="1"/>
  <c r="I90" i="42" s="1"/>
  <c r="I96" i="42" a="1"/>
  <c r="I96" i="42" s="1"/>
  <c r="I25" i="42" a="1"/>
  <c r="I25" i="42" s="1"/>
  <c r="I84" i="42" a="1"/>
  <c r="I84" i="42" s="1"/>
  <c r="I91" i="42" a="1"/>
  <c r="I91" i="42" s="1"/>
  <c r="M25" i="41"/>
  <c r="M81" i="41"/>
  <c r="L38" i="41"/>
  <c r="L2" i="41"/>
  <c r="L37" i="41"/>
  <c r="P25" i="41"/>
  <c r="N36" i="41"/>
  <c r="N117" i="41"/>
  <c r="M82" i="41"/>
  <c r="N42" i="41"/>
  <c r="P31" i="41"/>
  <c r="P118" i="41"/>
  <c r="M122" i="41"/>
  <c r="M44" i="41"/>
  <c r="N125" i="41"/>
  <c r="P28" i="41"/>
  <c r="P106" i="41"/>
  <c r="P15" i="41"/>
  <c r="P16" i="41"/>
  <c r="N75" i="41"/>
  <c r="N74" i="41"/>
  <c r="L30" i="41"/>
  <c r="L32" i="41"/>
  <c r="L31" i="41"/>
  <c r="L39" i="41"/>
  <c r="P88" i="41"/>
  <c r="L42" i="41"/>
  <c r="P11" i="41"/>
  <c r="P57" i="41"/>
  <c r="N2" i="41"/>
  <c r="P114" i="41"/>
  <c r="M26" i="41"/>
  <c r="I57" i="42" a="1"/>
  <c r="I57" i="42" s="1"/>
  <c r="P46" i="41"/>
  <c r="I65" i="42" a="1"/>
  <c r="I65" i="42" s="1"/>
  <c r="P65" i="41"/>
  <c r="P100" i="41"/>
  <c r="N114" i="41"/>
  <c r="N92" i="41"/>
  <c r="N93" i="41"/>
  <c r="L94" i="41"/>
  <c r="L93" i="41"/>
  <c r="L114" i="41"/>
  <c r="N28" i="41"/>
  <c r="N44" i="41"/>
  <c r="P41" i="41"/>
  <c r="P43" i="41"/>
  <c r="M17" i="41"/>
  <c r="M30" i="41"/>
  <c r="M32" i="41"/>
  <c r="M31" i="41"/>
  <c r="L65" i="41"/>
  <c r="P102" i="41"/>
  <c r="L17" i="41"/>
  <c r="M71" i="41"/>
  <c r="N123" i="41"/>
  <c r="N4" i="41"/>
  <c r="P2" i="41"/>
  <c r="P83" i="41"/>
  <c r="P71" i="41"/>
  <c r="M38" i="41"/>
  <c r="M37" i="41"/>
  <c r="L116" i="41"/>
  <c r="L115" i="41"/>
  <c r="M118" i="41"/>
  <c r="M11" i="41"/>
  <c r="L74" i="41"/>
  <c r="L122" i="41"/>
  <c r="N32" i="41"/>
  <c r="M101" i="41"/>
  <c r="M57" i="41"/>
  <c r="N17" i="41"/>
  <c r="M115" i="41"/>
  <c r="L16" i="41"/>
  <c r="R3" i="39" a="1"/>
  <c r="R3" i="39" s="1"/>
  <c r="L46" i="41"/>
  <c r="L45" i="41"/>
  <c r="L119" i="41"/>
  <c r="L121" i="41"/>
  <c r="P80" i="41"/>
  <c r="P12" i="41"/>
  <c r="P13" i="41"/>
  <c r="L43" i="41"/>
  <c r="L40" i="41"/>
  <c r="M75" i="41"/>
  <c r="M29" i="41"/>
  <c r="M74" i="41"/>
  <c r="L123" i="41"/>
  <c r="L125" i="41"/>
  <c r="N102" i="41"/>
  <c r="N101" i="41"/>
  <c r="N100" i="41"/>
  <c r="L120" i="41"/>
  <c r="P101" i="41"/>
  <c r="P38" i="41"/>
  <c r="N27" i="41"/>
  <c r="L88" i="41"/>
  <c r="M113" i="41"/>
  <c r="N29" i="41"/>
  <c r="P39" i="41"/>
  <c r="M123" i="41"/>
  <c r="M102" i="41"/>
  <c r="L101" i="41"/>
  <c r="L57" i="41"/>
  <c r="P90" i="41"/>
  <c r="L91" i="41"/>
  <c r="M56" i="41"/>
  <c r="I62" i="42" a="1"/>
  <c r="I62" i="42" s="1"/>
  <c r="L19" i="41"/>
  <c r="L20" i="41"/>
  <c r="N55" i="41"/>
  <c r="N54" i="41"/>
  <c r="N57" i="41"/>
  <c r="L27" i="41"/>
  <c r="L26" i="41"/>
  <c r="L44" i="41"/>
  <c r="L28" i="41"/>
  <c r="N106" i="41"/>
  <c r="N15" i="41"/>
  <c r="L70" i="41"/>
  <c r="L72" i="41"/>
  <c r="L71" i="41"/>
  <c r="P17" i="41"/>
  <c r="P32" i="41"/>
  <c r="M36" i="41"/>
  <c r="M117" i="41"/>
  <c r="N38" i="41"/>
  <c r="M43" i="41"/>
  <c r="L113" i="41"/>
  <c r="L124" i="41"/>
  <c r="P91" i="41"/>
  <c r="L92" i="41"/>
  <c r="L56" i="41"/>
  <c r="L15" i="41"/>
  <c r="R27" i="39" a="1"/>
  <c r="R27" i="39" s="1"/>
  <c r="N26" i="40"/>
  <c r="I192" i="35" a="1"/>
  <c r="I192" i="35" s="1"/>
  <c r="R359" i="39" a="1"/>
  <c r="R359" i="39" s="1"/>
  <c r="R4" i="39" a="1"/>
  <c r="R4" i="39" s="1"/>
  <c r="R351" i="39" a="1"/>
  <c r="R351" i="39" s="1"/>
  <c r="R213" i="39" a="1"/>
  <c r="R213" i="39" s="1"/>
  <c r="P460" i="39"/>
  <c r="R15" i="39" a="1"/>
  <c r="R15" i="39" s="1"/>
  <c r="R24" i="39" a="1"/>
  <c r="R24" i="39" s="1"/>
  <c r="R382" i="39" a="1"/>
  <c r="R382" i="39" s="1"/>
  <c r="R34" i="39" a="1"/>
  <c r="R34" i="39" s="1"/>
  <c r="N53" i="40"/>
  <c r="R252" i="39" a="1"/>
  <c r="R252" i="39" s="1"/>
  <c r="R111" i="39" a="1"/>
  <c r="R111" i="39" s="1"/>
  <c r="R147" i="39" a="1"/>
  <c r="R147" i="39" s="1"/>
  <c r="R370" i="39" a="1"/>
  <c r="R370" i="39" s="1"/>
  <c r="R94" i="39" a="1"/>
  <c r="R94" i="39" s="1"/>
  <c r="R16" i="39" a="1"/>
  <c r="R16" i="39" s="1"/>
  <c r="R362" i="39" a="1"/>
  <c r="R362" i="39" s="1"/>
  <c r="R128" i="39" a="1"/>
  <c r="R128" i="39" s="1"/>
  <c r="R33" i="39" a="1"/>
  <c r="R33" i="39" s="1"/>
  <c r="R465" i="39" a="1"/>
  <c r="R465" i="39" s="1"/>
  <c r="R365" i="39" a="1"/>
  <c r="R365" i="39" s="1"/>
  <c r="R50" i="39" a="1"/>
  <c r="R50" i="39" s="1"/>
  <c r="R194" i="39" a="1"/>
  <c r="R194" i="39" s="1"/>
  <c r="R14" i="39" a="1"/>
  <c r="R14" i="39" s="1"/>
  <c r="R369" i="39" a="1"/>
  <c r="R369" i="39" s="1"/>
  <c r="R17" i="39" a="1"/>
  <c r="R17" i="39" s="1"/>
  <c r="R364" i="39" a="1"/>
  <c r="R364" i="39" s="1"/>
  <c r="R352" i="39" a="1"/>
  <c r="R352" i="39" s="1"/>
  <c r="P491" i="39"/>
  <c r="N76" i="40"/>
  <c r="P191" i="39"/>
  <c r="N58" i="40"/>
  <c r="N79" i="40"/>
  <c r="N57" i="40"/>
  <c r="N20" i="40"/>
  <c r="N77" i="40"/>
  <c r="P313" i="39"/>
  <c r="N78" i="40"/>
  <c r="R234" i="39" a="1"/>
  <c r="R234" i="39" s="1"/>
  <c r="R59" i="39" a="1"/>
  <c r="R59" i="39" s="1"/>
  <c r="R41" i="39" a="1"/>
  <c r="R41" i="39" s="1"/>
  <c r="AO3" i="38" a="1"/>
  <c r="R541" i="39" a="1"/>
  <c r="R541" i="39" s="1"/>
  <c r="N19" i="40"/>
  <c r="N22" i="40"/>
  <c r="N50" i="40"/>
  <c r="P26" i="38"/>
  <c r="N59" i="40" s="1"/>
  <c r="N5" i="33"/>
  <c r="P34" i="38"/>
  <c r="N2" i="40"/>
  <c r="N14" i="33"/>
  <c r="P21" i="38"/>
  <c r="N70" i="33"/>
  <c r="P23" i="38"/>
  <c r="R374" i="39" a="1"/>
  <c r="R374" i="39" s="1"/>
  <c r="P464" i="39"/>
  <c r="N49" i="40"/>
  <c r="R391" i="39" a="1"/>
  <c r="R391" i="39" s="1"/>
  <c r="R411" i="39" a="1"/>
  <c r="R411" i="39" s="1"/>
  <c r="P109" i="39"/>
  <c r="N24" i="40"/>
  <c r="R501" i="39" a="1"/>
  <c r="R501" i="39" s="1"/>
  <c r="N25" i="40"/>
  <c r="R520" i="39" a="1"/>
  <c r="R520" i="39" s="1"/>
  <c r="R357" i="39" a="1"/>
  <c r="R357" i="39" s="1"/>
  <c r="R338" i="39" a="1"/>
  <c r="R338" i="39" s="1"/>
  <c r="R481" i="39" a="1"/>
  <c r="R481" i="39" s="1"/>
  <c r="AD4" i="3"/>
  <c r="Q39" i="38" s="1"/>
  <c r="AD3" i="3"/>
  <c r="Q38" i="38" s="1"/>
  <c r="AD14" i="3"/>
  <c r="Q49" i="38" s="1"/>
  <c r="AD10" i="3"/>
  <c r="Q45" i="38" s="1"/>
  <c r="N20" i="33"/>
  <c r="AD22" i="3"/>
  <c r="Q57" i="38" s="1"/>
  <c r="AD6" i="3"/>
  <c r="Q41" i="38" s="1"/>
  <c r="AD20" i="3"/>
  <c r="Q55" i="38" s="1"/>
  <c r="L98" i="34"/>
  <c r="AD29" i="3"/>
  <c r="Q64" i="38" s="1"/>
  <c r="AD8" i="3"/>
  <c r="Q43" i="38" s="1"/>
  <c r="AD25" i="3"/>
  <c r="Q60" i="38" s="1"/>
  <c r="AD19" i="3"/>
  <c r="Q54" i="38" s="1"/>
  <c r="AD5" i="3"/>
  <c r="Q40" i="38" s="1"/>
  <c r="AD21" i="3"/>
  <c r="Q56" i="38" s="1"/>
  <c r="N19" i="33"/>
  <c r="N26" i="33"/>
  <c r="N10" i="33"/>
  <c r="N56" i="33"/>
  <c r="N73" i="33"/>
  <c r="N23" i="33"/>
  <c r="AD13" i="3"/>
  <c r="Q48" i="38" s="1"/>
  <c r="AD12" i="3"/>
  <c r="Q47" i="38" s="1"/>
  <c r="AD32" i="3"/>
  <c r="Q67" i="38" s="1"/>
  <c r="AD7" i="3"/>
  <c r="Q42" i="38" s="1"/>
  <c r="AD34" i="3"/>
  <c r="Q69" i="38" s="1"/>
  <c r="AD15" i="3"/>
  <c r="Q50" i="38" s="1"/>
  <c r="AD33" i="3"/>
  <c r="Q68" i="38" s="1"/>
  <c r="AD26" i="3"/>
  <c r="Q61" i="38" s="1"/>
  <c r="AD16" i="3"/>
  <c r="Q51" i="38" s="1"/>
  <c r="AD31" i="3"/>
  <c r="Q66" i="38" s="1"/>
  <c r="AD28" i="3"/>
  <c r="Q63" i="38" s="1"/>
  <c r="AD23" i="3"/>
  <c r="Q58" i="38" s="1"/>
  <c r="AD18" i="3"/>
  <c r="Q53" i="38" s="1"/>
  <c r="AD24" i="3"/>
  <c r="Q59" i="38" s="1"/>
  <c r="AD17" i="3"/>
  <c r="Q52" i="38" s="1"/>
  <c r="N83" i="33"/>
  <c r="N17" i="33"/>
  <c r="N37" i="33"/>
  <c r="N76" i="33"/>
  <c r="N50" i="33"/>
  <c r="N31" i="33"/>
  <c r="N8" i="33"/>
  <c r="N80" i="33"/>
  <c r="N43" i="33"/>
  <c r="AD27" i="3"/>
  <c r="Q62" i="38" s="1"/>
  <c r="AD9" i="3"/>
  <c r="Q44" i="38" s="1"/>
  <c r="H39" i="23" a="1"/>
  <c r="H39" i="23" s="1"/>
  <c r="O61" i="34"/>
  <c r="O42" i="34"/>
  <c r="O31" i="34"/>
  <c r="O29" i="34"/>
  <c r="O38" i="34"/>
  <c r="O15" i="34"/>
  <c r="O24" i="34"/>
  <c r="O23" i="34"/>
  <c r="O58" i="34"/>
  <c r="O7" i="34"/>
  <c r="O73" i="34"/>
  <c r="O66" i="34"/>
  <c r="K94" i="23" a="1"/>
  <c r="K94" i="23" s="1"/>
  <c r="P35" i="24"/>
  <c r="J32" i="23" a="1"/>
  <c r="J32" i="23" s="1"/>
  <c r="L24" i="25"/>
  <c r="H88" i="23" a="1"/>
  <c r="H88" i="23" s="1"/>
  <c r="K182" i="23" a="1"/>
  <c r="K182" i="23" s="1"/>
  <c r="J94" i="23" a="1"/>
  <c r="J94" i="23" s="1"/>
  <c r="L25" i="26"/>
  <c r="K180" i="23" a="1"/>
  <c r="K180" i="23" s="1"/>
  <c r="L174" i="23" a="1"/>
  <c r="L174" i="23" s="1"/>
  <c r="H94" i="23" a="1"/>
  <c r="H94" i="23" s="1"/>
  <c r="K97" i="23" a="1"/>
  <c r="K97" i="23" s="1"/>
  <c r="J97" i="23" a="1"/>
  <c r="J97" i="23" s="1"/>
  <c r="K25" i="26"/>
  <c r="J109" i="23" a="1"/>
  <c r="J109" i="23" s="1"/>
  <c r="O113" i="25"/>
  <c r="H25" i="26" a="1"/>
  <c r="H25" i="26" s="1"/>
  <c r="M25" i="26" s="1"/>
  <c r="H62" i="23" a="1"/>
  <c r="H62" i="23" s="1"/>
  <c r="K174" i="23" a="1"/>
  <c r="K174" i="23" s="1"/>
  <c r="N113" i="25"/>
  <c r="G94" i="23" a="1"/>
  <c r="G94" i="23" s="1"/>
  <c r="K109" i="23" a="1"/>
  <c r="K109" i="23" s="1"/>
  <c r="J25" i="26"/>
  <c r="G97" i="23" a="1"/>
  <c r="G97" i="23" s="1"/>
  <c r="K32" i="23" a="1"/>
  <c r="K32" i="23" s="1"/>
  <c r="J182" i="23" a="1"/>
  <c r="J182" i="23" s="1"/>
  <c r="H174" i="23" a="1"/>
  <c r="H174" i="23" s="1"/>
  <c r="I25" i="24" a="1"/>
  <c r="I25" i="24" s="1"/>
  <c r="J113" i="25" a="1"/>
  <c r="J113" i="25" s="1"/>
  <c r="H109" i="23" a="1"/>
  <c r="H109" i="23" s="1"/>
  <c r="K62" i="23" a="1"/>
  <c r="K62" i="23" s="1"/>
  <c r="J180" i="23" a="1"/>
  <c r="J180" i="23" s="1"/>
  <c r="I42" i="36" a="1"/>
  <c r="I42" i="36" s="1"/>
  <c r="I30" i="36" a="1"/>
  <c r="I30" i="36" s="1"/>
  <c r="I31" i="36" a="1"/>
  <c r="I31" i="36" s="1"/>
  <c r="I49" i="36" a="1"/>
  <c r="I49" i="36" s="1"/>
  <c r="I29" i="36" a="1"/>
  <c r="I29" i="36" s="1"/>
  <c r="I87" i="36" a="1"/>
  <c r="I87" i="36" s="1"/>
  <c r="I146" i="35" a="1"/>
  <c r="I146" i="35" s="1"/>
  <c r="I170" i="35" a="1"/>
  <c r="I170" i="35" s="1"/>
  <c r="AZ38" i="3"/>
  <c r="G103" i="36" a="1"/>
  <c r="G103" i="36" s="1"/>
  <c r="G51" i="36" a="1"/>
  <c r="G51" i="36" s="1"/>
  <c r="G38" i="36" a="1"/>
  <c r="G38" i="36" s="1"/>
  <c r="G45" i="36" a="1"/>
  <c r="G45" i="36" s="1"/>
  <c r="G102" i="36" a="1"/>
  <c r="G102" i="36" s="1"/>
  <c r="G100" i="36" a="1"/>
  <c r="G100" i="36" s="1"/>
  <c r="G97" i="36" a="1"/>
  <c r="G97" i="36" s="1"/>
  <c r="G74" i="36" a="1"/>
  <c r="G74" i="36" s="1"/>
  <c r="G59" i="36" a="1"/>
  <c r="G59" i="36" s="1"/>
  <c r="G86" i="36" a="1"/>
  <c r="G86" i="36" s="1"/>
  <c r="G107" i="36" a="1"/>
  <c r="G107" i="36" s="1"/>
  <c r="G108" i="36" a="1"/>
  <c r="G108" i="36" s="1"/>
  <c r="G104" i="36" a="1"/>
  <c r="G104" i="36" s="1"/>
  <c r="G29" i="36" a="1"/>
  <c r="G29" i="36" s="1"/>
  <c r="G70" i="36" a="1"/>
  <c r="G70" i="36" s="1"/>
  <c r="G95" i="36" a="1"/>
  <c r="G95" i="36" s="1"/>
  <c r="G60" i="36" a="1"/>
  <c r="G60" i="36" s="1"/>
  <c r="G91" i="36" a="1"/>
  <c r="G91" i="36" s="1"/>
  <c r="G55" i="36" a="1"/>
  <c r="G55" i="36" s="1"/>
  <c r="G90" i="36" a="1"/>
  <c r="G90" i="36" s="1"/>
  <c r="G43" i="36" a="1"/>
  <c r="G43" i="36" s="1"/>
  <c r="G115" i="36" a="1"/>
  <c r="G115" i="36" s="1"/>
  <c r="G87" i="36" a="1"/>
  <c r="G87" i="36" s="1"/>
  <c r="G110" i="36" a="1"/>
  <c r="G110" i="36" s="1"/>
  <c r="G16" i="36" a="1"/>
  <c r="G16" i="36" s="1"/>
  <c r="G17" i="36" a="1"/>
  <c r="G17" i="36" s="1"/>
  <c r="G82" i="36" a="1"/>
  <c r="G82" i="36" s="1"/>
  <c r="G62" i="36" a="1"/>
  <c r="G62" i="36" s="1"/>
  <c r="G114" i="36" a="1"/>
  <c r="G114" i="36" s="1"/>
  <c r="G116" i="36" a="1"/>
  <c r="G116" i="36" s="1"/>
  <c r="G75" i="36" a="1"/>
  <c r="G75" i="36" s="1"/>
  <c r="G52" i="36" a="1"/>
  <c r="G52" i="36" s="1"/>
  <c r="I60" i="36" a="1"/>
  <c r="I60" i="36" s="1"/>
  <c r="H15" i="36" a="1"/>
  <c r="H15" i="36" s="1"/>
  <c r="I86" i="36" a="1"/>
  <c r="I86" i="36" s="1"/>
  <c r="I116" i="36" a="1"/>
  <c r="I116" i="36" s="1"/>
  <c r="I106" i="36" a="1"/>
  <c r="I106" i="36" s="1"/>
  <c r="H76" i="36" a="1"/>
  <c r="H76" i="36" s="1"/>
  <c r="I112" i="36" a="1"/>
  <c r="I112" i="36" s="1"/>
  <c r="G99" i="36" a="1"/>
  <c r="G99" i="36" s="1"/>
  <c r="I163" i="35" a="1"/>
  <c r="I163" i="35" s="1"/>
  <c r="I88" i="35" a="1"/>
  <c r="I88" i="35" s="1"/>
  <c r="H66" i="36" a="1"/>
  <c r="H66" i="36" s="1"/>
  <c r="H95" i="36" a="1"/>
  <c r="H95" i="36" s="1"/>
  <c r="H65" i="36" a="1"/>
  <c r="H65" i="36" s="1"/>
  <c r="H75" i="36" a="1"/>
  <c r="H75" i="36" s="1"/>
  <c r="H8" i="36" a="1"/>
  <c r="H8" i="36" s="1"/>
  <c r="H107" i="36" a="1"/>
  <c r="H107" i="36" s="1"/>
  <c r="H52" i="36" a="1"/>
  <c r="H52" i="36" s="1"/>
  <c r="H29" i="36" a="1"/>
  <c r="H29" i="36" s="1"/>
  <c r="H72" i="36" a="1"/>
  <c r="H72" i="36" s="1"/>
  <c r="H91" i="36" a="1"/>
  <c r="H91" i="36" s="1"/>
  <c r="H60" i="36" a="1"/>
  <c r="H60" i="36" s="1"/>
  <c r="H20" i="36" a="1"/>
  <c r="H20" i="36" s="1"/>
  <c r="H93" i="36" a="1"/>
  <c r="H93" i="36" s="1"/>
  <c r="H51" i="36" a="1"/>
  <c r="H51" i="36" s="1"/>
  <c r="H87" i="36" a="1"/>
  <c r="H87" i="36" s="1"/>
  <c r="H115" i="36" a="1"/>
  <c r="H115" i="36" s="1"/>
  <c r="H41" i="36" a="1"/>
  <c r="H41" i="36" s="1"/>
  <c r="H82" i="36" a="1"/>
  <c r="H82" i="36" s="1"/>
  <c r="H109" i="36" a="1"/>
  <c r="H109" i="36" s="1"/>
  <c r="H55" i="36" a="1"/>
  <c r="H55" i="36" s="1"/>
  <c r="H116" i="36" a="1"/>
  <c r="H116" i="36" s="1"/>
  <c r="H22" i="36" a="1"/>
  <c r="H22" i="36" s="1"/>
  <c r="H99" i="36" a="1"/>
  <c r="H99" i="36" s="1"/>
  <c r="H103" i="36" a="1"/>
  <c r="H103" i="36" s="1"/>
  <c r="H78" i="36" a="1"/>
  <c r="H78" i="36" s="1"/>
  <c r="H38" i="36" a="1"/>
  <c r="H38" i="36" s="1"/>
  <c r="H100" i="36" a="1"/>
  <c r="H100" i="36" s="1"/>
  <c r="H108" i="36" a="1"/>
  <c r="H108" i="36" s="1"/>
  <c r="H23" i="36" a="1"/>
  <c r="H23" i="36" s="1"/>
  <c r="H98" i="36" a="1"/>
  <c r="H98" i="36" s="1"/>
  <c r="H85" i="36" a="1"/>
  <c r="H85" i="36" s="1"/>
  <c r="H18" i="36" a="1"/>
  <c r="H18" i="36" s="1"/>
  <c r="H97" i="36" a="1"/>
  <c r="H97" i="36" s="1"/>
  <c r="H111" i="36" a="1"/>
  <c r="H111" i="36" s="1"/>
  <c r="H62" i="36" a="1"/>
  <c r="H62" i="36" s="1"/>
  <c r="H106" i="36" a="1"/>
  <c r="H106" i="36" s="1"/>
  <c r="BB38" i="3"/>
  <c r="I23" i="36" s="1" a="1"/>
  <c r="I23" i="36" s="1"/>
  <c r="I75" i="36" a="1"/>
  <c r="I75" i="36" s="1"/>
  <c r="I62" i="36" a="1"/>
  <c r="I62" i="36" s="1"/>
  <c r="I85" i="36" a="1"/>
  <c r="I85" i="36" s="1"/>
  <c r="I17" i="36" a="1"/>
  <c r="I17" i="36" s="1"/>
  <c r="I81" i="36" a="1"/>
  <c r="I81" i="36" s="1"/>
  <c r="I100" i="36" a="1"/>
  <c r="I100" i="36" s="1"/>
  <c r="I90" i="36" a="1"/>
  <c r="I90" i="36" s="1"/>
  <c r="I38" i="36" a="1"/>
  <c r="I38" i="36" s="1"/>
  <c r="I20" i="36" a="1"/>
  <c r="I20" i="36" s="1"/>
  <c r="I65" i="36" a="1"/>
  <c r="I65" i="36" s="1"/>
  <c r="I109" i="36" a="1"/>
  <c r="I109" i="36" s="1"/>
  <c r="I76" i="36" a="1"/>
  <c r="I76" i="36" s="1"/>
  <c r="I35" i="36" a="1"/>
  <c r="I35" i="36" s="1"/>
  <c r="I114" i="36" a="1"/>
  <c r="I114" i="36" s="1"/>
  <c r="I63" i="36" a="1"/>
  <c r="I63" i="36" s="1"/>
  <c r="I14" i="36" a="1"/>
  <c r="I14" i="36" s="1"/>
  <c r="I99" i="36" a="1"/>
  <c r="I99" i="36" s="1"/>
  <c r="I46" i="36" a="1"/>
  <c r="I46" i="36" s="1"/>
  <c r="I16" i="36" a="1"/>
  <c r="I16" i="36" s="1"/>
  <c r="I45" i="36" a="1"/>
  <c r="I45" i="36" s="1"/>
  <c r="I72" i="36" a="1"/>
  <c r="I72" i="36" s="1"/>
  <c r="I94" i="36" a="1"/>
  <c r="I94" i="36" s="1"/>
  <c r="N35" i="33"/>
  <c r="H35" i="36" a="1"/>
  <c r="H35" i="36" s="1"/>
  <c r="I97" i="36" a="1"/>
  <c r="I97" i="36" s="1"/>
  <c r="H64" i="36" a="1"/>
  <c r="H64" i="36" s="1"/>
  <c r="H30" i="36" a="1"/>
  <c r="H30" i="36" s="1"/>
  <c r="G109" i="36" a="1"/>
  <c r="G109" i="36" s="1"/>
  <c r="I91" i="36" a="1"/>
  <c r="I91" i="36" s="1"/>
  <c r="I70" i="36" a="1"/>
  <c r="I70" i="36" s="1"/>
  <c r="I102" i="36" a="1"/>
  <c r="I102" i="36" s="1"/>
  <c r="AS38" i="3"/>
  <c r="I74" i="35" s="1" a="1"/>
  <c r="I74" i="35" s="1"/>
  <c r="I126" i="35" a="1"/>
  <c r="I126" i="35" s="1"/>
  <c r="I80" i="35" a="1"/>
  <c r="I80" i="35" s="1"/>
  <c r="I151" i="35" a="1"/>
  <c r="I151" i="35" s="1"/>
  <c r="I193" i="35" a="1"/>
  <c r="I193" i="35" s="1"/>
  <c r="I112" i="35" a="1"/>
  <c r="I112" i="35" s="1"/>
  <c r="I8" i="35" a="1"/>
  <c r="I8" i="35" s="1"/>
  <c r="I70" i="35" a="1"/>
  <c r="I70" i="35" s="1"/>
  <c r="I72" i="35" a="1"/>
  <c r="I72" i="35" s="1"/>
  <c r="I139" i="35" a="1"/>
  <c r="I139" i="35" s="1"/>
  <c r="I48" i="35" a="1"/>
  <c r="I48" i="35" s="1"/>
  <c r="I49" i="35" a="1"/>
  <c r="I49" i="35" s="1"/>
  <c r="I166" i="35" a="1"/>
  <c r="I166" i="35" s="1"/>
  <c r="I180" i="35" a="1"/>
  <c r="I180" i="35" s="1"/>
  <c r="I204" i="35" a="1"/>
  <c r="I204" i="35" s="1"/>
  <c r="I213" i="35" a="1"/>
  <c r="I213" i="35" s="1"/>
  <c r="I209" i="35" a="1"/>
  <c r="I209" i="35" s="1"/>
  <c r="I164" i="35" a="1"/>
  <c r="I164" i="35" s="1"/>
  <c r="I182" i="35" a="1"/>
  <c r="I182" i="35" s="1"/>
  <c r="I73" i="35" a="1"/>
  <c r="I73" i="35" s="1"/>
  <c r="I198" i="35" a="1"/>
  <c r="I198" i="35" s="1"/>
  <c r="I118" i="35" a="1"/>
  <c r="I118" i="35" s="1"/>
  <c r="I6" i="35" a="1"/>
  <c r="I6" i="35" s="1"/>
  <c r="I174" i="35" a="1"/>
  <c r="I174" i="35" s="1"/>
  <c r="I165" i="35" a="1"/>
  <c r="I165" i="35" s="1"/>
  <c r="I187" i="35" a="1"/>
  <c r="I187" i="35" s="1"/>
  <c r="I75" i="35" a="1"/>
  <c r="I75" i="35" s="1"/>
  <c r="I137" i="35" a="1"/>
  <c r="I137" i="35" s="1"/>
  <c r="I82" i="35" a="1"/>
  <c r="I82" i="35" s="1"/>
  <c r="I60" i="35" a="1"/>
  <c r="I60" i="35" s="1"/>
  <c r="I86" i="35" a="1"/>
  <c r="I86" i="35" s="1"/>
  <c r="I87" i="35" a="1"/>
  <c r="I87" i="35" s="1"/>
  <c r="I96" i="35" a="1"/>
  <c r="I96" i="35" s="1"/>
  <c r="I12" i="35" a="1"/>
  <c r="I12" i="35" s="1"/>
  <c r="I19" i="35" a="1"/>
  <c r="I19" i="35" s="1"/>
  <c r="I56" i="35" a="1"/>
  <c r="I56" i="35" s="1"/>
  <c r="I212" i="35" a="1"/>
  <c r="I212" i="35" s="1"/>
  <c r="I168" i="35" a="1"/>
  <c r="I168" i="35" s="1"/>
  <c r="I202" i="35" a="1"/>
  <c r="I202" i="35" s="1"/>
  <c r="I134" i="35" a="1"/>
  <c r="I134" i="35" s="1"/>
  <c r="I184" i="35" a="1"/>
  <c r="I184" i="35" s="1"/>
  <c r="I185" i="35" a="1"/>
  <c r="I185" i="35" s="1"/>
  <c r="I181" i="35" a="1"/>
  <c r="I181" i="35" s="1"/>
  <c r="I26" i="35" a="1"/>
  <c r="I26" i="35" s="1"/>
  <c r="I79" i="35" a="1"/>
  <c r="I79" i="35" s="1"/>
  <c r="I159" i="35" a="1"/>
  <c r="I159" i="35" s="1"/>
  <c r="I68" i="35" a="1"/>
  <c r="I68" i="35" s="1"/>
  <c r="I27" i="35" a="1"/>
  <c r="I27" i="35" s="1"/>
  <c r="I189" i="35" a="1"/>
  <c r="I189" i="35" s="1"/>
  <c r="I211" i="35" a="1"/>
  <c r="I211" i="35" s="1"/>
  <c r="I95" i="35" a="1"/>
  <c r="I95" i="35" s="1"/>
  <c r="I203" i="35" a="1"/>
  <c r="I203" i="35" s="1"/>
  <c r="I113" i="35" a="1"/>
  <c r="I113" i="35" s="1"/>
  <c r="I25" i="35" a="1"/>
  <c r="I25" i="35" s="1"/>
  <c r="I199" i="35" a="1"/>
  <c r="I199" i="35" s="1"/>
  <c r="I117" i="35" a="1"/>
  <c r="I117" i="35" s="1"/>
  <c r="I210" i="35" a="1"/>
  <c r="I210" i="35" s="1"/>
  <c r="I130" i="35" a="1"/>
  <c r="I130" i="35" s="1"/>
  <c r="I143" i="35" a="1"/>
  <c r="I143" i="35" s="1"/>
  <c r="I13" i="35" a="1"/>
  <c r="I13" i="35" s="1"/>
  <c r="I133" i="35" a="1"/>
  <c r="I133" i="35" s="1"/>
  <c r="I55" i="35" a="1"/>
  <c r="I55" i="35" s="1"/>
  <c r="I190" i="35" a="1"/>
  <c r="I190" i="35" s="1"/>
  <c r="H43" i="36" a="1"/>
  <c r="H43" i="36" s="1"/>
  <c r="G117" i="36" a="1"/>
  <c r="G117" i="36" s="1"/>
  <c r="G98" i="36" a="1"/>
  <c r="G98" i="36" s="1"/>
  <c r="AS3" i="3"/>
  <c r="I69" i="35" a="1"/>
  <c r="I69" i="35" s="1"/>
  <c r="I145" i="35" a="1"/>
  <c r="I145" i="35" s="1"/>
  <c r="I205" i="35" a="1"/>
  <c r="I205" i="35" s="1"/>
  <c r="I121" i="35" a="1"/>
  <c r="I121" i="35" s="1"/>
  <c r="I136" i="35" a="1"/>
  <c r="I136" i="35" s="1"/>
  <c r="I129" i="35" a="1"/>
  <c r="I129" i="35" s="1"/>
  <c r="I59" i="35" a="1"/>
  <c r="I59" i="35" s="1"/>
  <c r="I122" i="35" a="1"/>
  <c r="I122" i="35" s="1"/>
  <c r="I186" i="35" a="1"/>
  <c r="I186" i="35" s="1"/>
  <c r="I50" i="35" a="1"/>
  <c r="I50" i="35" s="1"/>
  <c r="I67" i="35" a="1"/>
  <c r="I67" i="35" s="1"/>
  <c r="I57" i="35" a="1"/>
  <c r="I57" i="35" s="1"/>
  <c r="I138" i="35" a="1"/>
  <c r="I138" i="35" s="1"/>
  <c r="I29" i="35" a="1"/>
  <c r="I29" i="35" s="1"/>
  <c r="I63" i="35" a="1"/>
  <c r="I63" i="35" s="1"/>
  <c r="I47" i="35" a="1"/>
  <c r="I47" i="35" s="1"/>
  <c r="I191" i="35" a="1"/>
  <c r="I191" i="35" s="1"/>
  <c r="H102" i="36" a="1"/>
  <c r="H102" i="36" s="1"/>
  <c r="I22" i="36" a="1"/>
  <c r="I22" i="36" s="1"/>
  <c r="I117" i="36" a="1"/>
  <c r="I117" i="36" s="1"/>
  <c r="H117" i="36" a="1"/>
  <c r="H117" i="36" s="1"/>
  <c r="H104" i="36" a="1"/>
  <c r="H104" i="36" s="1"/>
  <c r="H80" i="36" a="1"/>
  <c r="H80" i="36" s="1"/>
  <c r="I34" i="36" a="1"/>
  <c r="I34" i="36" s="1"/>
  <c r="I58" i="35" a="1"/>
  <c r="I58" i="35" s="1"/>
  <c r="I105" i="36" a="1"/>
  <c r="I105" i="36" s="1"/>
  <c r="I93" i="36" a="1"/>
  <c r="I93" i="36" s="1"/>
  <c r="AJ3" i="3"/>
  <c r="I104" i="35" s="1" a="1"/>
  <c r="I104" i="35" s="1"/>
  <c r="I157" i="35" a="1"/>
  <c r="I157" i="35" s="1"/>
  <c r="I135" i="35" a="1"/>
  <c r="I135" i="35" s="1"/>
  <c r="I119" i="35" a="1"/>
  <c r="I119" i="35" s="1"/>
  <c r="I14" i="35" a="1"/>
  <c r="I14" i="35" s="1"/>
  <c r="I131" i="35" a="1"/>
  <c r="I131" i="35" s="1"/>
  <c r="I10" i="35" a="1"/>
  <c r="I10" i="35" s="1"/>
  <c r="I34" i="35" a="1"/>
  <c r="I34" i="35" s="1"/>
  <c r="I33" i="35" a="1"/>
  <c r="I33" i="35" s="1"/>
  <c r="I24" i="35" a="1"/>
  <c r="I24" i="35" s="1"/>
  <c r="I15" i="35" a="1"/>
  <c r="I15" i="35" s="1"/>
  <c r="I142" i="35" a="1"/>
  <c r="I142" i="35" s="1"/>
  <c r="I30" i="35" a="1"/>
  <c r="I30" i="35" s="1"/>
  <c r="I214" i="35" a="1"/>
  <c r="I214" i="35" s="1"/>
  <c r="I120" i="35" a="1"/>
  <c r="I120" i="35" s="1"/>
  <c r="I114" i="35" a="1"/>
  <c r="I114" i="35" s="1"/>
  <c r="I31" i="35" a="1"/>
  <c r="I31" i="35" s="1"/>
  <c r="I196" i="35" a="1"/>
  <c r="I196" i="35" s="1"/>
  <c r="I144" i="35" a="1"/>
  <c r="I144" i="35" s="1"/>
  <c r="I41" i="35" a="1"/>
  <c r="I41" i="35" s="1"/>
  <c r="I201" i="35" a="1"/>
  <c r="I201" i="35" s="1"/>
  <c r="I3" i="35" a="1"/>
  <c r="I3" i="35" s="1"/>
  <c r="H17" i="36" a="1"/>
  <c r="H17" i="36" s="1"/>
  <c r="H86" i="36" a="1"/>
  <c r="H86" i="36" s="1"/>
  <c r="H21" i="36" a="1"/>
  <c r="H21" i="36" s="1"/>
  <c r="I113" i="36" a="1"/>
  <c r="I113" i="36" s="1"/>
  <c r="H36" i="36" a="1"/>
  <c r="H36" i="36" s="1"/>
  <c r="I80" i="36" a="1"/>
  <c r="I80" i="36" s="1"/>
  <c r="H45" i="36" a="1"/>
  <c r="H45" i="36" s="1"/>
  <c r="I103" i="36" a="1"/>
  <c r="I103" i="36" s="1"/>
  <c r="I7" i="35" a="1"/>
  <c r="I7" i="35" s="1"/>
  <c r="H79" i="36" a="1"/>
  <c r="H79" i="36" s="1"/>
  <c r="N82" i="33"/>
  <c r="H110" i="36" a="1"/>
  <c r="H110" i="36" s="1"/>
  <c r="I74" i="36" a="1"/>
  <c r="I74" i="36" s="1"/>
  <c r="H59" i="36" a="1"/>
  <c r="H59" i="36" s="1"/>
  <c r="I57" i="36" a="1"/>
  <c r="I57" i="36" s="1"/>
  <c r="I18" i="36" a="1"/>
  <c r="I18" i="36" s="1"/>
  <c r="H88" i="36" a="1"/>
  <c r="H88" i="36" s="1"/>
  <c r="I55" i="36" a="1"/>
  <c r="I55" i="36" s="1"/>
  <c r="I107" i="36" a="1"/>
  <c r="I107" i="36" s="1"/>
  <c r="I110" i="36" a="1"/>
  <c r="I110" i="36" s="1"/>
  <c r="I153" i="35" a="1"/>
  <c r="I153" i="35" s="1"/>
  <c r="I9" i="35" a="1"/>
  <c r="I9" i="35" s="1"/>
  <c r="N9" i="33"/>
  <c r="N15" i="33"/>
  <c r="G14" i="36" a="1"/>
  <c r="G14" i="36" s="1"/>
  <c r="H14" i="36" a="1"/>
  <c r="H14" i="36" s="1"/>
  <c r="I43" i="36" a="1"/>
  <c r="I43" i="36" s="1"/>
  <c r="H16" i="36" a="1"/>
  <c r="H16" i="36" s="1"/>
  <c r="H42" i="36" a="1"/>
  <c r="H42" i="36" s="1"/>
  <c r="I104" i="36" a="1"/>
  <c r="I104" i="36" s="1"/>
  <c r="G65" i="36" a="1"/>
  <c r="G65" i="36" s="1"/>
  <c r="I78" i="36" a="1"/>
  <c r="I78" i="36" s="1"/>
  <c r="G81" i="36" a="1"/>
  <c r="G81" i="36" s="1"/>
  <c r="H92" i="36" a="1"/>
  <c r="H92" i="36" s="1"/>
  <c r="I169" i="35" a="1"/>
  <c r="I169" i="35" s="1"/>
  <c r="I111" i="36" a="1"/>
  <c r="I111" i="36" s="1"/>
  <c r="G106" i="36" a="1"/>
  <c r="G106" i="36" s="1"/>
  <c r="N68" i="33"/>
  <c r="G30" i="36" a="1"/>
  <c r="G30" i="36" s="1"/>
  <c r="H69" i="36" a="1"/>
  <c r="H69" i="36" s="1"/>
  <c r="H74" i="36" a="1"/>
  <c r="H74" i="36" s="1"/>
  <c r="I51" i="36" a="1"/>
  <c r="I51" i="36" s="1"/>
  <c r="I83" i="36" a="1"/>
  <c r="I83" i="36" s="1"/>
  <c r="H77" i="36" a="1"/>
  <c r="H77" i="36" s="1"/>
  <c r="H90" i="36" a="1"/>
  <c r="H90" i="36" s="1"/>
  <c r="I115" i="36" a="1"/>
  <c r="I115" i="36" s="1"/>
  <c r="I98" i="36" a="1"/>
  <c r="I98" i="36" s="1"/>
  <c r="H94" i="36" a="1"/>
  <c r="H94" i="36" s="1"/>
  <c r="I38" i="35" a="1"/>
  <c r="I38" i="35" s="1"/>
  <c r="H73" i="36" a="1"/>
  <c r="H73" i="36" s="1"/>
  <c r="H63" i="36" a="1"/>
  <c r="H63" i="36" s="1"/>
  <c r="H70" i="36" a="1"/>
  <c r="H70" i="36" s="1"/>
  <c r="P36" i="24"/>
  <c r="AJ38" i="3"/>
  <c r="I124" i="35" s="1" a="1"/>
  <c r="I124" i="35" s="1"/>
  <c r="I85" i="35" a="1"/>
  <c r="I85" i="35" s="1"/>
  <c r="I132" i="35" a="1"/>
  <c r="I132" i="35" s="1"/>
  <c r="I162" i="35" a="1"/>
  <c r="I162" i="35" s="1"/>
  <c r="I194" i="35" a="1"/>
  <c r="I194" i="35" s="1"/>
  <c r="I207" i="35" a="1"/>
  <c r="I207" i="35" s="1"/>
  <c r="I140" i="35" a="1"/>
  <c r="I140" i="35" s="1"/>
  <c r="I84" i="35" a="1"/>
  <c r="I84" i="35" s="1"/>
  <c r="I171" i="35" a="1"/>
  <c r="I171" i="35" s="1"/>
  <c r="I71" i="35" a="1"/>
  <c r="I71" i="35" s="1"/>
  <c r="I77" i="35" a="1"/>
  <c r="I77" i="35" s="1"/>
  <c r="I197" i="35" a="1"/>
  <c r="I197" i="35" s="1"/>
  <c r="I54" i="35" a="1"/>
  <c r="I54" i="35" s="1"/>
  <c r="I76" i="35" a="1"/>
  <c r="I76" i="35" s="1"/>
  <c r="I110" i="35" a="1"/>
  <c r="I110" i="35" s="1"/>
  <c r="I200" i="35" a="1"/>
  <c r="I200" i="35" s="1"/>
  <c r="I23" i="35" a="1"/>
  <c r="I23" i="35" s="1"/>
  <c r="I206" i="35" a="1"/>
  <c r="I206" i="35" s="1"/>
  <c r="I148" i="35" a="1"/>
  <c r="I148" i="35" s="1"/>
  <c r="I172" i="35" a="1"/>
  <c r="I172" i="35" s="1"/>
  <c r="I195" i="35" a="1"/>
  <c r="I195" i="35" s="1"/>
  <c r="I51" i="35" a="1"/>
  <c r="I51" i="35" s="1"/>
  <c r="I173" i="35" a="1"/>
  <c r="I173" i="35" s="1"/>
  <c r="N18" i="33"/>
  <c r="L85" i="34"/>
  <c r="H71" i="36" a="1"/>
  <c r="H71" i="36" s="1"/>
  <c r="H81" i="36" a="1"/>
  <c r="H81" i="36" s="1"/>
  <c r="G111" i="36" a="1"/>
  <c r="G111" i="36" s="1"/>
  <c r="G80" i="36" a="1"/>
  <c r="G80" i="36" s="1"/>
  <c r="I5" i="36" a="1"/>
  <c r="I5" i="36" s="1"/>
  <c r="G21" i="36" a="1"/>
  <c r="G21" i="36" s="1"/>
  <c r="G85" i="36" a="1"/>
  <c r="G85" i="36" s="1"/>
  <c r="I81" i="35" a="1"/>
  <c r="I81" i="35" s="1"/>
  <c r="I82" i="36" a="1"/>
  <c r="I82" i="36" s="1"/>
  <c r="H68" i="36" a="1"/>
  <c r="H68" i="36" s="1"/>
  <c r="I21" i="36" a="1"/>
  <c r="I21" i="36" s="1"/>
  <c r="G42" i="36" a="1"/>
  <c r="G42" i="36" s="1"/>
  <c r="G35" i="36" a="1"/>
  <c r="G35" i="36" s="1"/>
  <c r="G22" i="36" a="1"/>
  <c r="G22" i="36" s="1"/>
  <c r="I61" i="35" a="1"/>
  <c r="I61" i="35" s="1"/>
  <c r="I127" i="35" a="1"/>
  <c r="I127" i="35" s="1"/>
  <c r="I125" i="35" a="1"/>
  <c r="I125" i="35" s="1"/>
  <c r="BB3" i="3"/>
  <c r="I10" i="36" a="1"/>
  <c r="I10" i="36" s="1"/>
  <c r="I33" i="36" a="1"/>
  <c r="I33" i="36" s="1"/>
  <c r="I13" i="36" a="1"/>
  <c r="I13" i="36" s="1"/>
  <c r="I2" i="36" a="1"/>
  <c r="I2" i="36" s="1"/>
  <c r="I28" i="36" a="1"/>
  <c r="I28" i="36" s="1"/>
  <c r="I47" i="36" a="1"/>
  <c r="I47" i="36" s="1"/>
  <c r="I7" i="36" a="1"/>
  <c r="I7" i="36" s="1"/>
  <c r="I48" i="36" a="1"/>
  <c r="I48" i="36" s="1"/>
  <c r="I58" i="36" a="1"/>
  <c r="I58" i="36" s="1"/>
  <c r="I25" i="36" a="1"/>
  <c r="I25" i="36" s="1"/>
  <c r="I53" i="36" a="1"/>
  <c r="I53" i="36" s="1"/>
  <c r="I27" i="36" a="1"/>
  <c r="I27" i="36" s="1"/>
  <c r="N58" i="33"/>
  <c r="G72" i="36" a="1"/>
  <c r="G72" i="36" s="1"/>
  <c r="H114" i="36" a="1"/>
  <c r="H114" i="36" s="1"/>
  <c r="I6" i="36" a="1"/>
  <c r="I6" i="36" s="1"/>
  <c r="I95" i="36" a="1"/>
  <c r="I95" i="36" s="1"/>
  <c r="I84" i="36" a="1"/>
  <c r="I84" i="36" s="1"/>
  <c r="G94" i="36" a="1"/>
  <c r="G94" i="36" s="1"/>
  <c r="I108" i="36" a="1"/>
  <c r="I108" i="36" s="1"/>
  <c r="G71" i="36" a="1"/>
  <c r="G71" i="36" s="1"/>
  <c r="I111" i="35" a="1"/>
  <c r="I111" i="35" s="1"/>
  <c r="I156" i="35" a="1"/>
  <c r="I156" i="35" s="1"/>
  <c r="I175" i="35" a="1"/>
  <c r="I175" i="35" s="1"/>
  <c r="G93" i="36" a="1"/>
  <c r="G93" i="36" s="1"/>
  <c r="O88" i="34"/>
  <c r="I57" i="34" a="1"/>
  <c r="I57" i="34" s="1"/>
  <c r="O74" i="34"/>
  <c r="K112" i="34" a="1"/>
  <c r="K112" i="34" s="1"/>
  <c r="O47" i="34"/>
  <c r="K59" i="34" a="1"/>
  <c r="K59" i="34" s="1"/>
  <c r="I13" i="34" a="1"/>
  <c r="I13" i="34" s="1"/>
  <c r="K92" i="34" a="1"/>
  <c r="K92" i="34" s="1"/>
  <c r="O116" i="34"/>
  <c r="I68" i="34" a="1"/>
  <c r="I68" i="34" s="1"/>
  <c r="K108" i="34" a="1"/>
  <c r="K108" i="34" s="1"/>
  <c r="I77" i="34" a="1"/>
  <c r="I77" i="34" s="1"/>
  <c r="I97" i="34" a="1"/>
  <c r="I97" i="34" s="1"/>
  <c r="I56" i="34" a="1"/>
  <c r="I56" i="34" s="1"/>
  <c r="K95" i="34" a="1"/>
  <c r="K95" i="34" s="1"/>
  <c r="I91" i="34" a="1"/>
  <c r="I91" i="34" s="1"/>
  <c r="K33" i="34" a="1"/>
  <c r="K33" i="34" s="1"/>
  <c r="O101" i="34"/>
  <c r="O71" i="34"/>
  <c r="O19" i="34"/>
  <c r="K89" i="34" a="1"/>
  <c r="K89" i="34" s="1"/>
  <c r="O103" i="34"/>
  <c r="I111" i="34" a="1"/>
  <c r="I111" i="34" s="1"/>
  <c r="K96" i="34" a="1"/>
  <c r="K96" i="34" s="1"/>
  <c r="I26" i="34" a="1"/>
  <c r="I26" i="34" s="1"/>
  <c r="K115" i="34" a="1"/>
  <c r="K115" i="34" s="1"/>
  <c r="I20" i="34" a="1"/>
  <c r="I20" i="34" s="1"/>
  <c r="K20" i="34" a="1"/>
  <c r="K20" i="34" s="1"/>
  <c r="O82" i="34"/>
  <c r="I117" i="34" a="1"/>
  <c r="I117" i="34" s="1"/>
  <c r="K71" i="34" a="1"/>
  <c r="K71" i="34" s="1"/>
  <c r="O33" i="34"/>
  <c r="K70" i="34" a="1"/>
  <c r="K70" i="34" s="1"/>
  <c r="I101" i="34" a="1"/>
  <c r="I101" i="34" s="1"/>
  <c r="K116" i="34" a="1"/>
  <c r="K116" i="34" s="1"/>
  <c r="K91" i="34" a="1"/>
  <c r="K91" i="34" s="1"/>
  <c r="K57" i="34" a="1"/>
  <c r="K57" i="34" s="1"/>
  <c r="I36" i="34" a="1"/>
  <c r="I36" i="34" s="1"/>
  <c r="K107" i="34" a="1"/>
  <c r="K107" i="34" s="1"/>
  <c r="K32" i="34" a="1"/>
  <c r="K32" i="34" s="1"/>
  <c r="I74" i="34" a="1"/>
  <c r="I74" i="34" s="1"/>
  <c r="O43" i="34"/>
  <c r="I125" i="34" a="1"/>
  <c r="I125" i="34" s="1"/>
  <c r="O78" i="34"/>
  <c r="K83" i="34" a="1"/>
  <c r="K83" i="34" s="1"/>
  <c r="O112" i="34"/>
  <c r="I87" i="34" a="1"/>
  <c r="I87" i="34" s="1"/>
  <c r="O9" i="34"/>
  <c r="K4" i="34" a="1"/>
  <c r="K4" i="34" s="1"/>
  <c r="I44" i="34" a="1"/>
  <c r="I44" i="34" s="1"/>
  <c r="O93" i="34"/>
  <c r="O108" i="34"/>
  <c r="I51" i="34" a="1"/>
  <c r="I51" i="34" s="1"/>
  <c r="I14" i="34" a="1"/>
  <c r="I14" i="34" s="1"/>
  <c r="K43" i="34" a="1"/>
  <c r="K43" i="34" s="1"/>
  <c r="I41" i="34" a="1"/>
  <c r="I41" i="34" s="1"/>
  <c r="O8" i="34"/>
  <c r="I3" i="34" a="1"/>
  <c r="I3" i="34" s="1"/>
  <c r="K40" i="34" a="1"/>
  <c r="K40" i="34" s="1"/>
  <c r="O44" i="34"/>
  <c r="I47" i="34" a="1"/>
  <c r="I47" i="34" s="1"/>
  <c r="O102" i="34"/>
  <c r="K110" i="34" a="1"/>
  <c r="K110" i="34" s="1"/>
  <c r="I93" i="34" a="1"/>
  <c r="I93" i="34" s="1"/>
  <c r="O4" i="34"/>
  <c r="K44" i="34" a="1"/>
  <c r="K44" i="34" s="1"/>
  <c r="I32" i="34" a="1"/>
  <c r="I32" i="34" s="1"/>
  <c r="K47" i="34" a="1"/>
  <c r="K47" i="34" s="1"/>
  <c r="K72" i="34" a="1"/>
  <c r="K72" i="34" s="1"/>
  <c r="I102" i="34" a="1"/>
  <c r="I102" i="34" s="1"/>
  <c r="I120" i="34" a="1"/>
  <c r="I120" i="34" s="1"/>
  <c r="I81" i="34" a="1"/>
  <c r="I81" i="34" s="1"/>
  <c r="I76" i="34" a="1"/>
  <c r="I76" i="34" s="1"/>
  <c r="I63" i="34" a="1"/>
  <c r="I63" i="34" s="1"/>
  <c r="O6" i="34"/>
  <c r="I104" i="34" a="1"/>
  <c r="I104" i="34" s="1"/>
  <c r="O3" i="34"/>
  <c r="I115" i="34" a="1"/>
  <c r="I115" i="34" s="1"/>
  <c r="O68" i="34"/>
  <c r="K81" i="34" a="1"/>
  <c r="K81" i="34" s="1"/>
  <c r="I62" i="34" a="1"/>
  <c r="I62" i="34" s="1"/>
  <c r="K26" i="34" a="1"/>
  <c r="K26" i="34" s="1"/>
  <c r="I40" i="34" a="1"/>
  <c r="I40" i="34" s="1"/>
  <c r="O79" i="34"/>
  <c r="O41" i="34"/>
  <c r="I72" i="34" a="1"/>
  <c r="I72" i="34" s="1"/>
  <c r="O62" i="34"/>
  <c r="O54" i="34"/>
  <c r="I103" i="34" a="1"/>
  <c r="I103" i="34" s="1"/>
  <c r="K13" i="34" a="1"/>
  <c r="K13" i="34" s="1"/>
  <c r="K14" i="34" a="1"/>
  <c r="K14" i="34" s="1"/>
  <c r="I60" i="34" a="1"/>
  <c r="I60" i="34" s="1"/>
  <c r="O100" i="34"/>
  <c r="K60" i="34" a="1"/>
  <c r="K60" i="34" s="1"/>
  <c r="I53" i="34" a="1"/>
  <c r="I53" i="34" s="1"/>
  <c r="I114" i="34" a="1"/>
  <c r="I114" i="34" s="1"/>
  <c r="O72" i="34"/>
  <c r="K100" i="34" a="1"/>
  <c r="K100" i="34" s="1"/>
  <c r="I65" i="34" a="1"/>
  <c r="I65" i="34" s="1"/>
  <c r="O51" i="34"/>
  <c r="K113" i="34" a="1"/>
  <c r="K113" i="34" s="1"/>
  <c r="O97" i="34"/>
  <c r="K41" i="34" a="1"/>
  <c r="K41" i="34" s="1"/>
  <c r="I100" i="34" a="1"/>
  <c r="I100" i="34" s="1"/>
  <c r="O111" i="34"/>
  <c r="I116" i="34" a="1"/>
  <c r="I116" i="34" s="1"/>
  <c r="K120" i="34" a="1"/>
  <c r="K120" i="34" s="1"/>
  <c r="K109" i="34" a="1"/>
  <c r="K109" i="34" s="1"/>
  <c r="K67" i="34" a="1"/>
  <c r="K67" i="34" s="1"/>
  <c r="K63" i="34" a="1"/>
  <c r="K63" i="34" s="1"/>
  <c r="K111" i="34" a="1"/>
  <c r="K111" i="34" s="1"/>
  <c r="O118" i="34"/>
  <c r="I78" i="34" a="1"/>
  <c r="I78" i="34" s="1"/>
  <c r="K102" i="34" a="1"/>
  <c r="K102" i="34" s="1"/>
  <c r="I54" i="34" a="1"/>
  <c r="I54" i="34" s="1"/>
  <c r="K36" i="34" a="1"/>
  <c r="K36" i="34" s="1"/>
  <c r="O53" i="34"/>
  <c r="I35" i="34" a="1"/>
  <c r="I35" i="34" s="1"/>
  <c r="I86" i="34" a="1"/>
  <c r="I86" i="34" s="1"/>
  <c r="I122" i="34" a="1"/>
  <c r="I122" i="34" s="1"/>
  <c r="K53" i="34" a="1"/>
  <c r="K53" i="34" s="1"/>
  <c r="K122" i="34" a="1"/>
  <c r="K122" i="34" s="1"/>
  <c r="O107" i="34"/>
  <c r="I124" i="34" a="1"/>
  <c r="I124" i="34" s="1"/>
  <c r="I95" i="34" a="1"/>
  <c r="I95" i="34" s="1"/>
  <c r="K79" i="34" a="1"/>
  <c r="K79" i="34" s="1"/>
  <c r="O63" i="34"/>
  <c r="I94" i="34" a="1"/>
  <c r="I94" i="34" s="1"/>
  <c r="K105" i="34" a="1"/>
  <c r="K105" i="34" s="1"/>
  <c r="O48" i="34"/>
  <c r="I80" i="34" a="1"/>
  <c r="I80" i="34" s="1"/>
  <c r="K65" i="34" a="1"/>
  <c r="K65" i="34" s="1"/>
  <c r="K103" i="34" a="1"/>
  <c r="K103" i="34" s="1"/>
  <c r="K74" i="34" a="1"/>
  <c r="K74" i="34" s="1"/>
  <c r="K93" i="34" a="1"/>
  <c r="K93" i="34" s="1"/>
  <c r="I118" i="34" a="1"/>
  <c r="I118" i="34" s="1"/>
  <c r="O86" i="34"/>
  <c r="K5" i="34" a="1"/>
  <c r="K5" i="34" s="1"/>
  <c r="K104" i="34" a="1"/>
  <c r="K104" i="34" s="1"/>
  <c r="I59" i="34" a="1"/>
  <c r="I59" i="34" s="1"/>
  <c r="K56" i="34" a="1"/>
  <c r="K56" i="34" s="1"/>
  <c r="O5" i="34"/>
  <c r="I99" i="34" a="1"/>
  <c r="I99" i="34" s="1"/>
  <c r="O70" i="34"/>
  <c r="I92" i="34" a="1"/>
  <c r="I92" i="34" s="1"/>
  <c r="I17" i="34" a="1"/>
  <c r="I17" i="34" s="1"/>
  <c r="O123" i="34"/>
  <c r="K62" i="34" a="1"/>
  <c r="K62" i="34" s="1"/>
  <c r="I83" i="34" a="1"/>
  <c r="I83" i="34" s="1"/>
  <c r="I9" i="34" a="1"/>
  <c r="I9" i="34" s="1"/>
  <c r="I10" i="34" a="1"/>
  <c r="I10" i="34" s="1"/>
  <c r="I109" i="34" a="1"/>
  <c r="I109" i="34" s="1"/>
  <c r="K82" i="34" a="1"/>
  <c r="K82" i="34" s="1"/>
  <c r="K124" i="34" a="1"/>
  <c r="K124" i="34" s="1"/>
  <c r="O76" i="34"/>
  <c r="O21" i="34"/>
  <c r="K8" i="34" a="1"/>
  <c r="K8" i="34" s="1"/>
  <c r="I5" i="34" a="1"/>
  <c r="I5" i="34" s="1"/>
  <c r="O77" i="34"/>
  <c r="I88" i="34" a="1"/>
  <c r="I88" i="34" s="1"/>
  <c r="K114" i="34" a="1"/>
  <c r="K114" i="34" s="1"/>
  <c r="K78" i="34" a="1"/>
  <c r="K78" i="34" s="1"/>
  <c r="I43" i="34" a="1"/>
  <c r="I43" i="34" s="1"/>
  <c r="K9" i="34" a="1"/>
  <c r="K9" i="34" s="1"/>
  <c r="I123" i="34" a="1"/>
  <c r="I123" i="34" s="1"/>
  <c r="O10" i="34"/>
  <c r="I33" i="34" a="1"/>
  <c r="I33" i="34" s="1"/>
  <c r="K35" i="34" a="1"/>
  <c r="K35" i="34" s="1"/>
  <c r="O69" i="34"/>
  <c r="K101" i="34" a="1"/>
  <c r="K101" i="34" s="1"/>
  <c r="K76" i="34" a="1"/>
  <c r="K76" i="34" s="1"/>
  <c r="I4" i="34" a="1"/>
  <c r="I4" i="34" s="1"/>
  <c r="O119" i="34"/>
  <c r="K119" i="34" a="1"/>
  <c r="K119" i="34" s="1"/>
  <c r="I113" i="34" a="1"/>
  <c r="I113" i="34" s="1"/>
  <c r="I21" i="34" a="1"/>
  <c r="I21" i="34" s="1"/>
  <c r="K54" i="34" a="1"/>
  <c r="K54" i="34" s="1"/>
  <c r="I112" i="34" a="1"/>
  <c r="I112" i="34" s="1"/>
  <c r="O67" i="34"/>
  <c r="K117" i="34" a="1"/>
  <c r="K117" i="34" s="1"/>
  <c r="I48" i="34" a="1"/>
  <c r="I48" i="34" s="1"/>
  <c r="I69" i="34" a="1"/>
  <c r="I69" i="34" s="1"/>
  <c r="O32" i="34"/>
  <c r="K17" i="34" a="1"/>
  <c r="K17" i="34" s="1"/>
  <c r="K69" i="34" a="1"/>
  <c r="K69" i="34" s="1"/>
  <c r="K48" i="34" a="1"/>
  <c r="K48" i="34" s="1"/>
  <c r="I96" i="34" a="1"/>
  <c r="I96" i="34" s="1"/>
  <c r="K99" i="34" a="1"/>
  <c r="K99" i="34" s="1"/>
  <c r="O26" i="34"/>
  <c r="I119" i="34" a="1"/>
  <c r="I119" i="34" s="1"/>
  <c r="I107" i="34" a="1"/>
  <c r="I107" i="34" s="1"/>
  <c r="K21" i="34" a="1"/>
  <c r="K21" i="34" s="1"/>
  <c r="I82" i="34" a="1"/>
  <c r="I82" i="34" s="1"/>
  <c r="I79" i="34" a="1"/>
  <c r="I79" i="34" s="1"/>
  <c r="I71" i="34" a="1"/>
  <c r="I71" i="34" s="1"/>
  <c r="I89" i="34" a="1"/>
  <c r="I89" i="34" s="1"/>
  <c r="K125" i="34" a="1"/>
  <c r="K125" i="34" s="1"/>
  <c r="K94" i="34" a="1"/>
  <c r="K94" i="34" s="1"/>
  <c r="K88" i="34" a="1"/>
  <c r="K88" i="34" s="1"/>
  <c r="K97" i="34" a="1"/>
  <c r="K97" i="34" s="1"/>
  <c r="K77" i="34" a="1"/>
  <c r="K77" i="34" s="1"/>
  <c r="K86" i="34" a="1"/>
  <c r="K86" i="34" s="1"/>
  <c r="O40" i="34"/>
  <c r="I8" i="34" a="1"/>
  <c r="I8" i="34" s="1"/>
  <c r="K51" i="34" a="1"/>
  <c r="K51" i="34" s="1"/>
  <c r="K10" i="34" a="1"/>
  <c r="K10" i="34" s="1"/>
  <c r="O87" i="34"/>
  <c r="I108" i="34" a="1"/>
  <c r="I108" i="34" s="1"/>
  <c r="K123" i="34" a="1"/>
  <c r="K123" i="34" s="1"/>
  <c r="O104" i="34"/>
  <c r="O20" i="34"/>
  <c r="K87" i="34" a="1"/>
  <c r="K87" i="34" s="1"/>
  <c r="I110" i="34" a="1"/>
  <c r="I110" i="34" s="1"/>
  <c r="I105" i="34" a="1"/>
  <c r="I105" i="34" s="1"/>
  <c r="K3" i="34" a="1"/>
  <c r="K3" i="34" s="1"/>
  <c r="I70" i="34" a="1"/>
  <c r="I70" i="34" s="1"/>
  <c r="K118" i="34" a="1"/>
  <c r="K118" i="34" s="1"/>
  <c r="K80" i="34" a="1"/>
  <c r="K80" i="34" s="1"/>
  <c r="V38" i="3"/>
  <c r="H100" i="34" a="1"/>
  <c r="H100" i="34" s="1"/>
  <c r="H95" i="34" a="1"/>
  <c r="H95" i="34" s="1"/>
  <c r="H104" i="34" a="1"/>
  <c r="H104" i="34" s="1"/>
  <c r="H59" i="34" a="1"/>
  <c r="H59" i="34" s="1"/>
  <c r="H120" i="34" a="1"/>
  <c r="H120" i="34" s="1"/>
  <c r="H94" i="34" a="1"/>
  <c r="H94" i="34" s="1"/>
  <c r="H20" i="34" a="1"/>
  <c r="H20" i="34" s="1"/>
  <c r="H60" i="34" a="1"/>
  <c r="H60" i="34" s="1"/>
  <c r="H62" i="34" a="1"/>
  <c r="H62" i="34" s="1"/>
  <c r="H63" i="34" a="1"/>
  <c r="H63" i="34" s="1"/>
  <c r="H99" i="34" a="1"/>
  <c r="H99" i="34" s="1"/>
  <c r="H21" i="34" a="1"/>
  <c r="H21" i="34" s="1"/>
  <c r="H122" i="34" a="1"/>
  <c r="H122" i="34" s="1"/>
  <c r="H107" i="34" a="1"/>
  <c r="H107" i="34" s="1"/>
  <c r="H101" i="34" a="1"/>
  <c r="H101" i="34" s="1"/>
  <c r="H96" i="34" a="1"/>
  <c r="H96" i="34" s="1"/>
  <c r="H91" i="34" a="1"/>
  <c r="H91" i="34" s="1"/>
  <c r="H93" i="34" a="1"/>
  <c r="H93" i="34" s="1"/>
  <c r="H124" i="34" a="1"/>
  <c r="H124" i="34" s="1"/>
  <c r="H56" i="34" a="1"/>
  <c r="H56" i="34" s="1"/>
  <c r="H109" i="34" a="1"/>
  <c r="H109" i="34" s="1"/>
  <c r="H17" i="34" a="1"/>
  <c r="H17" i="34" s="1"/>
  <c r="H81" i="34" a="1"/>
  <c r="H81" i="34" s="1"/>
  <c r="H14" i="34" a="1"/>
  <c r="H14" i="34" s="1"/>
  <c r="H57" i="34" a="1"/>
  <c r="H57" i="34" s="1"/>
  <c r="H40" i="34" a="1"/>
  <c r="H40" i="34" s="1"/>
  <c r="H110" i="34" a="1"/>
  <c r="H110" i="34" s="1"/>
  <c r="H123" i="34" a="1"/>
  <c r="H123" i="34" s="1"/>
  <c r="H76" i="34" a="1"/>
  <c r="H76" i="34" s="1"/>
  <c r="H48" i="34" a="1"/>
  <c r="H48" i="34" s="1"/>
  <c r="H13" i="34" a="1"/>
  <c r="H13" i="34" s="1"/>
  <c r="H35" i="34" a="1"/>
  <c r="H35" i="34" s="1"/>
  <c r="H41" i="34" a="1"/>
  <c r="H41" i="34" s="1"/>
  <c r="H72" i="34" a="1"/>
  <c r="H72" i="34" s="1"/>
  <c r="H83" i="34" a="1"/>
  <c r="H83" i="34" s="1"/>
  <c r="H9" i="34" a="1"/>
  <c r="H9" i="34" s="1"/>
  <c r="H5" i="34" a="1"/>
  <c r="H5" i="34" s="1"/>
  <c r="H92" i="34" a="1"/>
  <c r="H92" i="34" s="1"/>
  <c r="H36" i="34" a="1"/>
  <c r="H36" i="34" s="1"/>
  <c r="H3" i="34" a="1"/>
  <c r="H3" i="34" s="1"/>
  <c r="H77" i="34" a="1"/>
  <c r="H77" i="34" s="1"/>
  <c r="H87" i="34" a="1"/>
  <c r="H87" i="34" s="1"/>
  <c r="H89" i="34" a="1"/>
  <c r="H89" i="34" s="1"/>
  <c r="H10" i="34" a="1"/>
  <c r="H10" i="34" s="1"/>
  <c r="H80" i="34" a="1"/>
  <c r="H80" i="34" s="1"/>
  <c r="H78" i="34" a="1"/>
  <c r="H78" i="34" s="1"/>
  <c r="H105" i="34" a="1"/>
  <c r="H105" i="34" s="1"/>
  <c r="H4" i="34" a="1"/>
  <c r="H4" i="34" s="1"/>
  <c r="H116" i="34" a="1"/>
  <c r="H116" i="34" s="1"/>
  <c r="H8" i="34" a="1"/>
  <c r="H8" i="34" s="1"/>
  <c r="H47" i="34" a="1"/>
  <c r="H47" i="34" s="1"/>
  <c r="N2" i="33"/>
  <c r="N65" i="33"/>
  <c r="N71" i="33"/>
  <c r="N11" i="33"/>
  <c r="N74" i="33"/>
  <c r="N55" i="33"/>
  <c r="N32" i="33"/>
  <c r="N6" i="33"/>
  <c r="N72" i="33"/>
  <c r="N69" i="33"/>
  <c r="N24" i="33"/>
  <c r="N34" i="33"/>
  <c r="N44" i="33"/>
  <c r="N13" i="33"/>
  <c r="N63" i="33"/>
  <c r="N54" i="33"/>
  <c r="N4" i="33"/>
  <c r="N78" i="33"/>
  <c r="N84" i="33"/>
  <c r="N51" i="33"/>
  <c r="N49" i="33"/>
  <c r="N60" i="33"/>
  <c r="N59" i="33"/>
  <c r="N77" i="33"/>
  <c r="N48" i="33"/>
  <c r="N22" i="33"/>
  <c r="N21" i="33"/>
  <c r="N42" i="33"/>
  <c r="N43" i="24"/>
  <c r="L27" i="25"/>
  <c r="L66" i="26"/>
  <c r="J14" i="23" a="1"/>
  <c r="J14" i="23" s="1"/>
  <c r="G104" i="23" a="1"/>
  <c r="G104" i="23" s="1"/>
  <c r="I178" i="23" a="1"/>
  <c r="I178" i="23" s="1"/>
  <c r="H22" i="25" a="1"/>
  <c r="H22" i="25" s="1"/>
  <c r="K22" i="26"/>
  <c r="L22" i="26"/>
  <c r="G27" i="25" a="1"/>
  <c r="G27" i="25" s="1"/>
  <c r="H66" i="26" a="1"/>
  <c r="H66" i="26" s="1"/>
  <c r="H22" i="26" a="1"/>
  <c r="H22" i="26" s="1"/>
  <c r="H178" i="23" a="1"/>
  <c r="H178" i="23" s="1"/>
  <c r="G115" i="23" a="1"/>
  <c r="G115" i="23" s="1"/>
  <c r="M17" i="24"/>
  <c r="P27" i="25"/>
  <c r="M22" i="25"/>
  <c r="J56" i="26"/>
  <c r="G22" i="26" a="1"/>
  <c r="G22" i="26" s="1"/>
  <c r="H27" i="25" a="1"/>
  <c r="H27" i="25" s="1"/>
  <c r="G22" i="25" a="1"/>
  <c r="G22" i="25" s="1"/>
  <c r="H14" i="23" a="1"/>
  <c r="H14" i="23" s="1"/>
  <c r="J23" i="26"/>
  <c r="K55" i="26"/>
  <c r="L55" i="26"/>
  <c r="H56" i="26" a="1"/>
  <c r="H56" i="26" s="1"/>
  <c r="M56" i="26" s="1"/>
  <c r="K43" i="24" a="1"/>
  <c r="K43" i="24" s="1"/>
  <c r="K178" i="23" a="1"/>
  <c r="K178" i="23" s="1"/>
  <c r="O43" i="24"/>
  <c r="M27" i="25"/>
  <c r="K56" i="26"/>
  <c r="L178" i="23" a="1"/>
  <c r="L178" i="23" s="1"/>
  <c r="G55" i="26" a="1"/>
  <c r="G55" i="26" s="1"/>
  <c r="N27" i="25"/>
  <c r="P22" i="25"/>
  <c r="J55" i="26"/>
  <c r="I66" i="26" a="1"/>
  <c r="I66" i="26" s="1"/>
  <c r="K115" i="25" a="1"/>
  <c r="K115" i="25" s="1"/>
  <c r="K22" i="25" a="1"/>
  <c r="K22" i="25" s="1"/>
  <c r="J43" i="24" a="1"/>
  <c r="J43" i="24" s="1"/>
  <c r="I43" i="24" a="1"/>
  <c r="I43" i="24" s="1"/>
  <c r="P43" i="24"/>
  <c r="H99" i="26" a="1"/>
  <c r="H99" i="26" s="1"/>
  <c r="I99" i="26" a="1"/>
  <c r="I99" i="26" s="1"/>
  <c r="G115" i="25" a="1"/>
  <c r="G115" i="25" s="1"/>
  <c r="I22" i="25" a="1"/>
  <c r="I22" i="25" s="1"/>
  <c r="I27" i="25" a="1"/>
  <c r="I27" i="25" s="1"/>
  <c r="P115" i="25"/>
  <c r="L22" i="25"/>
  <c r="L115" i="25"/>
  <c r="H23" i="26" a="1"/>
  <c r="H23" i="26" s="1"/>
  <c r="M23" i="26" s="1"/>
  <c r="H55" i="26" a="1"/>
  <c r="H55" i="26" s="1"/>
  <c r="I22" i="26" a="1"/>
  <c r="I22" i="26" s="1"/>
  <c r="K104" i="23" a="1"/>
  <c r="K104" i="23" s="1"/>
  <c r="K14" i="23" a="1"/>
  <c r="K14" i="23" s="1"/>
  <c r="K99" i="26"/>
  <c r="L56" i="26"/>
  <c r="I23" i="26" a="1"/>
  <c r="I23" i="26" s="1"/>
  <c r="G99" i="26" a="1"/>
  <c r="G99" i="26" s="1"/>
  <c r="M31" i="24"/>
  <c r="N22" i="25"/>
  <c r="K23" i="26"/>
  <c r="G178" i="23" a="1"/>
  <c r="G178" i="23" s="1"/>
  <c r="I56" i="26" a="1"/>
  <c r="I56" i="26" s="1"/>
  <c r="J104" i="23" a="1"/>
  <c r="J104" i="23" s="1"/>
  <c r="M43" i="24"/>
  <c r="K66" i="26"/>
  <c r="L23" i="26"/>
  <c r="J99" i="26"/>
  <c r="I104" i="23" a="1"/>
  <c r="I104" i="23" s="1"/>
  <c r="J27" i="25" a="1"/>
  <c r="J27" i="25" s="1"/>
  <c r="J115" i="25" a="1"/>
  <c r="J115" i="25" s="1"/>
  <c r="J22" i="25" a="1"/>
  <c r="J22" i="25" s="1"/>
  <c r="N115" i="25"/>
  <c r="O115" i="25"/>
  <c r="K27" i="25" a="1"/>
  <c r="K27" i="25" s="1"/>
  <c r="L72" i="24"/>
  <c r="J68" i="25" a="1"/>
  <c r="J68" i="25" s="1"/>
  <c r="O14" i="24"/>
  <c r="N63" i="24"/>
  <c r="L63" i="24"/>
  <c r="H2" i="24" a="1"/>
  <c r="H2" i="24" s="1"/>
  <c r="I35" i="24" a="1"/>
  <c r="I35" i="24" s="1"/>
  <c r="G109" i="23" a="1"/>
  <c r="G109" i="23" s="1"/>
  <c r="M48" i="25"/>
  <c r="O63" i="24"/>
  <c r="N39" i="25"/>
  <c r="O35" i="24"/>
  <c r="M39" i="25"/>
  <c r="J75" i="24" a="1"/>
  <c r="J75" i="24" s="1"/>
  <c r="H17" i="26" a="1"/>
  <c r="H17" i="26" s="1"/>
  <c r="G200" i="23" a="1"/>
  <c r="G200" i="23" s="1"/>
  <c r="O20" i="25"/>
  <c r="H103" i="25" a="1"/>
  <c r="H103" i="25" s="1"/>
  <c r="N70" i="24"/>
  <c r="H97" i="26" a="1"/>
  <c r="H97" i="26" s="1"/>
  <c r="G144" i="23" a="1"/>
  <c r="G144" i="23" s="1"/>
  <c r="H70" i="24" a="1"/>
  <c r="H70" i="24" s="1"/>
  <c r="J70" i="24" a="1"/>
  <c r="J70" i="24" s="1"/>
  <c r="G15" i="24" a="1"/>
  <c r="G15" i="24" s="1"/>
  <c r="G70" i="24" a="1"/>
  <c r="G70" i="24" s="1"/>
  <c r="J101" i="25" a="1"/>
  <c r="J101" i="25" s="1"/>
  <c r="L70" i="24"/>
  <c r="G97" i="26" a="1"/>
  <c r="G97" i="26" s="1"/>
  <c r="I70" i="24" a="1"/>
  <c r="I70" i="24" s="1"/>
  <c r="K144" i="23" a="1"/>
  <c r="K144" i="23" s="1"/>
  <c r="K34" i="23" a="1"/>
  <c r="K34" i="23" s="1"/>
  <c r="I15" i="24" a="1"/>
  <c r="I15" i="24" s="1"/>
  <c r="P70" i="24"/>
  <c r="J144" i="23" a="1"/>
  <c r="J144" i="23" s="1"/>
  <c r="J34" i="23" a="1"/>
  <c r="J34" i="23" s="1"/>
  <c r="M15" i="24"/>
  <c r="O15" i="24"/>
  <c r="K70" i="24" a="1"/>
  <c r="K70" i="24" s="1"/>
  <c r="J37" i="23" a="1"/>
  <c r="J37" i="23" s="1"/>
  <c r="O70" i="24"/>
  <c r="K97" i="26"/>
  <c r="H26" i="26" a="1"/>
  <c r="H26" i="26" s="1"/>
  <c r="J97" i="26"/>
  <c r="L97" i="26"/>
  <c r="J15" i="24" a="1"/>
  <c r="J15" i="24" s="1"/>
  <c r="P15" i="24"/>
  <c r="L15" i="24"/>
  <c r="I34" i="23" a="1"/>
  <c r="I34" i="23" s="1"/>
  <c r="G34" i="23" a="1"/>
  <c r="G34" i="23" s="1"/>
  <c r="L107" i="26"/>
  <c r="I98" i="26" a="1"/>
  <c r="I98" i="26" s="1"/>
  <c r="K98" i="26"/>
  <c r="I36" i="23" a="1"/>
  <c r="I36" i="23" s="1"/>
  <c r="G36" i="23" a="1"/>
  <c r="G36" i="23" s="1"/>
  <c r="H36" i="23" a="1"/>
  <c r="H36" i="23" s="1"/>
  <c r="J16" i="26"/>
  <c r="M39" i="24"/>
  <c r="M65" i="25"/>
  <c r="L25" i="25"/>
  <c r="H68" i="25" a="1"/>
  <c r="H68" i="25" s="1"/>
  <c r="H115" i="23" a="1"/>
  <c r="H115" i="23" s="1"/>
  <c r="O72" i="24"/>
  <c r="N70" i="25"/>
  <c r="L115" i="23" a="1"/>
  <c r="L115" i="23" s="1"/>
  <c r="G25" i="25" a="1"/>
  <c r="G25" i="25" s="1"/>
  <c r="I68" i="25" a="1"/>
  <c r="I68" i="25" s="1"/>
  <c r="I19" i="25" a="1"/>
  <c r="I19" i="25" s="1"/>
  <c r="H17" i="24" a="1"/>
  <c r="H17" i="24" s="1"/>
  <c r="J25" i="25" a="1"/>
  <c r="J25" i="25" s="1"/>
  <c r="I14" i="24" a="1"/>
  <c r="I14" i="24" s="1"/>
  <c r="L14" i="24"/>
  <c r="M72" i="24"/>
  <c r="N14" i="24"/>
  <c r="K17" i="24" a="1"/>
  <c r="K17" i="24" s="1"/>
  <c r="K113" i="23" a="1"/>
  <c r="K113" i="23" s="1"/>
  <c r="H113" i="23" a="1"/>
  <c r="H113" i="23" s="1"/>
  <c r="P39" i="24"/>
  <c r="L39" i="24"/>
  <c r="G68" i="25" a="1"/>
  <c r="G68" i="25" s="1"/>
  <c r="H72" i="24" a="1"/>
  <c r="H72" i="24" s="1"/>
  <c r="I25" i="25" a="1"/>
  <c r="I25" i="25" s="1"/>
  <c r="J17" i="24" a="1"/>
  <c r="J17" i="24" s="1"/>
  <c r="K115" i="23" a="1"/>
  <c r="K115" i="23" s="1"/>
  <c r="O68" i="25"/>
  <c r="P70" i="25"/>
  <c r="P68" i="25"/>
  <c r="L70" i="25"/>
  <c r="I115" i="23" a="1"/>
  <c r="I115" i="23" s="1"/>
  <c r="O70" i="25"/>
  <c r="I113" i="23" a="1"/>
  <c r="I113" i="23" s="1"/>
  <c r="G14" i="24" a="1"/>
  <c r="G14" i="24" s="1"/>
  <c r="K14" i="24" a="1"/>
  <c r="K14" i="24" s="1"/>
  <c r="J113" i="23" a="1"/>
  <c r="J113" i="23" s="1"/>
  <c r="I42" i="24" a="1"/>
  <c r="I42" i="24" s="1"/>
  <c r="I17" i="24" a="1"/>
  <c r="I17" i="24" s="1"/>
  <c r="P72" i="24"/>
  <c r="O17" i="24"/>
  <c r="L42" i="24"/>
  <c r="K25" i="25" a="1"/>
  <c r="K25" i="25" s="1"/>
  <c r="H25" i="25" a="1"/>
  <c r="H25" i="25" s="1"/>
  <c r="J72" i="24" a="1"/>
  <c r="J72" i="24" s="1"/>
  <c r="P42" i="24"/>
  <c r="J70" i="25" a="1"/>
  <c r="J70" i="25" s="1"/>
  <c r="N17" i="24"/>
  <c r="O42" i="24"/>
  <c r="G113" i="23" a="1"/>
  <c r="G113" i="23" s="1"/>
  <c r="K70" i="25" a="1"/>
  <c r="K70" i="25" s="1"/>
  <c r="P17" i="24"/>
  <c r="N42" i="24"/>
  <c r="M68" i="25"/>
  <c r="N68" i="25"/>
  <c r="M25" i="25"/>
  <c r="H42" i="24" a="1"/>
  <c r="H42" i="24" s="1"/>
  <c r="G17" i="24" a="1"/>
  <c r="G17" i="24" s="1"/>
  <c r="I72" i="24" a="1"/>
  <c r="I72" i="24" s="1"/>
  <c r="P14" i="24"/>
  <c r="O25" i="25"/>
  <c r="P25" i="25"/>
  <c r="O65" i="25"/>
  <c r="H14" i="24" a="1"/>
  <c r="H14" i="24" s="1"/>
  <c r="J14" i="24" a="1"/>
  <c r="J14" i="24" s="1"/>
  <c r="H43" i="24" a="1"/>
  <c r="H43" i="24" s="1"/>
  <c r="L44" i="24"/>
  <c r="J48" i="25" a="1"/>
  <c r="J48" i="25" s="1"/>
  <c r="J2" i="24" a="1"/>
  <c r="J2" i="24" s="1"/>
  <c r="J62" i="23" a="1"/>
  <c r="J62" i="23" s="1"/>
  <c r="M2" i="24"/>
  <c r="N24" i="25"/>
  <c r="P24" i="25"/>
  <c r="I2" i="24" a="1"/>
  <c r="I2" i="24" s="1"/>
  <c r="I94" i="23" a="1"/>
  <c r="I94" i="23" s="1"/>
  <c r="H113" i="25" a="1"/>
  <c r="H113" i="25" s="1"/>
  <c r="G113" i="25" a="1"/>
  <c r="G113" i="25" s="1"/>
  <c r="H75" i="24" a="1"/>
  <c r="H75" i="24" s="1"/>
  <c r="L2" i="24"/>
  <c r="J53" i="25" a="1"/>
  <c r="J53" i="25" s="1"/>
  <c r="P2" i="24"/>
  <c r="M75" i="24"/>
  <c r="P113" i="25"/>
  <c r="N48" i="25"/>
  <c r="I88" i="23" a="1"/>
  <c r="I88" i="23" s="1"/>
  <c r="I180" i="23" a="1"/>
  <c r="I180" i="23" s="1"/>
  <c r="G180" i="23" a="1"/>
  <c r="G180" i="23" s="1"/>
  <c r="I62" i="23" a="1"/>
  <c r="I62" i="23" s="1"/>
  <c r="P75" i="24"/>
  <c r="M35" i="24"/>
  <c r="L25" i="24"/>
  <c r="P37" i="24"/>
  <c r="K61" i="26"/>
  <c r="L61" i="26"/>
  <c r="I182" i="23" a="1"/>
  <c r="I182" i="23" s="1"/>
  <c r="I97" i="23" a="1"/>
  <c r="I97" i="23" s="1"/>
  <c r="G174" i="23" a="1"/>
  <c r="G174" i="23" s="1"/>
  <c r="I109" i="23" a="1"/>
  <c r="I109" i="23" s="1"/>
  <c r="G39" i="25" a="1"/>
  <c r="G39" i="25" s="1"/>
  <c r="G75" i="24" a="1"/>
  <c r="G75" i="24" s="1"/>
  <c r="K88" i="23" a="1"/>
  <c r="K88" i="23" s="1"/>
  <c r="O2" i="24"/>
  <c r="M113" i="25"/>
  <c r="P48" i="25"/>
  <c r="G182" i="23" a="1"/>
  <c r="G182" i="23" s="1"/>
  <c r="G88" i="23" a="1"/>
  <c r="G88" i="23" s="1"/>
  <c r="G24" i="25" a="1"/>
  <c r="G24" i="25" s="1"/>
  <c r="I24" i="25" a="1"/>
  <c r="I24" i="25" s="1"/>
  <c r="H24" i="25" a="1"/>
  <c r="H24" i="25" s="1"/>
  <c r="G2" i="24" a="1"/>
  <c r="G2" i="24" s="1"/>
  <c r="N53" i="25"/>
  <c r="J61" i="26"/>
  <c r="P63" i="24"/>
  <c r="P53" i="25"/>
  <c r="M53" i="25"/>
  <c r="L53" i="25"/>
  <c r="I25" i="26" a="1"/>
  <c r="I25" i="26" s="1"/>
  <c r="I63" i="24" a="1"/>
  <c r="I63" i="24" s="1"/>
  <c r="O75" i="24"/>
  <c r="L35" i="24"/>
  <c r="O25" i="24"/>
  <c r="O39" i="25"/>
  <c r="L88" i="23" a="1"/>
  <c r="L88" i="23" s="1"/>
  <c r="J39" i="25" a="1"/>
  <c r="J39" i="25" s="1"/>
  <c r="N25" i="24"/>
  <c r="P25" i="24"/>
  <c r="I174" i="23" a="1"/>
  <c r="I174" i="23" s="1"/>
  <c r="H39" i="25" a="1"/>
  <c r="H39" i="25" s="1"/>
  <c r="K24" i="25" a="1"/>
  <c r="K24" i="25" s="1"/>
  <c r="I113" i="25" a="1"/>
  <c r="I113" i="25" s="1"/>
  <c r="K98" i="23" a="1"/>
  <c r="K98" i="23" s="1"/>
  <c r="I75" i="24" a="1"/>
  <c r="I75" i="24" s="1"/>
  <c r="J24" i="25" a="1"/>
  <c r="J24" i="25" s="1"/>
  <c r="L75" i="24"/>
  <c r="O24" i="25"/>
  <c r="O48" i="25"/>
  <c r="I32" i="23" a="1"/>
  <c r="I32" i="23" s="1"/>
  <c r="G32" i="23" a="1"/>
  <c r="G32" i="23" s="1"/>
  <c r="G62" i="23" a="1"/>
  <c r="G62" i="23" s="1"/>
  <c r="H61" i="26" a="1"/>
  <c r="H61" i="26" s="1"/>
  <c r="M61" i="26" s="1"/>
  <c r="J25" i="24" a="1"/>
  <c r="J25" i="24" s="1"/>
  <c r="H25" i="24" a="1"/>
  <c r="H25" i="24" s="1"/>
  <c r="K2" i="24" a="1"/>
  <c r="K2" i="24" s="1"/>
  <c r="I61" i="26" a="1"/>
  <c r="I61" i="26" s="1"/>
  <c r="K48" i="25" a="1"/>
  <c r="K48" i="25" s="1"/>
  <c r="H70" i="25" a="1"/>
  <c r="H70" i="25" s="1"/>
  <c r="I12" i="24" a="1"/>
  <c r="I12" i="24" s="1"/>
  <c r="G70" i="25" a="1"/>
  <c r="G70" i="25" s="1"/>
  <c r="I48" i="25" a="1"/>
  <c r="I48" i="25" s="1"/>
  <c r="L11" i="24"/>
  <c r="N11" i="24"/>
  <c r="G48" i="25" a="1"/>
  <c r="G48" i="25" s="1"/>
  <c r="G42" i="24" a="1"/>
  <c r="G42" i="24" s="1"/>
  <c r="P39" i="25"/>
  <c r="I37" i="24" a="1"/>
  <c r="I37" i="24" s="1"/>
  <c r="J39" i="24" a="1"/>
  <c r="J39" i="24" s="1"/>
  <c r="O37" i="24"/>
  <c r="O12" i="24"/>
  <c r="G96" i="23" a="1"/>
  <c r="G96" i="23" s="1"/>
  <c r="I70" i="25" a="1"/>
  <c r="I70" i="25" s="1"/>
  <c r="G72" i="24" a="1"/>
  <c r="G72" i="24" s="1"/>
  <c r="J167" i="23" a="1"/>
  <c r="J167" i="23" s="1"/>
  <c r="M69" i="24"/>
  <c r="G67" i="25" a="1"/>
  <c r="G67" i="25" s="1"/>
  <c r="O71" i="24"/>
  <c r="J67" i="26"/>
  <c r="L106" i="26"/>
  <c r="K67" i="25" a="1"/>
  <c r="K67" i="25" s="1"/>
  <c r="J108" i="25" a="1"/>
  <c r="J108" i="25" s="1"/>
  <c r="L54" i="26"/>
  <c r="J173" i="23" a="1"/>
  <c r="J173" i="23" s="1"/>
  <c r="J59" i="25" a="1"/>
  <c r="J59" i="25" s="1"/>
  <c r="O62" i="25"/>
  <c r="J21" i="25" a="1"/>
  <c r="J21" i="25" s="1"/>
  <c r="N38" i="24"/>
  <c r="K5" i="26"/>
  <c r="O59" i="25"/>
  <c r="M57" i="25"/>
  <c r="O38" i="24"/>
  <c r="L57" i="25"/>
  <c r="H106" i="23" a="1"/>
  <c r="H106" i="23" s="1"/>
  <c r="O73" i="24"/>
  <c r="N37" i="24"/>
  <c r="N64" i="25"/>
  <c r="N110" i="25"/>
  <c r="G98" i="23" a="1"/>
  <c r="G98" i="23" s="1"/>
  <c r="K102" i="25" a="1"/>
  <c r="K102" i="25" s="1"/>
  <c r="J62" i="25" a="1"/>
  <c r="J62" i="25" s="1"/>
  <c r="I11" i="24" a="1"/>
  <c r="I11" i="24" s="1"/>
  <c r="M12" i="24"/>
  <c r="N116" i="25"/>
  <c r="L90" i="26"/>
  <c r="I115" i="25" a="1"/>
  <c r="I115" i="25" s="1"/>
  <c r="M11" i="24"/>
  <c r="L52" i="26"/>
  <c r="H115" i="25" a="1"/>
  <c r="H115" i="25" s="1"/>
  <c r="H96" i="23" a="1"/>
  <c r="H96" i="23" s="1"/>
  <c r="J35" i="23" a="1"/>
  <c r="J35" i="23" s="1"/>
  <c r="J98" i="23" a="1"/>
  <c r="J98" i="23" s="1"/>
  <c r="L37" i="24"/>
  <c r="P12" i="24"/>
  <c r="L110" i="25"/>
  <c r="J90" i="26"/>
  <c r="G35" i="23" a="1"/>
  <c r="G35" i="23" s="1"/>
  <c r="H108" i="26" a="1"/>
  <c r="H108" i="26" s="1"/>
  <c r="K37" i="24" a="1"/>
  <c r="K37" i="24" s="1"/>
  <c r="K35" i="26"/>
  <c r="I35" i="23" a="1"/>
  <c r="I35" i="23" s="1"/>
  <c r="I96" i="23" a="1"/>
  <c r="I96" i="23" s="1"/>
  <c r="I98" i="23" a="1"/>
  <c r="I98" i="23" s="1"/>
  <c r="N104" i="25"/>
  <c r="G43" i="24" a="1"/>
  <c r="G43" i="24" s="1"/>
  <c r="O11" i="24"/>
  <c r="P107" i="25"/>
  <c r="I64" i="25" a="1"/>
  <c r="I64" i="25" s="1"/>
  <c r="G51" i="26" a="1"/>
  <c r="G51" i="26" s="1"/>
  <c r="K96" i="23" a="1"/>
  <c r="K96" i="23" s="1"/>
  <c r="K35" i="23" a="1"/>
  <c r="K35" i="23" s="1"/>
  <c r="O64" i="25"/>
  <c r="G63" i="26" a="1"/>
  <c r="G63" i="26" s="1"/>
  <c r="J96" i="23" a="1"/>
  <c r="J96" i="23" s="1"/>
  <c r="J102" i="25" a="1"/>
  <c r="J102" i="25" s="1"/>
  <c r="N12" i="24"/>
  <c r="O110" i="25"/>
  <c r="K183" i="23" a="1"/>
  <c r="K183" i="23" s="1"/>
  <c r="K200" i="23" a="1"/>
  <c r="K200" i="23" s="1"/>
  <c r="H183" i="23" a="1"/>
  <c r="H183" i="23" s="1"/>
  <c r="J39" i="23" a="1"/>
  <c r="J39" i="23" s="1"/>
  <c r="I73" i="24" a="1"/>
  <c r="I73" i="24" s="1"/>
  <c r="J95" i="25" a="1"/>
  <c r="J95" i="25" s="1"/>
  <c r="L89" i="26"/>
  <c r="G11" i="24" a="1"/>
  <c r="G11" i="24" s="1"/>
  <c r="M102" i="25"/>
  <c r="N102" i="25"/>
  <c r="L63" i="26"/>
  <c r="H35" i="26" a="1"/>
  <c r="H35" i="26" s="1"/>
  <c r="M35" i="26" s="1"/>
  <c r="K104" i="25" a="1"/>
  <c r="K104" i="25" s="1"/>
  <c r="H11" i="24" a="1"/>
  <c r="H11" i="24" s="1"/>
  <c r="J107" i="25" a="1"/>
  <c r="J107" i="25" s="1"/>
  <c r="M64" i="25"/>
  <c r="P64" i="25"/>
  <c r="N107" i="25"/>
  <c r="G104" i="25" a="1"/>
  <c r="G104" i="25" s="1"/>
  <c r="H102" i="25" a="1"/>
  <c r="H102" i="25" s="1"/>
  <c r="I110" i="25" a="1"/>
  <c r="I110" i="25" s="1"/>
  <c r="G73" i="24" a="1"/>
  <c r="G73" i="24" s="1"/>
  <c r="L77" i="24"/>
  <c r="O104" i="25"/>
  <c r="P110" i="25"/>
  <c r="J35" i="26"/>
  <c r="K95" i="25" a="1"/>
  <c r="K95" i="25" s="1"/>
  <c r="J11" i="24" a="1"/>
  <c r="J11" i="24" s="1"/>
  <c r="O95" i="25"/>
  <c r="J89" i="26"/>
  <c r="H52" i="26" a="1"/>
  <c r="H52" i="26" s="1"/>
  <c r="H107" i="23" a="1"/>
  <c r="H107" i="23" s="1"/>
  <c r="P73" i="24"/>
  <c r="L35" i="26"/>
  <c r="H63" i="26" a="1"/>
  <c r="H63" i="26" s="1"/>
  <c r="H37" i="24" a="1"/>
  <c r="H37" i="24" s="1"/>
  <c r="G77" i="24" a="1"/>
  <c r="G77" i="24" s="1"/>
  <c r="K63" i="26"/>
  <c r="J110" i="25" a="1"/>
  <c r="J110" i="25" s="1"/>
  <c r="M104" i="25"/>
  <c r="O102" i="25"/>
  <c r="K89" i="26"/>
  <c r="G37" i="24" a="1"/>
  <c r="G37" i="24" s="1"/>
  <c r="K39" i="23" a="1"/>
  <c r="K39" i="23" s="1"/>
  <c r="N73" i="24"/>
  <c r="O77" i="24"/>
  <c r="P102" i="25"/>
  <c r="N85" i="25"/>
  <c r="N95" i="25"/>
  <c r="K24" i="26"/>
  <c r="I95" i="25" a="1"/>
  <c r="I95" i="25" s="1"/>
  <c r="J12" i="24" a="1"/>
  <c r="J12" i="24" s="1"/>
  <c r="P104" i="25"/>
  <c r="J104" i="25" a="1"/>
  <c r="J104" i="25" s="1"/>
  <c r="L107" i="25"/>
  <c r="I183" i="23" a="1"/>
  <c r="I183" i="23" s="1"/>
  <c r="H104" i="25" a="1"/>
  <c r="H104" i="25" s="1"/>
  <c r="G102" i="25" a="1"/>
  <c r="G102" i="25" s="1"/>
  <c r="H12" i="24" a="1"/>
  <c r="H12" i="24" s="1"/>
  <c r="J64" i="25" a="1"/>
  <c r="J64" i="25" s="1"/>
  <c r="L73" i="24"/>
  <c r="K52" i="26"/>
  <c r="J63" i="26"/>
  <c r="H31" i="23" a="1"/>
  <c r="H31" i="23" s="1"/>
  <c r="I56" i="24" a="1"/>
  <c r="I56" i="24" s="1"/>
  <c r="O107" i="25"/>
  <c r="M95" i="25"/>
  <c r="P95" i="25"/>
  <c r="K90" i="26"/>
  <c r="H64" i="25" a="1"/>
  <c r="H64" i="25" s="1"/>
  <c r="I102" i="25" a="1"/>
  <c r="I102" i="25" s="1"/>
  <c r="I104" i="25" a="1"/>
  <c r="I104" i="25" s="1"/>
  <c r="J37" i="24" a="1"/>
  <c r="J37" i="24" s="1"/>
  <c r="K11" i="24" a="1"/>
  <c r="K11" i="24" s="1"/>
  <c r="I36" i="24" a="1"/>
  <c r="I36" i="24" s="1"/>
  <c r="N36" i="24"/>
  <c r="N68" i="24"/>
  <c r="G59" i="26" a="1"/>
  <c r="G59" i="26" s="1"/>
  <c r="G68" i="24" a="1"/>
  <c r="G68" i="24" s="1"/>
  <c r="L68" i="24"/>
  <c r="H18" i="25" a="1"/>
  <c r="H18" i="25" s="1"/>
  <c r="J36" i="24" a="1"/>
  <c r="J36" i="24" s="1"/>
  <c r="H69" i="24" a="1"/>
  <c r="H69" i="24" s="1"/>
  <c r="L69" i="24"/>
  <c r="G69" i="24" a="1"/>
  <c r="G69" i="24" s="1"/>
  <c r="O36" i="24"/>
  <c r="L36" i="24"/>
  <c r="I38" i="23" a="1"/>
  <c r="I38" i="23" s="1"/>
  <c r="K68" i="24" a="1"/>
  <c r="K68" i="24" s="1"/>
  <c r="P68" i="24"/>
  <c r="J68" i="24" a="1"/>
  <c r="J68" i="24" s="1"/>
  <c r="J69" i="24" a="1"/>
  <c r="J69" i="24" s="1"/>
  <c r="P69" i="24"/>
  <c r="I69" i="24" a="1"/>
  <c r="I69" i="24" s="1"/>
  <c r="O68" i="24"/>
  <c r="N69" i="24"/>
  <c r="L21" i="26"/>
  <c r="I68" i="24" a="1"/>
  <c r="I68" i="24" s="1"/>
  <c r="G36" i="24" a="1"/>
  <c r="G36" i="24" s="1"/>
  <c r="K69" i="24" a="1"/>
  <c r="K69" i="24" s="1"/>
  <c r="I57" i="26" a="1"/>
  <c r="I57" i="26" s="1"/>
  <c r="H68" i="24" a="1"/>
  <c r="H68" i="24" s="1"/>
  <c r="K36" i="24" a="1"/>
  <c r="K36" i="24" s="1"/>
  <c r="H36" i="24" a="1"/>
  <c r="H36" i="24" s="1"/>
  <c r="P108" i="25"/>
  <c r="L108" i="25"/>
  <c r="G108" i="25" a="1"/>
  <c r="G108" i="25" s="1"/>
  <c r="I108" i="25" a="1"/>
  <c r="I108" i="25" s="1"/>
  <c r="H76" i="24" a="1"/>
  <c r="H76" i="24" s="1"/>
  <c r="L76" i="24"/>
  <c r="H101" i="23" a="1"/>
  <c r="H101" i="23" s="1"/>
  <c r="O76" i="24"/>
  <c r="L58" i="26"/>
  <c r="G13" i="24" a="1"/>
  <c r="G13" i="24" s="1"/>
  <c r="J196" i="23" a="1"/>
  <c r="J196" i="23" s="1"/>
  <c r="P21" i="25"/>
  <c r="K105" i="26"/>
  <c r="I101" i="23" a="1"/>
  <c r="I101" i="23" s="1"/>
  <c r="I14" i="23" a="1"/>
  <c r="I14" i="23" s="1"/>
  <c r="G101" i="23" a="1"/>
  <c r="G101" i="23" s="1"/>
  <c r="K101" i="23" a="1"/>
  <c r="K101" i="23" s="1"/>
  <c r="I76" i="24" a="1"/>
  <c r="I76" i="24" s="1"/>
  <c r="O108" i="25"/>
  <c r="I112" i="23" a="1"/>
  <c r="I112" i="23" s="1"/>
  <c r="H105" i="26" a="1"/>
  <c r="H105" i="26" s="1"/>
  <c r="M105" i="26" s="1"/>
  <c r="J76" i="24" a="1"/>
  <c r="J76" i="24" s="1"/>
  <c r="K76" i="24" a="1"/>
  <c r="K76" i="24" s="1"/>
  <c r="J101" i="23" a="1"/>
  <c r="J101" i="23" s="1"/>
  <c r="N108" i="25"/>
  <c r="N58" i="25"/>
  <c r="J58" i="26"/>
  <c r="K108" i="25" a="1"/>
  <c r="K108" i="25" s="1"/>
  <c r="H196" i="23" a="1"/>
  <c r="H196" i="23" s="1"/>
  <c r="J112" i="23" a="1"/>
  <c r="J112" i="23" s="1"/>
  <c r="H112" i="23" a="1"/>
  <c r="H112" i="23" s="1"/>
  <c r="J105" i="26"/>
  <c r="G14" i="23" a="1"/>
  <c r="G14" i="23" s="1"/>
  <c r="K112" i="23" a="1"/>
  <c r="K112" i="23" s="1"/>
  <c r="J105" i="23" a="1"/>
  <c r="J105" i="23" s="1"/>
  <c r="N76" i="24"/>
  <c r="H21" i="25" a="1"/>
  <c r="H21" i="25" s="1"/>
  <c r="K105" i="23" a="1"/>
  <c r="K105" i="23" s="1"/>
  <c r="L105" i="26"/>
  <c r="K58" i="26"/>
  <c r="G112" i="23" a="1"/>
  <c r="G112" i="23" s="1"/>
  <c r="H58" i="26" a="1"/>
  <c r="H58" i="26" s="1"/>
  <c r="M58" i="26" s="1"/>
  <c r="I58" i="26" a="1"/>
  <c r="I58" i="26" s="1"/>
  <c r="P76" i="24"/>
  <c r="G76" i="24" a="1"/>
  <c r="G76" i="24" s="1"/>
  <c r="M79" i="24"/>
  <c r="J103" i="26"/>
  <c r="I107" i="23" a="1"/>
  <c r="I107" i="23" s="1"/>
  <c r="L79" i="24"/>
  <c r="L110" i="26"/>
  <c r="L16" i="26"/>
  <c r="H98" i="26" a="1"/>
  <c r="H98" i="26" s="1"/>
  <c r="G116" i="23" a="1"/>
  <c r="G116" i="23" s="1"/>
  <c r="G93" i="23" a="1"/>
  <c r="G93" i="23" s="1"/>
  <c r="H16" i="26" a="1"/>
  <c r="H16" i="26" s="1"/>
  <c r="J73" i="24" a="1"/>
  <c r="J73" i="24" s="1"/>
  <c r="J93" i="23" a="1"/>
  <c r="J93" i="23" s="1"/>
  <c r="K6" i="23" a="1"/>
  <c r="K6" i="23" s="1"/>
  <c r="J107" i="23" a="1"/>
  <c r="J107" i="23" s="1"/>
  <c r="I77" i="24" a="1"/>
  <c r="I77" i="24" s="1"/>
  <c r="K107" i="26"/>
  <c r="K16" i="26"/>
  <c r="H56" i="24" a="1"/>
  <c r="H56" i="24" s="1"/>
  <c r="K77" i="24" a="1"/>
  <c r="K77" i="24" s="1"/>
  <c r="J110" i="26"/>
  <c r="G201" i="23" a="1"/>
  <c r="G201" i="23" s="1"/>
  <c r="G107" i="23" a="1"/>
  <c r="G107" i="23" s="1"/>
  <c r="H107" i="26" a="1"/>
  <c r="H107" i="26" s="1"/>
  <c r="K106" i="25" a="1"/>
  <c r="K106" i="25" s="1"/>
  <c r="K107" i="25" a="1"/>
  <c r="K107" i="25" s="1"/>
  <c r="G110" i="25" a="1"/>
  <c r="G110" i="25" s="1"/>
  <c r="I107" i="25" a="1"/>
  <c r="I107" i="25" s="1"/>
  <c r="J79" i="24" a="1"/>
  <c r="J79" i="24" s="1"/>
  <c r="H73" i="24" a="1"/>
  <c r="H73" i="24" s="1"/>
  <c r="J77" i="24" a="1"/>
  <c r="J77" i="24" s="1"/>
  <c r="P77" i="24"/>
  <c r="I200" i="23" a="1"/>
  <c r="I200" i="23" s="1"/>
  <c r="G183" i="23" a="1"/>
  <c r="G183" i="23" s="1"/>
  <c r="H110" i="26" a="1"/>
  <c r="H110" i="26" s="1"/>
  <c r="H77" i="24" a="1"/>
  <c r="H77" i="24" s="1"/>
  <c r="H93" i="23" a="1"/>
  <c r="H93" i="23" s="1"/>
  <c r="K116" i="23" a="1"/>
  <c r="K116" i="23" s="1"/>
  <c r="J116" i="23" a="1"/>
  <c r="J116" i="23" s="1"/>
  <c r="N77" i="24"/>
  <c r="L79" i="26"/>
  <c r="J107" i="26"/>
  <c r="H103" i="26" a="1"/>
  <c r="H103" i="26" s="1"/>
  <c r="H110" i="25" a="1"/>
  <c r="H110" i="25" s="1"/>
  <c r="G64" i="25" a="1"/>
  <c r="G64" i="25" s="1"/>
  <c r="K110" i="25" a="1"/>
  <c r="K110" i="25" s="1"/>
  <c r="K36" i="23" a="1"/>
  <c r="K36" i="23" s="1"/>
  <c r="J200" i="23" a="1"/>
  <c r="J200" i="23" s="1"/>
  <c r="K93" i="23" a="1"/>
  <c r="K93" i="23" s="1"/>
  <c r="K107" i="23" a="1"/>
  <c r="K107" i="23" s="1"/>
  <c r="I79" i="24" a="1"/>
  <c r="I79" i="24" s="1"/>
  <c r="P79" i="24"/>
  <c r="I201" i="23" a="1"/>
  <c r="I201" i="23" s="1"/>
  <c r="I93" i="23" a="1"/>
  <c r="I93" i="23" s="1"/>
  <c r="I39" i="23" a="1"/>
  <c r="I39" i="23" s="1"/>
  <c r="G39" i="23" a="1"/>
  <c r="G39" i="23" s="1"/>
  <c r="H89" i="26" a="1"/>
  <c r="H89" i="26" s="1"/>
  <c r="G107" i="26" a="1"/>
  <c r="G107" i="26" s="1"/>
  <c r="G98" i="26" a="1"/>
  <c r="G98" i="26" s="1"/>
  <c r="K64" i="25" a="1"/>
  <c r="K64" i="25" s="1"/>
  <c r="K103" i="26"/>
  <c r="K201" i="23" a="1"/>
  <c r="K201" i="23" s="1"/>
  <c r="O79" i="24"/>
  <c r="K110" i="26"/>
  <c r="L98" i="26"/>
  <c r="L103" i="26"/>
  <c r="H90" i="26" a="1"/>
  <c r="H90" i="26" s="1"/>
  <c r="G95" i="25" a="1"/>
  <c r="G95" i="25" s="1"/>
  <c r="H95" i="25" a="1"/>
  <c r="H95" i="25" s="1"/>
  <c r="J201" i="23" a="1"/>
  <c r="J201" i="23" s="1"/>
  <c r="J36" i="23" a="1"/>
  <c r="J36" i="23" s="1"/>
  <c r="J183" i="23" a="1"/>
  <c r="J183" i="23" s="1"/>
  <c r="I116" i="23" a="1"/>
  <c r="I116" i="23" s="1"/>
  <c r="G107" i="25" a="1"/>
  <c r="G107" i="25" s="1"/>
  <c r="H107" i="25" a="1"/>
  <c r="H107" i="25" s="1"/>
  <c r="G79" i="24" a="1"/>
  <c r="G79" i="24" s="1"/>
  <c r="H195" i="23" a="1"/>
  <c r="H195" i="23" s="1"/>
  <c r="K195" i="23" a="1"/>
  <c r="K195" i="23" s="1"/>
  <c r="O33" i="24"/>
  <c r="P16" i="24"/>
  <c r="P34" i="24"/>
  <c r="P67" i="25"/>
  <c r="K20" i="26"/>
  <c r="K95" i="26"/>
  <c r="L95" i="26"/>
  <c r="K16" i="24" a="1"/>
  <c r="K16" i="24" s="1"/>
  <c r="I44" i="24" a="1"/>
  <c r="I44" i="24" s="1"/>
  <c r="L16" i="24"/>
  <c r="M64" i="24"/>
  <c r="J106" i="26"/>
  <c r="L67" i="26"/>
  <c r="H67" i="26" a="1"/>
  <c r="H67" i="26" s="1"/>
  <c r="H67" i="25" a="1"/>
  <c r="H67" i="25" s="1"/>
  <c r="G34" i="24" a="1"/>
  <c r="G34" i="24" s="1"/>
  <c r="H16" i="24" a="1"/>
  <c r="H16" i="24" s="1"/>
  <c r="J195" i="23" a="1"/>
  <c r="J195" i="23" s="1"/>
  <c r="M16" i="24"/>
  <c r="O34" i="24"/>
  <c r="O67" i="25"/>
  <c r="L20" i="26"/>
  <c r="J34" i="24" a="1"/>
  <c r="J34" i="24" s="1"/>
  <c r="G30" i="23" a="1"/>
  <c r="G30" i="23" s="1"/>
  <c r="K44" i="24" a="1"/>
  <c r="K44" i="24" s="1"/>
  <c r="I16" i="24" a="1"/>
  <c r="I16" i="24" s="1"/>
  <c r="J20" i="26"/>
  <c r="K106" i="26"/>
  <c r="I195" i="23" a="1"/>
  <c r="I195" i="23" s="1"/>
  <c r="I175" i="23" a="1"/>
  <c r="I175" i="23" s="1"/>
  <c r="G175" i="23" a="1"/>
  <c r="G175" i="23" s="1"/>
  <c r="H106" i="26" a="1"/>
  <c r="H106" i="26" s="1"/>
  <c r="M106" i="26" s="1"/>
  <c r="K175" i="23" a="1"/>
  <c r="K175" i="23" s="1"/>
  <c r="J175" i="23" a="1"/>
  <c r="J175" i="23" s="1"/>
  <c r="J30" i="23" a="1"/>
  <c r="J30" i="23" s="1"/>
  <c r="P64" i="24"/>
  <c r="H175" i="23" a="1"/>
  <c r="H175" i="23" s="1"/>
  <c r="P44" i="24"/>
  <c r="N34" i="24"/>
  <c r="M67" i="25"/>
  <c r="P38" i="25"/>
  <c r="K67" i="26"/>
  <c r="H20" i="26" a="1"/>
  <c r="H20" i="26" s="1"/>
  <c r="H30" i="23" a="1"/>
  <c r="H30" i="23" s="1"/>
  <c r="O44" i="24"/>
  <c r="N38" i="25"/>
  <c r="N101" i="25"/>
  <c r="H34" i="24" a="1"/>
  <c r="H34" i="24" s="1"/>
  <c r="G20" i="26" a="1"/>
  <c r="G20" i="26" s="1"/>
  <c r="G67" i="26" a="1"/>
  <c r="G67" i="26" s="1"/>
  <c r="J44" i="24" a="1"/>
  <c r="J44" i="24" s="1"/>
  <c r="G44" i="24" a="1"/>
  <c r="G44" i="24" s="1"/>
  <c r="G195" i="23" a="1"/>
  <c r="G195" i="23" s="1"/>
  <c r="K30" i="23" a="1"/>
  <c r="K30" i="23" s="1"/>
  <c r="I30" i="23" a="1"/>
  <c r="I30" i="23" s="1"/>
  <c r="I67" i="25" a="1"/>
  <c r="I67" i="25" s="1"/>
  <c r="G16" i="24" a="1"/>
  <c r="G16" i="24" s="1"/>
  <c r="J16" i="24" a="1"/>
  <c r="J16" i="24" s="1"/>
  <c r="I34" i="24" a="1"/>
  <c r="I34" i="24" s="1"/>
  <c r="O64" i="24"/>
  <c r="I33" i="24" a="1"/>
  <c r="I33" i="24" s="1"/>
  <c r="J67" i="25" a="1"/>
  <c r="J67" i="25" s="1"/>
  <c r="O16" i="24"/>
  <c r="M44" i="24"/>
  <c r="M34" i="24"/>
  <c r="N67" i="25"/>
  <c r="L48" i="26"/>
  <c r="I144" i="23" a="1"/>
  <c r="I144" i="23" s="1"/>
  <c r="J80" i="24" a="1"/>
  <c r="J80" i="24" s="1"/>
  <c r="H44" i="24" a="1"/>
  <c r="H44" i="24" s="1"/>
  <c r="L64" i="24"/>
  <c r="I138" i="23" a="1"/>
  <c r="I138" i="23" s="1"/>
  <c r="G33" i="24" a="1"/>
  <c r="G33" i="24" s="1"/>
  <c r="L32" i="24"/>
  <c r="K48" i="26"/>
  <c r="I91" i="23" a="1"/>
  <c r="I91" i="23" s="1"/>
  <c r="H138" i="23" a="1"/>
  <c r="H138" i="23" s="1"/>
  <c r="K138" i="23" a="1"/>
  <c r="K138" i="23" s="1"/>
  <c r="P33" i="24"/>
  <c r="G138" i="23" a="1"/>
  <c r="G138" i="23" s="1"/>
  <c r="J33" i="24" a="1"/>
  <c r="J33" i="24" s="1"/>
  <c r="M32" i="24"/>
  <c r="H15" i="24" a="1"/>
  <c r="H15" i="24" s="1"/>
  <c r="J42" i="24" a="1"/>
  <c r="J42" i="24" s="1"/>
  <c r="J138" i="23" a="1"/>
  <c r="J138" i="23" s="1"/>
  <c r="J91" i="23" a="1"/>
  <c r="J91" i="23" s="1"/>
  <c r="O32" i="24"/>
  <c r="M33" i="24"/>
  <c r="I5" i="24" a="1"/>
  <c r="I5" i="24" s="1"/>
  <c r="G91" i="23" a="1"/>
  <c r="G91" i="23" s="1"/>
  <c r="I32" i="24" a="1"/>
  <c r="I32" i="24" s="1"/>
  <c r="P32" i="24"/>
  <c r="K42" i="24" a="1"/>
  <c r="K42" i="24" s="1"/>
  <c r="I64" i="24" a="1"/>
  <c r="I64" i="24" s="1"/>
  <c r="L33" i="24"/>
  <c r="J95" i="26"/>
  <c r="K91" i="23" a="1"/>
  <c r="K91" i="23" s="1"/>
  <c r="J48" i="26"/>
  <c r="J5" i="23" a="1"/>
  <c r="J5" i="23" s="1"/>
  <c r="K102" i="23" a="1"/>
  <c r="K102" i="23" s="1"/>
  <c r="K41" i="23" a="1"/>
  <c r="K41" i="23" s="1"/>
  <c r="L102" i="26"/>
  <c r="G38" i="23" a="1"/>
  <c r="G38" i="23" s="1"/>
  <c r="H21" i="26" a="1"/>
  <c r="H21" i="26" s="1"/>
  <c r="G21" i="26" a="1"/>
  <c r="G21" i="26" s="1"/>
  <c r="I20" i="25" a="1"/>
  <c r="I20" i="25" s="1"/>
  <c r="H38" i="23" a="1"/>
  <c r="H38" i="23" s="1"/>
  <c r="J33" i="23" a="1"/>
  <c r="J33" i="23" s="1"/>
  <c r="K38" i="23" a="1"/>
  <c r="K38" i="23" s="1"/>
  <c r="L104" i="26"/>
  <c r="K18" i="26"/>
  <c r="I102" i="23" a="1"/>
  <c r="I102" i="23" s="1"/>
  <c r="H102" i="26" a="1"/>
  <c r="H102" i="26" s="1"/>
  <c r="M102" i="26" s="1"/>
  <c r="G18" i="26" a="1"/>
  <c r="G18" i="26" s="1"/>
  <c r="I104" i="26" a="1"/>
  <c r="I104" i="26" s="1"/>
  <c r="K103" i="25" a="1"/>
  <c r="K103" i="25" s="1"/>
  <c r="O103" i="25"/>
  <c r="P103" i="25"/>
  <c r="L97" i="25"/>
  <c r="J17" i="26"/>
  <c r="H64" i="26" a="1"/>
  <c r="H64" i="26" s="1"/>
  <c r="L18" i="26"/>
  <c r="G5" i="23" a="1"/>
  <c r="G5" i="23" s="1"/>
  <c r="L17" i="26"/>
  <c r="K33" i="23" a="1"/>
  <c r="K33" i="23" s="1"/>
  <c r="H172" i="23" a="1"/>
  <c r="H172" i="23" s="1"/>
  <c r="L20" i="25"/>
  <c r="K64" i="26"/>
  <c r="J21" i="26"/>
  <c r="K102" i="26"/>
  <c r="H18" i="26" a="1"/>
  <c r="H18" i="26" s="1"/>
  <c r="I33" i="23" a="1"/>
  <c r="I33" i="23" s="1"/>
  <c r="H57" i="26" a="1"/>
  <c r="H57" i="26" s="1"/>
  <c r="M57" i="26" s="1"/>
  <c r="H63" i="23" a="1"/>
  <c r="H63" i="23" s="1"/>
  <c r="K172" i="23" a="1"/>
  <c r="K172" i="23" s="1"/>
  <c r="G41" i="23" a="1"/>
  <c r="G41" i="23" s="1"/>
  <c r="G102" i="23" a="1"/>
  <c r="G102" i="23" s="1"/>
  <c r="I103" i="25" a="1"/>
  <c r="I103" i="25" s="1"/>
  <c r="H20" i="25" a="1"/>
  <c r="H20" i="25" s="1"/>
  <c r="K20" i="25" a="1"/>
  <c r="K20" i="25" s="1"/>
  <c r="L54" i="24"/>
  <c r="N97" i="25"/>
  <c r="P86" i="25"/>
  <c r="J57" i="26"/>
  <c r="L64" i="26"/>
  <c r="I87" i="23" a="1"/>
  <c r="I87" i="23" s="1"/>
  <c r="G33" i="23" a="1"/>
  <c r="G33" i="23" s="1"/>
  <c r="I172" i="23" a="1"/>
  <c r="I172" i="23" s="1"/>
  <c r="I41" i="23" a="1"/>
  <c r="I41" i="23" s="1"/>
  <c r="G17" i="26" a="1"/>
  <c r="G17" i="26" s="1"/>
  <c r="G103" i="25" a="1"/>
  <c r="G103" i="25" s="1"/>
  <c r="K5" i="23" a="1"/>
  <c r="K5" i="23" s="1"/>
  <c r="I54" i="24" a="1"/>
  <c r="I54" i="24" s="1"/>
  <c r="J103" i="25" a="1"/>
  <c r="J103" i="25" s="1"/>
  <c r="N20" i="25"/>
  <c r="K17" i="26"/>
  <c r="K91" i="26"/>
  <c r="K104" i="26"/>
  <c r="H104" i="26" a="1"/>
  <c r="H104" i="26" s="1"/>
  <c r="M104" i="26" s="1"/>
  <c r="I18" i="26" a="1"/>
  <c r="I18" i="26" s="1"/>
  <c r="J102" i="23" a="1"/>
  <c r="J102" i="23" s="1"/>
  <c r="J20" i="25" a="1"/>
  <c r="J20" i="25" s="1"/>
  <c r="P20" i="25"/>
  <c r="M103" i="25"/>
  <c r="K57" i="26"/>
  <c r="K59" i="26"/>
  <c r="G172" i="23" a="1"/>
  <c r="G172" i="23" s="1"/>
  <c r="G20" i="25" a="1"/>
  <c r="G20" i="25" s="1"/>
  <c r="J41" i="23" a="1"/>
  <c r="J41" i="23" s="1"/>
  <c r="N103" i="25"/>
  <c r="K21" i="26"/>
  <c r="J172" i="23" a="1"/>
  <c r="J172" i="23" s="1"/>
  <c r="J38" i="23" a="1"/>
  <c r="J38" i="23" s="1"/>
  <c r="O97" i="25"/>
  <c r="J59" i="26"/>
  <c r="L57" i="26"/>
  <c r="J102" i="26"/>
  <c r="J104" i="26"/>
  <c r="H59" i="26" a="1"/>
  <c r="H59" i="26" s="1"/>
  <c r="I102" i="26" a="1"/>
  <c r="I102" i="26" s="1"/>
  <c r="H177" i="23" a="1"/>
  <c r="H177" i="23" s="1"/>
  <c r="H173" i="23" a="1"/>
  <c r="H173" i="23" s="1"/>
  <c r="N96" i="25"/>
  <c r="K59" i="25" a="1"/>
  <c r="K59" i="25" s="1"/>
  <c r="K177" i="23" a="1"/>
  <c r="K177" i="23" s="1"/>
  <c r="K173" i="23" a="1"/>
  <c r="K173" i="23" s="1"/>
  <c r="J3" i="26"/>
  <c r="J116" i="25" a="1"/>
  <c r="J116" i="25" s="1"/>
  <c r="P71" i="24"/>
  <c r="K108" i="26"/>
  <c r="G106" i="23" a="1"/>
  <c r="G106" i="23" s="1"/>
  <c r="G86" i="25" a="1"/>
  <c r="G86" i="25" s="1"/>
  <c r="G173" i="23" a="1"/>
  <c r="G173" i="23" s="1"/>
  <c r="I71" i="24" a="1"/>
  <c r="I71" i="24" s="1"/>
  <c r="H71" i="24" a="1"/>
  <c r="H71" i="24" s="1"/>
  <c r="G3" i="26" a="1"/>
  <c r="G3" i="26" s="1"/>
  <c r="K116" i="25" a="1"/>
  <c r="K116" i="25" s="1"/>
  <c r="I116" i="25" a="1"/>
  <c r="I116" i="25" s="1"/>
  <c r="J71" i="24" a="1"/>
  <c r="J71" i="24" s="1"/>
  <c r="G108" i="26" a="1"/>
  <c r="G108" i="26" s="1"/>
  <c r="M116" i="25"/>
  <c r="G116" i="25" a="1"/>
  <c r="G116" i="25" s="1"/>
  <c r="K3" i="26"/>
  <c r="L71" i="24"/>
  <c r="L108" i="26"/>
  <c r="I106" i="23" a="1"/>
  <c r="I106" i="23" s="1"/>
  <c r="N59" i="25"/>
  <c r="O116" i="25"/>
  <c r="K54" i="26"/>
  <c r="G59" i="25" a="1"/>
  <c r="G59" i="25" s="1"/>
  <c r="G54" i="26" a="1"/>
  <c r="G54" i="26" s="1"/>
  <c r="K106" i="23" a="1"/>
  <c r="K106" i="23" s="1"/>
  <c r="J177" i="23" a="1"/>
  <c r="J177" i="23" s="1"/>
  <c r="M71" i="24"/>
  <c r="O57" i="25"/>
  <c r="P59" i="25"/>
  <c r="N57" i="25"/>
  <c r="H57" i="25" a="1"/>
  <c r="H57" i="25" s="1"/>
  <c r="H59" i="25" a="1"/>
  <c r="H59" i="25" s="1"/>
  <c r="K71" i="24" a="1"/>
  <c r="K71" i="24" s="1"/>
  <c r="L3" i="26"/>
  <c r="P116" i="25"/>
  <c r="J108" i="26"/>
  <c r="I177" i="23" a="1"/>
  <c r="I177" i="23" s="1"/>
  <c r="I57" i="25" a="1"/>
  <c r="I57" i="25" s="1"/>
  <c r="K86" i="25" a="1"/>
  <c r="K86" i="25" s="1"/>
  <c r="J106" i="23" a="1"/>
  <c r="J106" i="23" s="1"/>
  <c r="J54" i="26"/>
  <c r="G177" i="23" a="1"/>
  <c r="G177" i="23" s="1"/>
  <c r="I173" i="23" a="1"/>
  <c r="I173" i="23" s="1"/>
  <c r="H54" i="26" a="1"/>
  <c r="H54" i="26" s="1"/>
  <c r="I59" i="25" a="1"/>
  <c r="I59" i="25" s="1"/>
  <c r="G71" i="24" a="1"/>
  <c r="G71" i="24" s="1"/>
  <c r="H3" i="26" a="1"/>
  <c r="H3" i="26" s="1"/>
  <c r="J57" i="25" a="1"/>
  <c r="J57" i="25" s="1"/>
  <c r="M59" i="25"/>
  <c r="I5" i="23" a="1"/>
  <c r="I5" i="23" s="1"/>
  <c r="K57" i="25" a="1"/>
  <c r="K57" i="25" s="1"/>
  <c r="I49" i="25" a="1"/>
  <c r="I49" i="25" s="1"/>
  <c r="H116" i="25" a="1"/>
  <c r="H116" i="25" s="1"/>
  <c r="G57" i="25" a="1"/>
  <c r="G57" i="25" s="1"/>
  <c r="H95" i="26" a="1"/>
  <c r="H95" i="26" s="1"/>
  <c r="G110" i="26" a="1"/>
  <c r="G110" i="26" s="1"/>
  <c r="I106" i="26" a="1"/>
  <c r="I106" i="26" s="1"/>
  <c r="H108" i="25" a="1"/>
  <c r="H108" i="25" s="1"/>
  <c r="K34" i="24" a="1"/>
  <c r="K34" i="24" s="1"/>
  <c r="J63" i="25" a="1"/>
  <c r="J63" i="25" s="1"/>
  <c r="H53" i="25" a="1"/>
  <c r="H53" i="25" s="1"/>
  <c r="M4" i="25"/>
  <c r="N4" i="25"/>
  <c r="G78" i="24" a="1"/>
  <c r="G78" i="24" s="1"/>
  <c r="G74" i="24" a="1"/>
  <c r="G74" i="24" s="1"/>
  <c r="G64" i="26" a="1"/>
  <c r="G64" i="26" s="1"/>
  <c r="H48" i="25" a="1"/>
  <c r="H48" i="25" s="1"/>
  <c r="G16" i="26" a="1"/>
  <c r="G16" i="26" s="1"/>
  <c r="J105" i="25" a="1"/>
  <c r="J105" i="25" s="1"/>
  <c r="P105" i="25"/>
  <c r="I105" i="25" a="1"/>
  <c r="I105" i="25" s="1"/>
  <c r="K53" i="25" a="1"/>
  <c r="K53" i="25" s="1"/>
  <c r="N109" i="25"/>
  <c r="H62" i="25" a="1"/>
  <c r="H62" i="25" s="1"/>
  <c r="I53" i="25" a="1"/>
  <c r="I53" i="25" s="1"/>
  <c r="O18" i="25"/>
  <c r="G53" i="25" a="1"/>
  <c r="G53" i="25" s="1"/>
  <c r="H105" i="25" a="1"/>
  <c r="H105" i="25" s="1"/>
  <c r="M62" i="25"/>
  <c r="P62" i="25"/>
  <c r="O109" i="25"/>
  <c r="G109" i="25" a="1"/>
  <c r="G109" i="25" s="1"/>
  <c r="I62" i="25" a="1"/>
  <c r="I62" i="25" s="1"/>
  <c r="K39" i="25" a="1"/>
  <c r="K39" i="25" s="1"/>
  <c r="K109" i="25" a="1"/>
  <c r="K109" i="25" s="1"/>
  <c r="I109" i="25" a="1"/>
  <c r="I109" i="25" s="1"/>
  <c r="N105" i="25"/>
  <c r="M18" i="25"/>
  <c r="P18" i="25"/>
  <c r="K62" i="25" a="1"/>
  <c r="K62" i="25" s="1"/>
  <c r="I39" i="25" a="1"/>
  <c r="I39" i="25" s="1"/>
  <c r="J109" i="25" a="1"/>
  <c r="J109" i="25" s="1"/>
  <c r="M105" i="25"/>
  <c r="I18" i="25" a="1"/>
  <c r="I18" i="25" s="1"/>
  <c r="G105" i="25" a="1"/>
  <c r="G105" i="25" s="1"/>
  <c r="G62" i="25" a="1"/>
  <c r="G62" i="25" s="1"/>
  <c r="N62" i="25"/>
  <c r="N18" i="25"/>
  <c r="P109" i="25"/>
  <c r="K105" i="25" a="1"/>
  <c r="K105" i="25" s="1"/>
  <c r="G18" i="25" a="1"/>
  <c r="G18" i="25" s="1"/>
  <c r="J18" i="25" a="1"/>
  <c r="J18" i="25" s="1"/>
  <c r="O105" i="25"/>
  <c r="M109" i="25"/>
  <c r="K18" i="25" a="1"/>
  <c r="K18" i="25" s="1"/>
  <c r="K41" i="24" a="1"/>
  <c r="K41" i="24" s="1"/>
  <c r="H48" i="26" a="1"/>
  <c r="H48" i="26" s="1"/>
  <c r="M48" i="26" s="1"/>
  <c r="I64" i="26" a="1"/>
  <c r="I64" i="26" s="1"/>
  <c r="G103" i="26" a="1"/>
  <c r="G103" i="26" s="1"/>
  <c r="I48" i="26" a="1"/>
  <c r="I48" i="26" s="1"/>
  <c r="J193" i="23" a="1"/>
  <c r="J193" i="23" s="1"/>
  <c r="J96" i="26"/>
  <c r="I24" i="26" a="1"/>
  <c r="I24" i="26" s="1"/>
  <c r="G96" i="26" a="1"/>
  <c r="G96" i="26" s="1"/>
  <c r="L24" i="26"/>
  <c r="J24" i="26"/>
  <c r="K62" i="26"/>
  <c r="L19" i="26"/>
  <c r="H96" i="26" a="1"/>
  <c r="H96" i="26" s="1"/>
  <c r="K96" i="26"/>
  <c r="J62" i="26"/>
  <c r="K19" i="26"/>
  <c r="L62" i="26"/>
  <c r="H19" i="26" a="1"/>
  <c r="H19" i="26" s="1"/>
  <c r="G19" i="26" a="1"/>
  <c r="G19" i="26" s="1"/>
  <c r="K15" i="26"/>
  <c r="J19" i="26"/>
  <c r="H62" i="26" a="1"/>
  <c r="H62" i="26" s="1"/>
  <c r="G62" i="26" a="1"/>
  <c r="G62" i="26" s="1"/>
  <c r="L96" i="26"/>
  <c r="H24" i="26" a="1"/>
  <c r="H24" i="26" s="1"/>
  <c r="M24" i="26" s="1"/>
  <c r="G60" i="26" a="1"/>
  <c r="G60" i="26" s="1"/>
  <c r="H29" i="23" a="1"/>
  <c r="H29" i="23" s="1"/>
  <c r="K12" i="23" a="1"/>
  <c r="K12" i="23" s="1"/>
  <c r="I31" i="23" a="1"/>
  <c r="I31" i="23" s="1"/>
  <c r="H95" i="23" a="1"/>
  <c r="H95" i="23" s="1"/>
  <c r="K100" i="23" a="1"/>
  <c r="K100" i="23" s="1"/>
  <c r="G103" i="23" a="1"/>
  <c r="G103" i="23" s="1"/>
  <c r="J31" i="23" a="1"/>
  <c r="J31" i="23" s="1"/>
  <c r="G29" i="23" a="1"/>
  <c r="G29" i="23" s="1"/>
  <c r="J12" i="23" a="1"/>
  <c r="J12" i="23" s="1"/>
  <c r="K31" i="23" a="1"/>
  <c r="K31" i="23" s="1"/>
  <c r="J29" i="23" a="1"/>
  <c r="J29" i="23" s="1"/>
  <c r="G12" i="23" a="1"/>
  <c r="G12" i="23" s="1"/>
  <c r="J95" i="23" a="1"/>
  <c r="J95" i="23" s="1"/>
  <c r="I12" i="23" a="1"/>
  <c r="I12" i="23" s="1"/>
  <c r="G95" i="23" a="1"/>
  <c r="G95" i="23" s="1"/>
  <c r="K29" i="23" a="1"/>
  <c r="K29" i="23" s="1"/>
  <c r="I29" i="23" a="1"/>
  <c r="I29" i="23" s="1"/>
  <c r="G31" i="23" a="1"/>
  <c r="G31" i="23" s="1"/>
  <c r="I95" i="23" a="1"/>
  <c r="I95" i="23" s="1"/>
  <c r="K95" i="23" a="1"/>
  <c r="K95" i="23" s="1"/>
  <c r="J118" i="23" a="1"/>
  <c r="J118" i="23" s="1"/>
  <c r="G118" i="23" a="1"/>
  <c r="G118" i="23" s="1"/>
  <c r="G193" i="23" a="1"/>
  <c r="G193" i="23" s="1"/>
  <c r="K118" i="23" a="1"/>
  <c r="K118" i="23" s="1"/>
  <c r="H193" i="23" a="1"/>
  <c r="H193" i="23" s="1"/>
  <c r="K193" i="23" a="1"/>
  <c r="K193" i="23" s="1"/>
  <c r="I193" i="23" a="1"/>
  <c r="I193" i="23" s="1"/>
  <c r="I118" i="23" a="1"/>
  <c r="I118" i="23" s="1"/>
  <c r="I35" i="26" a="1"/>
  <c r="I35" i="26" s="1"/>
  <c r="G89" i="26" a="1"/>
  <c r="G89" i="26" s="1"/>
  <c r="G52" i="26" a="1"/>
  <c r="G52" i="26" s="1"/>
  <c r="I105" i="26" a="1"/>
  <c r="I105" i="26" s="1"/>
  <c r="I59" i="26" a="1"/>
  <c r="I59" i="26" s="1"/>
  <c r="I52" i="26" a="1"/>
  <c r="I52" i="26" s="1"/>
  <c r="J28" i="23" a="1"/>
  <c r="J28" i="23" s="1"/>
  <c r="I108" i="23" a="1"/>
  <c r="I108" i="23" s="1"/>
  <c r="J108" i="23" a="1"/>
  <c r="J108" i="23" s="1"/>
  <c r="K28" i="23" a="1"/>
  <c r="K28" i="23" s="1"/>
  <c r="J179" i="23" a="1"/>
  <c r="J179" i="23" s="1"/>
  <c r="H109" i="25" a="1"/>
  <c r="H109" i="25" s="1"/>
  <c r="K68" i="25" a="1"/>
  <c r="K68" i="25" s="1"/>
  <c r="K113" i="25" a="1"/>
  <c r="K113" i="25" s="1"/>
  <c r="H79" i="24" a="1"/>
  <c r="H79" i="24" s="1"/>
  <c r="K79" i="24" a="1"/>
  <c r="K79" i="24" s="1"/>
  <c r="K15" i="24" a="1"/>
  <c r="K15" i="24" s="1"/>
  <c r="G38" i="24" a="1"/>
  <c r="G38" i="24" s="1"/>
  <c r="K38" i="24" a="1"/>
  <c r="K38" i="24" s="1"/>
  <c r="P38" i="24"/>
  <c r="G12" i="24" a="1"/>
  <c r="G12" i="24" s="1"/>
  <c r="K72" i="24" a="1"/>
  <c r="K72" i="24" s="1"/>
  <c r="J38" i="24" a="1"/>
  <c r="J38" i="24" s="1"/>
  <c r="H38" i="24" a="1"/>
  <c r="H38" i="24" s="1"/>
  <c r="I38" i="24" a="1"/>
  <c r="I38" i="24" s="1"/>
  <c r="L38" i="24"/>
  <c r="K73" i="24" a="1"/>
  <c r="K73" i="24" s="1"/>
  <c r="K12" i="24" a="1"/>
  <c r="K12" i="24" s="1"/>
  <c r="K198" i="23" a="1"/>
  <c r="K198" i="23" s="1"/>
  <c r="L176" i="23" a="1"/>
  <c r="L176" i="23" s="1"/>
  <c r="I198" i="23" a="1"/>
  <c r="I198" i="23" s="1"/>
  <c r="H5" i="26" a="1"/>
  <c r="H5" i="26" s="1"/>
  <c r="G49" i="26" a="1"/>
  <c r="G49" i="26" s="1"/>
  <c r="G106" i="25" a="1"/>
  <c r="G106" i="25" s="1"/>
  <c r="I106" i="25" a="1"/>
  <c r="I106" i="25" s="1"/>
  <c r="K110" i="23" a="1"/>
  <c r="K110" i="23" s="1"/>
  <c r="M55" i="25"/>
  <c r="M49" i="25"/>
  <c r="N50" i="25"/>
  <c r="K49" i="26"/>
  <c r="I5" i="26" a="1"/>
  <c r="I5" i="26" s="1"/>
  <c r="K58" i="25" a="1"/>
  <c r="K58" i="25" s="1"/>
  <c r="I58" i="25" a="1"/>
  <c r="I58" i="25" s="1"/>
  <c r="G80" i="24" a="1"/>
  <c r="G80" i="24" s="1"/>
  <c r="K80" i="24" a="1"/>
  <c r="K80" i="24" s="1"/>
  <c r="H142" i="23" a="1"/>
  <c r="H142" i="23" s="1"/>
  <c r="L5" i="26"/>
  <c r="J106" i="25" a="1"/>
  <c r="J106" i="25" s="1"/>
  <c r="M106" i="25"/>
  <c r="O106" i="25"/>
  <c r="O58" i="25"/>
  <c r="O63" i="25"/>
  <c r="O49" i="25"/>
  <c r="N55" i="25"/>
  <c r="P96" i="25"/>
  <c r="G176" i="23" a="1"/>
  <c r="G176" i="23" s="1"/>
  <c r="G28" i="23" a="1"/>
  <c r="G28" i="23" s="1"/>
  <c r="H50" i="25" a="1"/>
  <c r="H50" i="25" s="1"/>
  <c r="K49" i="25" a="1"/>
  <c r="K49" i="25" s="1"/>
  <c r="H106" i="25" a="1"/>
  <c r="H106" i="25" s="1"/>
  <c r="H96" i="25" a="1"/>
  <c r="H96" i="25" s="1"/>
  <c r="J49" i="25" a="1"/>
  <c r="J49" i="25" s="1"/>
  <c r="I37" i="23" a="1"/>
  <c r="I37" i="23" s="1"/>
  <c r="H55" i="25" a="1"/>
  <c r="H55" i="25" s="1"/>
  <c r="J176" i="23" a="1"/>
  <c r="J176" i="23" s="1"/>
  <c r="K169" i="23" a="1"/>
  <c r="K169" i="23" s="1"/>
  <c r="H110" i="23" a="1"/>
  <c r="H110" i="23" s="1"/>
  <c r="M58" i="25"/>
  <c r="P106" i="25"/>
  <c r="P114" i="25"/>
  <c r="P50" i="25"/>
  <c r="O55" i="25"/>
  <c r="L50" i="25"/>
  <c r="I65" i="23" a="1"/>
  <c r="I65" i="23" s="1"/>
  <c r="I181" i="23" a="1"/>
  <c r="I181" i="23" s="1"/>
  <c r="G108" i="23" a="1"/>
  <c r="G108" i="23" s="1"/>
  <c r="G50" i="25" a="1"/>
  <c r="G50" i="25" s="1"/>
  <c r="H114" i="25" a="1"/>
  <c r="H114" i="25" s="1"/>
  <c r="K96" i="25" a="1"/>
  <c r="K96" i="25" s="1"/>
  <c r="K63" i="25" a="1"/>
  <c r="K63" i="25" s="1"/>
  <c r="K55" i="25" a="1"/>
  <c r="K55" i="25" s="1"/>
  <c r="J181" i="23" a="1"/>
  <c r="J181" i="23" s="1"/>
  <c r="J65" i="23" a="1"/>
  <c r="J65" i="23" s="1"/>
  <c r="J50" i="25" a="1"/>
  <c r="J50" i="25" s="1"/>
  <c r="L55" i="25"/>
  <c r="O96" i="25"/>
  <c r="L49" i="26"/>
  <c r="I179" i="23" a="1"/>
  <c r="I179" i="23" s="1"/>
  <c r="I117" i="23" a="1"/>
  <c r="I117" i="23" s="1"/>
  <c r="I28" i="23" a="1"/>
  <c r="I28" i="23" s="1"/>
  <c r="I142" i="23" a="1"/>
  <c r="I142" i="23" s="1"/>
  <c r="I49" i="26" a="1"/>
  <c r="I49" i="26" s="1"/>
  <c r="I114" i="25" a="1"/>
  <c r="I114" i="25" s="1"/>
  <c r="H80" i="24" a="1"/>
  <c r="H80" i="24" s="1"/>
  <c r="K142" i="23" a="1"/>
  <c r="K142" i="23" s="1"/>
  <c r="M63" i="25"/>
  <c r="J142" i="23" a="1"/>
  <c r="J142" i="23" s="1"/>
  <c r="K37" i="23" a="1"/>
  <c r="K37" i="23" s="1"/>
  <c r="J117" i="23" a="1"/>
  <c r="J117" i="23" s="1"/>
  <c r="N106" i="25"/>
  <c r="N114" i="25"/>
  <c r="L96" i="25"/>
  <c r="L169" i="23" a="1"/>
  <c r="L169" i="23" s="1"/>
  <c r="G5" i="26" a="1"/>
  <c r="G5" i="26" s="1"/>
  <c r="H108" i="23" a="1"/>
  <c r="H108" i="23" s="1"/>
  <c r="H117" i="23" a="1"/>
  <c r="H117" i="23" s="1"/>
  <c r="H37" i="23" a="1"/>
  <c r="H37" i="23" s="1"/>
  <c r="J110" i="23" a="1"/>
  <c r="J110" i="23" s="1"/>
  <c r="J96" i="25" a="1"/>
  <c r="J96" i="25" s="1"/>
  <c r="J55" i="25" a="1"/>
  <c r="J55" i="25" s="1"/>
  <c r="O80" i="24"/>
  <c r="L80" i="24"/>
  <c r="O114" i="25"/>
  <c r="N49" i="25"/>
  <c r="O50" i="25"/>
  <c r="I110" i="23" a="1"/>
  <c r="I110" i="23" s="1"/>
  <c r="G117" i="23" a="1"/>
  <c r="G117" i="23" s="1"/>
  <c r="G110" i="23" a="1"/>
  <c r="G110" i="23" s="1"/>
  <c r="G58" i="25" a="1"/>
  <c r="G58" i="25" s="1"/>
  <c r="G49" i="25" a="1"/>
  <c r="G49" i="25" s="1"/>
  <c r="G96" i="25" a="1"/>
  <c r="G96" i="25" s="1"/>
  <c r="I63" i="25" a="1"/>
  <c r="I63" i="25" s="1"/>
  <c r="G55" i="25" a="1"/>
  <c r="G55" i="25" s="1"/>
  <c r="G114" i="25" a="1"/>
  <c r="G114" i="25" s="1"/>
  <c r="J198" i="23" a="1"/>
  <c r="J198" i="23" s="1"/>
  <c r="K117" i="23" a="1"/>
  <c r="K117" i="23" s="1"/>
  <c r="J114" i="25" a="1"/>
  <c r="J114" i="25" s="1"/>
  <c r="P80" i="24"/>
  <c r="G179" i="23" a="1"/>
  <c r="G179" i="23" s="1"/>
  <c r="G169" i="23" a="1"/>
  <c r="G169" i="23" s="1"/>
  <c r="G37" i="23" a="1"/>
  <c r="G37" i="23" s="1"/>
  <c r="G198" i="23" a="1"/>
  <c r="G198" i="23" s="1"/>
  <c r="I50" i="25" a="1"/>
  <c r="I50" i="25" s="1"/>
  <c r="I96" i="25" a="1"/>
  <c r="I96" i="25" s="1"/>
  <c r="P63" i="25"/>
  <c r="H49" i="26" a="1"/>
  <c r="H49" i="26" s="1"/>
  <c r="G142" i="23" a="1"/>
  <c r="G142" i="23" s="1"/>
  <c r="I169" i="23" a="1"/>
  <c r="I169" i="23" s="1"/>
  <c r="G181" i="23" a="1"/>
  <c r="G181" i="23" s="1"/>
  <c r="H63" i="25" a="1"/>
  <c r="H63" i="25" s="1"/>
  <c r="G63" i="25" a="1"/>
  <c r="G63" i="25" s="1"/>
  <c r="K50" i="25" a="1"/>
  <c r="K50" i="25" s="1"/>
  <c r="K179" i="23" a="1"/>
  <c r="K179" i="23" s="1"/>
  <c r="H28" i="23" a="1"/>
  <c r="H28" i="23" s="1"/>
  <c r="H179" i="23" a="1"/>
  <c r="H179" i="23" s="1"/>
  <c r="K181" i="23" a="1"/>
  <c r="K181" i="23" s="1"/>
  <c r="K108" i="23" a="1"/>
  <c r="K108" i="23" s="1"/>
  <c r="K65" i="23" a="1"/>
  <c r="K65" i="23" s="1"/>
  <c r="I80" i="24" a="1"/>
  <c r="I80" i="24" s="1"/>
  <c r="J58" i="25" a="1"/>
  <c r="J58" i="25" s="1"/>
  <c r="N80" i="24"/>
  <c r="M114" i="25"/>
  <c r="P58" i="25"/>
  <c r="N63" i="25"/>
  <c r="P49" i="25"/>
  <c r="G65" i="23" a="1"/>
  <c r="G65" i="23" s="1"/>
  <c r="I176" i="23" a="1"/>
  <c r="I176" i="23" s="1"/>
  <c r="K114" i="25" a="1"/>
  <c r="K114" i="25" s="1"/>
  <c r="H58" i="25" a="1"/>
  <c r="H58" i="25" s="1"/>
  <c r="I13" i="24" a="1"/>
  <c r="I13" i="24" s="1"/>
  <c r="O21" i="25"/>
  <c r="O17" i="25"/>
  <c r="P111" i="25"/>
  <c r="J100" i="26"/>
  <c r="K100" i="26"/>
  <c r="G114" i="23" a="1"/>
  <c r="G114" i="23" s="1"/>
  <c r="G100" i="26" a="1"/>
  <c r="G100" i="26" s="1"/>
  <c r="G60" i="25" a="1"/>
  <c r="G60" i="25" s="1"/>
  <c r="K17" i="25" a="1"/>
  <c r="K17" i="25" s="1"/>
  <c r="I17" i="25" a="1"/>
  <c r="I17" i="25" s="1"/>
  <c r="G66" i="26" a="1"/>
  <c r="G66" i="26" s="1"/>
  <c r="J114" i="23" a="1"/>
  <c r="J114" i="23" s="1"/>
  <c r="J111" i="23" a="1"/>
  <c r="J111" i="23" s="1"/>
  <c r="J111" i="25" a="1"/>
  <c r="J111" i="25" s="1"/>
  <c r="P40" i="24"/>
  <c r="I111" i="23" a="1"/>
  <c r="I111" i="23" s="1"/>
  <c r="I111" i="25" a="1"/>
  <c r="I111" i="25" s="1"/>
  <c r="K60" i="25" a="1"/>
  <c r="K60" i="25" s="1"/>
  <c r="K19" i="25" a="1"/>
  <c r="K19" i="25" s="1"/>
  <c r="H40" i="24" a="1"/>
  <c r="H40" i="24" s="1"/>
  <c r="K114" i="23" a="1"/>
  <c r="K114" i="23" s="1"/>
  <c r="O19" i="25"/>
  <c r="G196" i="23" a="1"/>
  <c r="G196" i="23" s="1"/>
  <c r="I196" i="23" a="1"/>
  <c r="I196" i="23" s="1"/>
  <c r="I197" i="23" a="1"/>
  <c r="I197" i="23" s="1"/>
  <c r="H111" i="25" a="1"/>
  <c r="H111" i="25" s="1"/>
  <c r="I60" i="25" a="1"/>
  <c r="I60" i="25" s="1"/>
  <c r="G17" i="25" a="1"/>
  <c r="G17" i="25" s="1"/>
  <c r="K13" i="24" a="1"/>
  <c r="K13" i="24" s="1"/>
  <c r="K197" i="23" a="1"/>
  <c r="K197" i="23" s="1"/>
  <c r="J99" i="23" a="1"/>
  <c r="J99" i="23" s="1"/>
  <c r="J60" i="25" a="1"/>
  <c r="J60" i="25" s="1"/>
  <c r="J17" i="25" a="1"/>
  <c r="J17" i="25" s="1"/>
  <c r="N17" i="25"/>
  <c r="M60" i="25"/>
  <c r="L26" i="26"/>
  <c r="G199" i="23" a="1"/>
  <c r="G199" i="23" s="1"/>
  <c r="K111" i="25" a="1"/>
  <c r="K111" i="25" s="1"/>
  <c r="H99" i="23" a="1"/>
  <c r="H99" i="23" s="1"/>
  <c r="J19" i="25" a="1"/>
  <c r="J19" i="25" s="1"/>
  <c r="I40" i="24" a="1"/>
  <c r="I40" i="24" s="1"/>
  <c r="O13" i="24"/>
  <c r="M21" i="25"/>
  <c r="L111" i="25"/>
  <c r="K26" i="26"/>
  <c r="I99" i="23" a="1"/>
  <c r="I99" i="23" s="1"/>
  <c r="G99" i="23" a="1"/>
  <c r="G99" i="23" s="1"/>
  <c r="M19" i="25"/>
  <c r="G26" i="26" a="1"/>
  <c r="G26" i="26" s="1"/>
  <c r="H17" i="25" a="1"/>
  <c r="H17" i="25" s="1"/>
  <c r="H60" i="25" a="1"/>
  <c r="H60" i="25" s="1"/>
  <c r="G90" i="26" a="1"/>
  <c r="G90" i="26" s="1"/>
  <c r="H111" i="23" a="1"/>
  <c r="H111" i="23" s="1"/>
  <c r="N60" i="25"/>
  <c r="M17" i="25"/>
  <c r="O111" i="25"/>
  <c r="G111" i="23" a="1"/>
  <c r="G111" i="23" s="1"/>
  <c r="I26" i="26" a="1"/>
  <c r="I26" i="26" s="1"/>
  <c r="I21" i="25" a="1"/>
  <c r="I21" i="25" s="1"/>
  <c r="G97" i="25" a="1"/>
  <c r="G97" i="25" s="1"/>
  <c r="G19" i="25" a="1"/>
  <c r="G19" i="25" s="1"/>
  <c r="G111" i="25" a="1"/>
  <c r="G111" i="25" s="1"/>
  <c r="H13" i="24" a="1"/>
  <c r="H13" i="24" s="1"/>
  <c r="J13" i="24" a="1"/>
  <c r="J13" i="24" s="1"/>
  <c r="G40" i="24" a="1"/>
  <c r="G40" i="24" s="1"/>
  <c r="K40" i="24" a="1"/>
  <c r="K40" i="24" s="1"/>
  <c r="K196" i="23" a="1"/>
  <c r="K196" i="23" s="1"/>
  <c r="J199" i="23" a="1"/>
  <c r="J199" i="23" s="1"/>
  <c r="K199" i="23" a="1"/>
  <c r="K199" i="23" s="1"/>
  <c r="N40" i="24"/>
  <c r="L40" i="24"/>
  <c r="P60" i="25"/>
  <c r="L111" i="23" a="1"/>
  <c r="L111" i="23" s="1"/>
  <c r="I199" i="23" a="1"/>
  <c r="I199" i="23" s="1"/>
  <c r="K21" i="25" a="1"/>
  <c r="K21" i="25" s="1"/>
  <c r="N13" i="24"/>
  <c r="P13" i="24"/>
  <c r="O60" i="25"/>
  <c r="P17" i="25"/>
  <c r="G105" i="23" a="1"/>
  <c r="G105" i="23" s="1"/>
  <c r="I105" i="23" a="1"/>
  <c r="I105" i="23" s="1"/>
  <c r="H100" i="26" a="1"/>
  <c r="H100" i="26" s="1"/>
  <c r="G21" i="25" a="1"/>
  <c r="G21" i="25" s="1"/>
  <c r="H166" i="23" a="1"/>
  <c r="H166" i="23" s="1"/>
  <c r="H114" i="23" a="1"/>
  <c r="H114" i="23" s="1"/>
  <c r="K99" i="23" a="1"/>
  <c r="K99" i="23" s="1"/>
  <c r="O40" i="24"/>
  <c r="N19" i="25"/>
  <c r="P19" i="25"/>
  <c r="N111" i="25"/>
  <c r="L100" i="26"/>
  <c r="I114" i="23" a="1"/>
  <c r="I114" i="23" s="1"/>
  <c r="G197" i="23" a="1"/>
  <c r="G197" i="23" s="1"/>
  <c r="H19" i="25" a="1"/>
  <c r="H19" i="25" s="1"/>
  <c r="J40" i="24" a="1"/>
  <c r="J40" i="24" s="1"/>
  <c r="M13" i="24"/>
  <c r="J197" i="23" a="1"/>
  <c r="J197" i="23" s="1"/>
  <c r="L21" i="25"/>
  <c r="K103" i="23" a="1"/>
  <c r="K103" i="23" s="1"/>
  <c r="L15" i="26"/>
  <c r="P41" i="24"/>
  <c r="N78" i="24"/>
  <c r="H15" i="26" a="1"/>
  <c r="H15" i="26" s="1"/>
  <c r="M15" i="26" s="1"/>
  <c r="H100" i="23" a="1"/>
  <c r="H100" i="23" s="1"/>
  <c r="L41" i="24"/>
  <c r="P74" i="24"/>
  <c r="I103" i="23" a="1"/>
  <c r="I103" i="23" s="1"/>
  <c r="K75" i="24" a="1"/>
  <c r="K75" i="24" s="1"/>
  <c r="I15" i="26" a="1"/>
  <c r="I15" i="26" s="1"/>
  <c r="J103" i="23" a="1"/>
  <c r="J103" i="23" s="1"/>
  <c r="I100" i="23" a="1"/>
  <c r="I100" i="23" s="1"/>
  <c r="H78" i="24" a="1"/>
  <c r="H78" i="24" s="1"/>
  <c r="H74" i="24" a="1"/>
  <c r="H74" i="24" s="1"/>
  <c r="I78" i="24" a="1"/>
  <c r="I78" i="24" s="1"/>
  <c r="P78" i="24"/>
  <c r="K60" i="26"/>
  <c r="H60" i="26" a="1"/>
  <c r="H60" i="26" s="1"/>
  <c r="I41" i="24" a="1"/>
  <c r="I41" i="24" s="1"/>
  <c r="N74" i="24"/>
  <c r="M78" i="24"/>
  <c r="O78" i="24"/>
  <c r="L68" i="26"/>
  <c r="H41" i="24" a="1"/>
  <c r="H41" i="24" s="1"/>
  <c r="J74" i="24" a="1"/>
  <c r="J74" i="24" s="1"/>
  <c r="G41" i="24" a="1"/>
  <c r="G41" i="24" s="1"/>
  <c r="K78" i="24" a="1"/>
  <c r="K78" i="24" s="1"/>
  <c r="J15" i="26"/>
  <c r="M74" i="24"/>
  <c r="K68" i="26"/>
  <c r="G100" i="23" a="1"/>
  <c r="G100" i="23" s="1"/>
  <c r="I74" i="24" a="1"/>
  <c r="I74" i="24" s="1"/>
  <c r="J60" i="26"/>
  <c r="J41" i="24" a="1"/>
  <c r="J41" i="24" s="1"/>
  <c r="N41" i="24"/>
  <c r="L60" i="26"/>
  <c r="J78" i="24" a="1"/>
  <c r="J78" i="24" s="1"/>
  <c r="J100" i="23" a="1"/>
  <c r="J100" i="23" s="1"/>
  <c r="O74" i="24"/>
  <c r="M41" i="24"/>
  <c r="J68" i="26"/>
  <c r="H68" i="26" a="1"/>
  <c r="H68" i="26" s="1"/>
  <c r="G68" i="26" a="1"/>
  <c r="G68" i="26" s="1"/>
  <c r="K74" i="24" a="1"/>
  <c r="K74" i="24" s="1"/>
  <c r="L98" i="25"/>
  <c r="K101" i="26"/>
  <c r="P54" i="24"/>
  <c r="L65" i="25"/>
  <c r="N65" i="25"/>
  <c r="L101" i="26"/>
  <c r="H91" i="26" a="1"/>
  <c r="H91" i="26" s="1"/>
  <c r="M91" i="26" s="1"/>
  <c r="I91" i="26" a="1"/>
  <c r="I91" i="26" s="1"/>
  <c r="G54" i="24" a="1"/>
  <c r="G54" i="24" s="1"/>
  <c r="K54" i="24" a="1"/>
  <c r="K54" i="24" s="1"/>
  <c r="H79" i="26" a="1"/>
  <c r="H79" i="26" s="1"/>
  <c r="M79" i="26" s="1"/>
  <c r="J87" i="23" a="1"/>
  <c r="J87" i="23" s="1"/>
  <c r="M54" i="24"/>
  <c r="N39" i="24"/>
  <c r="L91" i="26"/>
  <c r="G63" i="23" a="1"/>
  <c r="G63" i="23" s="1"/>
  <c r="K65" i="25" a="1"/>
  <c r="K65" i="25" s="1"/>
  <c r="K98" i="25" a="1"/>
  <c r="K98" i="25" s="1"/>
  <c r="P67" i="24"/>
  <c r="I6" i="23" a="1"/>
  <c r="I6" i="23" s="1"/>
  <c r="H65" i="25" a="1"/>
  <c r="H65" i="25" s="1"/>
  <c r="I65" i="25" a="1"/>
  <c r="I65" i="25" s="1"/>
  <c r="G39" i="24" a="1"/>
  <c r="G39" i="24" s="1"/>
  <c r="K67" i="24" a="1"/>
  <c r="K67" i="24" s="1"/>
  <c r="H167" i="23" a="1"/>
  <c r="H167" i="23" s="1"/>
  <c r="J91" i="26"/>
  <c r="I167" i="23" a="1"/>
  <c r="I167" i="23" s="1"/>
  <c r="G87" i="23" a="1"/>
  <c r="G87" i="23" s="1"/>
  <c r="K97" i="25" a="1"/>
  <c r="K97" i="25" s="1"/>
  <c r="H54" i="24" a="1"/>
  <c r="H54" i="24" s="1"/>
  <c r="K39" i="24" a="1"/>
  <c r="K39" i="24" s="1"/>
  <c r="I39" i="24" a="1"/>
  <c r="I39" i="24" s="1"/>
  <c r="O54" i="24"/>
  <c r="G167" i="23" a="1"/>
  <c r="G167" i="23" s="1"/>
  <c r="J101" i="26"/>
  <c r="H6" i="23" a="1"/>
  <c r="H6" i="23" s="1"/>
  <c r="H87" i="23" a="1"/>
  <c r="H87" i="23" s="1"/>
  <c r="J97" i="25" a="1"/>
  <c r="J97" i="25" s="1"/>
  <c r="I63" i="23" a="1"/>
  <c r="I63" i="23" s="1"/>
  <c r="G65" i="25" a="1"/>
  <c r="G65" i="25" s="1"/>
  <c r="I86" i="25" a="1"/>
  <c r="I86" i="25" s="1"/>
  <c r="P100" i="25"/>
  <c r="J6" i="23" a="1"/>
  <c r="J6" i="23" s="1"/>
  <c r="K63" i="23" a="1"/>
  <c r="K63" i="23" s="1"/>
  <c r="K167" i="23" a="1"/>
  <c r="K167" i="23" s="1"/>
  <c r="J65" i="25" a="1"/>
  <c r="J65" i="25" s="1"/>
  <c r="I67" i="24" a="1"/>
  <c r="I67" i="24" s="1"/>
  <c r="M86" i="25"/>
  <c r="P97" i="25"/>
  <c r="G6" i="23" a="1"/>
  <c r="G6" i="23" s="1"/>
  <c r="I97" i="25" a="1"/>
  <c r="I97" i="25" s="1"/>
  <c r="H39" i="24" a="1"/>
  <c r="H39" i="24" s="1"/>
  <c r="G101" i="26" a="1"/>
  <c r="G101" i="26" s="1"/>
  <c r="H90" i="23" a="1"/>
  <c r="H90" i="23" s="1"/>
  <c r="J63" i="23" a="1"/>
  <c r="J63" i="23" s="1"/>
  <c r="K87" i="23" a="1"/>
  <c r="K87" i="23" s="1"/>
  <c r="J86" i="25" a="1"/>
  <c r="J86" i="25" s="1"/>
  <c r="N86" i="25"/>
  <c r="O86" i="25"/>
  <c r="H86" i="25" a="1"/>
  <c r="H86" i="25" s="1"/>
  <c r="H97" i="25" a="1"/>
  <c r="H97" i="25" s="1"/>
  <c r="J54" i="24" a="1"/>
  <c r="J54" i="24" s="1"/>
  <c r="H101" i="26" a="1"/>
  <c r="H101" i="26" s="1"/>
  <c r="J66" i="25" a="1"/>
  <c r="J66" i="25" s="1"/>
  <c r="N24" i="24"/>
  <c r="P3" i="25"/>
  <c r="O85" i="25"/>
  <c r="I85" i="25" a="1"/>
  <c r="I85" i="25" s="1"/>
  <c r="H85" i="25" a="1"/>
  <c r="H85" i="25" s="1"/>
  <c r="J24" i="24" a="1"/>
  <c r="J24" i="24" s="1"/>
  <c r="J90" i="23" a="1"/>
  <c r="J90" i="23" s="1"/>
  <c r="M3" i="25"/>
  <c r="N67" i="24"/>
  <c r="K85" i="25" a="1"/>
  <c r="K85" i="25" s="1"/>
  <c r="H24" i="24" a="1"/>
  <c r="H24" i="24" s="1"/>
  <c r="K90" i="23" a="1"/>
  <c r="K90" i="23" s="1"/>
  <c r="N3" i="25"/>
  <c r="O24" i="24"/>
  <c r="P85" i="25"/>
  <c r="I79" i="26" a="1"/>
  <c r="I79" i="26" s="1"/>
  <c r="G66" i="25" a="1"/>
  <c r="G66" i="25" s="1"/>
  <c r="M85" i="25"/>
  <c r="J93" i="26"/>
  <c r="L93" i="26"/>
  <c r="K24" i="24" a="1"/>
  <c r="K24" i="24" s="1"/>
  <c r="O67" i="24"/>
  <c r="L100" i="25"/>
  <c r="J79" i="26"/>
  <c r="I90" i="23" a="1"/>
  <c r="I90" i="23" s="1"/>
  <c r="H98" i="25" a="1"/>
  <c r="H98" i="25" s="1"/>
  <c r="K66" i="25" a="1"/>
  <c r="K66" i="25" s="1"/>
  <c r="M98" i="25"/>
  <c r="J53" i="26"/>
  <c r="M24" i="24"/>
  <c r="M66" i="25"/>
  <c r="N100" i="25"/>
  <c r="K79" i="26"/>
  <c r="K53" i="26"/>
  <c r="I66" i="25" a="1"/>
  <c r="I66" i="25" s="1"/>
  <c r="J3" i="25" a="1"/>
  <c r="J3" i="25" s="1"/>
  <c r="P24" i="24"/>
  <c r="J98" i="25" a="1"/>
  <c r="J98" i="25" s="1"/>
  <c r="N66" i="25"/>
  <c r="P66" i="25"/>
  <c r="O98" i="25"/>
  <c r="O66" i="25"/>
  <c r="H66" i="25" a="1"/>
  <c r="H66" i="25" s="1"/>
  <c r="G98" i="25" a="1"/>
  <c r="G98" i="25" s="1"/>
  <c r="I98" i="25" a="1"/>
  <c r="I98" i="25" s="1"/>
  <c r="G24" i="24" a="1"/>
  <c r="G24" i="24" s="1"/>
  <c r="O3" i="25"/>
  <c r="I24" i="24" a="1"/>
  <c r="I24" i="24" s="1"/>
  <c r="J100" i="25" a="1"/>
  <c r="J100" i="25" s="1"/>
  <c r="L67" i="24"/>
  <c r="N98" i="25"/>
  <c r="K93" i="26"/>
  <c r="L53" i="26"/>
  <c r="G85" i="25" a="1"/>
  <c r="G85" i="25" s="1"/>
  <c r="J85" i="25" a="1"/>
  <c r="J85" i="25" s="1"/>
  <c r="H3" i="25" a="1"/>
  <c r="H3" i="25" s="1"/>
  <c r="G64" i="24" a="1"/>
  <c r="G64" i="24" s="1"/>
  <c r="K56" i="24" a="1"/>
  <c r="K56" i="24" s="1"/>
  <c r="N56" i="24"/>
  <c r="O56" i="24"/>
  <c r="P56" i="24"/>
  <c r="L141" i="23" a="1"/>
  <c r="L141" i="23" s="1"/>
  <c r="G56" i="24" a="1"/>
  <c r="G56" i="24" s="1"/>
  <c r="J56" i="24" a="1"/>
  <c r="J56" i="24" s="1"/>
  <c r="G141" i="23" a="1"/>
  <c r="G141" i="23" s="1"/>
  <c r="J141" i="23" a="1"/>
  <c r="J141" i="23" s="1"/>
  <c r="I141" i="23" a="1"/>
  <c r="I141" i="23" s="1"/>
  <c r="M56" i="24"/>
  <c r="G25" i="24" a="1"/>
  <c r="G25" i="24" s="1"/>
  <c r="J139" i="23" a="1"/>
  <c r="J139" i="23" s="1"/>
  <c r="L56" i="25"/>
  <c r="O56" i="25"/>
  <c r="H56" i="25" a="1"/>
  <c r="H56" i="25" s="1"/>
  <c r="G56" i="25" a="1"/>
  <c r="G56" i="25" s="1"/>
  <c r="K166" i="23" a="1"/>
  <c r="K166" i="23" s="1"/>
  <c r="I66" i="24" a="1"/>
  <c r="I66" i="24" s="1"/>
  <c r="G51" i="25" a="1"/>
  <c r="G51" i="25" s="1"/>
  <c r="J66" i="24" a="1"/>
  <c r="J66" i="24" s="1"/>
  <c r="H140" i="23" a="1"/>
  <c r="H140" i="23" s="1"/>
  <c r="P51" i="25"/>
  <c r="J50" i="26"/>
  <c r="K50" i="26"/>
  <c r="K94" i="26"/>
  <c r="I56" i="25" a="1"/>
  <c r="I56" i="25" s="1"/>
  <c r="K56" i="25" a="1"/>
  <c r="K56" i="25" s="1"/>
  <c r="J140" i="23" a="1"/>
  <c r="J140" i="23" s="1"/>
  <c r="J56" i="25" a="1"/>
  <c r="J56" i="25" s="1"/>
  <c r="L51" i="25"/>
  <c r="L94" i="26"/>
  <c r="I140" i="23" a="1"/>
  <c r="I140" i="23" s="1"/>
  <c r="H66" i="24" a="1"/>
  <c r="H66" i="24" s="1"/>
  <c r="K66" i="24" a="1"/>
  <c r="K66" i="24" s="1"/>
  <c r="L66" i="24"/>
  <c r="N56" i="25"/>
  <c r="J94" i="26"/>
  <c r="H51" i="25" a="1"/>
  <c r="H51" i="25" s="1"/>
  <c r="K51" i="25" a="1"/>
  <c r="K51" i="25" s="1"/>
  <c r="J80" i="26"/>
  <c r="G166" i="23" a="1"/>
  <c r="G166" i="23" s="1"/>
  <c r="H139" i="23" a="1"/>
  <c r="H139" i="23" s="1"/>
  <c r="I166" i="23" a="1"/>
  <c r="I166" i="23" s="1"/>
  <c r="I139" i="23" a="1"/>
  <c r="I139" i="23" s="1"/>
  <c r="J166" i="23" a="1"/>
  <c r="J166" i="23" s="1"/>
  <c r="L50" i="26"/>
  <c r="K140" i="23" a="1"/>
  <c r="K140" i="23" s="1"/>
  <c r="J51" i="25" a="1"/>
  <c r="J51" i="25" s="1"/>
  <c r="M56" i="25"/>
  <c r="K80" i="26"/>
  <c r="L80" i="26"/>
  <c r="G139" i="23" a="1"/>
  <c r="G139" i="23" s="1"/>
  <c r="I51" i="25" a="1"/>
  <c r="I51" i="25" s="1"/>
  <c r="G66" i="24" a="1"/>
  <c r="G66" i="24" s="1"/>
  <c r="P66" i="24"/>
  <c r="O51" i="25"/>
  <c r="K139" i="23" a="1"/>
  <c r="K139" i="23" s="1"/>
  <c r="M66" i="24"/>
  <c r="N66" i="24"/>
  <c r="N51" i="25"/>
  <c r="G140" i="23" a="1"/>
  <c r="G140" i="23" s="1"/>
  <c r="N36" i="25"/>
  <c r="H34" i="26" a="1"/>
  <c r="H34" i="26" s="1"/>
  <c r="M34" i="26" s="1"/>
  <c r="G4" i="25" a="1"/>
  <c r="G4" i="25" s="1"/>
  <c r="J55" i="24" a="1"/>
  <c r="J55" i="24" s="1"/>
  <c r="N55" i="24"/>
  <c r="G52" i="25" a="1"/>
  <c r="G52" i="25" s="1"/>
  <c r="L55" i="24"/>
  <c r="O55" i="24"/>
  <c r="P84" i="25"/>
  <c r="M36" i="25"/>
  <c r="M84" i="25"/>
  <c r="J34" i="26"/>
  <c r="G36" i="25" a="1"/>
  <c r="G36" i="25" s="1"/>
  <c r="J36" i="25" a="1"/>
  <c r="J36" i="25" s="1"/>
  <c r="J47" i="26"/>
  <c r="K47" i="26"/>
  <c r="K36" i="25" a="1"/>
  <c r="K36" i="25" s="1"/>
  <c r="N84" i="25"/>
  <c r="H47" i="26" a="1"/>
  <c r="H47" i="26" s="1"/>
  <c r="M47" i="26" s="1"/>
  <c r="K165" i="23" a="1"/>
  <c r="K165" i="23" s="1"/>
  <c r="O36" i="25"/>
  <c r="K34" i="26"/>
  <c r="L37" i="26"/>
  <c r="G84" i="25" a="1"/>
  <c r="G84" i="25" s="1"/>
  <c r="K84" i="25" a="1"/>
  <c r="K84" i="25" s="1"/>
  <c r="L6" i="26"/>
  <c r="J84" i="25" a="1"/>
  <c r="J84" i="25" s="1"/>
  <c r="L47" i="26"/>
  <c r="H37" i="26" a="1"/>
  <c r="H37" i="26" s="1"/>
  <c r="M37" i="26" s="1"/>
  <c r="H36" i="25" a="1"/>
  <c r="H36" i="25" s="1"/>
  <c r="O84" i="25"/>
  <c r="K37" i="26"/>
  <c r="I37" i="26" a="1"/>
  <c r="I37" i="26" s="1"/>
  <c r="L36" i="25"/>
  <c r="L34" i="26"/>
  <c r="L165" i="23" a="1"/>
  <c r="L165" i="23" s="1"/>
  <c r="I34" i="26" a="1"/>
  <c r="I34" i="26" s="1"/>
  <c r="J37" i="26"/>
  <c r="Q65" i="3"/>
  <c r="AD30" i="3" s="1"/>
  <c r="Q65" i="38" s="1"/>
  <c r="J5" i="25" a="1"/>
  <c r="J5" i="25" s="1"/>
  <c r="J8" i="25" a="1"/>
  <c r="J8" i="25" s="1"/>
  <c r="L30" i="24"/>
  <c r="I36" i="25" a="1"/>
  <c r="I36" i="25" s="1"/>
  <c r="I52" i="25" a="1"/>
  <c r="I52" i="25" s="1"/>
  <c r="I55" i="24" a="1"/>
  <c r="I55" i="24" s="1"/>
  <c r="P55" i="24"/>
  <c r="I84" i="25" a="1"/>
  <c r="I84" i="25" s="1"/>
  <c r="O8" i="25"/>
  <c r="P8" i="25"/>
  <c r="H55" i="24" a="1"/>
  <c r="H55" i="24" s="1"/>
  <c r="K92" i="23" a="1"/>
  <c r="K92" i="23" s="1"/>
  <c r="M8" i="25"/>
  <c r="H84" i="25" a="1"/>
  <c r="H84" i="25" s="1"/>
  <c r="N8" i="25"/>
  <c r="H37" i="25" a="1"/>
  <c r="H37" i="25" s="1"/>
  <c r="G55" i="24" a="1"/>
  <c r="G55" i="24" s="1"/>
  <c r="K63" i="24" a="1"/>
  <c r="K63" i="24" s="1"/>
  <c r="K25" i="24" a="1"/>
  <c r="K25" i="24" s="1"/>
  <c r="K55" i="24" a="1"/>
  <c r="K55" i="24" s="1"/>
  <c r="H80" i="26" a="1"/>
  <c r="H80" i="26" s="1"/>
  <c r="I50" i="26" a="1"/>
  <c r="I50" i="26" s="1"/>
  <c r="G80" i="26" a="1"/>
  <c r="G80" i="26" s="1"/>
  <c r="H94" i="26" a="1"/>
  <c r="H94" i="26" s="1"/>
  <c r="M94" i="26" s="1"/>
  <c r="I94" i="26" a="1"/>
  <c r="I94" i="26" s="1"/>
  <c r="H50" i="26" a="1"/>
  <c r="H50" i="26" s="1"/>
  <c r="M50" i="26" s="1"/>
  <c r="I55" i="25" a="1"/>
  <c r="I55" i="25" s="1"/>
  <c r="H49" i="25" a="1"/>
  <c r="H49" i="25" s="1"/>
  <c r="K37" i="25" a="1"/>
  <c r="K37" i="25" s="1"/>
  <c r="N37" i="25"/>
  <c r="J37" i="25" a="1"/>
  <c r="J37" i="25" s="1"/>
  <c r="I37" i="25" a="1"/>
  <c r="I37" i="25" s="1"/>
  <c r="O37" i="25"/>
  <c r="G37" i="25" a="1"/>
  <c r="G37" i="25" s="1"/>
  <c r="I54" i="25" a="1"/>
  <c r="I54" i="25" s="1"/>
  <c r="J54" i="25" a="1"/>
  <c r="J54" i="25" s="1"/>
  <c r="O6" i="25"/>
  <c r="M37" i="25"/>
  <c r="P37" i="25"/>
  <c r="K61" i="23" a="1"/>
  <c r="K61" i="23" s="1"/>
  <c r="G64" i="23" a="1"/>
  <c r="G64" i="23" s="1"/>
  <c r="H61" i="23" a="1"/>
  <c r="H61" i="23" s="1"/>
  <c r="G8" i="25" a="1"/>
  <c r="G8" i="25" s="1"/>
  <c r="K8" i="25" a="1"/>
  <c r="K8" i="25" s="1"/>
  <c r="I3" i="25" a="1"/>
  <c r="I3" i="25" s="1"/>
  <c r="H67" i="24" a="1"/>
  <c r="H67" i="24" s="1"/>
  <c r="G3" i="25" a="1"/>
  <c r="G3" i="25" s="1"/>
  <c r="I8" i="25" a="1"/>
  <c r="I8" i="25" s="1"/>
  <c r="H8" i="25" a="1"/>
  <c r="H8" i="25" s="1"/>
  <c r="G67" i="24" a="1"/>
  <c r="G67" i="24" s="1"/>
  <c r="K3" i="25" a="1"/>
  <c r="K3" i="25" s="1"/>
  <c r="J67" i="24" a="1"/>
  <c r="J67" i="24" s="1"/>
  <c r="G90" i="23" a="1"/>
  <c r="G90" i="23" s="1"/>
  <c r="J7" i="23" a="1"/>
  <c r="J7" i="23" s="1"/>
  <c r="K7" i="23" a="1"/>
  <c r="K7" i="23" s="1"/>
  <c r="M5" i="24"/>
  <c r="G7" i="23" a="1"/>
  <c r="G7" i="23" s="1"/>
  <c r="H5" i="24" a="1"/>
  <c r="H5" i="24" s="1"/>
  <c r="O5" i="24"/>
  <c r="P5" i="24"/>
  <c r="I7" i="23" a="1"/>
  <c r="I7" i="23" s="1"/>
  <c r="N5" i="24"/>
  <c r="K5" i="25" a="1"/>
  <c r="K5" i="25" s="1"/>
  <c r="L4" i="26"/>
  <c r="N5" i="25"/>
  <c r="K6" i="25" a="1"/>
  <c r="K6" i="25" s="1"/>
  <c r="G4" i="26" a="1"/>
  <c r="G4" i="26" s="1"/>
  <c r="H4" i="26" a="1"/>
  <c r="H4" i="26" s="1"/>
  <c r="I5" i="25" a="1"/>
  <c r="I5" i="25" s="1"/>
  <c r="P6" i="25"/>
  <c r="J8" i="23" a="1"/>
  <c r="J8" i="23" s="1"/>
  <c r="G5" i="25" a="1"/>
  <c r="G5" i="25" s="1"/>
  <c r="J6" i="25" a="1"/>
  <c r="J6" i="25" s="1"/>
  <c r="J4" i="26"/>
  <c r="M6" i="25"/>
  <c r="L5" i="25"/>
  <c r="P5" i="25"/>
  <c r="M5" i="25"/>
  <c r="H5" i="25" a="1"/>
  <c r="H5" i="25" s="1"/>
  <c r="K8" i="23" a="1"/>
  <c r="K8" i="23" s="1"/>
  <c r="K4" i="26"/>
  <c r="N6" i="25"/>
  <c r="O4" i="25"/>
  <c r="H4" i="25" a="1"/>
  <c r="H4" i="25" s="1"/>
  <c r="H101" i="25" a="1"/>
  <c r="H101" i="25" s="1"/>
  <c r="G9" i="23" a="1"/>
  <c r="G9" i="23" s="1"/>
  <c r="M101" i="25"/>
  <c r="H9" i="23" a="1"/>
  <c r="H9" i="23" s="1"/>
  <c r="K4" i="25" a="1"/>
  <c r="K4" i="25" s="1"/>
  <c r="J9" i="23" a="1"/>
  <c r="J9" i="23" s="1"/>
  <c r="I9" i="23" a="1"/>
  <c r="I9" i="23" s="1"/>
  <c r="I101" i="25" a="1"/>
  <c r="I101" i="25" s="1"/>
  <c r="G5" i="24" a="1"/>
  <c r="G5" i="24" s="1"/>
  <c r="K9" i="23" a="1"/>
  <c r="K9" i="23" s="1"/>
  <c r="P101" i="25"/>
  <c r="G101" i="25" a="1"/>
  <c r="G101" i="25" s="1"/>
  <c r="J5" i="24" a="1"/>
  <c r="J5" i="24" s="1"/>
  <c r="K101" i="25" a="1"/>
  <c r="K101" i="25" s="1"/>
  <c r="J4" i="25" a="1"/>
  <c r="J4" i="25" s="1"/>
  <c r="L101" i="25"/>
  <c r="L4" i="25"/>
  <c r="I4" i="25" a="1"/>
  <c r="I4" i="25" s="1"/>
  <c r="K64" i="24" a="1"/>
  <c r="K64" i="24" s="1"/>
  <c r="J64" i="24" a="1"/>
  <c r="J64" i="24" s="1"/>
  <c r="G32" i="24" a="1"/>
  <c r="G32" i="24" s="1"/>
  <c r="G95" i="26" a="1"/>
  <c r="G95" i="26" s="1"/>
  <c r="K33" i="24" a="1"/>
  <c r="K33" i="24" s="1"/>
  <c r="H64" i="24" a="1"/>
  <c r="H64" i="24" s="1"/>
  <c r="H32" i="24" a="1"/>
  <c r="H32" i="24" s="1"/>
  <c r="J32" i="24" a="1"/>
  <c r="J32" i="24" s="1"/>
  <c r="H33" i="24" a="1"/>
  <c r="H33" i="24" s="1"/>
  <c r="K32" i="24" a="1"/>
  <c r="K32" i="24" s="1"/>
  <c r="I31" i="24" a="1"/>
  <c r="I31" i="24" s="1"/>
  <c r="L31" i="24"/>
  <c r="K36" i="26"/>
  <c r="G54" i="25" a="1"/>
  <c r="G54" i="25" s="1"/>
  <c r="J31" i="24" a="1"/>
  <c r="J31" i="24" s="1"/>
  <c r="H31" i="24" a="1"/>
  <c r="H31" i="24" s="1"/>
  <c r="K31" i="24" a="1"/>
  <c r="K31" i="24" s="1"/>
  <c r="H168" i="23" a="1"/>
  <c r="H168" i="23" s="1"/>
  <c r="M38" i="25"/>
  <c r="M54" i="25"/>
  <c r="G89" i="23" a="1"/>
  <c r="G89" i="23" s="1"/>
  <c r="H36" i="26" a="1"/>
  <c r="H36" i="26" s="1"/>
  <c r="K35" i="24" a="1"/>
  <c r="K35" i="24" s="1"/>
  <c r="K168" i="23" a="1"/>
  <c r="K168" i="23" s="1"/>
  <c r="O38" i="25"/>
  <c r="J38" i="25" a="1"/>
  <c r="J38" i="25" s="1"/>
  <c r="K38" i="25" a="1"/>
  <c r="K38" i="25" s="1"/>
  <c r="G99" i="25" a="1"/>
  <c r="G99" i="25" s="1"/>
  <c r="H64" i="23" a="1"/>
  <c r="H64" i="23" s="1"/>
  <c r="J171" i="23" a="1"/>
  <c r="J171" i="23" s="1"/>
  <c r="L51" i="26"/>
  <c r="L36" i="26"/>
  <c r="G38" i="25" a="1"/>
  <c r="G38" i="25" s="1"/>
  <c r="H63" i="24" a="1"/>
  <c r="H63" i="24" s="1"/>
  <c r="G36" i="26" a="1"/>
  <c r="G36" i="26" s="1"/>
  <c r="P99" i="25"/>
  <c r="G31" i="24" a="1"/>
  <c r="G31" i="24" s="1"/>
  <c r="K64" i="23" a="1"/>
  <c r="K64" i="23" s="1"/>
  <c r="L54" i="25"/>
  <c r="K92" i="26"/>
  <c r="I168" i="23" a="1"/>
  <c r="I168" i="23" s="1"/>
  <c r="I92" i="23" a="1"/>
  <c r="I92" i="23" s="1"/>
  <c r="G61" i="23" a="1"/>
  <c r="G61" i="23" s="1"/>
  <c r="H92" i="26" a="1"/>
  <c r="H92" i="26" s="1"/>
  <c r="M92" i="26" s="1"/>
  <c r="K99" i="25" a="1"/>
  <c r="K99" i="25" s="1"/>
  <c r="I36" i="26" a="1"/>
  <c r="I36" i="26" s="1"/>
  <c r="N31" i="24"/>
  <c r="L99" i="25"/>
  <c r="J92" i="26"/>
  <c r="G92" i="23" a="1"/>
  <c r="G92" i="23" s="1"/>
  <c r="G168" i="23" a="1"/>
  <c r="G168" i="23" s="1"/>
  <c r="I92" i="26" a="1"/>
  <c r="I92" i="26" s="1"/>
  <c r="H38" i="25" a="1"/>
  <c r="H38" i="25" s="1"/>
  <c r="K54" i="25" a="1"/>
  <c r="K54" i="25" s="1"/>
  <c r="H35" i="24" a="1"/>
  <c r="H35" i="24" s="1"/>
  <c r="H99" i="25" a="1"/>
  <c r="H99" i="25" s="1"/>
  <c r="J61" i="23" a="1"/>
  <c r="J61" i="23" s="1"/>
  <c r="J168" i="23" a="1"/>
  <c r="J168" i="23" s="1"/>
  <c r="K89" i="23" a="1"/>
  <c r="K89" i="23" s="1"/>
  <c r="J92" i="23" a="1"/>
  <c r="J92" i="23" s="1"/>
  <c r="J99" i="25" a="1"/>
  <c r="J99" i="25" s="1"/>
  <c r="O99" i="25"/>
  <c r="I61" i="23" a="1"/>
  <c r="I61" i="23" s="1"/>
  <c r="G35" i="24" a="1"/>
  <c r="G35" i="24" s="1"/>
  <c r="H171" i="23" a="1"/>
  <c r="H171" i="23" s="1"/>
  <c r="N54" i="25"/>
  <c r="L92" i="26"/>
  <c r="H54" i="25" a="1"/>
  <c r="H54" i="25" s="1"/>
  <c r="J64" i="23" a="1"/>
  <c r="J64" i="23" s="1"/>
  <c r="K51" i="26"/>
  <c r="I89" i="23" a="1"/>
  <c r="I89" i="23" s="1"/>
  <c r="I171" i="23" a="1"/>
  <c r="I171" i="23" s="1"/>
  <c r="I64" i="23" a="1"/>
  <c r="I64" i="23" s="1"/>
  <c r="I38" i="25" a="1"/>
  <c r="I38" i="25" s="1"/>
  <c r="J35" i="24" a="1"/>
  <c r="J35" i="24" s="1"/>
  <c r="G63" i="24" a="1"/>
  <c r="G63" i="24" s="1"/>
  <c r="J63" i="24" a="1"/>
  <c r="J63" i="24" s="1"/>
  <c r="J89" i="23" a="1"/>
  <c r="J89" i="23" s="1"/>
  <c r="P31" i="24"/>
  <c r="K171" i="23" a="1"/>
  <c r="K171" i="23" s="1"/>
  <c r="H89" i="23" a="1"/>
  <c r="H89" i="23" s="1"/>
  <c r="M99" i="25"/>
  <c r="O54" i="25"/>
  <c r="J51" i="26"/>
  <c r="G171" i="23" a="1"/>
  <c r="G171" i="23" s="1"/>
  <c r="H51" i="26" a="1"/>
  <c r="H51" i="26" s="1"/>
  <c r="I99" i="25" a="1"/>
  <c r="I99" i="25" s="1"/>
  <c r="N30" i="24"/>
  <c r="N52" i="25"/>
  <c r="H30" i="24" a="1"/>
  <c r="H30" i="24" s="1"/>
  <c r="H52" i="25" a="1"/>
  <c r="H52" i="25" s="1"/>
  <c r="K30" i="24" a="1"/>
  <c r="K30" i="24" s="1"/>
  <c r="P30" i="24"/>
  <c r="M52" i="25"/>
  <c r="J30" i="24" a="1"/>
  <c r="J30" i="24" s="1"/>
  <c r="G30" i="24" a="1"/>
  <c r="G30" i="24" s="1"/>
  <c r="I30" i="24" a="1"/>
  <c r="I30" i="24" s="1"/>
  <c r="O30" i="24"/>
  <c r="K52" i="25" a="1"/>
  <c r="K52" i="25" s="1"/>
  <c r="J52" i="25" a="1"/>
  <c r="J52" i="25" s="1"/>
  <c r="P52" i="25"/>
  <c r="O52" i="25"/>
  <c r="K86" i="23" a="1"/>
  <c r="K86" i="23" s="1"/>
  <c r="H100" i="25" a="1"/>
  <c r="H100" i="25" s="1"/>
  <c r="I170" i="23" a="1"/>
  <c r="I170" i="23" s="1"/>
  <c r="G165" i="23" a="1"/>
  <c r="G165" i="23" s="1"/>
  <c r="H93" i="26" a="1"/>
  <c r="H93" i="26" s="1"/>
  <c r="I47" i="26" a="1"/>
  <c r="I47" i="26" s="1"/>
  <c r="I53" i="26" a="1"/>
  <c r="I53" i="26" s="1"/>
  <c r="H86" i="23" a="1"/>
  <c r="H86" i="23" s="1"/>
  <c r="G93" i="26" a="1"/>
  <c r="G93" i="26" s="1"/>
  <c r="I100" i="25" a="1"/>
  <c r="I100" i="25" s="1"/>
  <c r="G100" i="25" a="1"/>
  <c r="G100" i="25" s="1"/>
  <c r="K170" i="23" a="1"/>
  <c r="K170" i="23" s="1"/>
  <c r="J170" i="23" a="1"/>
  <c r="J170" i="23" s="1"/>
  <c r="G170" i="23" a="1"/>
  <c r="G170" i="23" s="1"/>
  <c r="K100" i="25" a="1"/>
  <c r="K100" i="25" s="1"/>
  <c r="J86" i="23" a="1"/>
  <c r="J86" i="23" s="1"/>
  <c r="G86" i="23" a="1"/>
  <c r="G86" i="23" s="1"/>
  <c r="I86" i="23" a="1"/>
  <c r="I86" i="23" s="1"/>
  <c r="M100" i="25"/>
  <c r="H53" i="26" a="1"/>
  <c r="H53" i="26" s="1"/>
  <c r="M53" i="26" s="1"/>
  <c r="I165" i="23" a="1"/>
  <c r="I165" i="23" s="1"/>
  <c r="H8" i="23" a="1"/>
  <c r="H8" i="23" s="1"/>
  <c r="G8" i="23" a="1"/>
  <c r="G8" i="23" s="1"/>
  <c r="H10" i="23" a="1"/>
  <c r="H10" i="23" s="1"/>
  <c r="I10" i="23" a="1"/>
  <c r="I10" i="23" s="1"/>
  <c r="I8" i="23" a="1"/>
  <c r="I8" i="23" s="1"/>
  <c r="I6" i="26" a="1"/>
  <c r="I6" i="26" s="1"/>
  <c r="J6" i="26"/>
  <c r="H6" i="26" a="1"/>
  <c r="H6" i="26" s="1"/>
  <c r="G6" i="26" a="1"/>
  <c r="G6" i="26" s="1"/>
  <c r="P7" i="25"/>
  <c r="G7" i="25" a="1"/>
  <c r="G7" i="25" s="1"/>
  <c r="J13" i="23" a="1"/>
  <c r="J13" i="23" s="1"/>
  <c r="M7" i="25"/>
  <c r="N7" i="25"/>
  <c r="J7" i="25" a="1"/>
  <c r="J7" i="25" s="1"/>
  <c r="I7" i="25" a="1"/>
  <c r="I7" i="25" s="1"/>
  <c r="J11" i="23" a="1"/>
  <c r="J11" i="23" s="1"/>
  <c r="H7" i="25" a="1"/>
  <c r="H7" i="25" s="1"/>
  <c r="O7" i="25"/>
  <c r="I11" i="23" a="1"/>
  <c r="I11" i="23" s="1"/>
  <c r="K11" i="23" a="1"/>
  <c r="K11" i="23" s="1"/>
  <c r="G11" i="23" a="1"/>
  <c r="G11" i="23" s="1"/>
  <c r="P6" i="24"/>
  <c r="J10" i="23" a="1"/>
  <c r="J10" i="23" s="1"/>
  <c r="K13" i="23" a="1"/>
  <c r="K13" i="23" s="1"/>
  <c r="I13" i="23" a="1"/>
  <c r="I13" i="23" s="1"/>
  <c r="K10" i="23" a="1"/>
  <c r="K10" i="23" s="1"/>
  <c r="I4" i="24" a="1"/>
  <c r="I4" i="24" s="1"/>
  <c r="G13" i="23" a="1"/>
  <c r="G13" i="23" s="1"/>
  <c r="K5" i="24" a="1"/>
  <c r="K5" i="24" s="1"/>
  <c r="G10" i="23" a="1"/>
  <c r="G10" i="23" s="1"/>
  <c r="K9" i="26"/>
  <c r="L7" i="26"/>
  <c r="G7" i="26" a="1"/>
  <c r="G7" i="26" s="1"/>
  <c r="M7" i="26" s="1"/>
  <c r="I7" i="26" a="1"/>
  <c r="I7" i="26" s="1"/>
  <c r="K7" i="26"/>
  <c r="J7" i="26"/>
  <c r="I6" i="24" a="1"/>
  <c r="I6" i="24" s="1"/>
  <c r="H6" i="24" a="1"/>
  <c r="H6" i="24" s="1"/>
  <c r="K6" i="24" a="1"/>
  <c r="K6" i="24" s="1"/>
  <c r="O6" i="24"/>
  <c r="G6" i="24" a="1"/>
  <c r="G6" i="24" s="1"/>
  <c r="J6" i="24" a="1"/>
  <c r="J6" i="24" s="1"/>
  <c r="L6" i="24"/>
  <c r="M6" i="24"/>
  <c r="G9" i="26" a="1"/>
  <c r="G9" i="26" s="1"/>
  <c r="I9" i="26" a="1"/>
  <c r="I9" i="26" s="1"/>
  <c r="H9" i="26" a="1"/>
  <c r="H9" i="26" s="1"/>
  <c r="H6" i="25" a="1"/>
  <c r="H6" i="25" s="1"/>
  <c r="J9" i="26"/>
  <c r="G6" i="25" a="1"/>
  <c r="G6" i="25" s="1"/>
  <c r="I6" i="25" a="1"/>
  <c r="I6" i="25" s="1"/>
  <c r="L4" i="24"/>
  <c r="G4" i="24" a="1"/>
  <c r="G4" i="24" s="1"/>
  <c r="K7" i="25" a="1"/>
  <c r="K7" i="25" s="1"/>
  <c r="K4" i="24" a="1"/>
  <c r="K4" i="24" s="1"/>
  <c r="O4" i="24"/>
  <c r="H4" i="24" a="1"/>
  <c r="H4" i="24" s="1"/>
  <c r="J4" i="24" a="1"/>
  <c r="J4" i="24" s="1"/>
  <c r="P4" i="24"/>
  <c r="M4" i="24"/>
  <c r="M109" i="26"/>
  <c r="Q9" i="24"/>
  <c r="H74" i="23" a="1"/>
  <c r="H74" i="23" s="1"/>
  <c r="H197" i="23" a="1"/>
  <c r="H197" i="23" s="1"/>
  <c r="H13" i="23" a="1"/>
  <c r="H13" i="23" s="1"/>
  <c r="H20" i="23" a="1"/>
  <c r="H20" i="23" s="1"/>
  <c r="H148" i="23" a="1"/>
  <c r="H148" i="23" s="1"/>
  <c r="H187" i="23" a="1"/>
  <c r="H187" i="23" s="1"/>
  <c r="H84" i="23" a="1"/>
  <c r="H84" i="23" s="1"/>
  <c r="H180" i="23" a="1"/>
  <c r="H180" i="23" s="1"/>
  <c r="H65" i="23" a="1"/>
  <c r="H65" i="23" s="1"/>
  <c r="H176" i="23" a="1"/>
  <c r="H176" i="23" s="1"/>
  <c r="H91" i="23" a="1"/>
  <c r="H91" i="23" s="1"/>
  <c r="H191" i="23" a="1"/>
  <c r="H191" i="23" s="1"/>
  <c r="H70" i="23" a="1"/>
  <c r="H70" i="23" s="1"/>
  <c r="H76" i="23" a="1"/>
  <c r="H76" i="23" s="1"/>
  <c r="H199" i="23" a="1"/>
  <c r="H199" i="23" s="1"/>
  <c r="H103" i="23" a="1"/>
  <c r="H103" i="23" s="1"/>
  <c r="H159" i="23" a="1"/>
  <c r="H159" i="23" s="1"/>
  <c r="H32" i="23" a="1"/>
  <c r="H32" i="23" s="1"/>
  <c r="H81" i="23" a="1"/>
  <c r="H81" i="23" s="1"/>
  <c r="H19" i="23" a="1"/>
  <c r="H19" i="23" s="1"/>
  <c r="H192" i="23" a="1"/>
  <c r="H192" i="23" s="1"/>
  <c r="H150" i="23" a="1"/>
  <c r="H150" i="23" s="1"/>
  <c r="H201" i="23" a="1"/>
  <c r="H201" i="23" s="1"/>
  <c r="H157" i="23" a="1"/>
  <c r="H157" i="23" s="1"/>
  <c r="H207" i="23" a="1"/>
  <c r="H207" i="23" s="1"/>
  <c r="M207" i="23" s="1"/>
  <c r="H122" i="23" a="1"/>
  <c r="H122" i="23" s="1"/>
  <c r="H12" i="23" a="1"/>
  <c r="H12" i="23" s="1"/>
  <c r="H45" i="23" a="1"/>
  <c r="H45" i="23" s="1"/>
  <c r="H155" i="23" a="1"/>
  <c r="H155" i="23" s="1"/>
  <c r="H212" i="23" a="1"/>
  <c r="H212" i="23" s="1"/>
  <c r="H141" i="23" a="1"/>
  <c r="H141" i="23" s="1"/>
  <c r="H200" i="23" a="1"/>
  <c r="H200" i="23" s="1"/>
  <c r="H27" i="23" a="1"/>
  <c r="H27" i="23" s="1"/>
  <c r="H60" i="23" a="1"/>
  <c r="H60" i="23" s="1"/>
  <c r="H82" i="23" a="1"/>
  <c r="H82" i="23" s="1"/>
  <c r="H21" i="23" a="1"/>
  <c r="H21" i="23" s="1"/>
  <c r="H156" i="23" a="1"/>
  <c r="H156" i="23" s="1"/>
  <c r="H116" i="23" a="1"/>
  <c r="H116" i="23" s="1"/>
  <c r="H181" i="23" a="1"/>
  <c r="H181" i="23" s="1"/>
  <c r="H53" i="23" a="1"/>
  <c r="H53" i="23" s="1"/>
  <c r="H33" i="23" a="1"/>
  <c r="H33" i="23" s="1"/>
  <c r="H136" i="23" a="1"/>
  <c r="H136" i="23" s="1"/>
  <c r="H26" i="23" a="1"/>
  <c r="H26" i="23" s="1"/>
  <c r="H188" i="23" a="1"/>
  <c r="H188" i="23" s="1"/>
  <c r="H104" i="23" a="1"/>
  <c r="H104" i="23" s="1"/>
  <c r="H198" i="23" a="1"/>
  <c r="H198" i="23" s="1"/>
  <c r="H51" i="23" a="1"/>
  <c r="H51" i="23" s="1"/>
  <c r="H134" i="23" a="1"/>
  <c r="H134" i="23" s="1"/>
  <c r="H97" i="23" a="1"/>
  <c r="H97" i="23" s="1"/>
  <c r="H41" i="23" a="1"/>
  <c r="H41" i="23" s="1"/>
  <c r="H52" i="23" a="1"/>
  <c r="H52" i="23" s="1"/>
  <c r="H77" i="23" a="1"/>
  <c r="H77" i="23" s="1"/>
  <c r="H208" i="23" a="1"/>
  <c r="H208" i="23" s="1"/>
  <c r="H92" i="23" a="1"/>
  <c r="H92" i="23" s="1"/>
  <c r="H102" i="23" a="1"/>
  <c r="H102" i="23" s="1"/>
  <c r="H46" i="23" a="1"/>
  <c r="H46" i="23" s="1"/>
  <c r="H170" i="23" a="1"/>
  <c r="H170" i="23" s="1"/>
  <c r="H11" i="23" a="1"/>
  <c r="H11" i="23" s="1"/>
  <c r="H182" i="23" a="1"/>
  <c r="H182" i="23" s="1"/>
  <c r="H118" i="23" a="1"/>
  <c r="H118" i="23" s="1"/>
  <c r="H40" i="23" a="1"/>
  <c r="H40" i="23" s="1"/>
  <c r="H205" i="23" a="1"/>
  <c r="H205" i="23" s="1"/>
  <c r="H105" i="23" a="1"/>
  <c r="H105" i="23" s="1"/>
  <c r="H85" i="23" a="1"/>
  <c r="H85" i="23" s="1"/>
  <c r="H34" i="23" a="1"/>
  <c r="H34" i="23" s="1"/>
  <c r="H163" i="23" a="1"/>
  <c r="H163" i="23" s="1"/>
  <c r="H54" i="23" a="1"/>
  <c r="H54" i="23" s="1"/>
  <c r="H129" i="23" a="1"/>
  <c r="H129" i="23" s="1"/>
  <c r="H149" i="23" a="1"/>
  <c r="H149" i="23" s="1"/>
  <c r="H128" i="23" a="1"/>
  <c r="H128" i="23" s="1"/>
  <c r="H137" i="23" a="1"/>
  <c r="H137" i="23" s="1"/>
  <c r="H98" i="23" a="1"/>
  <c r="H98" i="23" s="1"/>
  <c r="H144" i="23" a="1"/>
  <c r="H144" i="23" s="1"/>
  <c r="H190" i="23" a="1"/>
  <c r="H190" i="23" s="1"/>
  <c r="H169" i="23" a="1"/>
  <c r="H169" i="23" s="1"/>
  <c r="H5" i="23" a="1"/>
  <c r="H5" i="23" s="1"/>
  <c r="H7" i="23" a="1"/>
  <c r="H7" i="23" s="1"/>
  <c r="H165" i="23" a="1"/>
  <c r="H165" i="23" s="1"/>
  <c r="H35" i="23" a="1"/>
  <c r="H35" i="23" s="1"/>
  <c r="H143" i="23" a="1"/>
  <c r="H143" i="23" s="1"/>
  <c r="O50" i="34" l="1"/>
  <c r="M18" i="23"/>
  <c r="M125" i="23"/>
  <c r="M133" i="23"/>
  <c r="M31" i="26"/>
  <c r="M121" i="23"/>
  <c r="M75" i="26"/>
  <c r="M32" i="26"/>
  <c r="M127" i="23"/>
  <c r="M46" i="26"/>
  <c r="M114" i="26"/>
  <c r="I61" i="42" a="1"/>
  <c r="I61" i="42" s="1"/>
  <c r="I97" i="42" a="1"/>
  <c r="I97" i="42" s="1"/>
  <c r="M50" i="23"/>
  <c r="I9" i="36" a="1"/>
  <c r="I9" i="36" s="1"/>
  <c r="I32" i="36" a="1"/>
  <c r="I32" i="36" s="1"/>
  <c r="M66" i="23"/>
  <c r="H118" i="34" a="1"/>
  <c r="H118" i="34" s="1"/>
  <c r="H26" i="34" a="1"/>
  <c r="H26" i="34" s="1"/>
  <c r="H88" i="34" a="1"/>
  <c r="H88" i="34" s="1"/>
  <c r="N93" i="39" a="1"/>
  <c r="N93" i="39" s="1"/>
  <c r="N134" i="39" a="1"/>
  <c r="N134" i="39" s="1"/>
  <c r="N102" i="39" a="1"/>
  <c r="N102" i="39" s="1"/>
  <c r="N81" i="39" a="1"/>
  <c r="N81" i="39" s="1"/>
  <c r="G76" i="36" a="1"/>
  <c r="G76" i="36" s="1"/>
  <c r="M76" i="36" s="1"/>
  <c r="G18" i="36" a="1"/>
  <c r="G18" i="36" s="1"/>
  <c r="M18" i="36" s="1"/>
  <c r="G23" i="36" a="1"/>
  <c r="G23" i="36" s="1"/>
  <c r="M23" i="36" s="1"/>
  <c r="M83" i="26"/>
  <c r="M112" i="26"/>
  <c r="M115" i="26"/>
  <c r="Q23" i="25"/>
  <c r="M33" i="26"/>
  <c r="M40" i="26"/>
  <c r="M41" i="26"/>
  <c r="M43" i="26"/>
  <c r="M78" i="26"/>
  <c r="M84" i="26"/>
  <c r="M86" i="26"/>
  <c r="Q11" i="25"/>
  <c r="Q31" i="25"/>
  <c r="Q30" i="25"/>
  <c r="Q33" i="25"/>
  <c r="Q34" i="25"/>
  <c r="Q32" i="25"/>
  <c r="Q41" i="25"/>
  <c r="Q44" i="25"/>
  <c r="Q74" i="25"/>
  <c r="Q73" i="25"/>
  <c r="Q78" i="25"/>
  <c r="Q89" i="25"/>
  <c r="Q88" i="25"/>
  <c r="Q90" i="25"/>
  <c r="Q119" i="25"/>
  <c r="Q120" i="25"/>
  <c r="Q117" i="25"/>
  <c r="Q124" i="25"/>
  <c r="Q123" i="25"/>
  <c r="M116" i="26"/>
  <c r="M10" i="26"/>
  <c r="Q13" i="25"/>
  <c r="Q12" i="25"/>
  <c r="Q35" i="25"/>
  <c r="M42" i="26"/>
  <c r="Q47" i="25"/>
  <c r="Q46" i="25"/>
  <c r="Q69" i="25"/>
  <c r="M76" i="26"/>
  <c r="M77" i="26"/>
  <c r="M111" i="26"/>
  <c r="Q83" i="25"/>
  <c r="M85" i="26"/>
  <c r="M74" i="26"/>
  <c r="N241" i="39" a="1"/>
  <c r="N241" i="39" s="1"/>
  <c r="I66" i="42" a="1"/>
  <c r="I66" i="42" s="1"/>
  <c r="M70" i="26"/>
  <c r="M81" i="26"/>
  <c r="M38" i="26"/>
  <c r="M71" i="26"/>
  <c r="M194" i="23"/>
  <c r="G46" i="36" a="1"/>
  <c r="G46" i="36" s="1"/>
  <c r="M46" i="36" s="1"/>
  <c r="G63" i="36" a="1"/>
  <c r="G63" i="36" s="1"/>
  <c r="M63" i="36" s="1"/>
  <c r="H43" i="34" a="1"/>
  <c r="H43" i="34" s="1"/>
  <c r="H86" i="34" a="1"/>
  <c r="H86" i="34" s="1"/>
  <c r="M3" i="23"/>
  <c r="M189" i="23"/>
  <c r="M2" i="26"/>
  <c r="N82" i="40"/>
  <c r="N29" i="40"/>
  <c r="N30" i="40"/>
  <c r="P528" i="39"/>
  <c r="M39" i="26"/>
  <c r="M72" i="26"/>
  <c r="M15" i="23"/>
  <c r="M132" i="23"/>
  <c r="M135" i="23"/>
  <c r="M119" i="23"/>
  <c r="M49" i="23"/>
  <c r="M126" i="23"/>
  <c r="Q86" i="24"/>
  <c r="Q2" i="25"/>
  <c r="Q3" i="24"/>
  <c r="M55" i="23"/>
  <c r="M56" i="23"/>
  <c r="M59" i="23"/>
  <c r="M58" i="23"/>
  <c r="M57" i="23"/>
  <c r="M69" i="23"/>
  <c r="M68" i="23"/>
  <c r="M67" i="23"/>
  <c r="M71" i="23"/>
  <c r="M75" i="23"/>
  <c r="M73" i="23"/>
  <c r="M83" i="23"/>
  <c r="M80" i="23"/>
  <c r="M79" i="23"/>
  <c r="M19" i="23"/>
  <c r="M122" i="23"/>
  <c r="M45" i="23"/>
  <c r="M21" i="23"/>
  <c r="M136" i="23"/>
  <c r="M188" i="23"/>
  <c r="M134" i="23"/>
  <c r="M46" i="23"/>
  <c r="M40" i="23"/>
  <c r="M129" i="23"/>
  <c r="M128" i="23"/>
  <c r="M137" i="23"/>
  <c r="M20" i="23"/>
  <c r="Q40" i="25"/>
  <c r="Q27" i="24"/>
  <c r="M48" i="23"/>
  <c r="M42" i="23"/>
  <c r="Q71" i="25"/>
  <c r="Q46" i="24"/>
  <c r="Q45" i="24"/>
  <c r="Q47" i="24"/>
  <c r="Q7" i="24"/>
  <c r="Q8" i="24"/>
  <c r="Q9" i="25"/>
  <c r="Q75" i="25"/>
  <c r="M43" i="23"/>
  <c r="M44" i="23"/>
  <c r="Q28" i="25"/>
  <c r="Q20" i="24"/>
  <c r="Q19" i="24"/>
  <c r="Q18" i="24"/>
  <c r="Q23" i="24"/>
  <c r="Q85" i="24"/>
  <c r="M204" i="23"/>
  <c r="Q50" i="24"/>
  <c r="Q49" i="24"/>
  <c r="Q48" i="24"/>
  <c r="M202" i="23"/>
  <c r="M203" i="23"/>
  <c r="Q83" i="24"/>
  <c r="Q82" i="24"/>
  <c r="Q81" i="24"/>
  <c r="Q59" i="24"/>
  <c r="Q87" i="25"/>
  <c r="Q58" i="24"/>
  <c r="Q52" i="24"/>
  <c r="Q53" i="24"/>
  <c r="Q51" i="24"/>
  <c r="Q79" i="25"/>
  <c r="Q62" i="24"/>
  <c r="Q91" i="25"/>
  <c r="Q61" i="24"/>
  <c r="Q60" i="24"/>
  <c r="Q84" i="24"/>
  <c r="M213" i="23"/>
  <c r="Q28" i="24"/>
  <c r="Q29" i="24"/>
  <c r="Q21" i="24"/>
  <c r="Q22" i="24"/>
  <c r="Q26" i="24"/>
  <c r="M17" i="23"/>
  <c r="M47" i="23"/>
  <c r="M25" i="23"/>
  <c r="M13" i="26"/>
  <c r="M163" i="23"/>
  <c r="M131" i="23"/>
  <c r="M146" i="23"/>
  <c r="M160" i="23"/>
  <c r="M185" i="23"/>
  <c r="M158" i="23"/>
  <c r="M164" i="23"/>
  <c r="M2" i="23"/>
  <c r="M149" i="23"/>
  <c r="M190" i="23"/>
  <c r="M78" i="23"/>
  <c r="M206" i="23"/>
  <c r="M22" i="23"/>
  <c r="M24" i="23"/>
  <c r="M124" i="23"/>
  <c r="M23" i="23"/>
  <c r="M148" i="23"/>
  <c r="M72" i="23"/>
  <c r="M147" i="23"/>
  <c r="M153" i="23"/>
  <c r="M145" i="23"/>
  <c r="M151" i="23"/>
  <c r="M154" i="23"/>
  <c r="M152" i="23"/>
  <c r="M162" i="23"/>
  <c r="M210" i="23"/>
  <c r="M209" i="23"/>
  <c r="M4" i="23"/>
  <c r="M186" i="23"/>
  <c r="Q10" i="24"/>
  <c r="M85" i="23"/>
  <c r="M205" i="23"/>
  <c r="M54" i="23"/>
  <c r="M143" i="23"/>
  <c r="M74" i="23"/>
  <c r="M84" i="23"/>
  <c r="M70" i="23"/>
  <c r="M76" i="23"/>
  <c r="M159" i="23"/>
  <c r="M81" i="23"/>
  <c r="M157" i="23"/>
  <c r="M155" i="23"/>
  <c r="M212" i="23"/>
  <c r="M60" i="23"/>
  <c r="M82" i="23"/>
  <c r="M156" i="23"/>
  <c r="M53" i="23"/>
  <c r="M51" i="23"/>
  <c r="M52" i="23"/>
  <c r="M77" i="23"/>
  <c r="M14" i="26"/>
  <c r="Q61" i="25"/>
  <c r="N131" i="39" a="1"/>
  <c r="N131" i="39" s="1"/>
  <c r="N418" i="39" a="1"/>
  <c r="N418" i="39" s="1"/>
  <c r="M161" i="23"/>
  <c r="M191" i="23"/>
  <c r="M192" i="23"/>
  <c r="M150" i="23"/>
  <c r="M208" i="23"/>
  <c r="I13" i="42" a="1"/>
  <c r="I13" i="42" s="1"/>
  <c r="N516" i="39" a="1"/>
  <c r="N516" i="39" s="1"/>
  <c r="I162" i="42" a="1"/>
  <c r="I162" i="42" s="1"/>
  <c r="Q65" i="24"/>
  <c r="M211" i="23"/>
  <c r="M8" i="26"/>
  <c r="Q14" i="25"/>
  <c r="Q15" i="25"/>
  <c r="Q112" i="25"/>
  <c r="M184" i="23"/>
  <c r="Q16" i="25"/>
  <c r="M187" i="23"/>
  <c r="M27" i="23"/>
  <c r="M26" i="23"/>
  <c r="G15" i="36" a="1"/>
  <c r="G15" i="36" s="1"/>
  <c r="G73" i="36" a="1"/>
  <c r="G73" i="36" s="1"/>
  <c r="I66" i="36" a="1"/>
  <c r="I66" i="36" s="1"/>
  <c r="I59" i="36" a="1"/>
  <c r="I59" i="36" s="1"/>
  <c r="M59" i="36" s="1"/>
  <c r="I73" i="36" a="1"/>
  <c r="I73" i="36" s="1"/>
  <c r="I52" i="36" a="1"/>
  <c r="I52" i="36" s="1"/>
  <c r="M52" i="36" s="1"/>
  <c r="I66" i="35" a="1"/>
  <c r="I66" i="35" s="1"/>
  <c r="I167" i="35" a="1"/>
  <c r="I167" i="35" s="1"/>
  <c r="N61" i="39" a="1"/>
  <c r="N61" i="39" s="1"/>
  <c r="N405" i="39" a="1"/>
  <c r="N405" i="39" s="1"/>
  <c r="N45" i="40"/>
  <c r="I17" i="35" a="1"/>
  <c r="I17" i="35" s="1"/>
  <c r="I18" i="35" a="1"/>
  <c r="I18" i="35" s="1"/>
  <c r="I149" i="35" a="1"/>
  <c r="I149" i="35" s="1"/>
  <c r="I86" i="42" a="1"/>
  <c r="I86" i="42" s="1"/>
  <c r="G64" i="36" a="1"/>
  <c r="G64" i="36" s="1"/>
  <c r="I88" i="36" a="1"/>
  <c r="I88" i="36" s="1"/>
  <c r="I5" i="42" a="1"/>
  <c r="I5" i="42" s="1"/>
  <c r="O12" i="34"/>
  <c r="I77" i="36" a="1"/>
  <c r="I77" i="36" s="1"/>
  <c r="I40" i="35" a="1"/>
  <c r="I40" i="35" s="1"/>
  <c r="I50" i="36" a="1"/>
  <c r="I50" i="36" s="1"/>
  <c r="I5" i="35" a="1"/>
  <c r="I5" i="35" s="1"/>
  <c r="G88" i="36" a="1"/>
  <c r="G88" i="36" s="1"/>
  <c r="G77" i="36" a="1"/>
  <c r="G77" i="36" s="1"/>
  <c r="H112" i="34" a="1"/>
  <c r="H112" i="34" s="1"/>
  <c r="I64" i="36" a="1"/>
  <c r="I64" i="36" s="1"/>
  <c r="I152" i="35" a="1"/>
  <c r="I152" i="35" s="1"/>
  <c r="I150" i="35" a="1"/>
  <c r="I150" i="35" s="1"/>
  <c r="I161" i="35" a="1"/>
  <c r="I161" i="35" s="1"/>
  <c r="N453" i="39" a="1"/>
  <c r="N453" i="39" s="1"/>
  <c r="N380" i="39" a="1"/>
  <c r="N380" i="39" s="1"/>
  <c r="H51" i="34" a="1"/>
  <c r="H51" i="34" s="1"/>
  <c r="G68" i="36" a="1"/>
  <c r="G68" i="36" s="1"/>
  <c r="I108" i="35" a="1"/>
  <c r="I108" i="35" s="1"/>
  <c r="I4" i="36" a="1"/>
  <c r="I4" i="36" s="1"/>
  <c r="G8" i="36" a="1"/>
  <c r="G8" i="36" s="1"/>
  <c r="I109" i="35" a="1"/>
  <c r="I109" i="35" s="1"/>
  <c r="I28" i="35" a="1"/>
  <c r="I28" i="35" s="1"/>
  <c r="N15" i="40"/>
  <c r="I4" i="35" a="1"/>
  <c r="I4" i="35" s="1"/>
  <c r="H69" i="34" a="1"/>
  <c r="H69" i="34" s="1"/>
  <c r="I105" i="35" a="1"/>
  <c r="I105" i="35" s="1"/>
  <c r="N285" i="39" a="1"/>
  <c r="N285" i="39" s="1"/>
  <c r="G79" i="36" a="1"/>
  <c r="G79" i="36" s="1"/>
  <c r="H97" i="34" a="1"/>
  <c r="H97" i="34" s="1"/>
  <c r="I20" i="35" a="1"/>
  <c r="I20" i="35" s="1"/>
  <c r="I106" i="35" a="1"/>
  <c r="I106" i="35" s="1"/>
  <c r="I68" i="36" a="1"/>
  <c r="I68" i="36" s="1"/>
  <c r="I8" i="36" a="1"/>
  <c r="I8" i="36" s="1"/>
  <c r="I107" i="35" a="1"/>
  <c r="I107" i="35" s="1"/>
  <c r="I79" i="36" a="1"/>
  <c r="I79" i="36" s="1"/>
  <c r="I11" i="35" a="1"/>
  <c r="I11" i="35" s="1"/>
  <c r="I2" i="42" a="1"/>
  <c r="I2" i="42" s="1"/>
  <c r="I7" i="42" a="1"/>
  <c r="I7" i="42" s="1"/>
  <c r="N14" i="40"/>
  <c r="P500" i="39"/>
  <c r="I92" i="36" a="1"/>
  <c r="I92" i="36" s="1"/>
  <c r="I78" i="35" a="1"/>
  <c r="I78" i="35" s="1"/>
  <c r="I69" i="36" a="1"/>
  <c r="I69" i="36" s="1"/>
  <c r="I208" i="35" a="1"/>
  <c r="I208" i="35" s="1"/>
  <c r="I116" i="35" a="1"/>
  <c r="I116" i="35" s="1"/>
  <c r="I98" i="42" a="1"/>
  <c r="I98" i="42" s="1"/>
  <c r="P201" i="39"/>
  <c r="N66" i="39" a="1"/>
  <c r="N66" i="39" s="1"/>
  <c r="P456" i="39"/>
  <c r="N16" i="40"/>
  <c r="N107" i="39" a="1"/>
  <c r="N107" i="39" s="1"/>
  <c r="I59" i="42" a="1"/>
  <c r="I59" i="42" s="1"/>
  <c r="H108" i="34" a="1"/>
  <c r="H108" i="34" s="1"/>
  <c r="O18" i="34"/>
  <c r="H54" i="34" a="1"/>
  <c r="H54" i="34" s="1"/>
  <c r="I141" i="35" a="1"/>
  <c r="I141" i="35" s="1"/>
  <c r="H53" i="34" a="1"/>
  <c r="H53" i="34" s="1"/>
  <c r="G69" i="36" a="1"/>
  <c r="G69" i="36" s="1"/>
  <c r="I115" i="35" a="1"/>
  <c r="I115" i="35" s="1"/>
  <c r="G92" i="36" a="1"/>
  <c r="G92" i="36" s="1"/>
  <c r="I41" i="42" a="1"/>
  <c r="I41" i="42" s="1"/>
  <c r="I37" i="36" a="1"/>
  <c r="I37" i="36" s="1"/>
  <c r="I22" i="35" a="1"/>
  <c r="I22" i="35" s="1"/>
  <c r="N258" i="39" a="1"/>
  <c r="N258" i="39" s="1"/>
  <c r="X258" i="39" s="1"/>
  <c r="P204" i="39"/>
  <c r="N436" i="39" a="1"/>
  <c r="N436" i="39" s="1"/>
  <c r="M37" i="23"/>
  <c r="O49" i="34"/>
  <c r="I98" i="35" a="1"/>
  <c r="I98" i="35" s="1"/>
  <c r="I100" i="35" a="1"/>
  <c r="I100" i="35" s="1"/>
  <c r="I87" i="42" a="1"/>
  <c r="I87" i="42" s="1"/>
  <c r="I99" i="35" a="1"/>
  <c r="I99" i="35" s="1"/>
  <c r="S146" i="39" a="1"/>
  <c r="S146" i="39" s="1"/>
  <c r="I61" i="36" a="1"/>
  <c r="I61" i="36" s="1"/>
  <c r="I89" i="36" a="1"/>
  <c r="I89" i="36" s="1"/>
  <c r="I183" i="35" a="1"/>
  <c r="I183" i="35" s="1"/>
  <c r="I97" i="35" a="1"/>
  <c r="I97" i="35" s="1"/>
  <c r="I36" i="36" a="1"/>
  <c r="I36" i="36" s="1"/>
  <c r="I16" i="35" a="1"/>
  <c r="I16" i="35" s="1"/>
  <c r="I123" i="35" a="1"/>
  <c r="I123" i="35" s="1"/>
  <c r="H103" i="34" a="1"/>
  <c r="H103" i="34" s="1"/>
  <c r="I158" i="35" a="1"/>
  <c r="I158" i="35" s="1"/>
  <c r="N413" i="39" a="1"/>
  <c r="N413" i="39" s="1"/>
  <c r="N51" i="40"/>
  <c r="G36" i="36" a="1"/>
  <c r="G36" i="36" s="1"/>
  <c r="N52" i="40"/>
  <c r="H119" i="34" a="1"/>
  <c r="H119" i="34" s="1"/>
  <c r="I12" i="42" a="1"/>
  <c r="I12" i="42" s="1"/>
  <c r="P317" i="39"/>
  <c r="H102" i="34" a="1"/>
  <c r="H102" i="34" s="1"/>
  <c r="I101" i="35" a="1"/>
  <c r="I101" i="35" s="1"/>
  <c r="N454" i="39" a="1"/>
  <c r="N454" i="39" s="1"/>
  <c r="N66" i="40"/>
  <c r="N12" i="40"/>
  <c r="P476" i="39"/>
  <c r="P161" i="39"/>
  <c r="I8" i="42" a="1"/>
  <c r="I8" i="42" s="1"/>
  <c r="N65" i="39" a="1"/>
  <c r="N65" i="39" s="1"/>
  <c r="N48" i="40"/>
  <c r="N7" i="40"/>
  <c r="I16" i="42" a="1"/>
  <c r="I16" i="42" s="1"/>
  <c r="N149" i="39" a="1"/>
  <c r="N149" i="39" s="1"/>
  <c r="I39" i="35" a="1"/>
  <c r="I39" i="35" s="1"/>
  <c r="I21" i="35" a="1"/>
  <c r="I21" i="35" s="1"/>
  <c r="I102" i="35" a="1"/>
  <c r="I102" i="35" s="1"/>
  <c r="I15" i="36" a="1"/>
  <c r="I15" i="36" s="1"/>
  <c r="H74" i="34" a="1"/>
  <c r="H74" i="34" s="1"/>
  <c r="H70" i="34" a="1"/>
  <c r="H70" i="34" s="1"/>
  <c r="I41" i="36" a="1"/>
  <c r="I41" i="36" s="1"/>
  <c r="I44" i="42" a="1"/>
  <c r="I44" i="42" s="1"/>
  <c r="H71" i="34" a="1"/>
  <c r="H71" i="34" s="1"/>
  <c r="G20" i="36" a="1"/>
  <c r="G20" i="36" s="1"/>
  <c r="M20" i="36" s="1"/>
  <c r="G41" i="36" a="1"/>
  <c r="G41" i="36" s="1"/>
  <c r="I89" i="35" a="1"/>
  <c r="I89" i="35" s="1"/>
  <c r="N41" i="40"/>
  <c r="N64" i="40"/>
  <c r="N63" i="40"/>
  <c r="N74" i="40"/>
  <c r="P237" i="39"/>
  <c r="I46" i="35" a="1"/>
  <c r="I46" i="35" s="1"/>
  <c r="I26" i="36" a="1"/>
  <c r="I26" i="36" s="1"/>
  <c r="N4" i="40"/>
  <c r="N35" i="40"/>
  <c r="N65" i="40"/>
  <c r="N73" i="40"/>
  <c r="N395" i="39" a="1"/>
  <c r="N395" i="39" s="1"/>
  <c r="P477" i="39"/>
  <c r="N72" i="40"/>
  <c r="O105" i="41"/>
  <c r="O103" i="41"/>
  <c r="O104" i="41"/>
  <c r="N46" i="39" a="1"/>
  <c r="N46" i="39" s="1"/>
  <c r="N62" i="39" a="1"/>
  <c r="N62" i="39" s="1"/>
  <c r="N56" i="39" a="1"/>
  <c r="N56" i="39" s="1"/>
  <c r="I84" i="43" a="1"/>
  <c r="I84" i="43" s="1"/>
  <c r="I4" i="43" a="1"/>
  <c r="I4" i="43" s="1"/>
  <c r="I85" i="43" a="1"/>
  <c r="I85" i="43" s="1"/>
  <c r="I112" i="43" a="1"/>
  <c r="I112" i="43" s="1"/>
  <c r="I97" i="43" a="1"/>
  <c r="I97" i="43" s="1"/>
  <c r="I3" i="43" a="1"/>
  <c r="I3" i="43" s="1"/>
  <c r="N432" i="39" a="1"/>
  <c r="N432" i="39" s="1"/>
  <c r="M106" i="36"/>
  <c r="O9" i="41"/>
  <c r="O76" i="41"/>
  <c r="O7" i="41"/>
  <c r="O10" i="41"/>
  <c r="O8" i="41"/>
  <c r="M114" i="36"/>
  <c r="M14" i="36"/>
  <c r="M97" i="36"/>
  <c r="I37" i="35" a="1"/>
  <c r="I37" i="35" s="1"/>
  <c r="M71" i="36"/>
  <c r="M30" i="36"/>
  <c r="N545" i="39" a="1"/>
  <c r="N545" i="39" s="1"/>
  <c r="N177" i="39" a="1"/>
  <c r="N177" i="39" s="1"/>
  <c r="N185" i="39" a="1"/>
  <c r="N185" i="39" s="1"/>
  <c r="N11" i="39" a="1"/>
  <c r="N11" i="39" s="1"/>
  <c r="N132" i="39" a="1"/>
  <c r="N132" i="39" s="1"/>
  <c r="N394" i="39" a="1"/>
  <c r="N394" i="39" s="1"/>
  <c r="N170" i="39" a="1"/>
  <c r="N170" i="39" s="1"/>
  <c r="N342" i="39" a="1"/>
  <c r="N342" i="39" s="1"/>
  <c r="N118" i="39" a="1"/>
  <c r="N118" i="39" s="1"/>
  <c r="N390" i="39" a="1"/>
  <c r="N390" i="39" s="1"/>
  <c r="N83" i="39" a="1"/>
  <c r="N83" i="39" s="1"/>
  <c r="N433" i="39" a="1"/>
  <c r="N433" i="39" s="1"/>
  <c r="N400" i="39" a="1"/>
  <c r="N400" i="39" s="1"/>
  <c r="N82" i="39" a="1"/>
  <c r="N82" i="39" s="1"/>
  <c r="N127" i="39" a="1"/>
  <c r="N127" i="39" s="1"/>
  <c r="N506" i="39" a="1"/>
  <c r="N506" i="39" s="1"/>
  <c r="X506" i="39" s="1"/>
  <c r="N78" i="39" a="1"/>
  <c r="N78" i="39" s="1"/>
  <c r="N290" i="39" a="1"/>
  <c r="N290" i="39" s="1"/>
  <c r="N238" i="39" a="1"/>
  <c r="N238" i="39" s="1"/>
  <c r="N124" i="39" a="1"/>
  <c r="N124" i="39" s="1"/>
  <c r="N397" i="39" a="1"/>
  <c r="N397" i="39" s="1"/>
  <c r="X397" i="39" s="1"/>
  <c r="N562" i="39" a="1"/>
  <c r="N562" i="39" s="1"/>
  <c r="N414" i="39" a="1"/>
  <c r="N414" i="39" s="1"/>
  <c r="N193" i="39" a="1"/>
  <c r="N193" i="39" s="1"/>
  <c r="N71" i="39" a="1"/>
  <c r="N71" i="39" s="1"/>
  <c r="N119" i="39" a="1"/>
  <c r="N119" i="39" s="1"/>
  <c r="N73" i="39" a="1"/>
  <c r="N73" i="39" s="1"/>
  <c r="N98" i="39" a="1"/>
  <c r="N98" i="39" s="1"/>
  <c r="N166" i="39" a="1"/>
  <c r="N166" i="39" s="1"/>
  <c r="N378" i="39" a="1"/>
  <c r="N378" i="39" s="1"/>
  <c r="N386" i="39" a="1"/>
  <c r="N386" i="39" s="1"/>
  <c r="N398" i="39" a="1"/>
  <c r="N398" i="39" s="1"/>
  <c r="N271" i="39" a="1"/>
  <c r="N271" i="39" s="1"/>
  <c r="N360" i="39" a="1"/>
  <c r="N360" i="39" s="1"/>
  <c r="N31" i="39" a="1"/>
  <c r="N31" i="39" s="1"/>
  <c r="N142" i="39" a="1"/>
  <c r="N142" i="39" s="1"/>
  <c r="N426" i="39" a="1"/>
  <c r="N426" i="39" s="1"/>
  <c r="N451" i="39" a="1"/>
  <c r="N451" i="39" s="1"/>
  <c r="N182" i="39" a="1"/>
  <c r="N182" i="39" s="1"/>
  <c r="N468" i="39" a="1"/>
  <c r="N468" i="39" s="1"/>
  <c r="N325" i="39" a="1"/>
  <c r="N325" i="39" s="1"/>
  <c r="I4" i="42" a="1"/>
  <c r="I4" i="42" s="1"/>
  <c r="N379" i="39" a="1"/>
  <c r="N379" i="39" s="1"/>
  <c r="I89" i="42" a="1"/>
  <c r="I89" i="42" s="1"/>
  <c r="N459" i="39" a="1"/>
  <c r="N459" i="39" s="1"/>
  <c r="G40" i="36" a="1"/>
  <c r="G40" i="36" s="1"/>
  <c r="AY38" i="3"/>
  <c r="M65" i="36"/>
  <c r="M116" i="36"/>
  <c r="M80" i="36"/>
  <c r="AO3" i="38"/>
  <c r="I20" i="43" s="1" a="1"/>
  <c r="I20" i="43" s="1"/>
  <c r="I110" i="43" a="1"/>
  <c r="I110" i="43" s="1"/>
  <c r="I27" i="43" a="1"/>
  <c r="I27" i="43" s="1"/>
  <c r="I44" i="43" a="1"/>
  <c r="I44" i="43" s="1"/>
  <c r="I8" i="43" a="1"/>
  <c r="I8" i="43" s="1"/>
  <c r="I98" i="43" a="1"/>
  <c r="I98" i="43" s="1"/>
  <c r="I101" i="43" a="1"/>
  <c r="I101" i="43" s="1"/>
  <c r="I109" i="43" a="1"/>
  <c r="I109" i="43" s="1"/>
  <c r="I111" i="43" a="1"/>
  <c r="I111" i="43" s="1"/>
  <c r="I103" i="43" a="1"/>
  <c r="I103" i="43" s="1"/>
  <c r="I42" i="43" a="1"/>
  <c r="I42" i="43" s="1"/>
  <c r="I34" i="43" a="1"/>
  <c r="I34" i="43" s="1"/>
  <c r="I96" i="43" a="1"/>
  <c r="I96" i="43" s="1"/>
  <c r="I14" i="43" a="1"/>
  <c r="I14" i="43" s="1"/>
  <c r="I36" i="43" a="1"/>
  <c r="I36" i="43" s="1"/>
  <c r="I31" i="43" a="1"/>
  <c r="I31" i="43" s="1"/>
  <c r="I13" i="43" a="1"/>
  <c r="I13" i="43" s="1"/>
  <c r="I26" i="43" a="1"/>
  <c r="I26" i="43" s="1"/>
  <c r="I72" i="43" a="1"/>
  <c r="I72" i="43" s="1"/>
  <c r="I39" i="43" a="1"/>
  <c r="I39" i="43" s="1"/>
  <c r="I66" i="43" a="1"/>
  <c r="I66" i="43" s="1"/>
  <c r="I68" i="43" a="1"/>
  <c r="I68" i="43" s="1"/>
  <c r="I81" i="43" a="1"/>
  <c r="I81" i="43" s="1"/>
  <c r="I94" i="43" a="1"/>
  <c r="I94" i="43" s="1"/>
  <c r="I87" i="43" a="1"/>
  <c r="I87" i="43" s="1"/>
  <c r="I100" i="43" a="1"/>
  <c r="I100" i="43" s="1"/>
  <c r="I82" i="43" a="1"/>
  <c r="I82" i="43" s="1"/>
  <c r="I15" i="43" a="1"/>
  <c r="I15" i="43" s="1"/>
  <c r="I89" i="43" a="1"/>
  <c r="I89" i="43" s="1"/>
  <c r="I105" i="43" a="1"/>
  <c r="I105" i="43" s="1"/>
  <c r="I67" i="43" a="1"/>
  <c r="I67" i="43" s="1"/>
  <c r="I102" i="43" a="1"/>
  <c r="I102" i="43" s="1"/>
  <c r="I62" i="43" a="1"/>
  <c r="I62" i="43" s="1"/>
  <c r="I30" i="43" a="1"/>
  <c r="I30" i="43" s="1"/>
  <c r="I6" i="43" a="1"/>
  <c r="I6" i="43" s="1"/>
  <c r="I28" i="43" a="1"/>
  <c r="I28" i="43" s="1"/>
  <c r="I63" i="43" a="1"/>
  <c r="I63" i="43" s="1"/>
  <c r="I65" i="43" a="1"/>
  <c r="I65" i="43" s="1"/>
  <c r="I61" i="43" a="1"/>
  <c r="I61" i="43" s="1"/>
  <c r="I41" i="43" a="1"/>
  <c r="I41" i="43" s="1"/>
  <c r="I9" i="43" a="1"/>
  <c r="I9" i="43" s="1"/>
  <c r="I107" i="43" a="1"/>
  <c r="I107" i="43" s="1"/>
  <c r="I70" i="43" a="1"/>
  <c r="I70" i="43" s="1"/>
  <c r="I17" i="43" a="1"/>
  <c r="I17" i="43" s="1"/>
  <c r="I99" i="43" a="1"/>
  <c r="I99" i="43" s="1"/>
  <c r="I95" i="43" a="1"/>
  <c r="I95" i="43" s="1"/>
  <c r="I32" i="43" a="1"/>
  <c r="I32" i="43" s="1"/>
  <c r="I79" i="43" a="1"/>
  <c r="I79" i="43" s="1"/>
  <c r="I106" i="43" a="1"/>
  <c r="I106" i="43" s="1"/>
  <c r="I52" i="43" a="1"/>
  <c r="I52" i="43" s="1"/>
  <c r="I114" i="43" a="1"/>
  <c r="I114" i="43" s="1"/>
  <c r="I80" i="43" a="1"/>
  <c r="I80" i="43" s="1"/>
  <c r="I104" i="43" a="1"/>
  <c r="I104" i="43" s="1"/>
  <c r="I73" i="43" a="1"/>
  <c r="I73" i="43" s="1"/>
  <c r="I25" i="43" a="1"/>
  <c r="I25" i="43" s="1"/>
  <c r="I38" i="43" a="1"/>
  <c r="I38" i="43" s="1"/>
  <c r="I113" i="43" a="1"/>
  <c r="I113" i="43" s="1"/>
  <c r="I75" i="43" a="1"/>
  <c r="I75" i="43" s="1"/>
  <c r="I108" i="43" a="1"/>
  <c r="I108" i="43" s="1"/>
  <c r="I40" i="43" a="1"/>
  <c r="I40" i="43" s="1"/>
  <c r="I7" i="43" a="1"/>
  <c r="I7" i="43" s="1"/>
  <c r="I29" i="43" a="1"/>
  <c r="I29" i="43" s="1"/>
  <c r="I83" i="43" a="1"/>
  <c r="I83" i="43" s="1"/>
  <c r="I53" i="43" a="1"/>
  <c r="I53" i="43" s="1"/>
  <c r="I117" i="43" a="1"/>
  <c r="I117" i="43" s="1"/>
  <c r="I74" i="43" a="1"/>
  <c r="I74" i="43" s="1"/>
  <c r="I45" i="43" a="1"/>
  <c r="I45" i="43" s="1"/>
  <c r="I43" i="43" a="1"/>
  <c r="I43" i="43" s="1"/>
  <c r="I51" i="43" a="1"/>
  <c r="I51" i="43" s="1"/>
  <c r="I115" i="43" a="1"/>
  <c r="I115" i="43" s="1"/>
  <c r="I33" i="43" a="1"/>
  <c r="I33" i="43" s="1"/>
  <c r="I88" i="43" a="1"/>
  <c r="I88" i="43" s="1"/>
  <c r="I93" i="43" a="1"/>
  <c r="I93" i="43" s="1"/>
  <c r="I16" i="43" a="1"/>
  <c r="I16" i="43" s="1"/>
  <c r="I21" i="43" a="1"/>
  <c r="I21" i="43" s="1"/>
  <c r="I54" i="43" a="1"/>
  <c r="I54" i="43" s="1"/>
  <c r="M42" i="36"/>
  <c r="M111" i="36"/>
  <c r="M98" i="36"/>
  <c r="M55" i="36"/>
  <c r="M86" i="36"/>
  <c r="M51" i="36"/>
  <c r="M35" i="36"/>
  <c r="M94" i="36"/>
  <c r="M93" i="36"/>
  <c r="M21" i="36"/>
  <c r="M22" i="36"/>
  <c r="M72" i="36"/>
  <c r="M75" i="36"/>
  <c r="M90" i="36"/>
  <c r="M107" i="36"/>
  <c r="M38" i="36"/>
  <c r="M117" i="36"/>
  <c r="M91" i="36"/>
  <c r="M103" i="36"/>
  <c r="M62" i="36"/>
  <c r="M60" i="36"/>
  <c r="M82" i="36"/>
  <c r="M95" i="36"/>
  <c r="M74" i="36"/>
  <c r="M109" i="36"/>
  <c r="M70" i="36"/>
  <c r="M81" i="36"/>
  <c r="M17" i="36"/>
  <c r="M29" i="36"/>
  <c r="M16" i="36"/>
  <c r="M104" i="36"/>
  <c r="M110" i="36"/>
  <c r="M100" i="36"/>
  <c r="M85" i="36"/>
  <c r="M87" i="36"/>
  <c r="M108" i="36"/>
  <c r="M115" i="36"/>
  <c r="M102" i="36"/>
  <c r="M99" i="36"/>
  <c r="M43" i="36"/>
  <c r="M45" i="36"/>
  <c r="O90" i="41"/>
  <c r="O89" i="41"/>
  <c r="O88" i="41"/>
  <c r="O118" i="41"/>
  <c r="O80" i="41"/>
  <c r="O13" i="41"/>
  <c r="O12" i="41"/>
  <c r="O11" i="41"/>
  <c r="O20" i="41"/>
  <c r="O18" i="41"/>
  <c r="O19" i="41"/>
  <c r="O45" i="41"/>
  <c r="O48" i="41"/>
  <c r="O46" i="41"/>
  <c r="O91" i="41"/>
  <c r="O47" i="41"/>
  <c r="O17" i="41"/>
  <c r="O32" i="41"/>
  <c r="O30" i="41"/>
  <c r="O31" i="41"/>
  <c r="O2" i="41"/>
  <c r="O37" i="41"/>
  <c r="O39" i="41"/>
  <c r="O38" i="41"/>
  <c r="O112" i="41"/>
  <c r="O111" i="41"/>
  <c r="O36" i="41"/>
  <c r="O113" i="41"/>
  <c r="O43" i="41"/>
  <c r="O42" i="41"/>
  <c r="O41" i="41"/>
  <c r="O40" i="41"/>
  <c r="O114" i="41"/>
  <c r="O92" i="41"/>
  <c r="O94" i="41"/>
  <c r="O93" i="41"/>
  <c r="O82" i="41"/>
  <c r="O81" i="41"/>
  <c r="O25" i="41"/>
  <c r="O74" i="41"/>
  <c r="O29" i="41"/>
  <c r="O75" i="41"/>
  <c r="O119" i="41"/>
  <c r="O121" i="41"/>
  <c r="O95" i="41"/>
  <c r="O120" i="41"/>
  <c r="O55" i="41"/>
  <c r="O56" i="41"/>
  <c r="O57" i="41"/>
  <c r="O54" i="41"/>
  <c r="O117" i="41"/>
  <c r="O116" i="41"/>
  <c r="O122" i="41"/>
  <c r="O115" i="41"/>
  <c r="O5" i="41"/>
  <c r="O110" i="41"/>
  <c r="O4" i="41"/>
  <c r="O3" i="41"/>
  <c r="O100" i="41"/>
  <c r="O65" i="41"/>
  <c r="O102" i="41"/>
  <c r="O101" i="41"/>
  <c r="O124" i="41"/>
  <c r="O21" i="41"/>
  <c r="O125" i="41"/>
  <c r="O123" i="41"/>
  <c r="O71" i="41"/>
  <c r="O83" i="41"/>
  <c r="O72" i="41"/>
  <c r="O70" i="41"/>
  <c r="O106" i="41"/>
  <c r="O16" i="41"/>
  <c r="O15" i="41"/>
  <c r="O28" i="41"/>
  <c r="O26" i="41"/>
  <c r="O27" i="41"/>
  <c r="O44" i="41"/>
  <c r="G19" i="36" a="1"/>
  <c r="G19" i="36" s="1"/>
  <c r="G24" i="36" a="1"/>
  <c r="G24" i="36" s="1"/>
  <c r="I24" i="36" a="1"/>
  <c r="I24" i="36" s="1"/>
  <c r="I54" i="36" a="1"/>
  <c r="I54" i="36" s="1"/>
  <c r="I19" i="36" a="1"/>
  <c r="I19" i="36" s="1"/>
  <c r="H24" i="36" a="1"/>
  <c r="H24" i="36" s="1"/>
  <c r="H19" i="36" a="1"/>
  <c r="H19" i="36" s="1"/>
  <c r="H54" i="36" a="1"/>
  <c r="H54" i="36" s="1"/>
  <c r="I179" i="35" a="1"/>
  <c r="I179" i="35" s="1"/>
  <c r="N32" i="40"/>
  <c r="H115" i="34" a="1"/>
  <c r="H115" i="34" s="1"/>
  <c r="I36" i="35" a="1"/>
  <c r="I36" i="35" s="1"/>
  <c r="I35" i="35" a="1"/>
  <c r="I35" i="35" s="1"/>
  <c r="H113" i="34" a="1"/>
  <c r="H113" i="34" s="1"/>
  <c r="I83" i="35" a="1"/>
  <c r="I83" i="35" s="1"/>
  <c r="I39" i="36" a="1"/>
  <c r="I39" i="36" s="1"/>
  <c r="O52" i="34"/>
  <c r="H114" i="34" a="1"/>
  <c r="H114" i="34" s="1"/>
  <c r="G54" i="36" a="1"/>
  <c r="G54" i="36" s="1"/>
  <c r="I155" i="35" a="1"/>
  <c r="I155" i="35" s="1"/>
  <c r="I2" i="35" a="1"/>
  <c r="I2" i="35" s="1"/>
  <c r="N8" i="40"/>
  <c r="G44" i="36" a="1"/>
  <c r="G44" i="36" s="1"/>
  <c r="G67" i="36" a="1"/>
  <c r="G67" i="36" s="1"/>
  <c r="I67" i="36" a="1"/>
  <c r="I67" i="36" s="1"/>
  <c r="G78" i="36" a="1"/>
  <c r="G78" i="36" s="1"/>
  <c r="M78" i="36" s="1"/>
  <c r="I91" i="35" a="1"/>
  <c r="I91" i="35" s="1"/>
  <c r="I44" i="36" a="1"/>
  <c r="I44" i="36" s="1"/>
  <c r="I92" i="35" a="1"/>
  <c r="I92" i="35" s="1"/>
  <c r="H32" i="34" a="1"/>
  <c r="H32" i="34" s="1"/>
  <c r="N9" i="40"/>
  <c r="O39" i="34"/>
  <c r="H67" i="36" a="1"/>
  <c r="H67" i="36" s="1"/>
  <c r="H33" i="34" a="1"/>
  <c r="H33" i="34" s="1"/>
  <c r="H44" i="36" a="1"/>
  <c r="H44" i="36" s="1"/>
  <c r="I90" i="35" a="1"/>
  <c r="I90" i="35" s="1"/>
  <c r="H79" i="34" a="1"/>
  <c r="H79" i="34" s="1"/>
  <c r="I62" i="35" a="1"/>
  <c r="I62" i="35" s="1"/>
  <c r="I11" i="36" a="1"/>
  <c r="I11" i="36" s="1"/>
  <c r="I43" i="35" a="1"/>
  <c r="I43" i="35" s="1"/>
  <c r="I94" i="35" a="1"/>
  <c r="I94" i="35" s="1"/>
  <c r="S94" i="39" a="1"/>
  <c r="S94" i="39" s="1"/>
  <c r="S370" i="39" a="1"/>
  <c r="S370" i="39" s="1"/>
  <c r="S465" i="39" a="1"/>
  <c r="S465" i="39" s="1"/>
  <c r="S365" i="39" a="1"/>
  <c r="S365" i="39" s="1"/>
  <c r="S362" i="39" a="1"/>
  <c r="S362" i="39" s="1"/>
  <c r="S194" i="39" a="1"/>
  <c r="S194" i="39" s="1"/>
  <c r="S17" i="39" a="1"/>
  <c r="S17" i="39" s="1"/>
  <c r="S25" i="39" a="1"/>
  <c r="S25" i="39" s="1"/>
  <c r="N10" i="40"/>
  <c r="P224" i="39"/>
  <c r="N55" i="40"/>
  <c r="N54" i="40"/>
  <c r="N62" i="40"/>
  <c r="P507" i="39"/>
  <c r="H44" i="34" a="1"/>
  <c r="H44" i="34" s="1"/>
  <c r="G66" i="36" a="1"/>
  <c r="G66" i="36" s="1"/>
  <c r="S3" i="39" a="1"/>
  <c r="S3" i="39" s="1"/>
  <c r="S520" i="39" a="1"/>
  <c r="S520" i="39" s="1"/>
  <c r="S364" i="39" a="1"/>
  <c r="S364" i="39" s="1"/>
  <c r="S59" i="39" a="1"/>
  <c r="S59" i="39" s="1"/>
  <c r="S359" i="39" a="1"/>
  <c r="S359" i="39" s="1"/>
  <c r="S213" i="39" a="1"/>
  <c r="S213" i="39" s="1"/>
  <c r="P212" i="39"/>
  <c r="N60" i="40"/>
  <c r="N13" i="40"/>
  <c r="N61" i="40"/>
  <c r="S352" i="39" a="1"/>
  <c r="S352" i="39" s="1"/>
  <c r="S252" i="39" a="1"/>
  <c r="S252" i="39" s="1"/>
  <c r="S27" i="39" a="1"/>
  <c r="S27" i="39" s="1"/>
  <c r="S111" i="39" a="1"/>
  <c r="S111" i="39" s="1"/>
  <c r="S4" i="39" a="1"/>
  <c r="S4" i="39" s="1"/>
  <c r="S128" i="39" a="1"/>
  <c r="S128" i="39" s="1"/>
  <c r="S411" i="39" a="1"/>
  <c r="S411" i="39" s="1"/>
  <c r="S357" i="39" a="1"/>
  <c r="S357" i="39" s="1"/>
  <c r="S351" i="39" a="1"/>
  <c r="S351" i="39" s="1"/>
  <c r="S304" i="39" a="1"/>
  <c r="S304" i="39" s="1"/>
  <c r="S15" i="39" a="1"/>
  <c r="S15" i="39" s="1"/>
  <c r="S541" i="39" a="1"/>
  <c r="S541" i="39" s="1"/>
  <c r="N47" i="40"/>
  <c r="N46" i="40"/>
  <c r="N21" i="40"/>
  <c r="N11" i="40"/>
  <c r="P282" i="39"/>
  <c r="S34" i="39" a="1"/>
  <c r="S34" i="39" s="1"/>
  <c r="S391" i="39" a="1"/>
  <c r="S391" i="39" s="1"/>
  <c r="P294" i="39"/>
  <c r="N83" i="40"/>
  <c r="N84" i="40"/>
  <c r="N23" i="40"/>
  <c r="S50" i="39" a="1"/>
  <c r="S50" i="39" s="1"/>
  <c r="S41" i="39" a="1"/>
  <c r="S41" i="39" s="1"/>
  <c r="S16" i="39" a="1"/>
  <c r="S16" i="39" s="1"/>
  <c r="S147" i="39" a="1"/>
  <c r="S147" i="39" s="1"/>
  <c r="S382" i="39" a="1"/>
  <c r="S382" i="39" s="1"/>
  <c r="S501" i="39" a="1"/>
  <c r="S501" i="39" s="1"/>
  <c r="S24" i="39" a="1"/>
  <c r="S24" i="39" s="1"/>
  <c r="S338" i="39" a="1"/>
  <c r="S338" i="39" s="1"/>
  <c r="S369" i="39" a="1"/>
  <c r="S369" i="39" s="1"/>
  <c r="S374" i="39" a="1"/>
  <c r="S374" i="39" s="1"/>
  <c r="S14" i="39" a="1"/>
  <c r="S14" i="39" s="1"/>
  <c r="S481" i="39" a="1"/>
  <c r="S481" i="39" s="1"/>
  <c r="S33" i="39" a="1"/>
  <c r="S33" i="39" s="1"/>
  <c r="S234" i="39" a="1"/>
  <c r="S234" i="39" s="1"/>
  <c r="I93" i="35" a="1"/>
  <c r="I93" i="35" s="1"/>
  <c r="I42" i="35" a="1"/>
  <c r="I42" i="35" s="1"/>
  <c r="I52" i="35" a="1"/>
  <c r="I52" i="35" s="1"/>
  <c r="I64" i="35" a="1"/>
  <c r="I64" i="35" s="1"/>
  <c r="H40" i="36" a="1"/>
  <c r="H40" i="36" s="1"/>
  <c r="I40" i="36" a="1"/>
  <c r="I40" i="36" s="1"/>
  <c r="H117" i="34" a="1"/>
  <c r="H117" i="34" s="1"/>
  <c r="I188" i="35" a="1"/>
  <c r="I188" i="35" s="1"/>
  <c r="H65" i="34" a="1"/>
  <c r="H65" i="34" s="1"/>
  <c r="I44" i="35" a="1"/>
  <c r="I44" i="35" s="1"/>
  <c r="I45" i="35" a="1"/>
  <c r="I45" i="35" s="1"/>
  <c r="I53" i="35" a="1"/>
  <c r="I53" i="35" s="1"/>
  <c r="I154" i="35" a="1"/>
  <c r="I154" i="35" s="1"/>
  <c r="H82" i="34" a="1"/>
  <c r="H82" i="34" s="1"/>
  <c r="I103" i="35" a="1"/>
  <c r="I103" i="35" s="1"/>
  <c r="O98" i="34"/>
  <c r="I65" i="35" a="1"/>
  <c r="I65" i="35" s="1"/>
  <c r="I12" i="36" a="1"/>
  <c r="I12" i="36" s="1"/>
  <c r="M62" i="23"/>
  <c r="M88" i="23"/>
  <c r="M39" i="23"/>
  <c r="M97" i="23"/>
  <c r="M55" i="26"/>
  <c r="M104" i="23"/>
  <c r="M5" i="26"/>
  <c r="M115" i="23"/>
  <c r="M94" i="23"/>
  <c r="M109" i="23"/>
  <c r="M200" i="23"/>
  <c r="M174" i="23"/>
  <c r="M22" i="26"/>
  <c r="M17" i="26"/>
  <c r="M144" i="23"/>
  <c r="M178" i="23"/>
  <c r="M108" i="26"/>
  <c r="M51" i="26"/>
  <c r="M31" i="23"/>
  <c r="H3" i="36" a="1"/>
  <c r="H3" i="36" s="1"/>
  <c r="H96" i="36" a="1"/>
  <c r="H96" i="36" s="1"/>
  <c r="H101" i="36" a="1"/>
  <c r="H101" i="36" s="1"/>
  <c r="I101" i="36" a="1"/>
  <c r="I101" i="36" s="1"/>
  <c r="I3" i="36" a="1"/>
  <c r="I3" i="36" s="1"/>
  <c r="I96" i="36" a="1"/>
  <c r="I96" i="36" s="1"/>
  <c r="I178" i="35" a="1"/>
  <c r="I178" i="35" s="1"/>
  <c r="I128" i="35" a="1"/>
  <c r="I128" i="35" s="1"/>
  <c r="I177" i="35" a="1"/>
  <c r="I177" i="35" s="1"/>
  <c r="I176" i="35" a="1"/>
  <c r="I176" i="35" s="1"/>
  <c r="G3" i="36" a="1"/>
  <c r="G3" i="36" s="1"/>
  <c r="G101" i="36" a="1"/>
  <c r="G101" i="36" s="1"/>
  <c r="G96" i="36" a="1"/>
  <c r="G96" i="36" s="1"/>
  <c r="H67" i="34" a="1"/>
  <c r="H67" i="34" s="1"/>
  <c r="H68" i="34" a="1"/>
  <c r="H68" i="34" s="1"/>
  <c r="H111" i="34" a="1"/>
  <c r="H111" i="34" s="1"/>
  <c r="M106" i="23"/>
  <c r="Q24" i="25"/>
  <c r="M99" i="26"/>
  <c r="Q22" i="25"/>
  <c r="M66" i="26"/>
  <c r="M14" i="23"/>
  <c r="M196" i="23"/>
  <c r="Q68" i="25"/>
  <c r="Q27" i="25"/>
  <c r="M26" i="26"/>
  <c r="M35" i="23"/>
  <c r="M90" i="26"/>
  <c r="M93" i="23"/>
  <c r="M183" i="23"/>
  <c r="Q36" i="24"/>
  <c r="M180" i="23"/>
  <c r="M34" i="23"/>
  <c r="Q17" i="24"/>
  <c r="Q43" i="24"/>
  <c r="Q70" i="24"/>
  <c r="M113" i="23"/>
  <c r="M97" i="26"/>
  <c r="M36" i="23"/>
  <c r="M16" i="26"/>
  <c r="Q14" i="24"/>
  <c r="Q2" i="24"/>
  <c r="Q72" i="24"/>
  <c r="Q25" i="25"/>
  <c r="Q42" i="24"/>
  <c r="M182" i="23"/>
  <c r="Q70" i="25"/>
  <c r="Q113" i="25"/>
  <c r="M52" i="26"/>
  <c r="M110" i="26"/>
  <c r="Q39" i="25"/>
  <c r="Q75" i="24"/>
  <c r="M96" i="23"/>
  <c r="M33" i="23"/>
  <c r="Q48" i="25"/>
  <c r="M102" i="23"/>
  <c r="M107" i="23"/>
  <c r="M32" i="23"/>
  <c r="M59" i="26"/>
  <c r="M67" i="26"/>
  <c r="Q115" i="25"/>
  <c r="Q102" i="25"/>
  <c r="M98" i="23"/>
  <c r="M118" i="23"/>
  <c r="Q21" i="25"/>
  <c r="Q68" i="24"/>
  <c r="M20" i="26"/>
  <c r="M175" i="23"/>
  <c r="M101" i="23"/>
  <c r="Q37" i="24"/>
  <c r="Q11" i="24"/>
  <c r="M112" i="23"/>
  <c r="Q104" i="25"/>
  <c r="M95" i="26"/>
  <c r="M195" i="23"/>
  <c r="Q107" i="25"/>
  <c r="Q69" i="24"/>
  <c r="M63" i="26"/>
  <c r="Q110" i="25"/>
  <c r="Q64" i="25"/>
  <c r="M103" i="26"/>
  <c r="M116" i="23"/>
  <c r="Q79" i="24"/>
  <c r="Q108" i="25"/>
  <c r="Q77" i="24"/>
  <c r="M5" i="23"/>
  <c r="Q44" i="24"/>
  <c r="Q15" i="24"/>
  <c r="Q16" i="24"/>
  <c r="M98" i="26"/>
  <c r="M107" i="26"/>
  <c r="Q76" i="24"/>
  <c r="M30" i="23"/>
  <c r="Q33" i="24"/>
  <c r="M21" i="26"/>
  <c r="Q34" i="24"/>
  <c r="Q95" i="25"/>
  <c r="M38" i="23"/>
  <c r="M41" i="23"/>
  <c r="M91" i="23"/>
  <c r="M201" i="23"/>
  <c r="M172" i="23"/>
  <c r="Q57" i="25"/>
  <c r="M177" i="23"/>
  <c r="M18" i="26"/>
  <c r="M138" i="23"/>
  <c r="Q67" i="25"/>
  <c r="M63" i="23"/>
  <c r="Q73" i="24"/>
  <c r="M89" i="26"/>
  <c r="M3" i="26"/>
  <c r="M173" i="23"/>
  <c r="M54" i="26"/>
  <c r="Q71" i="24"/>
  <c r="Q20" i="25"/>
  <c r="Q103" i="25"/>
  <c r="M64" i="26"/>
  <c r="Q59" i="25"/>
  <c r="Q116" i="25"/>
  <c r="M199" i="23"/>
  <c r="M198" i="23"/>
  <c r="M89" i="23"/>
  <c r="M29" i="23"/>
  <c r="M100" i="23"/>
  <c r="Q62" i="25"/>
  <c r="Q18" i="25"/>
  <c r="Q53" i="25"/>
  <c r="M95" i="23"/>
  <c r="Q105" i="25"/>
  <c r="M19" i="26"/>
  <c r="M193" i="23"/>
  <c r="M103" i="23"/>
  <c r="Q109" i="25"/>
  <c r="Q111" i="25"/>
  <c r="M62" i="26"/>
  <c r="M96" i="26"/>
  <c r="M166" i="23"/>
  <c r="M60" i="26"/>
  <c r="Q12" i="24"/>
  <c r="M12" i="23"/>
  <c r="M100" i="26"/>
  <c r="M87" i="23"/>
  <c r="M99" i="23"/>
  <c r="M108" i="23"/>
  <c r="M110" i="23"/>
  <c r="M181" i="23"/>
  <c r="M176" i="23"/>
  <c r="M142" i="23"/>
  <c r="Q63" i="25"/>
  <c r="Q19" i="25"/>
  <c r="M169" i="23"/>
  <c r="Q114" i="25"/>
  <c r="M90" i="23"/>
  <c r="M28" i="23"/>
  <c r="Q74" i="24"/>
  <c r="M49" i="26"/>
  <c r="Q38" i="24"/>
  <c r="Q80" i="24"/>
  <c r="Q78" i="24"/>
  <c r="Q40" i="24"/>
  <c r="Q13" i="24"/>
  <c r="Q17" i="25"/>
  <c r="Q50" i="25"/>
  <c r="M65" i="23"/>
  <c r="M139" i="23"/>
  <c r="M101" i="26"/>
  <c r="M68" i="26"/>
  <c r="M111" i="23"/>
  <c r="M114" i="23"/>
  <c r="M117" i="23"/>
  <c r="M179" i="23"/>
  <c r="Q58" i="25"/>
  <c r="Q106" i="25"/>
  <c r="Q49" i="25"/>
  <c r="Q96" i="25"/>
  <c r="Q55" i="25"/>
  <c r="Q97" i="25"/>
  <c r="Q86" i="25"/>
  <c r="Q65" i="25"/>
  <c r="Q60" i="25"/>
  <c r="M197" i="23"/>
  <c r="M105" i="23"/>
  <c r="Q24" i="24"/>
  <c r="Q54" i="24"/>
  <c r="M6" i="23"/>
  <c r="Q41" i="24"/>
  <c r="M167" i="23"/>
  <c r="Q85" i="25"/>
  <c r="Q66" i="25"/>
  <c r="Q39" i="24"/>
  <c r="Q98" i="25"/>
  <c r="Q56" i="24"/>
  <c r="M140" i="23"/>
  <c r="M141" i="23"/>
  <c r="Q25" i="24"/>
  <c r="Q51" i="25"/>
  <c r="Q56" i="25"/>
  <c r="Q66" i="24"/>
  <c r="M61" i="23"/>
  <c r="Q37" i="25"/>
  <c r="Q36" i="25"/>
  <c r="M4" i="26"/>
  <c r="Q55" i="24"/>
  <c r="Q84" i="25"/>
  <c r="M80" i="26"/>
  <c r="M64" i="23"/>
  <c r="Q8" i="25"/>
  <c r="M92" i="23"/>
  <c r="Q4" i="25"/>
  <c r="Q3" i="25"/>
  <c r="Q67" i="24"/>
  <c r="Q5" i="25"/>
  <c r="M7" i="23"/>
  <c r="M9" i="23"/>
  <c r="Q101" i="25"/>
  <c r="M171" i="23"/>
  <c r="Q5" i="24"/>
  <c r="Q54" i="25"/>
  <c r="M86" i="23"/>
  <c r="Q31" i="24"/>
  <c r="Q99" i="25"/>
  <c r="Q64" i="24"/>
  <c r="M36" i="26"/>
  <c r="Q35" i="24"/>
  <c r="Q32" i="24"/>
  <c r="M168" i="23"/>
  <c r="M170" i="23"/>
  <c r="M165" i="23"/>
  <c r="M8" i="23"/>
  <c r="Q100" i="25"/>
  <c r="Q52" i="25"/>
  <c r="M6" i="26"/>
  <c r="M10" i="23"/>
  <c r="Q63" i="24"/>
  <c r="Q38" i="25"/>
  <c r="M93" i="26"/>
  <c r="Q30" i="24"/>
  <c r="Q7" i="25"/>
  <c r="M11" i="23"/>
  <c r="M13" i="23"/>
  <c r="Q6" i="25"/>
  <c r="M9" i="26"/>
  <c r="Q6" i="24"/>
  <c r="Q4" i="24"/>
  <c r="AD34" i="19"/>
  <c r="AC34" i="19"/>
  <c r="L34" i="19"/>
  <c r="K34" i="19"/>
  <c r="J34" i="19"/>
  <c r="H34" i="19"/>
  <c r="G34" i="19"/>
  <c r="E34" i="19"/>
  <c r="C34" i="19"/>
  <c r="B34" i="19"/>
  <c r="AD33" i="19"/>
  <c r="AC33" i="19"/>
  <c r="L33" i="19"/>
  <c r="K33" i="19"/>
  <c r="J33" i="19"/>
  <c r="H33" i="19"/>
  <c r="G33" i="19"/>
  <c r="E33" i="19"/>
  <c r="C33" i="19"/>
  <c r="B33" i="19"/>
  <c r="AD32" i="19"/>
  <c r="AC32" i="19"/>
  <c r="L32" i="19"/>
  <c r="K32" i="19"/>
  <c r="J32" i="19"/>
  <c r="H32" i="19"/>
  <c r="G32" i="19"/>
  <c r="E32" i="19"/>
  <c r="C32" i="19"/>
  <c r="B32" i="19"/>
  <c r="AD31" i="19"/>
  <c r="AC31" i="19"/>
  <c r="L31" i="19"/>
  <c r="K31" i="19"/>
  <c r="J31" i="19"/>
  <c r="H31" i="19"/>
  <c r="G31" i="19"/>
  <c r="E31" i="19"/>
  <c r="C31" i="19"/>
  <c r="B31" i="19"/>
  <c r="AD30" i="19"/>
  <c r="AC30" i="19"/>
  <c r="L30" i="19"/>
  <c r="K30" i="19"/>
  <c r="J30" i="19"/>
  <c r="H30" i="19"/>
  <c r="G30" i="19"/>
  <c r="E30" i="19"/>
  <c r="C30" i="19"/>
  <c r="B30" i="19"/>
  <c r="AD29" i="19"/>
  <c r="AC29" i="19"/>
  <c r="L29" i="19"/>
  <c r="K29" i="19"/>
  <c r="J29" i="19"/>
  <c r="H29" i="19"/>
  <c r="G29" i="19"/>
  <c r="E29" i="19"/>
  <c r="C29" i="19"/>
  <c r="B29" i="19"/>
  <c r="AD28" i="19"/>
  <c r="AC28" i="19"/>
  <c r="L28" i="19"/>
  <c r="K28" i="19"/>
  <c r="J28" i="19"/>
  <c r="H28" i="19"/>
  <c r="G28" i="19"/>
  <c r="E28" i="19"/>
  <c r="C28" i="19"/>
  <c r="B28" i="19"/>
  <c r="AD27" i="19"/>
  <c r="AC27" i="19"/>
  <c r="L27" i="19"/>
  <c r="K27" i="19"/>
  <c r="J27" i="19"/>
  <c r="H27" i="19"/>
  <c r="G27" i="19"/>
  <c r="E27" i="19"/>
  <c r="C27" i="19"/>
  <c r="B27" i="19"/>
  <c r="AD26" i="19"/>
  <c r="AC26" i="19"/>
  <c r="L26" i="19"/>
  <c r="K26" i="19"/>
  <c r="J26" i="19"/>
  <c r="H26" i="19"/>
  <c r="G26" i="19"/>
  <c r="E26" i="19"/>
  <c r="C26" i="19"/>
  <c r="B26" i="19"/>
  <c r="AD25" i="19"/>
  <c r="AC25" i="19"/>
  <c r="L25" i="19"/>
  <c r="K25" i="19"/>
  <c r="J25" i="19"/>
  <c r="H25" i="19"/>
  <c r="G25" i="19"/>
  <c r="E25" i="19"/>
  <c r="C25" i="19"/>
  <c r="B25" i="19"/>
  <c r="AD24" i="19"/>
  <c r="AC24" i="19"/>
  <c r="L24" i="19"/>
  <c r="K24" i="19"/>
  <c r="J24" i="19"/>
  <c r="H24" i="19"/>
  <c r="G24" i="19"/>
  <c r="E24" i="19"/>
  <c r="C24" i="19"/>
  <c r="B24" i="19"/>
  <c r="AD23" i="19"/>
  <c r="AC23" i="19"/>
  <c r="L23" i="19"/>
  <c r="K23" i="19"/>
  <c r="J23" i="19"/>
  <c r="H23" i="19"/>
  <c r="G23" i="19"/>
  <c r="E23" i="19"/>
  <c r="C23" i="19"/>
  <c r="B23" i="19"/>
  <c r="AD22" i="19"/>
  <c r="AC22" i="19"/>
  <c r="L22" i="19"/>
  <c r="K22" i="19"/>
  <c r="J22" i="19"/>
  <c r="H22" i="19"/>
  <c r="G22" i="19"/>
  <c r="E22" i="19"/>
  <c r="C22" i="19"/>
  <c r="B22" i="19"/>
  <c r="AD21" i="19"/>
  <c r="AC21" i="19"/>
  <c r="L21" i="19"/>
  <c r="K21" i="19"/>
  <c r="J21" i="19"/>
  <c r="H21" i="19"/>
  <c r="G21" i="19"/>
  <c r="E21" i="19"/>
  <c r="C21" i="19"/>
  <c r="B21" i="19"/>
  <c r="AD20" i="19"/>
  <c r="AC20" i="19"/>
  <c r="L20" i="19"/>
  <c r="K20" i="19"/>
  <c r="J20" i="19"/>
  <c r="H20" i="19"/>
  <c r="G20" i="19"/>
  <c r="E20" i="19"/>
  <c r="C20" i="19"/>
  <c r="B20" i="19"/>
  <c r="AD19" i="19"/>
  <c r="AC19" i="19"/>
  <c r="L19" i="19"/>
  <c r="K19" i="19"/>
  <c r="J19" i="19"/>
  <c r="H19" i="19"/>
  <c r="G19" i="19"/>
  <c r="E19" i="19"/>
  <c r="C19" i="19"/>
  <c r="B19" i="19"/>
  <c r="AD18" i="19"/>
  <c r="AC18" i="19"/>
  <c r="L18" i="19"/>
  <c r="K18" i="19"/>
  <c r="J18" i="19"/>
  <c r="H18" i="19"/>
  <c r="G18" i="19"/>
  <c r="E18" i="19"/>
  <c r="C18" i="19"/>
  <c r="B18" i="19"/>
  <c r="AD17" i="19"/>
  <c r="AC17" i="19"/>
  <c r="L17" i="19"/>
  <c r="K17" i="19"/>
  <c r="J17" i="19"/>
  <c r="H17" i="19"/>
  <c r="G17" i="19"/>
  <c r="E17" i="19"/>
  <c r="C17" i="19"/>
  <c r="B17" i="19"/>
  <c r="AD16" i="19"/>
  <c r="AC16" i="19"/>
  <c r="L16" i="19"/>
  <c r="K16" i="19"/>
  <c r="J16" i="19"/>
  <c r="H16" i="19"/>
  <c r="G16" i="19"/>
  <c r="E16" i="19"/>
  <c r="C16" i="19"/>
  <c r="B16" i="19"/>
  <c r="AD15" i="19"/>
  <c r="AC15" i="19"/>
  <c r="L15" i="19"/>
  <c r="K15" i="19"/>
  <c r="J15" i="19"/>
  <c r="H15" i="19"/>
  <c r="G15" i="19"/>
  <c r="E15" i="19"/>
  <c r="C15" i="19"/>
  <c r="B15" i="19"/>
  <c r="AD14" i="19"/>
  <c r="AC14" i="19"/>
  <c r="L14" i="19"/>
  <c r="K14" i="19"/>
  <c r="J14" i="19"/>
  <c r="H14" i="19"/>
  <c r="G14" i="19"/>
  <c r="E14" i="19"/>
  <c r="C14" i="19"/>
  <c r="B14" i="19"/>
  <c r="AD13" i="19"/>
  <c r="AC13" i="19"/>
  <c r="L13" i="19"/>
  <c r="K13" i="19"/>
  <c r="J13" i="19"/>
  <c r="H13" i="19"/>
  <c r="G13" i="19"/>
  <c r="E13" i="19"/>
  <c r="C13" i="19"/>
  <c r="B13" i="19"/>
  <c r="AD12" i="19"/>
  <c r="AC12" i="19"/>
  <c r="L12" i="19"/>
  <c r="K12" i="19"/>
  <c r="J12" i="19"/>
  <c r="H12" i="19"/>
  <c r="G12" i="19"/>
  <c r="E12" i="19"/>
  <c r="C12" i="19"/>
  <c r="B12" i="19"/>
  <c r="AH197" i="1"/>
  <c r="AC11" i="19"/>
  <c r="Z197" i="1"/>
  <c r="R46" i="3" s="1"/>
  <c r="P11" i="34" s="1"/>
  <c r="Y197" i="1"/>
  <c r="R11" i="3" s="1"/>
  <c r="V197" i="1"/>
  <c r="BE11" i="3" s="1"/>
  <c r="K33" i="36" s="1"/>
  <c r="U197" i="1"/>
  <c r="BD11" i="3" s="1"/>
  <c r="J33" i="36" s="1"/>
  <c r="T197" i="1"/>
  <c r="AV46" i="3" s="1"/>
  <c r="S197" i="1"/>
  <c r="AU46" i="3" s="1"/>
  <c r="R197" i="1"/>
  <c r="AM46" i="3" s="1"/>
  <c r="K70" i="35" s="1" a="1"/>
  <c r="K70" i="35" s="1"/>
  <c r="Q197" i="1"/>
  <c r="AL46" i="3" s="1"/>
  <c r="J70" i="35" s="1" a="1"/>
  <c r="J70" i="35" s="1"/>
  <c r="P197" i="1"/>
  <c r="AV11" i="3" s="1"/>
  <c r="K54" i="35" s="1" a="1"/>
  <c r="K54" i="35" s="1"/>
  <c r="O197" i="1"/>
  <c r="AU11" i="3" s="1"/>
  <c r="J54" i="35" s="1" a="1"/>
  <c r="J54" i="35" s="1"/>
  <c r="N197" i="1"/>
  <c r="AM11" i="3" s="1"/>
  <c r="M197" i="1"/>
  <c r="AL11" i="3" s="1"/>
  <c r="J197" i="1"/>
  <c r="I197" i="1"/>
  <c r="H197" i="1"/>
  <c r="J11" i="19" s="1"/>
  <c r="G197" i="1"/>
  <c r="F197" i="1"/>
  <c r="E197" i="1"/>
  <c r="D197" i="1"/>
  <c r="C197" i="1"/>
  <c r="AI179" i="1"/>
  <c r="AD10" i="19"/>
  <c r="AC10" i="19"/>
  <c r="L10" i="19"/>
  <c r="K10" i="19"/>
  <c r="J10" i="19"/>
  <c r="H10" i="19"/>
  <c r="G10" i="19"/>
  <c r="E10" i="19"/>
  <c r="C10" i="19"/>
  <c r="AD9" i="19"/>
  <c r="AC9" i="19"/>
  <c r="L9" i="19"/>
  <c r="K9" i="19"/>
  <c r="J9" i="19"/>
  <c r="H9" i="19"/>
  <c r="G9" i="19"/>
  <c r="E9" i="19"/>
  <c r="C9" i="19"/>
  <c r="B9" i="19"/>
  <c r="AD8" i="19"/>
  <c r="AC8" i="19"/>
  <c r="L8" i="19"/>
  <c r="K8" i="19"/>
  <c r="J8" i="19"/>
  <c r="H8" i="19"/>
  <c r="G8" i="19"/>
  <c r="E8" i="19"/>
  <c r="C8" i="19"/>
  <c r="B8" i="19"/>
  <c r="AD7" i="19"/>
  <c r="AC7" i="19"/>
  <c r="L7" i="19"/>
  <c r="K7" i="19"/>
  <c r="J7" i="19"/>
  <c r="H7" i="19"/>
  <c r="G7" i="19"/>
  <c r="E7" i="19"/>
  <c r="C7" i="19"/>
  <c r="B7" i="19"/>
  <c r="AD6" i="19"/>
  <c r="AC6" i="19"/>
  <c r="L6" i="19"/>
  <c r="K6" i="19"/>
  <c r="J6" i="19"/>
  <c r="H6" i="19"/>
  <c r="G6" i="19"/>
  <c r="E6" i="19"/>
  <c r="C6" i="19"/>
  <c r="B6" i="19"/>
  <c r="AD5" i="19"/>
  <c r="AC5" i="19"/>
  <c r="L5" i="19"/>
  <c r="K5" i="19"/>
  <c r="J5" i="19"/>
  <c r="H5" i="19"/>
  <c r="G5" i="19"/>
  <c r="E5" i="19"/>
  <c r="C5" i="19"/>
  <c r="B5" i="19"/>
  <c r="AD4" i="19"/>
  <c r="AC4" i="19"/>
  <c r="L4" i="19"/>
  <c r="K4" i="19"/>
  <c r="J4" i="19"/>
  <c r="H4" i="19"/>
  <c r="G4" i="19"/>
  <c r="E4" i="19"/>
  <c r="C4" i="19"/>
  <c r="B4" i="19"/>
  <c r="C3" i="19"/>
  <c r="E3" i="19"/>
  <c r="G3" i="19"/>
  <c r="H3" i="19"/>
  <c r="J3" i="19"/>
  <c r="K3" i="19"/>
  <c r="L3" i="19"/>
  <c r="AC3" i="19"/>
  <c r="AD3" i="19"/>
  <c r="P62" i="33" l="1"/>
  <c r="P7" i="33"/>
  <c r="P61" i="33"/>
  <c r="K211" i="35" a="1"/>
  <c r="K211" i="35" s="1"/>
  <c r="K112" i="35" a="1"/>
  <c r="K112" i="35" s="1"/>
  <c r="K213" i="35" a="1"/>
  <c r="K213" i="35" s="1"/>
  <c r="K214" i="35" a="1"/>
  <c r="K214" i="35" s="1"/>
  <c r="K212" i="35" a="1"/>
  <c r="K212" i="35" s="1"/>
  <c r="J212" i="35" a="1"/>
  <c r="J212" i="35" s="1"/>
  <c r="J112" i="35" a="1"/>
  <c r="J112" i="35" s="1"/>
  <c r="J211" i="35" a="1"/>
  <c r="J211" i="35" s="1"/>
  <c r="J214" i="35" a="1"/>
  <c r="J214" i="35" s="1"/>
  <c r="J213" i="35" a="1"/>
  <c r="J213" i="35" s="1"/>
  <c r="I19" i="43" a="1"/>
  <c r="I19" i="43" s="1"/>
  <c r="I18" i="43" a="1"/>
  <c r="I18" i="43" s="1"/>
  <c r="N97" i="39" a="1"/>
  <c r="N97" i="39" s="1"/>
  <c r="N114" i="39" a="1"/>
  <c r="N114" i="39" s="1"/>
  <c r="I71" i="43" a="1"/>
  <c r="I71" i="43" s="1"/>
  <c r="I57" i="43" a="1"/>
  <c r="I57" i="43" s="1"/>
  <c r="P22" i="34"/>
  <c r="P55" i="34"/>
  <c r="P41" i="33"/>
  <c r="P79" i="33"/>
  <c r="K13" i="36"/>
  <c r="K47" i="36"/>
  <c r="J13" i="36"/>
  <c r="J47" i="36"/>
  <c r="K189" i="35" a="1"/>
  <c r="K189" i="35" s="1"/>
  <c r="K159" i="35" a="1"/>
  <c r="K159" i="35" s="1"/>
  <c r="K160" i="35" a="1"/>
  <c r="K160" i="35" s="1"/>
  <c r="J159" i="35" a="1"/>
  <c r="J159" i="35" s="1"/>
  <c r="J189" i="35" a="1"/>
  <c r="J189" i="35" s="1"/>
  <c r="J160" i="35" a="1"/>
  <c r="J160" i="35" s="1"/>
  <c r="K76" i="35" a="1"/>
  <c r="K76" i="35" s="1"/>
  <c r="K148" i="35" a="1"/>
  <c r="K148" i="35" s="1"/>
  <c r="J76" i="35" a="1"/>
  <c r="J76" i="35" s="1"/>
  <c r="J148" i="35" a="1"/>
  <c r="J148" i="35" s="1"/>
  <c r="K57" i="35" a="1"/>
  <c r="K57" i="35" s="1"/>
  <c r="K63" i="35" a="1"/>
  <c r="K63" i="35" s="1"/>
  <c r="J57" i="35" a="1"/>
  <c r="J57" i="35" s="1"/>
  <c r="J63" i="35" a="1"/>
  <c r="J63" i="35" s="1"/>
  <c r="K32" i="35" a="1"/>
  <c r="K32" i="35" s="1"/>
  <c r="K15" i="35" a="1"/>
  <c r="K15" i="35" s="1"/>
  <c r="J32" i="35" a="1"/>
  <c r="J32" i="35" s="1"/>
  <c r="J15" i="35" a="1"/>
  <c r="J15" i="35" s="1"/>
  <c r="N28" i="39" a="1"/>
  <c r="N28" i="39" s="1"/>
  <c r="I69" i="43" a="1"/>
  <c r="I69" i="43" s="1"/>
  <c r="N181" i="39" a="1"/>
  <c r="N181" i="39" s="1"/>
  <c r="P52" i="33"/>
  <c r="P16" i="33"/>
  <c r="P53" i="33"/>
  <c r="K168" i="35" a="1"/>
  <c r="K168" i="35" s="1"/>
  <c r="K170" i="35" a="1"/>
  <c r="K170" i="35" s="1"/>
  <c r="K169" i="35" a="1"/>
  <c r="K169" i="35" s="1"/>
  <c r="K95" i="35" a="1"/>
  <c r="K95" i="35" s="1"/>
  <c r="J95" i="35" a="1"/>
  <c r="J95" i="35" s="1"/>
  <c r="J169" i="35" a="1"/>
  <c r="J169" i="35" s="1"/>
  <c r="J168" i="35" a="1"/>
  <c r="J168" i="35" s="1"/>
  <c r="J170" i="35" a="1"/>
  <c r="J170" i="35" s="1"/>
  <c r="M73" i="36"/>
  <c r="M66" i="36"/>
  <c r="M15" i="36"/>
  <c r="I86" i="43" a="1"/>
  <c r="I86" i="43" s="1"/>
  <c r="I35" i="43" a="1"/>
  <c r="I35" i="43" s="1"/>
  <c r="N420" i="39" a="1"/>
  <c r="N420" i="39" s="1"/>
  <c r="I37" i="43" a="1"/>
  <c r="I37" i="43" s="1"/>
  <c r="I78" i="43" a="1"/>
  <c r="I78" i="43" s="1"/>
  <c r="N218" i="39" a="1"/>
  <c r="N218" i="39" s="1"/>
  <c r="P28" i="34"/>
  <c r="P30" i="34"/>
  <c r="P27" i="33"/>
  <c r="P36" i="33"/>
  <c r="K53" i="36"/>
  <c r="K83" i="36"/>
  <c r="J53" i="36"/>
  <c r="J83" i="36"/>
  <c r="K181" i="35" a="1"/>
  <c r="K181" i="35" s="1"/>
  <c r="K19" i="35" a="1"/>
  <c r="K19" i="35" s="1"/>
  <c r="J181" i="35" a="1"/>
  <c r="J181" i="35" s="1"/>
  <c r="J19" i="35" a="1"/>
  <c r="J19" i="35" s="1"/>
  <c r="K156" i="35" a="1"/>
  <c r="K156" i="35" s="1"/>
  <c r="K171" i="35" a="1"/>
  <c r="K171" i="35" s="1"/>
  <c r="J156" i="35" a="1"/>
  <c r="J156" i="35" s="1"/>
  <c r="J171" i="35" a="1"/>
  <c r="J171" i="35" s="1"/>
  <c r="K142" i="35" a="1"/>
  <c r="K142" i="35" s="1"/>
  <c r="K145" i="35" a="1"/>
  <c r="K145" i="35" s="1"/>
  <c r="J142" i="35" a="1"/>
  <c r="J142" i="35" s="1"/>
  <c r="J145" i="35" a="1"/>
  <c r="J145" i="35" s="1"/>
  <c r="K130" i="35" a="1"/>
  <c r="K130" i="35" s="1"/>
  <c r="K119" i="35" a="1"/>
  <c r="K119" i="35" s="1"/>
  <c r="J130" i="35" a="1"/>
  <c r="J130" i="35" s="1"/>
  <c r="J119" i="35" a="1"/>
  <c r="J119" i="35" s="1"/>
  <c r="M64" i="36"/>
  <c r="M88" i="36"/>
  <c r="M77" i="36"/>
  <c r="I46" i="43" a="1"/>
  <c r="I46" i="43" s="1"/>
  <c r="N307" i="39" a="1"/>
  <c r="N307" i="39" s="1"/>
  <c r="I47" i="43" a="1"/>
  <c r="I47" i="43" s="1"/>
  <c r="I49" i="43" a="1"/>
  <c r="I49" i="43" s="1"/>
  <c r="I48" i="43" a="1"/>
  <c r="I48" i="43" s="1"/>
  <c r="N419" i="39" a="1"/>
  <c r="N419" i="39" s="1"/>
  <c r="P39" i="33"/>
  <c r="P30" i="33"/>
  <c r="K7" i="35" a="1"/>
  <c r="K7" i="35" s="1"/>
  <c r="K6" i="35" a="1"/>
  <c r="K6" i="35" s="1"/>
  <c r="K9" i="35" a="1"/>
  <c r="K9" i="35" s="1"/>
  <c r="K8" i="35" a="1"/>
  <c r="K8" i="35" s="1"/>
  <c r="K194" i="35" a="1"/>
  <c r="K194" i="35" s="1"/>
  <c r="J9" i="35" a="1"/>
  <c r="J9" i="35" s="1"/>
  <c r="J8" i="35" a="1"/>
  <c r="J8" i="35" s="1"/>
  <c r="J7" i="35" a="1"/>
  <c r="J7" i="35" s="1"/>
  <c r="J6" i="35" a="1"/>
  <c r="J6" i="35" s="1"/>
  <c r="J194" i="35" a="1"/>
  <c r="J194" i="35" s="1"/>
  <c r="M68" i="36"/>
  <c r="M8" i="36"/>
  <c r="M79" i="36"/>
  <c r="I58" i="43" a="1"/>
  <c r="I58" i="43" s="1"/>
  <c r="N64" i="39" a="1"/>
  <c r="N64" i="39" s="1"/>
  <c r="I59" i="43" a="1"/>
  <c r="I59" i="43" s="1"/>
  <c r="N524" i="39" a="1"/>
  <c r="N524" i="39" s="1"/>
  <c r="I60" i="43" a="1"/>
  <c r="I60" i="43" s="1"/>
  <c r="I2" i="43" a="1"/>
  <c r="I2" i="43" s="1"/>
  <c r="P37" i="34"/>
  <c r="P45" i="34"/>
  <c r="P67" i="33"/>
  <c r="P66" i="33"/>
  <c r="P81" i="33"/>
  <c r="K58" i="36"/>
  <c r="K31" i="36"/>
  <c r="J58" i="36"/>
  <c r="J31" i="36"/>
  <c r="K173" i="35" a="1"/>
  <c r="K173" i="35" s="1"/>
  <c r="K154" i="35" a="1"/>
  <c r="K154" i="35" s="1"/>
  <c r="J173" i="35" a="1"/>
  <c r="J173" i="35" s="1"/>
  <c r="J154" i="35" a="1"/>
  <c r="J154" i="35" s="1"/>
  <c r="K147" i="35" a="1"/>
  <c r="K147" i="35" s="1"/>
  <c r="K53" i="35" a="1"/>
  <c r="K53" i="35" s="1"/>
  <c r="J147" i="35" a="1"/>
  <c r="J147" i="35" s="1"/>
  <c r="J53" i="35" a="1"/>
  <c r="J53" i="35" s="1"/>
  <c r="K135" i="35" a="1"/>
  <c r="K135" i="35" s="1"/>
  <c r="K30" i="35" a="1"/>
  <c r="K30" i="35" s="1"/>
  <c r="J135" i="35" a="1"/>
  <c r="J135" i="35" s="1"/>
  <c r="J30" i="35" a="1"/>
  <c r="J30" i="35" s="1"/>
  <c r="M92" i="36"/>
  <c r="M69" i="36"/>
  <c r="N150" i="39" a="1"/>
  <c r="N150" i="39" s="1"/>
  <c r="I64" i="43" a="1"/>
  <c r="I64" i="43" s="1"/>
  <c r="I77" i="43" a="1"/>
  <c r="I77" i="43" s="1"/>
  <c r="N425" i="39" a="1"/>
  <c r="N425" i="39" s="1"/>
  <c r="N255" i="39" a="1"/>
  <c r="N255" i="39" s="1"/>
  <c r="M36" i="36"/>
  <c r="I56" i="43" a="1"/>
  <c r="I56" i="43" s="1"/>
  <c r="I55" i="43" a="1"/>
  <c r="I55" i="43" s="1"/>
  <c r="I116" i="43" a="1"/>
  <c r="I116" i="43" s="1"/>
  <c r="P47" i="33"/>
  <c r="P46" i="33"/>
  <c r="P33" i="33"/>
  <c r="J185" i="35" a="1"/>
  <c r="J185" i="35" s="1"/>
  <c r="J184" i="35" a="1"/>
  <c r="J184" i="35" s="1"/>
  <c r="J182" i="35" a="1"/>
  <c r="J182" i="35" s="1"/>
  <c r="K184" i="35" a="1"/>
  <c r="K184" i="35" s="1"/>
  <c r="K182" i="35" a="1"/>
  <c r="K182" i="35" s="1"/>
  <c r="K185" i="35" a="1"/>
  <c r="K185" i="35" s="1"/>
  <c r="N505" i="39" a="1"/>
  <c r="N505" i="39" s="1"/>
  <c r="N443" i="39" a="1"/>
  <c r="N443" i="39" s="1"/>
  <c r="I92" i="43" a="1"/>
  <c r="I92" i="43" s="1"/>
  <c r="I5" i="43" a="1"/>
  <c r="I5" i="43" s="1"/>
  <c r="N67" i="39" a="1"/>
  <c r="N67" i="39" s="1"/>
  <c r="I90" i="43" a="1"/>
  <c r="I90" i="43" s="1"/>
  <c r="I91" i="43" a="1"/>
  <c r="I91" i="43" s="1"/>
  <c r="N485" i="39" a="1"/>
  <c r="N485" i="39" s="1"/>
  <c r="I12" i="43" a="1"/>
  <c r="I12" i="43" s="1"/>
  <c r="M41" i="36"/>
  <c r="I50" i="43" a="1"/>
  <c r="I50" i="43" s="1"/>
  <c r="I11" i="43" a="1"/>
  <c r="I11" i="43" s="1"/>
  <c r="I10" i="43" a="1"/>
  <c r="I10" i="43" s="1"/>
  <c r="N165" i="39" a="1"/>
  <c r="N165" i="39" s="1"/>
  <c r="K151" i="35" a="1"/>
  <c r="K151" i="35" s="1"/>
  <c r="K51" i="35" a="1"/>
  <c r="K51" i="35" s="1"/>
  <c r="J174" i="35" a="1"/>
  <c r="J174" i="35" s="1"/>
  <c r="J138" i="35" a="1"/>
  <c r="J138" i="35" s="1"/>
  <c r="K193" i="35" a="1"/>
  <c r="K193" i="35" s="1"/>
  <c r="K209" i="35" a="1"/>
  <c r="K209" i="35" s="1"/>
  <c r="J84" i="36"/>
  <c r="J28" i="36"/>
  <c r="K84" i="36"/>
  <c r="K28" i="36"/>
  <c r="K174" i="35" a="1"/>
  <c r="K174" i="35" s="1"/>
  <c r="K138" i="35" a="1"/>
  <c r="K138" i="35" s="1"/>
  <c r="P25" i="33"/>
  <c r="P38" i="33"/>
  <c r="J151" i="35" a="1"/>
  <c r="J151" i="35" s="1"/>
  <c r="J51" i="35" a="1"/>
  <c r="J51" i="35" s="1"/>
  <c r="P27" i="34"/>
  <c r="P2" i="34"/>
  <c r="J136" i="35" a="1"/>
  <c r="J136" i="35" s="1"/>
  <c r="J24" i="35" a="1"/>
  <c r="J24" i="35" s="1"/>
  <c r="J209" i="35" a="1"/>
  <c r="J209" i="35" s="1"/>
  <c r="J193" i="35" a="1"/>
  <c r="J193" i="35" s="1"/>
  <c r="K136" i="35" a="1"/>
  <c r="K136" i="35" s="1"/>
  <c r="K24" i="35" a="1"/>
  <c r="K24" i="35" s="1"/>
  <c r="K197" i="35" a="1"/>
  <c r="K197" i="35" s="1"/>
  <c r="K196" i="35" a="1"/>
  <c r="K196" i="35" s="1"/>
  <c r="K192" i="35" a="1"/>
  <c r="K192" i="35" s="1"/>
  <c r="J197" i="35" a="1"/>
  <c r="J197" i="35" s="1"/>
  <c r="J192" i="35" a="1"/>
  <c r="J192" i="35" s="1"/>
  <c r="J196" i="35" a="1"/>
  <c r="J196" i="35" s="1"/>
  <c r="N428" i="39" a="1"/>
  <c r="N428" i="39" s="1"/>
  <c r="N198" i="39" a="1"/>
  <c r="N198" i="39" s="1"/>
  <c r="I24" i="43" a="1"/>
  <c r="I24" i="43" s="1"/>
  <c r="I22" i="43" a="1"/>
  <c r="I22" i="43" s="1"/>
  <c r="I23" i="43" a="1"/>
  <c r="I23" i="43" s="1"/>
  <c r="I76" i="43" a="1"/>
  <c r="I76" i="43" s="1"/>
  <c r="M40" i="36"/>
  <c r="M96" i="36"/>
  <c r="M54" i="36"/>
  <c r="M67" i="36"/>
  <c r="M44" i="36"/>
  <c r="M101" i="36"/>
  <c r="M24" i="36"/>
  <c r="M3" i="36"/>
  <c r="M19" i="36"/>
  <c r="R11" i="38"/>
  <c r="P86" i="33"/>
  <c r="P28" i="33"/>
  <c r="P85" i="33"/>
  <c r="P36" i="40"/>
  <c r="P75" i="40"/>
  <c r="P17" i="40"/>
  <c r="P40" i="40"/>
  <c r="AR11" i="38"/>
  <c r="K56" i="36"/>
  <c r="AQ11" i="38"/>
  <c r="J56" i="36"/>
  <c r="AI46" i="38"/>
  <c r="K134" i="35" a="1"/>
  <c r="K134" i="35" s="1"/>
  <c r="K133" i="35" a="1"/>
  <c r="K133" i="35" s="1"/>
  <c r="K195" i="35" a="1"/>
  <c r="K195" i="35" s="1"/>
  <c r="AH46" i="38"/>
  <c r="J133" i="35" a="1"/>
  <c r="J133" i="35" s="1"/>
  <c r="J134" i="35" a="1"/>
  <c r="J134" i="35" s="1"/>
  <c r="J195" i="35" a="1"/>
  <c r="J195" i="35" s="1"/>
  <c r="K20" i="35" a="1"/>
  <c r="K20" i="35" s="1"/>
  <c r="Z46" i="38"/>
  <c r="K163" i="35" a="1"/>
  <c r="K163" i="35" s="1"/>
  <c r="Y46" i="38"/>
  <c r="J163" i="35" a="1"/>
  <c r="J163" i="35" s="1"/>
  <c r="K11" i="35" a="1"/>
  <c r="K11" i="35" s="1"/>
  <c r="AI11" i="38"/>
  <c r="K146" i="35" a="1"/>
  <c r="K146" i="35" s="1"/>
  <c r="AH11" i="38"/>
  <c r="J146" i="35" a="1"/>
  <c r="J146" i="35" s="1"/>
  <c r="Z11" i="38"/>
  <c r="K131" i="35" a="1"/>
  <c r="K131" i="35" s="1"/>
  <c r="Y11" i="38"/>
  <c r="J131" i="35" a="1"/>
  <c r="J131" i="35" s="1"/>
  <c r="J84" i="35" a="1"/>
  <c r="J84" i="35" s="1"/>
  <c r="J20" i="35" a="1"/>
  <c r="J20" i="35" s="1"/>
  <c r="K28" i="35" a="1"/>
  <c r="K28" i="35" s="1"/>
  <c r="K108" i="35" a="1"/>
  <c r="K108" i="35" s="1"/>
  <c r="K107" i="35" a="1"/>
  <c r="K107" i="35" s="1"/>
  <c r="K106" i="35" a="1"/>
  <c r="K106" i="35" s="1"/>
  <c r="K4" i="35" a="1"/>
  <c r="K4" i="35" s="1"/>
  <c r="K105" i="35" a="1"/>
  <c r="K105" i="35" s="1"/>
  <c r="J28" i="35" a="1"/>
  <c r="J28" i="35" s="1"/>
  <c r="J108" i="35" a="1"/>
  <c r="J108" i="35" s="1"/>
  <c r="J105" i="35" a="1"/>
  <c r="J105" i="35" s="1"/>
  <c r="J106" i="35" a="1"/>
  <c r="J106" i="35" s="1"/>
  <c r="J4" i="35" a="1"/>
  <c r="J4" i="35" s="1"/>
  <c r="J107" i="35" a="1"/>
  <c r="J107" i="35" s="1"/>
  <c r="J122" i="35" a="1"/>
  <c r="J122" i="35" s="1"/>
  <c r="J11" i="35" a="1"/>
  <c r="J11" i="35" s="1"/>
  <c r="J29" i="35" a="1"/>
  <c r="J29" i="35" s="1"/>
  <c r="J109" i="35" a="1"/>
  <c r="J109" i="35" s="1"/>
  <c r="K29" i="35" a="1"/>
  <c r="K29" i="35" s="1"/>
  <c r="K109" i="35" a="1"/>
  <c r="K109" i="35" s="1"/>
  <c r="K188" i="35" a="1"/>
  <c r="K188" i="35" s="1"/>
  <c r="K45" i="35" a="1"/>
  <c r="K45" i="35" s="1"/>
  <c r="K44" i="35" a="1"/>
  <c r="K44" i="35" s="1"/>
  <c r="J45" i="35" a="1"/>
  <c r="J45" i="35" s="1"/>
  <c r="J44" i="35" a="1"/>
  <c r="J44" i="35" s="1"/>
  <c r="J188" i="35" a="1"/>
  <c r="J188" i="35" s="1"/>
  <c r="K83" i="35" a="1"/>
  <c r="K83" i="35" s="1"/>
  <c r="K84" i="35" a="1"/>
  <c r="K84" i="35" s="1"/>
  <c r="K2" i="35" a="1"/>
  <c r="K2" i="35" s="1"/>
  <c r="K122" i="35" a="1"/>
  <c r="K122" i="35" s="1"/>
  <c r="P25" i="34"/>
  <c r="AE11" i="3"/>
  <c r="P40" i="33"/>
  <c r="P64" i="33"/>
  <c r="AQ3" i="3" a="1"/>
  <c r="J2" i="35" a="1"/>
  <c r="J2" i="35" s="1"/>
  <c r="AQ38" i="3" a="1"/>
  <c r="J35" i="35" a="1"/>
  <c r="J35" i="35" s="1"/>
  <c r="J179" i="35" a="1"/>
  <c r="J179" i="35" s="1"/>
  <c r="J36" i="35" a="1"/>
  <c r="J36" i="35" s="1"/>
  <c r="J155" i="35" a="1"/>
  <c r="J155" i="35" s="1"/>
  <c r="K155" i="35" a="1"/>
  <c r="K155" i="35" s="1"/>
  <c r="K179" i="35" a="1"/>
  <c r="K179" i="35" s="1"/>
  <c r="K36" i="35" a="1"/>
  <c r="K36" i="35" s="1"/>
  <c r="K35" i="35" a="1"/>
  <c r="K35" i="35" s="1"/>
  <c r="AZ3" i="3" a="1"/>
  <c r="J39" i="36"/>
  <c r="AI3" i="3"/>
  <c r="K37" i="35" a="1"/>
  <c r="K37" i="35" s="1"/>
  <c r="AH38" i="3" a="1"/>
  <c r="J83" i="35" a="1"/>
  <c r="J83" i="35" s="1"/>
  <c r="BA3" i="3"/>
  <c r="K39" i="36"/>
  <c r="L38" i="3" a="1"/>
  <c r="P46" i="34"/>
  <c r="AH3" i="3" a="1"/>
  <c r="J37" i="35" a="1"/>
  <c r="J37" i="35" s="1"/>
  <c r="L3" i="3" a="1"/>
  <c r="P29" i="33"/>
  <c r="P57" i="33"/>
  <c r="AD11" i="19"/>
  <c r="AD45" i="19" s="1"/>
  <c r="E46" i="3"/>
  <c r="AR66" i="3"/>
  <c r="AR61" i="3"/>
  <c r="AR41" i="3"/>
  <c r="AR68" i="3"/>
  <c r="AR64" i="3"/>
  <c r="AR54" i="3"/>
  <c r="AR55" i="3"/>
  <c r="AR44" i="3"/>
  <c r="AR46" i="3"/>
  <c r="AR50" i="3"/>
  <c r="AR51" i="3"/>
  <c r="AR56" i="3"/>
  <c r="AR40" i="3"/>
  <c r="AR58" i="3"/>
  <c r="AR42" i="3"/>
  <c r="AR48" i="3"/>
  <c r="AR38" i="3"/>
  <c r="AR49" i="3"/>
  <c r="AR45" i="3"/>
  <c r="AR53" i="3"/>
  <c r="AR60" i="3"/>
  <c r="AR59" i="3"/>
  <c r="AR52" i="3"/>
  <c r="AR69" i="3"/>
  <c r="AR65" i="3"/>
  <c r="AR62" i="3"/>
  <c r="AR67" i="3"/>
  <c r="AR63" i="3"/>
  <c r="AR43" i="3"/>
  <c r="AR47" i="3"/>
  <c r="AR57" i="3"/>
  <c r="AR39" i="3"/>
  <c r="AI44" i="3"/>
  <c r="AI62" i="3"/>
  <c r="AI46" i="3"/>
  <c r="AI43" i="3"/>
  <c r="AI55" i="3"/>
  <c r="AI57" i="3"/>
  <c r="AI56" i="3"/>
  <c r="AI41" i="3"/>
  <c r="AI50" i="3"/>
  <c r="AI45" i="3"/>
  <c r="AI66" i="3"/>
  <c r="AI59" i="3"/>
  <c r="AI61" i="3"/>
  <c r="AI53" i="3"/>
  <c r="AI64" i="3"/>
  <c r="AI58" i="3"/>
  <c r="AI68" i="3"/>
  <c r="AI54" i="3"/>
  <c r="AI48" i="3"/>
  <c r="AI69" i="3"/>
  <c r="AI63" i="3"/>
  <c r="AI39" i="3"/>
  <c r="AI38" i="3"/>
  <c r="AI47" i="3"/>
  <c r="AI42" i="3"/>
  <c r="AI65" i="3"/>
  <c r="AI60" i="3"/>
  <c r="AI40" i="3"/>
  <c r="AI49" i="3"/>
  <c r="AI52" i="3"/>
  <c r="AI51" i="3"/>
  <c r="AI67" i="3"/>
  <c r="AR12" i="3"/>
  <c r="AR9" i="3"/>
  <c r="AR20" i="3"/>
  <c r="AR34" i="3"/>
  <c r="AR33" i="3"/>
  <c r="AR21" i="3"/>
  <c r="AR14" i="3"/>
  <c r="AR24" i="3"/>
  <c r="AR4" i="3"/>
  <c r="AR13" i="3"/>
  <c r="AR30" i="3"/>
  <c r="AR23" i="3"/>
  <c r="AR29" i="3"/>
  <c r="AR11" i="3"/>
  <c r="AR25" i="3"/>
  <c r="AR3" i="3"/>
  <c r="AR28" i="3"/>
  <c r="AR15" i="3"/>
  <c r="AR22" i="3"/>
  <c r="AR10" i="3"/>
  <c r="AR17" i="3"/>
  <c r="AR27" i="3"/>
  <c r="AR26" i="3"/>
  <c r="AR32" i="3"/>
  <c r="AR6" i="3"/>
  <c r="AR5" i="3"/>
  <c r="AR18" i="3"/>
  <c r="AR7" i="3"/>
  <c r="AR8" i="3"/>
  <c r="AR19" i="3"/>
  <c r="AR16" i="3"/>
  <c r="AR31" i="3"/>
  <c r="L11" i="19"/>
  <c r="L45" i="19" s="1"/>
  <c r="P46" i="3"/>
  <c r="N11" i="34" s="1"/>
  <c r="K11" i="19"/>
  <c r="K45" i="19" s="1"/>
  <c r="O46" i="3"/>
  <c r="M11" i="34" s="1"/>
  <c r="H11" i="19"/>
  <c r="H45" i="19" s="1"/>
  <c r="AA46" i="3"/>
  <c r="G11" i="19"/>
  <c r="N46" i="3"/>
  <c r="E11" i="19"/>
  <c r="E45" i="19" s="1"/>
  <c r="O11" i="3"/>
  <c r="C11" i="19"/>
  <c r="C45" i="19" s="1"/>
  <c r="Q11" i="3"/>
  <c r="B11" i="19"/>
  <c r="N11" i="3"/>
  <c r="F19" i="19"/>
  <c r="F21" i="19"/>
  <c r="F34" i="19"/>
  <c r="F26" i="19"/>
  <c r="F22" i="19"/>
  <c r="F18" i="19"/>
  <c r="F20" i="19"/>
  <c r="F13" i="19"/>
  <c r="F15" i="19"/>
  <c r="F32" i="19"/>
  <c r="F24" i="19"/>
  <c r="F10" i="19"/>
  <c r="F12" i="19"/>
  <c r="F14" i="19"/>
  <c r="F16" i="19"/>
  <c r="F33" i="19"/>
  <c r="F23" i="19"/>
  <c r="F30" i="19"/>
  <c r="F4" i="19"/>
  <c r="F6" i="19"/>
  <c r="F8" i="19"/>
  <c r="F17" i="19"/>
  <c r="F25" i="19"/>
  <c r="F27" i="19"/>
  <c r="F28" i="19"/>
  <c r="F29" i="19"/>
  <c r="F31" i="19"/>
  <c r="F9" i="19"/>
  <c r="F7" i="19"/>
  <c r="F5" i="19"/>
  <c r="F3" i="19"/>
  <c r="G58" i="19"/>
  <c r="G54" i="19"/>
  <c r="G63" i="19"/>
  <c r="G41" i="19"/>
  <c r="G64" i="19"/>
  <c r="G65" i="19"/>
  <c r="G68" i="19"/>
  <c r="G44" i="19"/>
  <c r="G47" i="19"/>
  <c r="G42" i="19"/>
  <c r="G61" i="19"/>
  <c r="G40" i="19"/>
  <c r="G66" i="19"/>
  <c r="G67" i="19"/>
  <c r="G39" i="19"/>
  <c r="G57" i="19"/>
  <c r="G56" i="19"/>
  <c r="G51" i="19"/>
  <c r="G46" i="19"/>
  <c r="G50" i="19"/>
  <c r="G59" i="19"/>
  <c r="G62" i="19"/>
  <c r="G52" i="19"/>
  <c r="G55" i="19"/>
  <c r="G43" i="19"/>
  <c r="G48" i="19"/>
  <c r="G49" i="19"/>
  <c r="G37" i="19"/>
  <c r="G38" i="19"/>
  <c r="G53" i="19"/>
  <c r="G60" i="19"/>
  <c r="E42" i="19"/>
  <c r="E41" i="19"/>
  <c r="E49" i="19"/>
  <c r="E58" i="19"/>
  <c r="E38" i="19"/>
  <c r="E43" i="19"/>
  <c r="E60" i="19"/>
  <c r="E44" i="19"/>
  <c r="E48" i="19"/>
  <c r="E51" i="19"/>
  <c r="E67" i="19"/>
  <c r="E52" i="19"/>
  <c r="E57" i="19"/>
  <c r="E63" i="19"/>
  <c r="E55" i="19"/>
  <c r="E47" i="19"/>
  <c r="E65" i="19"/>
  <c r="E56" i="19"/>
  <c r="E62" i="19"/>
  <c r="E40" i="19"/>
  <c r="E61" i="19"/>
  <c r="E46" i="19"/>
  <c r="E53" i="19"/>
  <c r="E66" i="19"/>
  <c r="E68" i="19"/>
  <c r="E39" i="19"/>
  <c r="E54" i="19"/>
  <c r="E50" i="19"/>
  <c r="E37" i="19"/>
  <c r="E59" i="19"/>
  <c r="E64" i="19"/>
  <c r="AD68" i="19"/>
  <c r="AD57" i="19"/>
  <c r="AD42" i="19"/>
  <c r="AD63" i="19"/>
  <c r="AD65" i="19"/>
  <c r="AD37" i="19"/>
  <c r="AD48" i="19"/>
  <c r="AD53" i="19"/>
  <c r="AD58" i="19"/>
  <c r="AD43" i="19"/>
  <c r="AD50" i="19"/>
  <c r="AD56" i="19"/>
  <c r="AD61" i="19"/>
  <c r="AD62" i="19"/>
  <c r="AD38" i="19"/>
  <c r="AD40" i="19"/>
  <c r="AD60" i="19"/>
  <c r="AD51" i="19"/>
  <c r="AD67" i="19"/>
  <c r="AD39" i="19"/>
  <c r="AD52" i="19"/>
  <c r="AD55" i="19"/>
  <c r="AD54" i="19"/>
  <c r="AD41" i="19"/>
  <c r="AD66" i="19"/>
  <c r="AD46" i="19"/>
  <c r="AD59" i="19"/>
  <c r="AD49" i="19"/>
  <c r="AD47" i="19"/>
  <c r="AD64" i="19"/>
  <c r="AD44" i="19"/>
  <c r="L64" i="19"/>
  <c r="L40" i="19"/>
  <c r="L42" i="19"/>
  <c r="L38" i="19"/>
  <c r="L41" i="19"/>
  <c r="L46" i="19"/>
  <c r="L65" i="19"/>
  <c r="L50" i="19"/>
  <c r="L67" i="19"/>
  <c r="L56" i="19"/>
  <c r="L55" i="19"/>
  <c r="L61" i="19"/>
  <c r="L52" i="19"/>
  <c r="L37" i="19"/>
  <c r="L44" i="19"/>
  <c r="L49" i="19"/>
  <c r="L63" i="19"/>
  <c r="L39" i="19"/>
  <c r="L62" i="19"/>
  <c r="L60" i="19"/>
  <c r="L68" i="19"/>
  <c r="L53" i="19"/>
  <c r="L58" i="19"/>
  <c r="L54" i="19"/>
  <c r="L47" i="19"/>
  <c r="L57" i="19"/>
  <c r="L43" i="19"/>
  <c r="L51" i="19"/>
  <c r="L59" i="19"/>
  <c r="L66" i="19"/>
  <c r="L48" i="19"/>
  <c r="C61" i="19"/>
  <c r="C55" i="19"/>
  <c r="C64" i="19"/>
  <c r="C52" i="19"/>
  <c r="C37" i="19"/>
  <c r="C50" i="19"/>
  <c r="C39" i="19"/>
  <c r="C62" i="19"/>
  <c r="C48" i="19"/>
  <c r="C58" i="19"/>
  <c r="C67" i="19"/>
  <c r="C47" i="19"/>
  <c r="C68" i="19"/>
  <c r="C56" i="19"/>
  <c r="C40" i="19"/>
  <c r="C44" i="19"/>
  <c r="C46" i="19"/>
  <c r="C66" i="19"/>
  <c r="C41" i="19"/>
  <c r="C43" i="19"/>
  <c r="C57" i="19"/>
  <c r="C53" i="19"/>
  <c r="C38" i="19"/>
  <c r="C51" i="19"/>
  <c r="C42" i="19"/>
  <c r="C49" i="19"/>
  <c r="C63" i="19"/>
  <c r="C54" i="19"/>
  <c r="C59" i="19"/>
  <c r="C60" i="19"/>
  <c r="C65" i="19"/>
  <c r="K60" i="19"/>
  <c r="K52" i="19"/>
  <c r="K54" i="19"/>
  <c r="K46" i="19"/>
  <c r="K39" i="19"/>
  <c r="K38" i="19"/>
  <c r="K57" i="19"/>
  <c r="K44" i="19"/>
  <c r="K66" i="19"/>
  <c r="K50" i="19"/>
  <c r="K43" i="19"/>
  <c r="K51" i="19"/>
  <c r="K67" i="19"/>
  <c r="K40" i="19"/>
  <c r="K63" i="19"/>
  <c r="K58" i="19"/>
  <c r="K56" i="19"/>
  <c r="K42" i="19"/>
  <c r="K68" i="19"/>
  <c r="K49" i="19"/>
  <c r="K65" i="19"/>
  <c r="K37" i="19"/>
  <c r="K53" i="19"/>
  <c r="K59" i="19"/>
  <c r="K62" i="19"/>
  <c r="K47" i="19"/>
  <c r="K48" i="19"/>
  <c r="K64" i="19"/>
  <c r="K41" i="19"/>
  <c r="K55" i="19"/>
  <c r="K61" i="19"/>
  <c r="H40" i="19"/>
  <c r="H68" i="19"/>
  <c r="H66" i="19"/>
  <c r="H46" i="19"/>
  <c r="H67" i="19"/>
  <c r="H63" i="19"/>
  <c r="H43" i="19"/>
  <c r="H52" i="19"/>
  <c r="H65" i="19"/>
  <c r="H37" i="19"/>
  <c r="H44" i="19"/>
  <c r="H51" i="19"/>
  <c r="H41" i="19"/>
  <c r="H59" i="19"/>
  <c r="H50" i="19"/>
  <c r="H48" i="19"/>
  <c r="H54" i="19"/>
  <c r="H55" i="19"/>
  <c r="H57" i="19"/>
  <c r="H47" i="19"/>
  <c r="H64" i="19"/>
  <c r="H42" i="19"/>
  <c r="H39" i="19"/>
  <c r="H62" i="19"/>
  <c r="H53" i="19"/>
  <c r="H58" i="19"/>
  <c r="H56" i="19"/>
  <c r="H60" i="19"/>
  <c r="H49" i="19"/>
  <c r="H38" i="19"/>
  <c r="H61" i="19"/>
  <c r="AC55" i="19"/>
  <c r="AC63" i="19"/>
  <c r="AC47" i="19"/>
  <c r="AC45" i="19"/>
  <c r="AC64" i="19"/>
  <c r="AC41" i="19"/>
  <c r="AC37" i="19"/>
  <c r="AC44" i="19"/>
  <c r="AC49" i="19"/>
  <c r="AC60" i="19"/>
  <c r="AC42" i="19"/>
  <c r="AC53" i="19"/>
  <c r="AC43" i="19"/>
  <c r="AC48" i="19"/>
  <c r="AC59" i="19"/>
  <c r="AC66" i="19"/>
  <c r="AC57" i="19"/>
  <c r="AC54" i="19"/>
  <c r="AC38" i="19"/>
  <c r="AC58" i="19"/>
  <c r="AC46" i="19"/>
  <c r="AC67" i="19"/>
  <c r="AC52" i="19"/>
  <c r="AC65" i="19"/>
  <c r="AC51" i="19"/>
  <c r="AC56" i="19"/>
  <c r="AC62" i="19"/>
  <c r="AC39" i="19"/>
  <c r="AC68" i="19"/>
  <c r="AC50" i="19"/>
  <c r="AC61" i="19"/>
  <c r="AC40" i="19"/>
  <c r="J47" i="19"/>
  <c r="J66" i="19"/>
  <c r="J56" i="19"/>
  <c r="J54" i="19"/>
  <c r="J46" i="19"/>
  <c r="J65" i="19"/>
  <c r="J55" i="19"/>
  <c r="J38" i="19"/>
  <c r="J61" i="19"/>
  <c r="J40" i="19"/>
  <c r="J41" i="19"/>
  <c r="J49" i="19"/>
  <c r="J44" i="19"/>
  <c r="J67" i="19"/>
  <c r="J60" i="19"/>
  <c r="J39" i="19"/>
  <c r="J62" i="19"/>
  <c r="J63" i="19"/>
  <c r="J45" i="19"/>
  <c r="J52" i="19"/>
  <c r="J64" i="19"/>
  <c r="J48" i="19"/>
  <c r="J58" i="19"/>
  <c r="J68" i="19"/>
  <c r="J57" i="19"/>
  <c r="J42" i="19"/>
  <c r="J53" i="19"/>
  <c r="J59" i="19"/>
  <c r="J50" i="19"/>
  <c r="J43" i="19"/>
  <c r="J51" i="19"/>
  <c r="J37" i="19"/>
  <c r="D13" i="19"/>
  <c r="AB22" i="2"/>
  <c r="AA22" i="2"/>
  <c r="Z22" i="2"/>
  <c r="T22" i="2"/>
  <c r="S22" i="2"/>
  <c r="R22" i="2"/>
  <c r="Q22" i="2"/>
  <c r="P22" i="2"/>
  <c r="O22" i="2"/>
  <c r="J22" i="2"/>
  <c r="H22" i="2"/>
  <c r="AB21" i="2"/>
  <c r="AA21" i="2"/>
  <c r="Z21" i="2"/>
  <c r="T21" i="2"/>
  <c r="S21" i="2"/>
  <c r="R21" i="2"/>
  <c r="Q21" i="2"/>
  <c r="P21" i="2"/>
  <c r="O21" i="2"/>
  <c r="J21" i="2"/>
  <c r="H21" i="2"/>
  <c r="AB20" i="2"/>
  <c r="AA20" i="2"/>
  <c r="Z20" i="2"/>
  <c r="T20" i="2"/>
  <c r="S20" i="2"/>
  <c r="R20" i="2"/>
  <c r="Q20" i="2"/>
  <c r="P20" i="2"/>
  <c r="O20" i="2"/>
  <c r="J20" i="2"/>
  <c r="H20" i="2"/>
  <c r="AB10" i="2"/>
  <c r="AA10" i="2"/>
  <c r="Z10" i="2"/>
  <c r="T10" i="2"/>
  <c r="S10" i="2"/>
  <c r="R10" i="2"/>
  <c r="Q10" i="2"/>
  <c r="P10" i="2"/>
  <c r="O10" i="2"/>
  <c r="N10" i="2"/>
  <c r="J10" i="2"/>
  <c r="H10" i="2"/>
  <c r="AB30" i="2"/>
  <c r="AA30" i="2"/>
  <c r="Z30" i="2"/>
  <c r="T30" i="2"/>
  <c r="S30" i="2"/>
  <c r="R30" i="2"/>
  <c r="Q30" i="2"/>
  <c r="P30" i="2"/>
  <c r="O30" i="2"/>
  <c r="J30" i="2"/>
  <c r="H30" i="2"/>
  <c r="AB14" i="2"/>
  <c r="AA14" i="2"/>
  <c r="Z14" i="2"/>
  <c r="T14" i="2"/>
  <c r="S14" i="2"/>
  <c r="R14" i="2"/>
  <c r="Q14" i="2"/>
  <c r="P14" i="2"/>
  <c r="O14" i="2"/>
  <c r="J14" i="2"/>
  <c r="H14" i="2"/>
  <c r="AB11" i="2"/>
  <c r="AA11" i="2"/>
  <c r="Z11" i="2"/>
  <c r="T11" i="2"/>
  <c r="S11" i="2"/>
  <c r="R11" i="2"/>
  <c r="Q11" i="2"/>
  <c r="P11" i="2"/>
  <c r="O11" i="2"/>
  <c r="J11" i="2"/>
  <c r="H11" i="2"/>
  <c r="AB13" i="2"/>
  <c r="AA13" i="2"/>
  <c r="Z13" i="2"/>
  <c r="T13" i="2"/>
  <c r="S13" i="2"/>
  <c r="R13" i="2"/>
  <c r="Q13" i="2"/>
  <c r="P13" i="2"/>
  <c r="O13" i="2"/>
  <c r="J13" i="2"/>
  <c r="H13" i="2"/>
  <c r="AB28" i="2"/>
  <c r="AA28" i="2"/>
  <c r="Z28" i="2"/>
  <c r="T28" i="2"/>
  <c r="S28" i="2"/>
  <c r="R28" i="2"/>
  <c r="Q28" i="2"/>
  <c r="P28" i="2"/>
  <c r="O28" i="2"/>
  <c r="J28" i="2"/>
  <c r="H28" i="2"/>
  <c r="AB31" i="2"/>
  <c r="AA31" i="2"/>
  <c r="Z31" i="2"/>
  <c r="T31" i="2"/>
  <c r="S31" i="2"/>
  <c r="R31" i="2"/>
  <c r="Q31" i="2"/>
  <c r="P31" i="2"/>
  <c r="O31" i="2"/>
  <c r="J31" i="2"/>
  <c r="H31" i="2"/>
  <c r="AB29" i="2"/>
  <c r="AA29" i="2"/>
  <c r="Z29" i="2"/>
  <c r="T29" i="2"/>
  <c r="S29" i="2"/>
  <c r="R29" i="2"/>
  <c r="Q29" i="2"/>
  <c r="P29" i="2"/>
  <c r="O29" i="2"/>
  <c r="J29" i="2"/>
  <c r="H29" i="2"/>
  <c r="AB33" i="2"/>
  <c r="AA33" i="2"/>
  <c r="Z33" i="2"/>
  <c r="T33" i="2"/>
  <c r="S33" i="2"/>
  <c r="R33" i="2"/>
  <c r="Q33" i="2"/>
  <c r="P33" i="2"/>
  <c r="O33" i="2"/>
  <c r="J33" i="2"/>
  <c r="H33" i="2"/>
  <c r="AB19" i="2"/>
  <c r="AA19" i="2"/>
  <c r="Z19" i="2"/>
  <c r="T19" i="2"/>
  <c r="S19" i="2"/>
  <c r="R19" i="2"/>
  <c r="Q19" i="2"/>
  <c r="P19" i="2"/>
  <c r="O19" i="2"/>
  <c r="J19" i="2"/>
  <c r="H19" i="2"/>
  <c r="AB23" i="2"/>
  <c r="AA23" i="2"/>
  <c r="Z23" i="2"/>
  <c r="T23" i="2"/>
  <c r="S23" i="2"/>
  <c r="R23" i="2"/>
  <c r="Q23" i="2"/>
  <c r="P23" i="2"/>
  <c r="O23" i="2"/>
  <c r="J23" i="2"/>
  <c r="H23" i="2"/>
  <c r="AB18" i="2"/>
  <c r="AA18" i="2"/>
  <c r="Z18" i="2"/>
  <c r="T18" i="2"/>
  <c r="S18" i="2"/>
  <c r="R18" i="2"/>
  <c r="Q18" i="2"/>
  <c r="P18" i="2"/>
  <c r="O18" i="2"/>
  <c r="J18" i="2"/>
  <c r="H18" i="2"/>
  <c r="AB8" i="2"/>
  <c r="AA8" i="2"/>
  <c r="Z8" i="2"/>
  <c r="T8" i="2"/>
  <c r="S8" i="2"/>
  <c r="R8" i="2"/>
  <c r="Q8" i="2"/>
  <c r="P8" i="2"/>
  <c r="O8" i="2"/>
  <c r="J8" i="2"/>
  <c r="H8" i="2"/>
  <c r="Q34" i="2"/>
  <c r="H34" i="2"/>
  <c r="R34" i="2"/>
  <c r="J34" i="2"/>
  <c r="S34" i="2"/>
  <c r="T34" i="2"/>
  <c r="Z34" i="2"/>
  <c r="O34" i="2"/>
  <c r="AA34" i="2"/>
  <c r="P34" i="2"/>
  <c r="AB34" i="2"/>
  <c r="AA32" i="2"/>
  <c r="O32" i="2"/>
  <c r="AB32" i="2"/>
  <c r="Q32" i="2"/>
  <c r="R32" i="2"/>
  <c r="S32" i="2"/>
  <c r="T32" i="2"/>
  <c r="J32" i="2"/>
  <c r="P32" i="2"/>
  <c r="H32" i="2"/>
  <c r="Z32" i="2"/>
  <c r="Z26" i="2"/>
  <c r="AA26" i="2"/>
  <c r="P26" i="2"/>
  <c r="AB26" i="2"/>
  <c r="O26" i="2"/>
  <c r="Q26" i="2"/>
  <c r="R26" i="2"/>
  <c r="S26" i="2"/>
  <c r="H26" i="2"/>
  <c r="T26" i="2"/>
  <c r="J26" i="2"/>
  <c r="H25" i="2"/>
  <c r="J25" i="2"/>
  <c r="T25" i="2"/>
  <c r="Z25" i="2"/>
  <c r="O25" i="2"/>
  <c r="AA25" i="2"/>
  <c r="P25" i="2"/>
  <c r="AB25" i="2"/>
  <c r="Q25" i="2"/>
  <c r="S25" i="2"/>
  <c r="R25" i="2"/>
  <c r="AA24" i="2"/>
  <c r="Q24" i="2"/>
  <c r="R24" i="2"/>
  <c r="AB24" i="2"/>
  <c r="S24" i="2"/>
  <c r="P24" i="2"/>
  <c r="T24" i="2"/>
  <c r="H24" i="2"/>
  <c r="O24" i="2"/>
  <c r="J24" i="2"/>
  <c r="Z24" i="2"/>
  <c r="Z17" i="2"/>
  <c r="P17" i="2"/>
  <c r="S17" i="2"/>
  <c r="T17" i="2"/>
  <c r="R17" i="2"/>
  <c r="H17" i="2"/>
  <c r="J17" i="2"/>
  <c r="Q17" i="2"/>
  <c r="AA17" i="2"/>
  <c r="O17" i="2"/>
  <c r="AB17" i="2"/>
  <c r="T16" i="2"/>
  <c r="J16" i="2"/>
  <c r="O16" i="2"/>
  <c r="AA16" i="2"/>
  <c r="P16" i="2"/>
  <c r="AB16" i="2"/>
  <c r="Q16" i="2"/>
  <c r="Z16" i="2"/>
  <c r="R16" i="2"/>
  <c r="S16" i="2"/>
  <c r="H16" i="2"/>
  <c r="P15" i="2"/>
  <c r="AB15" i="2"/>
  <c r="S15" i="2"/>
  <c r="T15" i="2"/>
  <c r="H15" i="2"/>
  <c r="Q15" i="2"/>
  <c r="J15" i="2"/>
  <c r="R15" i="2"/>
  <c r="Z15" i="2"/>
  <c r="O15" i="2"/>
  <c r="AA15" i="2"/>
  <c r="Z12" i="2"/>
  <c r="O12" i="2"/>
  <c r="AA12" i="2"/>
  <c r="P12" i="2"/>
  <c r="AB12" i="2"/>
  <c r="Q12" i="2"/>
  <c r="R12" i="2"/>
  <c r="S12" i="2"/>
  <c r="J12" i="2"/>
  <c r="T12" i="2"/>
  <c r="H12" i="2"/>
  <c r="AA9" i="2"/>
  <c r="O9" i="2"/>
  <c r="AB9" i="2"/>
  <c r="P9" i="2"/>
  <c r="Q9" i="2"/>
  <c r="R9" i="2"/>
  <c r="S9" i="2"/>
  <c r="T9" i="2"/>
  <c r="H9" i="2"/>
  <c r="J9" i="2"/>
  <c r="Z9" i="2"/>
  <c r="H4" i="2"/>
  <c r="Z4" i="2"/>
  <c r="O4" i="2"/>
  <c r="AA4" i="2"/>
  <c r="P4" i="2"/>
  <c r="AB4" i="2"/>
  <c r="J4" i="2"/>
  <c r="Q4" i="2"/>
  <c r="S4" i="2"/>
  <c r="R4" i="2"/>
  <c r="T4" i="2"/>
  <c r="O5" i="2"/>
  <c r="AA5" i="2"/>
  <c r="Q5" i="2"/>
  <c r="R5" i="2"/>
  <c r="P5" i="2"/>
  <c r="H5" i="2"/>
  <c r="J5" i="2"/>
  <c r="AB5" i="2"/>
  <c r="S5" i="2"/>
  <c r="T5" i="2"/>
  <c r="Z5" i="2"/>
  <c r="J6" i="2"/>
  <c r="H6" i="2"/>
  <c r="Z6" i="2"/>
  <c r="O6" i="2"/>
  <c r="AA6" i="2"/>
  <c r="P6" i="2"/>
  <c r="AB6" i="2"/>
  <c r="Q6" i="2"/>
  <c r="R6" i="2"/>
  <c r="S6" i="2"/>
  <c r="T6" i="2"/>
  <c r="AB7" i="2"/>
  <c r="P7" i="2"/>
  <c r="Q7" i="2"/>
  <c r="O7" i="2"/>
  <c r="R7" i="2"/>
  <c r="S7" i="2"/>
  <c r="T7" i="2"/>
  <c r="AA7" i="2"/>
  <c r="H7" i="2"/>
  <c r="J7" i="2"/>
  <c r="Z7" i="2"/>
  <c r="AB27" i="2"/>
  <c r="AA27" i="2"/>
  <c r="Z27" i="2"/>
  <c r="T27" i="2"/>
  <c r="S27" i="2"/>
  <c r="R27" i="2"/>
  <c r="Q27" i="2"/>
  <c r="P27" i="2"/>
  <c r="O27" i="2"/>
  <c r="J27" i="2"/>
  <c r="H27" i="2"/>
  <c r="AB3" i="2"/>
  <c r="AA3" i="2"/>
  <c r="Z3" i="2"/>
  <c r="T3" i="2"/>
  <c r="S3" i="2"/>
  <c r="R3" i="2"/>
  <c r="Q3" i="2"/>
  <c r="P3" i="2"/>
  <c r="O3" i="2"/>
  <c r="J3" i="2"/>
  <c r="H3" i="2"/>
  <c r="AD18" i="2"/>
  <c r="AC18" i="2"/>
  <c r="Y18" i="2"/>
  <c r="X18" i="2"/>
  <c r="W18" i="2"/>
  <c r="V18" i="2"/>
  <c r="U18" i="2"/>
  <c r="N18" i="2"/>
  <c r="M18" i="2"/>
  <c r="L18" i="2"/>
  <c r="K18" i="2"/>
  <c r="G18" i="2"/>
  <c r="E18" i="2"/>
  <c r="C18" i="2"/>
  <c r="B18" i="2"/>
  <c r="U17" i="2"/>
  <c r="X23" i="2"/>
  <c r="U13" i="2"/>
  <c r="W14" i="2"/>
  <c r="V34" i="2"/>
  <c r="AC30" i="2"/>
  <c r="AD21" i="2"/>
  <c r="AC21" i="2"/>
  <c r="Y21" i="2"/>
  <c r="X21" i="2"/>
  <c r="W21" i="2"/>
  <c r="V21" i="2"/>
  <c r="U21" i="2"/>
  <c r="N21" i="2"/>
  <c r="M21" i="2"/>
  <c r="L21" i="2"/>
  <c r="K21" i="2"/>
  <c r="G21" i="2"/>
  <c r="E21" i="2"/>
  <c r="C21" i="2"/>
  <c r="B21" i="2"/>
  <c r="AD29" i="2"/>
  <c r="AC29" i="2"/>
  <c r="Y29" i="2"/>
  <c r="X29" i="2"/>
  <c r="W29" i="2"/>
  <c r="V29" i="2"/>
  <c r="U29" i="2"/>
  <c r="N29" i="2"/>
  <c r="M29" i="2"/>
  <c r="L29" i="2"/>
  <c r="K29" i="2"/>
  <c r="G29" i="2"/>
  <c r="E29" i="2"/>
  <c r="C29" i="2"/>
  <c r="B29" i="2"/>
  <c r="AC31" i="2"/>
  <c r="Y31" i="2"/>
  <c r="X31" i="2"/>
  <c r="W31" i="2"/>
  <c r="V31" i="2"/>
  <c r="U31" i="2"/>
  <c r="N31" i="2"/>
  <c r="M31" i="2"/>
  <c r="L31" i="2"/>
  <c r="K31" i="2"/>
  <c r="G31" i="2"/>
  <c r="F31" i="2" s="1"/>
  <c r="E31" i="2"/>
  <c r="C31" i="2"/>
  <c r="B31" i="2"/>
  <c r="AD31" i="2"/>
  <c r="AD30" i="2"/>
  <c r="Y30" i="2"/>
  <c r="X30" i="2"/>
  <c r="W30" i="2"/>
  <c r="V30" i="2"/>
  <c r="U30" i="2"/>
  <c r="N30" i="2"/>
  <c r="M30" i="2"/>
  <c r="L30" i="2"/>
  <c r="K30" i="2"/>
  <c r="G30" i="2"/>
  <c r="E30" i="2"/>
  <c r="C30" i="2"/>
  <c r="B30" i="2"/>
  <c r="AD33" i="2"/>
  <c r="AC33" i="2"/>
  <c r="Y33" i="2"/>
  <c r="X33" i="2"/>
  <c r="W33" i="2"/>
  <c r="U33" i="2"/>
  <c r="N33" i="2"/>
  <c r="M33" i="2"/>
  <c r="L33" i="2"/>
  <c r="K33" i="2"/>
  <c r="G33" i="2"/>
  <c r="E33" i="2"/>
  <c r="C33" i="2"/>
  <c r="B33" i="2"/>
  <c r="G23" i="2"/>
  <c r="U23" i="2"/>
  <c r="V23" i="2"/>
  <c r="K23" i="2"/>
  <c r="N23" i="2"/>
  <c r="M23" i="2"/>
  <c r="AC23" i="2"/>
  <c r="W23" i="2"/>
  <c r="B23" i="2"/>
  <c r="AD23" i="2"/>
  <c r="Y23" i="2"/>
  <c r="C23" i="2"/>
  <c r="E23" i="2"/>
  <c r="L23" i="2"/>
  <c r="AC22" i="2"/>
  <c r="C22" i="2"/>
  <c r="AD22" i="2"/>
  <c r="E22" i="2"/>
  <c r="U22" i="2"/>
  <c r="G22" i="2"/>
  <c r="V22" i="2"/>
  <c r="K22" i="2"/>
  <c r="B22" i="2"/>
  <c r="W22" i="2"/>
  <c r="L22" i="2"/>
  <c r="X22" i="2"/>
  <c r="Y22" i="2"/>
  <c r="N22" i="2"/>
  <c r="M22" i="2"/>
  <c r="AD20" i="2"/>
  <c r="M20" i="2"/>
  <c r="AC20" i="2"/>
  <c r="G20" i="2"/>
  <c r="U20" i="2"/>
  <c r="V20" i="2"/>
  <c r="E20" i="2"/>
  <c r="K20" i="2"/>
  <c r="W20" i="2"/>
  <c r="L20" i="2"/>
  <c r="X20" i="2"/>
  <c r="Y20" i="2"/>
  <c r="C20" i="2"/>
  <c r="N20" i="2"/>
  <c r="B20" i="2"/>
  <c r="AD16" i="2"/>
  <c r="AC16" i="2"/>
  <c r="Y16" i="2"/>
  <c r="X16" i="2"/>
  <c r="W16" i="2"/>
  <c r="V16" i="2"/>
  <c r="U16" i="2"/>
  <c r="N16" i="2"/>
  <c r="M16" i="2"/>
  <c r="L16" i="2"/>
  <c r="K16" i="2"/>
  <c r="G16" i="2"/>
  <c r="E16" i="2"/>
  <c r="C16" i="2"/>
  <c r="B16" i="2"/>
  <c r="AD24" i="2"/>
  <c r="AC24" i="2"/>
  <c r="Y24" i="2"/>
  <c r="X24" i="2"/>
  <c r="W24" i="2"/>
  <c r="V24" i="2"/>
  <c r="U24" i="2"/>
  <c r="N24" i="2"/>
  <c r="M24" i="2"/>
  <c r="L24" i="2"/>
  <c r="K24" i="2"/>
  <c r="G24" i="2"/>
  <c r="E24" i="2"/>
  <c r="C24" i="2"/>
  <c r="B24" i="2"/>
  <c r="AD15" i="2"/>
  <c r="AC15" i="2"/>
  <c r="Y15" i="2"/>
  <c r="X15" i="2"/>
  <c r="W15" i="2"/>
  <c r="V15" i="2"/>
  <c r="U15" i="2"/>
  <c r="N15" i="2"/>
  <c r="M15" i="2"/>
  <c r="L15" i="2"/>
  <c r="K15" i="2"/>
  <c r="G15" i="2"/>
  <c r="E15" i="2"/>
  <c r="C15" i="2"/>
  <c r="B15" i="2"/>
  <c r="AD13" i="2"/>
  <c r="AC13" i="2"/>
  <c r="Y13" i="2"/>
  <c r="X13" i="2"/>
  <c r="W13" i="2"/>
  <c r="V13" i="2"/>
  <c r="N13" i="2"/>
  <c r="M13" i="2"/>
  <c r="L13" i="2"/>
  <c r="K13" i="2"/>
  <c r="G13" i="2"/>
  <c r="E13" i="2"/>
  <c r="C13" i="2"/>
  <c r="B13" i="2"/>
  <c r="AD28" i="2"/>
  <c r="AC28" i="2"/>
  <c r="Y28" i="2"/>
  <c r="W28" i="2"/>
  <c r="X28" i="2"/>
  <c r="V28" i="2"/>
  <c r="U28" i="2"/>
  <c r="N28" i="2"/>
  <c r="M28" i="2"/>
  <c r="L28" i="2"/>
  <c r="K28" i="2"/>
  <c r="G28" i="2"/>
  <c r="E28" i="2"/>
  <c r="C28" i="2"/>
  <c r="B28" i="2"/>
  <c r="AD10" i="2"/>
  <c r="AC10" i="2"/>
  <c r="Y10" i="2"/>
  <c r="X10" i="2"/>
  <c r="W10" i="2"/>
  <c r="V10" i="2"/>
  <c r="U10" i="2"/>
  <c r="M10" i="2"/>
  <c r="L10" i="2"/>
  <c r="K10" i="2"/>
  <c r="G10" i="2"/>
  <c r="E10" i="2"/>
  <c r="C10" i="2"/>
  <c r="B10" i="2"/>
  <c r="AD26" i="2"/>
  <c r="AC26" i="2"/>
  <c r="Y26" i="2"/>
  <c r="X26" i="2"/>
  <c r="W26" i="2"/>
  <c r="V26" i="2"/>
  <c r="U26" i="2"/>
  <c r="N26" i="2"/>
  <c r="M26" i="2"/>
  <c r="L26" i="2"/>
  <c r="K26" i="2"/>
  <c r="G26" i="2"/>
  <c r="E26" i="2"/>
  <c r="C26" i="2"/>
  <c r="B26" i="2"/>
  <c r="AD9" i="2"/>
  <c r="AC9" i="2"/>
  <c r="Y9" i="2"/>
  <c r="X9" i="2"/>
  <c r="W9" i="2"/>
  <c r="V9" i="2"/>
  <c r="U9" i="2"/>
  <c r="N9" i="2"/>
  <c r="M9" i="2"/>
  <c r="L9" i="2"/>
  <c r="K9" i="2"/>
  <c r="G9" i="2"/>
  <c r="E9" i="2"/>
  <c r="C9" i="2"/>
  <c r="B9" i="2"/>
  <c r="AC17" i="2"/>
  <c r="Y17" i="2"/>
  <c r="X17" i="2"/>
  <c r="W17" i="2"/>
  <c r="V17" i="2"/>
  <c r="N17" i="2"/>
  <c r="M17" i="2"/>
  <c r="L17" i="2"/>
  <c r="K17" i="2"/>
  <c r="G17" i="2"/>
  <c r="E17" i="2"/>
  <c r="C17" i="2"/>
  <c r="B17" i="2"/>
  <c r="AD17" i="2"/>
  <c r="AD8" i="2"/>
  <c r="AC8" i="2"/>
  <c r="Y8" i="2"/>
  <c r="X8" i="2"/>
  <c r="W8" i="2"/>
  <c r="V8" i="2"/>
  <c r="U8" i="2"/>
  <c r="N8" i="2"/>
  <c r="M8" i="2"/>
  <c r="L8" i="2"/>
  <c r="K8" i="2"/>
  <c r="G8" i="2"/>
  <c r="E8" i="2"/>
  <c r="C8" i="2"/>
  <c r="B8" i="2"/>
  <c r="AD27" i="2"/>
  <c r="AC27" i="2"/>
  <c r="Y27" i="2"/>
  <c r="X27" i="2"/>
  <c r="W27" i="2"/>
  <c r="V27" i="2"/>
  <c r="U27" i="2"/>
  <c r="N27" i="2"/>
  <c r="M27" i="2"/>
  <c r="L27" i="2"/>
  <c r="K27" i="2"/>
  <c r="G27" i="2"/>
  <c r="E27" i="2"/>
  <c r="C27" i="2"/>
  <c r="B27" i="2"/>
  <c r="AD6" i="2"/>
  <c r="AC6" i="2"/>
  <c r="Y6" i="2"/>
  <c r="X6" i="2"/>
  <c r="W6" i="2"/>
  <c r="V6" i="2"/>
  <c r="U6" i="2"/>
  <c r="N6" i="2"/>
  <c r="M6" i="2"/>
  <c r="L6" i="2"/>
  <c r="K6" i="2"/>
  <c r="G6" i="2"/>
  <c r="E6" i="2"/>
  <c r="C6" i="2"/>
  <c r="B6" i="2"/>
  <c r="AD34" i="2"/>
  <c r="AC34" i="2"/>
  <c r="Y34" i="2"/>
  <c r="X34" i="2"/>
  <c r="W34" i="2"/>
  <c r="U34" i="2"/>
  <c r="N34" i="2"/>
  <c r="M34" i="2"/>
  <c r="L34" i="2"/>
  <c r="K34" i="2"/>
  <c r="G34" i="2"/>
  <c r="E34" i="2"/>
  <c r="C34" i="2"/>
  <c r="B34" i="2"/>
  <c r="AD5" i="2"/>
  <c r="AC5" i="2"/>
  <c r="Y5" i="2"/>
  <c r="X5" i="2"/>
  <c r="W5" i="2"/>
  <c r="V5" i="2"/>
  <c r="U5" i="2"/>
  <c r="N5" i="2"/>
  <c r="M5" i="2"/>
  <c r="L5" i="2"/>
  <c r="K5" i="2"/>
  <c r="G5" i="2"/>
  <c r="E5" i="2"/>
  <c r="C5" i="2"/>
  <c r="B5" i="2"/>
  <c r="AD7" i="2"/>
  <c r="AC7" i="2"/>
  <c r="Y7" i="2"/>
  <c r="X7" i="2"/>
  <c r="W7" i="2"/>
  <c r="V7" i="2"/>
  <c r="U7" i="2"/>
  <c r="N7" i="2"/>
  <c r="M7" i="2"/>
  <c r="L7" i="2"/>
  <c r="K7" i="2"/>
  <c r="G7" i="2"/>
  <c r="E7" i="2"/>
  <c r="C7" i="2"/>
  <c r="B7" i="2"/>
  <c r="AD4" i="2"/>
  <c r="AC4" i="2"/>
  <c r="Y4" i="2"/>
  <c r="X4" i="2"/>
  <c r="W4" i="2"/>
  <c r="V4" i="2"/>
  <c r="U4" i="2"/>
  <c r="N4" i="2"/>
  <c r="M4" i="2"/>
  <c r="L4" i="2"/>
  <c r="K4" i="2"/>
  <c r="G4" i="2"/>
  <c r="E4" i="2"/>
  <c r="C4" i="2"/>
  <c r="B4" i="2"/>
  <c r="AD19" i="2"/>
  <c r="AC19" i="2"/>
  <c r="Y19" i="2"/>
  <c r="X19" i="2"/>
  <c r="W19" i="2"/>
  <c r="L19" i="2"/>
  <c r="K19" i="2"/>
  <c r="V19" i="2"/>
  <c r="U19" i="2"/>
  <c r="N19" i="2"/>
  <c r="M19" i="2"/>
  <c r="G19" i="2"/>
  <c r="E19" i="2"/>
  <c r="C19" i="2"/>
  <c r="B19" i="2"/>
  <c r="AD12" i="2"/>
  <c r="AC12" i="2"/>
  <c r="Y12" i="2"/>
  <c r="X12" i="2"/>
  <c r="W12" i="2"/>
  <c r="V12" i="2"/>
  <c r="U12" i="2"/>
  <c r="N12" i="2"/>
  <c r="M12" i="2"/>
  <c r="L12" i="2"/>
  <c r="K12" i="2"/>
  <c r="G12" i="2"/>
  <c r="E12" i="2"/>
  <c r="C12" i="2"/>
  <c r="B12" i="2"/>
  <c r="AD11" i="2"/>
  <c r="AC11" i="2"/>
  <c r="Y11" i="2"/>
  <c r="X11" i="2"/>
  <c r="W11" i="2"/>
  <c r="V11" i="2"/>
  <c r="U11" i="2"/>
  <c r="N11" i="2"/>
  <c r="M11" i="2"/>
  <c r="L11" i="2"/>
  <c r="K11" i="2"/>
  <c r="G11" i="2"/>
  <c r="E11" i="2"/>
  <c r="C11" i="2"/>
  <c r="B11" i="2"/>
  <c r="AD32" i="2"/>
  <c r="AC32" i="2"/>
  <c r="Y32" i="2"/>
  <c r="X32" i="2"/>
  <c r="W32" i="2"/>
  <c r="V32" i="2"/>
  <c r="U32" i="2"/>
  <c r="N32" i="2"/>
  <c r="M32" i="2"/>
  <c r="L32" i="2"/>
  <c r="K32" i="2"/>
  <c r="G32" i="2"/>
  <c r="E32" i="2"/>
  <c r="C32" i="2"/>
  <c r="B32" i="2"/>
  <c r="AD25" i="2"/>
  <c r="AC25" i="2"/>
  <c r="Y25" i="2"/>
  <c r="X25" i="2"/>
  <c r="W25" i="2"/>
  <c r="V25" i="2"/>
  <c r="U25" i="2"/>
  <c r="N25" i="2"/>
  <c r="M25" i="2"/>
  <c r="L25" i="2"/>
  <c r="K25" i="2"/>
  <c r="G25" i="2"/>
  <c r="E25" i="2"/>
  <c r="C25" i="2"/>
  <c r="B25" i="2"/>
  <c r="AD14" i="2"/>
  <c r="AC14" i="2"/>
  <c r="Y14" i="2"/>
  <c r="X14" i="2"/>
  <c r="V14" i="2"/>
  <c r="U14" i="2"/>
  <c r="N14" i="2"/>
  <c r="M14" i="2"/>
  <c r="L14" i="2"/>
  <c r="K14" i="2"/>
  <c r="G14" i="2"/>
  <c r="E14" i="2"/>
  <c r="C14" i="2"/>
  <c r="B14" i="2"/>
  <c r="AD3" i="2"/>
  <c r="AC3" i="2"/>
  <c r="Y3" i="2"/>
  <c r="X3" i="2"/>
  <c r="W3" i="2"/>
  <c r="V3" i="2"/>
  <c r="U3" i="2"/>
  <c r="N3" i="2"/>
  <c r="M3" i="2"/>
  <c r="L3" i="2"/>
  <c r="K3" i="2"/>
  <c r="G3" i="2"/>
  <c r="E3" i="2"/>
  <c r="C3" i="2"/>
  <c r="I3" i="19"/>
  <c r="I27" i="19"/>
  <c r="D4" i="19"/>
  <c r="D14" i="19"/>
  <c r="D22" i="19"/>
  <c r="I18" i="19"/>
  <c r="D5" i="19"/>
  <c r="D17" i="19"/>
  <c r="D21" i="19"/>
  <c r="D3" i="19"/>
  <c r="D8" i="19"/>
  <c r="I34" i="19"/>
  <c r="D34" i="19"/>
  <c r="I33" i="19"/>
  <c r="D32" i="19"/>
  <c r="I32" i="19"/>
  <c r="D31" i="19"/>
  <c r="I31" i="19"/>
  <c r="D30" i="19"/>
  <c r="I30" i="19"/>
  <c r="I29" i="19"/>
  <c r="D29" i="19"/>
  <c r="I28" i="19"/>
  <c r="D28" i="19"/>
  <c r="I25" i="19"/>
  <c r="D25" i="19"/>
  <c r="I24" i="19"/>
  <c r="D24" i="19"/>
  <c r="I26" i="19"/>
  <c r="D26" i="19"/>
  <c r="D27" i="19"/>
  <c r="I23" i="19"/>
  <c r="D23" i="19"/>
  <c r="I22" i="19"/>
  <c r="I21" i="19"/>
  <c r="I20" i="19"/>
  <c r="D20" i="19"/>
  <c r="D19" i="19"/>
  <c r="I19" i="19"/>
  <c r="D18" i="19"/>
  <c r="I17" i="19"/>
  <c r="D16" i="19"/>
  <c r="I16" i="19"/>
  <c r="I15" i="19"/>
  <c r="D15" i="19"/>
  <c r="I14" i="19"/>
  <c r="I13" i="19"/>
  <c r="D12" i="19"/>
  <c r="I12" i="19"/>
  <c r="AI197" i="1"/>
  <c r="AJ197" i="1"/>
  <c r="I11" i="19" s="1"/>
  <c r="I10" i="19"/>
  <c r="D10" i="19"/>
  <c r="I9" i="19"/>
  <c r="D9" i="19"/>
  <c r="I8" i="19"/>
  <c r="I7" i="19"/>
  <c r="I6" i="19"/>
  <c r="D6" i="19"/>
  <c r="I5" i="19"/>
  <c r="I4" i="19"/>
  <c r="L75" i="34" l="1"/>
  <c r="L121" i="34"/>
  <c r="L122" i="34"/>
  <c r="L55" i="34"/>
  <c r="L11" i="34"/>
  <c r="M7" i="33"/>
  <c r="M61" i="33"/>
  <c r="M62" i="33"/>
  <c r="O62" i="33"/>
  <c r="O7" i="33"/>
  <c r="O61" i="33"/>
  <c r="L61" i="33"/>
  <c r="L62" i="33"/>
  <c r="L7" i="33"/>
  <c r="U330" i="39" a="1"/>
  <c r="U330" i="39" s="1"/>
  <c r="U283" i="39" a="1"/>
  <c r="U283" i="39" s="1"/>
  <c r="K211" i="42" a="1"/>
  <c r="K211" i="42" s="1"/>
  <c r="K75" i="42" a="1"/>
  <c r="K75" i="42" s="1"/>
  <c r="K209" i="42" a="1"/>
  <c r="K209" i="42" s="1"/>
  <c r="K214" i="42" a="1"/>
  <c r="K214" i="42" s="1"/>
  <c r="K213" i="42" a="1"/>
  <c r="K213" i="42" s="1"/>
  <c r="T330" i="39" a="1"/>
  <c r="T330" i="39" s="1"/>
  <c r="J214" i="42" a="1"/>
  <c r="J214" i="42" s="1"/>
  <c r="T283" i="39" a="1"/>
  <c r="T283" i="39" s="1"/>
  <c r="J209" i="42" a="1"/>
  <c r="J209" i="42" s="1"/>
  <c r="J211" i="42" a="1"/>
  <c r="J211" i="42" s="1"/>
  <c r="J75" i="42" a="1"/>
  <c r="J75" i="42" s="1"/>
  <c r="J213" i="42" a="1"/>
  <c r="J213" i="42" s="1"/>
  <c r="U202" i="39" a="1"/>
  <c r="U202" i="39" s="1"/>
  <c r="K63" i="42" a="1"/>
  <c r="K63" i="42" s="1"/>
  <c r="J63" i="42" a="1"/>
  <c r="J63" i="42" s="1"/>
  <c r="T202" i="39" a="1"/>
  <c r="T202" i="39" s="1"/>
  <c r="V58" i="39" a="1"/>
  <c r="V58" i="39" s="1"/>
  <c r="P6" i="40"/>
  <c r="P67" i="40"/>
  <c r="P68" i="40"/>
  <c r="K114" i="43"/>
  <c r="U414" i="39" a="1"/>
  <c r="U414" i="39" s="1"/>
  <c r="U127" i="39" a="1"/>
  <c r="U127" i="39" s="1"/>
  <c r="K113" i="43"/>
  <c r="K115" i="43"/>
  <c r="K38" i="43"/>
  <c r="T127" i="39" a="1"/>
  <c r="T127" i="39" s="1"/>
  <c r="J115" i="43"/>
  <c r="T414" i="39" a="1"/>
  <c r="T414" i="39" s="1"/>
  <c r="J38" i="43"/>
  <c r="J113" i="43"/>
  <c r="J114" i="43"/>
  <c r="U103" i="39" a="1"/>
  <c r="U103" i="39" s="1"/>
  <c r="K53" i="42" a="1"/>
  <c r="K53" i="42" s="1"/>
  <c r="T103" i="39" a="1"/>
  <c r="T103" i="39" s="1"/>
  <c r="J53" i="42" a="1"/>
  <c r="J53" i="42" s="1"/>
  <c r="U37" i="39" a="1"/>
  <c r="U37" i="39" s="1"/>
  <c r="K18" i="42" a="1"/>
  <c r="K18" i="42" s="1"/>
  <c r="T37" i="39" a="1"/>
  <c r="T37" i="39" s="1"/>
  <c r="J18" i="42" a="1"/>
  <c r="J18" i="42" s="1"/>
  <c r="N22" i="34"/>
  <c r="N55" i="34"/>
  <c r="M22" i="34"/>
  <c r="M55" i="34"/>
  <c r="L120" i="34"/>
  <c r="L17" i="34"/>
  <c r="L16" i="34"/>
  <c r="M41" i="33"/>
  <c r="M79" i="33"/>
  <c r="O41" i="33"/>
  <c r="O79" i="33"/>
  <c r="L79" i="33"/>
  <c r="L41" i="33"/>
  <c r="U553" i="39" a="1"/>
  <c r="U553" i="39" s="1"/>
  <c r="K176" i="42" a="1"/>
  <c r="K176" i="42" s="1"/>
  <c r="K182" i="42" a="1"/>
  <c r="K182" i="42" s="1"/>
  <c r="K196" i="42" a="1"/>
  <c r="K196" i="42" s="1"/>
  <c r="T553" i="39" a="1"/>
  <c r="T553" i="39" s="1"/>
  <c r="J196" i="42" a="1"/>
  <c r="J196" i="42" s="1"/>
  <c r="J176" i="42" a="1"/>
  <c r="J176" i="42" s="1"/>
  <c r="J182" i="42" a="1"/>
  <c r="J182" i="42" s="1"/>
  <c r="U519" i="39" a="1"/>
  <c r="U519" i="39" s="1"/>
  <c r="K157" i="42" a="1"/>
  <c r="K157" i="42" s="1"/>
  <c r="T519" i="39" a="1"/>
  <c r="T519" i="39" s="1"/>
  <c r="J157" i="42" a="1"/>
  <c r="J157" i="42" s="1"/>
  <c r="V537" i="39" a="1"/>
  <c r="V537" i="39" s="1"/>
  <c r="P85" i="40"/>
  <c r="P34" i="40"/>
  <c r="K79" i="43"/>
  <c r="U426" i="39" a="1"/>
  <c r="U426" i="39" s="1"/>
  <c r="K96" i="43"/>
  <c r="U290" i="39" a="1"/>
  <c r="U290" i="39" s="1"/>
  <c r="K94" i="43"/>
  <c r="K95" i="43"/>
  <c r="T426" i="39" a="1"/>
  <c r="T426" i="39" s="1"/>
  <c r="T290" i="39" a="1"/>
  <c r="T290" i="39" s="1"/>
  <c r="J95" i="43"/>
  <c r="J94" i="43"/>
  <c r="J96" i="43"/>
  <c r="J79" i="43"/>
  <c r="U409" i="39" a="1"/>
  <c r="U409" i="39" s="1"/>
  <c r="K62" i="42" a="1"/>
  <c r="K62" i="42" s="1"/>
  <c r="T409" i="39" a="1"/>
  <c r="T409" i="39" s="1"/>
  <c r="J62" i="42" a="1"/>
  <c r="J62" i="42" s="1"/>
  <c r="U401" i="39" a="1"/>
  <c r="U401" i="39" s="1"/>
  <c r="K9" i="42" a="1"/>
  <c r="K9" i="42" s="1"/>
  <c r="T401" i="39" a="1"/>
  <c r="T401" i="39" s="1"/>
  <c r="J9" i="42" a="1"/>
  <c r="J9" i="42" s="1"/>
  <c r="L83" i="34"/>
  <c r="L89" i="34"/>
  <c r="L90" i="34"/>
  <c r="L30" i="34"/>
  <c r="L22" i="34"/>
  <c r="M16" i="33"/>
  <c r="M53" i="33"/>
  <c r="M52" i="33"/>
  <c r="O52" i="33"/>
  <c r="O16" i="33"/>
  <c r="O53" i="33"/>
  <c r="L52" i="33"/>
  <c r="L53" i="33"/>
  <c r="L16" i="33"/>
  <c r="U262" i="39" a="1"/>
  <c r="U262" i="39" s="1"/>
  <c r="K183" i="42" a="1"/>
  <c r="K183" i="42" s="1"/>
  <c r="K187" i="42" a="1"/>
  <c r="K187" i="42" s="1"/>
  <c r="K73" i="42" a="1"/>
  <c r="K73" i="42" s="1"/>
  <c r="K177" i="42" a="1"/>
  <c r="K177" i="42" s="1"/>
  <c r="J187" i="42" a="1"/>
  <c r="J187" i="42" s="1"/>
  <c r="J73" i="42" a="1"/>
  <c r="J73" i="42" s="1"/>
  <c r="J183" i="42" a="1"/>
  <c r="J183" i="42" s="1"/>
  <c r="J177" i="42" a="1"/>
  <c r="J177" i="42" s="1"/>
  <c r="T262" i="39" a="1"/>
  <c r="T262" i="39" s="1"/>
  <c r="U209" i="39" a="1"/>
  <c r="U209" i="39" s="1"/>
  <c r="K64" i="42" a="1"/>
  <c r="K64" i="42" s="1"/>
  <c r="J64" i="42" a="1"/>
  <c r="J64" i="42" s="1"/>
  <c r="T209" i="39" a="1"/>
  <c r="T209" i="39" s="1"/>
  <c r="V274" i="39" a="1"/>
  <c r="V274" i="39" s="1"/>
  <c r="P18" i="40"/>
  <c r="P44" i="40"/>
  <c r="P43" i="40"/>
  <c r="U142" i="39" a="1"/>
  <c r="U142" i="39" s="1"/>
  <c r="K42" i="43"/>
  <c r="K88" i="43"/>
  <c r="K87" i="43"/>
  <c r="U360" i="39" a="1"/>
  <c r="U360" i="39" s="1"/>
  <c r="J87" i="43"/>
  <c r="J42" i="43"/>
  <c r="J88" i="43"/>
  <c r="T360" i="39" a="1"/>
  <c r="T360" i="39" s="1"/>
  <c r="T142" i="39" a="1"/>
  <c r="T142" i="39" s="1"/>
  <c r="K57" i="42" a="1"/>
  <c r="K57" i="42" s="1"/>
  <c r="U145" i="39" a="1"/>
  <c r="U145" i="39" s="1"/>
  <c r="J57" i="42" a="1"/>
  <c r="J57" i="42" s="1"/>
  <c r="T145" i="39" a="1"/>
  <c r="T145" i="39" s="1"/>
  <c r="U84" i="39" a="1"/>
  <c r="U84" i="39" s="1"/>
  <c r="K22" i="42" a="1"/>
  <c r="K22" i="42" s="1"/>
  <c r="J22" i="42" a="1"/>
  <c r="J22" i="42" s="1"/>
  <c r="T84" i="39" a="1"/>
  <c r="T84" i="39" s="1"/>
  <c r="N28" i="34"/>
  <c r="N30" i="34"/>
  <c r="M28" i="34"/>
  <c r="M30" i="34"/>
  <c r="L81" i="34"/>
  <c r="L80" i="34"/>
  <c r="L95" i="34"/>
  <c r="M27" i="33"/>
  <c r="M36" i="33"/>
  <c r="O27" i="33"/>
  <c r="O36" i="33"/>
  <c r="L36" i="33"/>
  <c r="L27" i="33"/>
  <c r="P37" i="40"/>
  <c r="P86" i="40"/>
  <c r="V217" i="39" a="1"/>
  <c r="V217" i="39" s="1"/>
  <c r="K8" i="43"/>
  <c r="U182" i="39" a="1"/>
  <c r="U182" i="39" s="1"/>
  <c r="K6" i="43"/>
  <c r="K7" i="43"/>
  <c r="U118" i="39" a="1"/>
  <c r="U118" i="39" s="1"/>
  <c r="K83" i="43"/>
  <c r="T118" i="39" a="1"/>
  <c r="T118" i="39" s="1"/>
  <c r="J8" i="43"/>
  <c r="T182" i="39" a="1"/>
  <c r="T182" i="39" s="1"/>
  <c r="J83" i="43"/>
  <c r="J7" i="43"/>
  <c r="J6" i="43"/>
  <c r="K172" i="42" a="1"/>
  <c r="K172" i="42" s="1"/>
  <c r="U303" i="39" a="1"/>
  <c r="U303" i="39" s="1"/>
  <c r="K31" i="42" a="1"/>
  <c r="K31" i="42" s="1"/>
  <c r="T303" i="39" a="1"/>
  <c r="T303" i="39" s="1"/>
  <c r="J172" i="42" a="1"/>
  <c r="J172" i="42" s="1"/>
  <c r="J31" i="42" a="1"/>
  <c r="J31" i="42" s="1"/>
  <c r="K160" i="42" a="1"/>
  <c r="K160" i="42" s="1"/>
  <c r="U243" i="39" a="1"/>
  <c r="U243" i="39" s="1"/>
  <c r="T243" i="39" a="1"/>
  <c r="T243" i="39" s="1"/>
  <c r="J160" i="42" a="1"/>
  <c r="J160" i="42" s="1"/>
  <c r="K152" i="42" a="1"/>
  <c r="K152" i="42" s="1"/>
  <c r="U186" i="39" a="1"/>
  <c r="U186" i="39" s="1"/>
  <c r="T186" i="39" a="1"/>
  <c r="T186" i="39" s="1"/>
  <c r="J152" i="42" a="1"/>
  <c r="J152" i="42" s="1"/>
  <c r="K84" i="42" a="1"/>
  <c r="K84" i="42" s="1"/>
  <c r="U48" i="39" a="1"/>
  <c r="U48" i="39" s="1"/>
  <c r="T48" i="39" a="1"/>
  <c r="T48" i="39" s="1"/>
  <c r="J84" i="42" a="1"/>
  <c r="J84" i="42" s="1"/>
  <c r="L13" i="34"/>
  <c r="L92" i="34"/>
  <c r="L14" i="34"/>
  <c r="L45" i="34"/>
  <c r="L28" i="34"/>
  <c r="M39" i="33"/>
  <c r="M30" i="33"/>
  <c r="O39" i="33"/>
  <c r="O30" i="33"/>
  <c r="L39" i="33"/>
  <c r="L30" i="33"/>
  <c r="K39" i="42" a="1"/>
  <c r="K39" i="42" s="1"/>
  <c r="K194" i="42" a="1"/>
  <c r="K194" i="42" s="1"/>
  <c r="U341" i="39" a="1"/>
  <c r="U341" i="39" s="1"/>
  <c r="K32" i="42" a="1"/>
  <c r="K32" i="42" s="1"/>
  <c r="K36" i="42" a="1"/>
  <c r="K36" i="42" s="1"/>
  <c r="K26" i="42" a="1"/>
  <c r="K26" i="42" s="1"/>
  <c r="K156" i="42" a="1"/>
  <c r="K156" i="42" s="1"/>
  <c r="U190" i="39" a="1"/>
  <c r="U190" i="39" s="1"/>
  <c r="T190" i="39" a="1"/>
  <c r="T190" i="39" s="1"/>
  <c r="J156" i="42" a="1"/>
  <c r="J156" i="42" s="1"/>
  <c r="J39" i="42" a="1"/>
  <c r="J39" i="42" s="1"/>
  <c r="J194" i="42" a="1"/>
  <c r="J194" i="42" s="1"/>
  <c r="T341" i="39" a="1"/>
  <c r="T341" i="39" s="1"/>
  <c r="J26" i="42" a="1"/>
  <c r="J26" i="42" s="1"/>
  <c r="J32" i="42" a="1"/>
  <c r="J32" i="42" s="1"/>
  <c r="J36" i="42" a="1"/>
  <c r="J36" i="42" s="1"/>
  <c r="U158" i="39" a="1"/>
  <c r="U158" i="39" s="1"/>
  <c r="K106" i="42" a="1"/>
  <c r="K106" i="42" s="1"/>
  <c r="V156" i="39" a="1"/>
  <c r="V156" i="39" s="1"/>
  <c r="P33" i="40"/>
  <c r="P5" i="40"/>
  <c r="T271" i="39" a="1"/>
  <c r="T271" i="39" s="1"/>
  <c r="J16" i="43"/>
  <c r="T83" i="39" a="1"/>
  <c r="T83" i="39" s="1"/>
  <c r="J14" i="43"/>
  <c r="J72" i="43"/>
  <c r="J15" i="43"/>
  <c r="J91" i="42" a="1"/>
  <c r="J91" i="42" s="1"/>
  <c r="T100" i="39" a="1"/>
  <c r="T100" i="39" s="1"/>
  <c r="K15" i="43"/>
  <c r="U83" i="39" a="1"/>
  <c r="U83" i="39" s="1"/>
  <c r="K16" i="43"/>
  <c r="K14" i="43"/>
  <c r="K72" i="43"/>
  <c r="U271" i="39" a="1"/>
  <c r="U271" i="39" s="1"/>
  <c r="K91" i="42" a="1"/>
  <c r="K91" i="42" s="1"/>
  <c r="U100" i="39" a="1"/>
  <c r="U100" i="39" s="1"/>
  <c r="J106" i="42" a="1"/>
  <c r="J106" i="42" s="1"/>
  <c r="T158" i="39" a="1"/>
  <c r="T158" i="39" s="1"/>
  <c r="N37" i="34"/>
  <c r="N45" i="34"/>
  <c r="M37" i="34"/>
  <c r="M45" i="34"/>
  <c r="L65" i="34"/>
  <c r="L117" i="34"/>
  <c r="M67" i="33"/>
  <c r="M66" i="33"/>
  <c r="M81" i="33"/>
  <c r="O67" i="33"/>
  <c r="O81" i="33"/>
  <c r="O66" i="33"/>
  <c r="L81" i="33"/>
  <c r="L67" i="33"/>
  <c r="L66" i="33"/>
  <c r="J43" i="42" a="1"/>
  <c r="J43" i="42" s="1"/>
  <c r="T530" i="39" a="1"/>
  <c r="T530" i="39" s="1"/>
  <c r="J51" i="42" a="1"/>
  <c r="J51" i="42" s="1"/>
  <c r="J174" i="42" a="1"/>
  <c r="J174" i="42" s="1"/>
  <c r="J49" i="42" a="1"/>
  <c r="J49" i="42" s="1"/>
  <c r="K51" i="42" a="1"/>
  <c r="K51" i="42" s="1"/>
  <c r="K49" i="42" a="1"/>
  <c r="K49" i="42" s="1"/>
  <c r="U530" i="39" a="1"/>
  <c r="U530" i="39" s="1"/>
  <c r="K174" i="42" a="1"/>
  <c r="K174" i="42" s="1"/>
  <c r="T495" i="39" a="1"/>
  <c r="T495" i="39" s="1"/>
  <c r="J103" i="42" a="1"/>
  <c r="J103" i="42" s="1"/>
  <c r="U495" i="39" a="1"/>
  <c r="U495" i="39" s="1"/>
  <c r="K103" i="42" a="1"/>
  <c r="K103" i="42" s="1"/>
  <c r="T387" i="39" a="1"/>
  <c r="T387" i="39" s="1"/>
  <c r="J54" i="42" a="1"/>
  <c r="J54" i="42" s="1"/>
  <c r="U387" i="39" a="1"/>
  <c r="U387" i="39" s="1"/>
  <c r="K54" i="42" a="1"/>
  <c r="K54" i="42" s="1"/>
  <c r="U438" i="39" a="1"/>
  <c r="U438" i="39" s="1"/>
  <c r="K43" i="42" a="1"/>
  <c r="K43" i="42" s="1"/>
  <c r="V474" i="39" a="1"/>
  <c r="V474" i="39" s="1"/>
  <c r="P38" i="40"/>
  <c r="P69" i="40"/>
  <c r="P39" i="40"/>
  <c r="J34" i="43"/>
  <c r="J27" i="43"/>
  <c r="J26" i="43"/>
  <c r="K26" i="43"/>
  <c r="K34" i="43"/>
  <c r="K27" i="43"/>
  <c r="T390" i="39" a="1"/>
  <c r="T390" i="39" s="1"/>
  <c r="T451" i="39" a="1"/>
  <c r="T451" i="39" s="1"/>
  <c r="U3" i="38" a="1"/>
  <c r="T438" i="39" a="1"/>
  <c r="T438" i="39" s="1"/>
  <c r="U451" i="39" a="1"/>
  <c r="U451" i="39" s="1"/>
  <c r="U390" i="39" a="1"/>
  <c r="U390" i="39" s="1"/>
  <c r="L33" i="33"/>
  <c r="L47" i="33"/>
  <c r="L46" i="33"/>
  <c r="O33" i="33"/>
  <c r="O46" i="33"/>
  <c r="O47" i="33"/>
  <c r="M33" i="33"/>
  <c r="M46" i="33"/>
  <c r="M47" i="33"/>
  <c r="L2" i="34"/>
  <c r="L37" i="34"/>
  <c r="L91" i="34"/>
  <c r="L56" i="34"/>
  <c r="L57" i="34"/>
  <c r="K181" i="42" a="1"/>
  <c r="K181" i="42" s="1"/>
  <c r="U310" i="39" a="1"/>
  <c r="U310" i="39" s="1"/>
  <c r="K186" i="42" a="1"/>
  <c r="K186" i="42" s="1"/>
  <c r="K173" i="42" a="1"/>
  <c r="K173" i="42" s="1"/>
  <c r="P28" i="40"/>
  <c r="P70" i="40"/>
  <c r="P71" i="40"/>
  <c r="V137" i="39" a="1"/>
  <c r="V137" i="39" s="1"/>
  <c r="T233" i="39" a="1"/>
  <c r="T233" i="39" s="1"/>
  <c r="J158" i="42" a="1"/>
  <c r="J158" i="42" s="1"/>
  <c r="T325" i="39" a="1"/>
  <c r="T325" i="39" s="1"/>
  <c r="J99" i="43"/>
  <c r="J100" i="43"/>
  <c r="T170" i="39" a="1"/>
  <c r="T170" i="39" s="1"/>
  <c r="J98" i="43"/>
  <c r="U233" i="39" a="1"/>
  <c r="U233" i="39" s="1"/>
  <c r="K158" i="42" a="1"/>
  <c r="K158" i="42" s="1"/>
  <c r="T101" i="39" a="1"/>
  <c r="T101" i="39" s="1"/>
  <c r="J96" i="42" a="1"/>
  <c r="J96" i="42" s="1"/>
  <c r="U170" i="39" a="1"/>
  <c r="U170" i="39" s="1"/>
  <c r="U325" i="39" a="1"/>
  <c r="U325" i="39" s="1"/>
  <c r="K99" i="43"/>
  <c r="K100" i="43"/>
  <c r="K98" i="43"/>
  <c r="U101" i="39" a="1"/>
  <c r="U101" i="39" s="1"/>
  <c r="K96" i="42" a="1"/>
  <c r="K96" i="42" s="1"/>
  <c r="T208" i="39" a="1"/>
  <c r="T208" i="39" s="1"/>
  <c r="J101" i="42" a="1"/>
  <c r="J101" i="42" s="1"/>
  <c r="J181" i="42" a="1"/>
  <c r="J181" i="42" s="1"/>
  <c r="J186" i="42" a="1"/>
  <c r="J186" i="42" s="1"/>
  <c r="T310" i="39" a="1"/>
  <c r="T310" i="39" s="1"/>
  <c r="J173" i="42" a="1"/>
  <c r="J173" i="42" s="1"/>
  <c r="U208" i="39" a="1"/>
  <c r="U208" i="39" s="1"/>
  <c r="K101" i="42" a="1"/>
  <c r="K101" i="42" s="1"/>
  <c r="H194" i="35" a="1"/>
  <c r="H194" i="35" s="1"/>
  <c r="K108" i="42" a="1"/>
  <c r="K108" i="42" s="1"/>
  <c r="K171" i="42" a="1"/>
  <c r="K171" i="42" s="1"/>
  <c r="K122" i="42" a="1"/>
  <c r="K122" i="42" s="1"/>
  <c r="U289" i="39" a="1"/>
  <c r="U289" i="39" s="1"/>
  <c r="K165" i="42" a="1"/>
  <c r="K165" i="42" s="1"/>
  <c r="U263" i="39" a="1"/>
  <c r="U263" i="39" s="1"/>
  <c r="T289" i="39" a="1"/>
  <c r="T289" i="39" s="1"/>
  <c r="J122" i="42" a="1"/>
  <c r="J122" i="42" s="1"/>
  <c r="J171" i="42" a="1"/>
  <c r="J171" i="42" s="1"/>
  <c r="J108" i="42" a="1"/>
  <c r="J108" i="42" s="1"/>
  <c r="T263" i="39" a="1"/>
  <c r="T263" i="39" s="1"/>
  <c r="J165" i="42" a="1"/>
  <c r="J165" i="42" s="1"/>
  <c r="K105" i="42" a="1"/>
  <c r="K105" i="42" s="1"/>
  <c r="U153" i="39" a="1"/>
  <c r="U153" i="39" s="1"/>
  <c r="P3" i="40"/>
  <c r="V259" i="39" a="1"/>
  <c r="V259" i="39" s="1"/>
  <c r="P42" i="40"/>
  <c r="J52" i="43"/>
  <c r="T11" i="39" a="1"/>
  <c r="T11" i="39" s="1"/>
  <c r="J68" i="43"/>
  <c r="J51" i="43"/>
  <c r="T82" i="39" a="1"/>
  <c r="T82" i="39" s="1"/>
  <c r="J53" i="43"/>
  <c r="K68" i="43"/>
  <c r="K52" i="43"/>
  <c r="K53" i="43"/>
  <c r="K51" i="43"/>
  <c r="U82" i="39" a="1"/>
  <c r="U82" i="39" s="1"/>
  <c r="U11" i="39" a="1"/>
  <c r="U11" i="39" s="1"/>
  <c r="J85" i="42" a="1"/>
  <c r="J85" i="42" s="1"/>
  <c r="T51" i="39" a="1"/>
  <c r="T51" i="39" s="1"/>
  <c r="K85" i="42" a="1"/>
  <c r="K85" i="42" s="1"/>
  <c r="U51" i="39" a="1"/>
  <c r="U51" i="39" s="1"/>
  <c r="J105" i="42" a="1"/>
  <c r="J105" i="42" s="1"/>
  <c r="T153" i="39" a="1"/>
  <c r="T153" i="39" s="1"/>
  <c r="L105" i="34"/>
  <c r="L35" i="34"/>
  <c r="L36" i="34"/>
  <c r="M27" i="34"/>
  <c r="M2" i="34"/>
  <c r="L38" i="33"/>
  <c r="L25" i="33"/>
  <c r="N27" i="34"/>
  <c r="N2" i="34"/>
  <c r="O38" i="33"/>
  <c r="O25" i="33"/>
  <c r="M38" i="33"/>
  <c r="M25" i="33"/>
  <c r="V203" i="39" a="1"/>
  <c r="V203" i="39" s="1"/>
  <c r="P56" i="40"/>
  <c r="P27" i="40"/>
  <c r="T135" i="39" a="1"/>
  <c r="T135" i="39" s="1"/>
  <c r="T117" i="39" a="1"/>
  <c r="T117" i="39" s="1"/>
  <c r="J78" i="42" a="1"/>
  <c r="J78" i="42" s="1"/>
  <c r="U135" i="39" a="1"/>
  <c r="U135" i="39" s="1"/>
  <c r="U117" i="39" a="1"/>
  <c r="U117" i="39" s="1"/>
  <c r="K78" i="42" a="1"/>
  <c r="K78" i="42" s="1"/>
  <c r="T171" i="39" a="1"/>
  <c r="T171" i="39" s="1"/>
  <c r="T154" i="39" a="1"/>
  <c r="T154" i="39" s="1"/>
  <c r="J10" i="42" a="1"/>
  <c r="J10" i="42" s="1"/>
  <c r="U171" i="39" a="1"/>
  <c r="U171" i="39" s="1"/>
  <c r="U154" i="39" a="1"/>
  <c r="U154" i="39" s="1"/>
  <c r="K10" i="42" a="1"/>
  <c r="K10" i="42" s="1"/>
  <c r="H192" i="35" a="1"/>
  <c r="H192" i="35" s="1"/>
  <c r="U329" i="39" a="1"/>
  <c r="U329" i="39" s="1"/>
  <c r="K197" i="42" a="1"/>
  <c r="K197" i="42" s="1"/>
  <c r="K206" i="42" a="1"/>
  <c r="K206" i="42" s="1"/>
  <c r="U333" i="39" a="1"/>
  <c r="U333" i="39" s="1"/>
  <c r="T570" i="39" a="1"/>
  <c r="T570" i="39" s="1"/>
  <c r="J169" i="42" a="1"/>
  <c r="J169" i="42" s="1"/>
  <c r="T251" i="39" a="1"/>
  <c r="T251" i="39" s="1"/>
  <c r="T185" i="39" a="1"/>
  <c r="T185" i="39" s="1"/>
  <c r="J107" i="43"/>
  <c r="J105" i="43"/>
  <c r="J106" i="43"/>
  <c r="J104" i="43"/>
  <c r="T166" i="39" a="1"/>
  <c r="T166" i="39" s="1"/>
  <c r="U570" i="39" a="1"/>
  <c r="U570" i="39" s="1"/>
  <c r="K169" i="42" a="1"/>
  <c r="K169" i="42" s="1"/>
  <c r="U251" i="39" a="1"/>
  <c r="U251" i="39" s="1"/>
  <c r="K106" i="43"/>
  <c r="K107" i="43"/>
  <c r="K105" i="43"/>
  <c r="U185" i="39" a="1"/>
  <c r="U185" i="39" s="1"/>
  <c r="U166" i="39" a="1"/>
  <c r="U166" i="39" s="1"/>
  <c r="K104" i="43"/>
  <c r="T329" i="39" a="1"/>
  <c r="T329" i="39" s="1"/>
  <c r="J197" i="42" a="1"/>
  <c r="J197" i="42" s="1"/>
  <c r="T333" i="39" a="1"/>
  <c r="T333" i="39" s="1"/>
  <c r="J206" i="42" a="1"/>
  <c r="J206" i="42" s="1"/>
  <c r="L99" i="34"/>
  <c r="L124" i="34"/>
  <c r="L125" i="34"/>
  <c r="L25" i="34"/>
  <c r="L27" i="34"/>
  <c r="H50" i="35" a="1"/>
  <c r="H50" i="35" s="1"/>
  <c r="U193" i="39" a="1"/>
  <c r="U193" i="39" s="1"/>
  <c r="U562" i="39" a="1"/>
  <c r="U562" i="39" s="1"/>
  <c r="L3" i="38" a="1"/>
  <c r="V159" i="39" a="1"/>
  <c r="V159" i="39" s="1"/>
  <c r="T562" i="39" a="1"/>
  <c r="T562" i="39" s="1"/>
  <c r="T193" i="39" a="1"/>
  <c r="T193" i="39" s="1"/>
  <c r="H132" i="35" a="1"/>
  <c r="H132" i="35" s="1"/>
  <c r="AG50" i="3"/>
  <c r="AG62" i="3"/>
  <c r="AG39" i="3"/>
  <c r="AG51" i="3"/>
  <c r="AG63" i="3"/>
  <c r="AG40" i="3"/>
  <c r="AG52" i="3"/>
  <c r="AG64" i="3"/>
  <c r="AG41" i="3"/>
  <c r="AG53" i="3"/>
  <c r="AG65" i="3"/>
  <c r="AG42" i="3"/>
  <c r="AG54" i="3"/>
  <c r="AG66" i="3"/>
  <c r="AG43" i="3"/>
  <c r="AG55" i="3"/>
  <c r="AG67" i="3"/>
  <c r="AG44" i="3"/>
  <c r="AG56" i="3"/>
  <c r="AG68" i="3"/>
  <c r="AG45" i="3"/>
  <c r="AG57" i="3"/>
  <c r="AG69" i="3"/>
  <c r="AG58" i="3"/>
  <c r="AG47" i="3"/>
  <c r="AG59" i="3"/>
  <c r="AG48" i="3"/>
  <c r="AG60" i="3"/>
  <c r="AG49" i="3"/>
  <c r="AG61" i="3"/>
  <c r="AG46" i="3"/>
  <c r="G192" i="35" a="1"/>
  <c r="G192" i="35" s="1"/>
  <c r="AP46" i="3"/>
  <c r="AP58" i="3"/>
  <c r="AP47" i="3"/>
  <c r="AP59" i="3"/>
  <c r="AP48" i="3"/>
  <c r="AP60" i="3"/>
  <c r="AP49" i="3"/>
  <c r="AP61" i="3"/>
  <c r="AP50" i="3"/>
  <c r="AP62" i="3"/>
  <c r="AP39" i="3"/>
  <c r="AP51" i="3"/>
  <c r="AP63" i="3"/>
  <c r="AP40" i="3"/>
  <c r="AP52" i="3"/>
  <c r="AP64" i="3"/>
  <c r="AP41" i="3"/>
  <c r="AP53" i="3"/>
  <c r="AP65" i="3"/>
  <c r="AP42" i="3"/>
  <c r="AP54" i="3"/>
  <c r="AP66" i="3"/>
  <c r="AP43" i="3"/>
  <c r="AP55" i="3"/>
  <c r="AP67" i="3"/>
  <c r="AP44" i="3"/>
  <c r="AP56" i="3"/>
  <c r="AP68" i="3"/>
  <c r="AP45" i="3"/>
  <c r="AP57" i="3"/>
  <c r="AP69" i="3"/>
  <c r="G5" i="36" a="1"/>
  <c r="G5" i="36" s="1"/>
  <c r="AP7" i="3"/>
  <c r="AP19" i="3"/>
  <c r="AP31" i="3"/>
  <c r="AP8" i="3"/>
  <c r="AP20" i="3"/>
  <c r="AP32" i="3"/>
  <c r="AP9" i="3"/>
  <c r="AP21" i="3"/>
  <c r="AP33" i="3"/>
  <c r="AP10" i="3"/>
  <c r="AP22" i="3"/>
  <c r="AP34" i="3"/>
  <c r="AP11" i="3"/>
  <c r="AP23" i="3"/>
  <c r="AP12" i="3"/>
  <c r="AP24" i="3"/>
  <c r="AP13" i="3"/>
  <c r="AP25" i="3"/>
  <c r="AP14" i="3"/>
  <c r="AP26" i="3"/>
  <c r="AP15" i="3"/>
  <c r="AP27" i="3"/>
  <c r="AP4" i="3"/>
  <c r="AP16" i="3"/>
  <c r="AP28" i="3"/>
  <c r="AP5" i="3"/>
  <c r="AP17" i="3"/>
  <c r="AP29" i="3"/>
  <c r="AP6" i="3"/>
  <c r="AP18" i="3"/>
  <c r="AP30" i="3"/>
  <c r="J110" i="43"/>
  <c r="J109" i="43"/>
  <c r="J111" i="43"/>
  <c r="J108" i="43"/>
  <c r="K110" i="43"/>
  <c r="K108" i="43"/>
  <c r="K109" i="43"/>
  <c r="K111" i="43"/>
  <c r="K190" i="42" a="1"/>
  <c r="K190" i="42" s="1"/>
  <c r="K199" i="42" a="1"/>
  <c r="K199" i="42" s="1"/>
  <c r="K198" i="42" a="1"/>
  <c r="K198" i="42" s="1"/>
  <c r="J168" i="42" a="1"/>
  <c r="J168" i="42" s="1"/>
  <c r="K168" i="42" a="1"/>
  <c r="K168" i="42" s="1"/>
  <c r="J199" i="42" a="1"/>
  <c r="J199" i="42" s="1"/>
  <c r="J198" i="42" a="1"/>
  <c r="J198" i="42" s="1"/>
  <c r="J190" i="42" a="1"/>
  <c r="J190" i="42" s="1"/>
  <c r="K107" i="42" a="1"/>
  <c r="K107" i="42" s="1"/>
  <c r="J94" i="42" a="1"/>
  <c r="J94" i="42" s="1"/>
  <c r="K94" i="42" a="1"/>
  <c r="K94" i="42" s="1"/>
  <c r="J107" i="42" a="1"/>
  <c r="J107" i="42" s="1"/>
  <c r="P81" i="40"/>
  <c r="P80" i="40"/>
  <c r="P31" i="40"/>
  <c r="N11" i="38"/>
  <c r="L86" i="33"/>
  <c r="L85" i="33"/>
  <c r="L28" i="33"/>
  <c r="Q11" i="38"/>
  <c r="O85" i="33"/>
  <c r="O86" i="33"/>
  <c r="O28" i="33"/>
  <c r="O11" i="38"/>
  <c r="M86" i="33"/>
  <c r="M28" i="33"/>
  <c r="M85" i="33"/>
  <c r="H77" i="35" a="1"/>
  <c r="H77" i="35" s="1"/>
  <c r="K55" i="34" a="1"/>
  <c r="K55" i="34" s="1"/>
  <c r="K34" i="34" a="1"/>
  <c r="K34" i="34" s="1"/>
  <c r="K64" i="34" a="1"/>
  <c r="K64" i="34" s="1"/>
  <c r="K11" i="34" a="1"/>
  <c r="K11" i="34" s="1"/>
  <c r="H83" i="35" a="1"/>
  <c r="H83" i="35" s="1"/>
  <c r="H172" i="35" a="1"/>
  <c r="H172" i="35" s="1"/>
  <c r="H206" i="35" a="1"/>
  <c r="H206" i="35" s="1"/>
  <c r="H69" i="35" a="1"/>
  <c r="H69" i="35" s="1"/>
  <c r="H121" i="35" a="1"/>
  <c r="H121" i="35" s="1"/>
  <c r="G6" i="36" a="1"/>
  <c r="G6" i="36" s="1"/>
  <c r="L36" i="40"/>
  <c r="L75" i="40"/>
  <c r="O490" i="39"/>
  <c r="O75" i="40"/>
  <c r="Q490" i="39"/>
  <c r="O36" i="40"/>
  <c r="M75" i="40"/>
  <c r="R490" i="39" a="1"/>
  <c r="R490" i="39" s="1"/>
  <c r="M36" i="40"/>
  <c r="AD38" i="38" a="1"/>
  <c r="H17" i="35" a="1"/>
  <c r="H17" i="35" s="1"/>
  <c r="C38" i="3" a="1"/>
  <c r="C38" i="3" s="1"/>
  <c r="E46" i="38"/>
  <c r="V324" i="39" s="1" a="1"/>
  <c r="V324" i="39" s="1"/>
  <c r="AN34" i="38"/>
  <c r="AN28" i="38"/>
  <c r="AN5" i="38"/>
  <c r="AN23" i="38"/>
  <c r="AN6" i="38"/>
  <c r="AN20" i="38"/>
  <c r="AN15" i="38"/>
  <c r="AN21" i="38"/>
  <c r="AN11" i="38"/>
  <c r="AN22" i="38"/>
  <c r="AN30" i="38"/>
  <c r="AN9" i="38"/>
  <c r="AN27" i="38"/>
  <c r="AN3" i="38"/>
  <c r="AN4" i="38"/>
  <c r="AN33" i="38"/>
  <c r="AN17" i="38"/>
  <c r="AN26" i="38"/>
  <c r="AN29" i="38"/>
  <c r="AN14" i="38"/>
  <c r="AN24" i="38"/>
  <c r="AN19" i="38"/>
  <c r="AN16" i="38"/>
  <c r="AN25" i="38"/>
  <c r="AN7" i="38"/>
  <c r="AN32" i="38"/>
  <c r="AN31" i="38"/>
  <c r="AN13" i="38"/>
  <c r="AN12" i="38"/>
  <c r="AN10" i="38"/>
  <c r="AN8" i="38"/>
  <c r="AN18" i="38"/>
  <c r="AM3" i="38" a="1"/>
  <c r="AE57" i="38"/>
  <c r="AE53" i="38"/>
  <c r="AE51" i="38"/>
  <c r="AE49" i="38"/>
  <c r="AE47" i="38"/>
  <c r="AE60" i="38"/>
  <c r="AE54" i="38"/>
  <c r="AE64" i="38"/>
  <c r="AE66" i="38"/>
  <c r="AE46" i="38"/>
  <c r="AE67" i="38"/>
  <c r="AE50" i="38"/>
  <c r="AE41" i="38"/>
  <c r="AE45" i="38"/>
  <c r="AE43" i="38"/>
  <c r="AE63" i="38"/>
  <c r="AE61" i="38"/>
  <c r="AE58" i="38"/>
  <c r="AE69" i="38"/>
  <c r="AE62" i="38"/>
  <c r="AE44" i="38"/>
  <c r="AE52" i="38"/>
  <c r="AE38" i="38"/>
  <c r="AE68" i="38"/>
  <c r="AE59" i="38"/>
  <c r="AE39" i="38"/>
  <c r="AE56" i="38"/>
  <c r="AE65" i="38"/>
  <c r="AE42" i="38"/>
  <c r="AE55" i="38"/>
  <c r="AE40" i="38"/>
  <c r="AE48" i="38"/>
  <c r="V60" i="38"/>
  <c r="V49" i="38"/>
  <c r="V68" i="38"/>
  <c r="V55" i="38"/>
  <c r="V38" i="38"/>
  <c r="V69" i="38"/>
  <c r="V58" i="38"/>
  <c r="V41" i="38"/>
  <c r="V42" i="38"/>
  <c r="V61" i="38"/>
  <c r="V44" i="38"/>
  <c r="V57" i="38"/>
  <c r="V48" i="38"/>
  <c r="V64" i="38"/>
  <c r="V47" i="38"/>
  <c r="V63" i="38"/>
  <c r="V66" i="38"/>
  <c r="V67" i="38"/>
  <c r="V50" i="38"/>
  <c r="V39" i="38"/>
  <c r="V53" i="38"/>
  <c r="V45" i="38"/>
  <c r="V56" i="38"/>
  <c r="V52" i="38"/>
  <c r="V59" i="38"/>
  <c r="V51" i="38"/>
  <c r="V43" i="38"/>
  <c r="V65" i="38"/>
  <c r="V40" i="38"/>
  <c r="V62" i="38"/>
  <c r="V54" i="38"/>
  <c r="V46" i="38"/>
  <c r="U38" i="38" a="1"/>
  <c r="AE33" i="38"/>
  <c r="AE18" i="38"/>
  <c r="AE17" i="38"/>
  <c r="AE26" i="38"/>
  <c r="AE34" i="38"/>
  <c r="AE3" i="38"/>
  <c r="AE32" i="38"/>
  <c r="AE22" i="38"/>
  <c r="AE25" i="38"/>
  <c r="AE12" i="38"/>
  <c r="AE24" i="38"/>
  <c r="AE5" i="38"/>
  <c r="AE7" i="38"/>
  <c r="AE14" i="38"/>
  <c r="AE23" i="38"/>
  <c r="AE19" i="38"/>
  <c r="AE20" i="38"/>
  <c r="AE8" i="38"/>
  <c r="AE29" i="38"/>
  <c r="AE11" i="38"/>
  <c r="AE9" i="38"/>
  <c r="AE27" i="38"/>
  <c r="AE15" i="38"/>
  <c r="AE4" i="38"/>
  <c r="AE28" i="38"/>
  <c r="AE31" i="38"/>
  <c r="AE21" i="38"/>
  <c r="AE10" i="38"/>
  <c r="AE6" i="38"/>
  <c r="AE13" i="38"/>
  <c r="AE16" i="38"/>
  <c r="AE30" i="38"/>
  <c r="AD3" i="38" a="1"/>
  <c r="L399" i="39" s="1" a="1"/>
  <c r="L399" i="39" s="1"/>
  <c r="V21" i="38"/>
  <c r="V29" i="38"/>
  <c r="V12" i="38"/>
  <c r="V33" i="38"/>
  <c r="V4" i="38"/>
  <c r="V26" i="38"/>
  <c r="V15" i="38"/>
  <c r="V14" i="38"/>
  <c r="V30" i="38"/>
  <c r="V17" i="38"/>
  <c r="V5" i="38"/>
  <c r="V8" i="38"/>
  <c r="V32" i="38"/>
  <c r="V9" i="38"/>
  <c r="V27" i="38"/>
  <c r="V13" i="38"/>
  <c r="V18" i="38"/>
  <c r="V31" i="38"/>
  <c r="V25" i="38"/>
  <c r="V20" i="38"/>
  <c r="V19" i="38"/>
  <c r="V23" i="38"/>
  <c r="V6" i="38"/>
  <c r="V22" i="38"/>
  <c r="V11" i="38"/>
  <c r="V34" i="38"/>
  <c r="V28" i="38"/>
  <c r="V3" i="38"/>
  <c r="V7" i="38"/>
  <c r="V10" i="38"/>
  <c r="V16" i="38"/>
  <c r="V24" i="38"/>
  <c r="R223" i="39" a="1"/>
  <c r="R223" i="39" s="1"/>
  <c r="M17" i="40"/>
  <c r="M40" i="40"/>
  <c r="O17" i="40"/>
  <c r="Q223" i="39"/>
  <c r="O40" i="40"/>
  <c r="L40" i="40"/>
  <c r="L17" i="40"/>
  <c r="O223" i="39"/>
  <c r="H156" i="35" a="1"/>
  <c r="H156" i="35" s="1"/>
  <c r="H191" i="35" a="1"/>
  <c r="H191" i="35" s="1"/>
  <c r="H62" i="35" a="1"/>
  <c r="H62" i="35" s="1"/>
  <c r="Y3" i="3" a="1"/>
  <c r="Y3" i="3" s="1"/>
  <c r="R46" i="38"/>
  <c r="H205" i="35" a="1"/>
  <c r="H205" i="35" s="1"/>
  <c r="H141" i="35" a="1"/>
  <c r="H141" i="35" s="1"/>
  <c r="H147" i="35" a="1"/>
  <c r="H147" i="35" s="1"/>
  <c r="H162" i="35" a="1"/>
  <c r="H162" i="35" s="1"/>
  <c r="H124" i="35" a="1"/>
  <c r="H124" i="35" s="1"/>
  <c r="H40" i="35" a="1"/>
  <c r="H40" i="35" s="1"/>
  <c r="H186" i="35" a="1"/>
  <c r="H186" i="35" s="1"/>
  <c r="H153" i="35" a="1"/>
  <c r="H153" i="35" s="1"/>
  <c r="H63" i="35" a="1"/>
  <c r="H63" i="35" s="1"/>
  <c r="H154" i="35" a="1"/>
  <c r="H154" i="35" s="1"/>
  <c r="H71" i="35" a="1"/>
  <c r="H71" i="35" s="1"/>
  <c r="H59" i="35" a="1"/>
  <c r="H59" i="35" s="1"/>
  <c r="H161" i="35" a="1"/>
  <c r="H161" i="35" s="1"/>
  <c r="H110" i="35" a="1"/>
  <c r="H110" i="35" s="1"/>
  <c r="H53" i="35" a="1"/>
  <c r="H53" i="35" s="1"/>
  <c r="H122" i="35" a="1"/>
  <c r="H122" i="35" s="1"/>
  <c r="H76" i="35" a="1"/>
  <c r="H76" i="35" s="1"/>
  <c r="H207" i="35" a="1"/>
  <c r="H207" i="35" s="1"/>
  <c r="H148" i="35" a="1"/>
  <c r="H148" i="35" s="1"/>
  <c r="H54" i="35" a="1"/>
  <c r="H54" i="35" s="1"/>
  <c r="H57" i="35" a="1"/>
  <c r="H57" i="35" s="1"/>
  <c r="N25" i="34"/>
  <c r="AC11" i="3"/>
  <c r="M25" i="34"/>
  <c r="AB11" i="3"/>
  <c r="AA11" i="3"/>
  <c r="L60" i="34"/>
  <c r="L59" i="34"/>
  <c r="L96" i="34"/>
  <c r="L40" i="33"/>
  <c r="L64" i="33"/>
  <c r="O40" i="33"/>
  <c r="O64" i="33"/>
  <c r="M40" i="33"/>
  <c r="M64" i="33"/>
  <c r="H85" i="35" a="1"/>
  <c r="H85" i="35" s="1"/>
  <c r="H200" i="35" a="1"/>
  <c r="H200" i="35" s="1"/>
  <c r="H138" i="35" a="1"/>
  <c r="H138" i="35" s="1"/>
  <c r="H197" i="35" a="1"/>
  <c r="H197" i="35" s="1"/>
  <c r="H171" i="35" a="1"/>
  <c r="H171" i="35" s="1"/>
  <c r="H93" i="35" a="1"/>
  <c r="H93" i="35" s="1"/>
  <c r="H84" i="35" a="1"/>
  <c r="H84" i="35" s="1"/>
  <c r="K22" i="34" a="1"/>
  <c r="K22" i="34" s="1"/>
  <c r="K84" i="34" a="1"/>
  <c r="K84" i="34" s="1"/>
  <c r="K19" i="34" a="1"/>
  <c r="K19" i="34" s="1"/>
  <c r="K121" i="34" a="1"/>
  <c r="K121" i="34" s="1"/>
  <c r="H98" i="35" a="1"/>
  <c r="H98" i="35" s="1"/>
  <c r="H195" i="35" a="1"/>
  <c r="H195" i="35" s="1"/>
  <c r="H173" i="35" a="1"/>
  <c r="H173" i="35" s="1"/>
  <c r="H158" i="35" a="1"/>
  <c r="H158" i="35" s="1"/>
  <c r="H46" i="35" a="1"/>
  <c r="H46" i="35" s="1"/>
  <c r="H94" i="35" a="1"/>
  <c r="H94" i="35" s="1"/>
  <c r="H78" i="35" a="1"/>
  <c r="H78" i="35" s="1"/>
  <c r="H145" i="35" a="1"/>
  <c r="H145" i="35" s="1"/>
  <c r="H146" i="35" a="1"/>
  <c r="H146" i="35" s="1"/>
  <c r="H52" i="35" a="1"/>
  <c r="H52" i="35" s="1"/>
  <c r="H140" i="35" a="1"/>
  <c r="H140" i="35" s="1"/>
  <c r="H74" i="35" a="1"/>
  <c r="H74" i="35" s="1"/>
  <c r="H23" i="35" a="1"/>
  <c r="H23" i="35" s="1"/>
  <c r="H51" i="35" a="1"/>
  <c r="H51" i="35" s="1"/>
  <c r="H47" i="35" a="1"/>
  <c r="H47" i="35" s="1"/>
  <c r="H67" i="35" a="1"/>
  <c r="H67" i="35" s="1"/>
  <c r="H11" i="35" a="1"/>
  <c r="H11" i="35" s="1"/>
  <c r="H38" i="3" a="1"/>
  <c r="G55" i="34" s="1" a="1"/>
  <c r="G55" i="34" s="1"/>
  <c r="L46" i="34"/>
  <c r="AH3" i="3"/>
  <c r="G39" i="35" s="1" a="1"/>
  <c r="G39" i="35" s="1"/>
  <c r="G135" i="35" a="1"/>
  <c r="G135" i="35" s="1"/>
  <c r="G196" i="35" a="1"/>
  <c r="G196" i="35" s="1"/>
  <c r="G144" i="35" a="1"/>
  <c r="G144" i="35" s="1"/>
  <c r="G31" i="35" a="1"/>
  <c r="G31" i="35" s="1"/>
  <c r="G131" i="35" a="1"/>
  <c r="G131" i="35" s="1"/>
  <c r="G38" i="35" a="1"/>
  <c r="G38" i="35" s="1"/>
  <c r="G30" i="35" a="1"/>
  <c r="G30" i="35" s="1"/>
  <c r="G14" i="35" a="1"/>
  <c r="G14" i="35" s="1"/>
  <c r="G114" i="35" a="1"/>
  <c r="G114" i="35" s="1"/>
  <c r="G201" i="35" a="1"/>
  <c r="G201" i="35" s="1"/>
  <c r="G24" i="35" a="1"/>
  <c r="G24" i="35" s="1"/>
  <c r="G142" i="35" a="1"/>
  <c r="G142" i="35" s="1"/>
  <c r="G120" i="35" a="1"/>
  <c r="G120" i="35" s="1"/>
  <c r="G10" i="35" a="1"/>
  <c r="G10" i="35" s="1"/>
  <c r="G34" i="35" a="1"/>
  <c r="G34" i="35" s="1"/>
  <c r="G32" i="35" a="1"/>
  <c r="G32" i="35" s="1"/>
  <c r="G15" i="35" a="1"/>
  <c r="G15" i="35" s="1"/>
  <c r="G214" i="35" a="1"/>
  <c r="G214" i="35" s="1"/>
  <c r="G157" i="35" a="1"/>
  <c r="G157" i="35" s="1"/>
  <c r="G119" i="35" a="1"/>
  <c r="G119" i="35" s="1"/>
  <c r="G33" i="35" a="1"/>
  <c r="G33" i="35" s="1"/>
  <c r="G3" i="35" a="1"/>
  <c r="G3" i="35" s="1"/>
  <c r="G41" i="35" a="1"/>
  <c r="G41" i="35" s="1"/>
  <c r="AZ3" i="3"/>
  <c r="G26" i="36" s="1" a="1"/>
  <c r="G26" i="36" s="1"/>
  <c r="G33" i="36" a="1"/>
  <c r="G33" i="36" s="1"/>
  <c r="G13" i="36" a="1"/>
  <c r="G13" i="36" s="1"/>
  <c r="G49" i="36" a="1"/>
  <c r="G49" i="36" s="1"/>
  <c r="G53" i="36" a="1"/>
  <c r="G53" i="36" s="1"/>
  <c r="G61" i="36" a="1"/>
  <c r="G61" i="36" s="1"/>
  <c r="G34" i="36" a="1"/>
  <c r="G34" i="36" s="1"/>
  <c r="G105" i="36" a="1"/>
  <c r="G105" i="36" s="1"/>
  <c r="G25" i="36" a="1"/>
  <c r="G25" i="36" s="1"/>
  <c r="G47" i="36" a="1"/>
  <c r="G47" i="36" s="1"/>
  <c r="G11" i="36" a="1"/>
  <c r="G11" i="36" s="1"/>
  <c r="G84" i="36" a="1"/>
  <c r="G84" i="36" s="1"/>
  <c r="G10" i="36" a="1"/>
  <c r="G10" i="36" s="1"/>
  <c r="G7" i="36" a="1"/>
  <c r="G7" i="36" s="1"/>
  <c r="G56" i="36" a="1"/>
  <c r="G56" i="36" s="1"/>
  <c r="G32" i="36" a="1"/>
  <c r="G32" i="36" s="1"/>
  <c r="G27" i="36" a="1"/>
  <c r="G27" i="36" s="1"/>
  <c r="G2" i="36" a="1"/>
  <c r="G2" i="36" s="1"/>
  <c r="G83" i="36" a="1"/>
  <c r="G83" i="36" s="1"/>
  <c r="G31" i="36" a="1"/>
  <c r="G31" i="36" s="1"/>
  <c r="G112" i="36" a="1"/>
  <c r="G112" i="36" s="1"/>
  <c r="G58" i="36" a="1"/>
  <c r="G58" i="36" s="1"/>
  <c r="G113" i="36" a="1"/>
  <c r="G113" i="36" s="1"/>
  <c r="G57" i="36" a="1"/>
  <c r="G57" i="36" s="1"/>
  <c r="G48" i="36" a="1"/>
  <c r="G48" i="36" s="1"/>
  <c r="G28" i="36" a="1"/>
  <c r="G28" i="36" s="1"/>
  <c r="H182" i="35" a="1"/>
  <c r="H182" i="35" s="1"/>
  <c r="H185" i="35" a="1"/>
  <c r="H185" i="35" s="1"/>
  <c r="H184" i="35" a="1"/>
  <c r="H184" i="35" s="1"/>
  <c r="H177" i="35" a="1"/>
  <c r="H177" i="35" s="1"/>
  <c r="H128" i="35" a="1"/>
  <c r="H128" i="35" s="1"/>
  <c r="H176" i="35" a="1"/>
  <c r="H176" i="35" s="1"/>
  <c r="H178" i="35" a="1"/>
  <c r="H178" i="35" s="1"/>
  <c r="H95" i="35" a="1"/>
  <c r="H95" i="35" s="1"/>
  <c r="H169" i="35" a="1"/>
  <c r="H169" i="35" s="1"/>
  <c r="H170" i="35" a="1"/>
  <c r="H170" i="35" s="1"/>
  <c r="H168" i="35" a="1"/>
  <c r="H168" i="35" s="1"/>
  <c r="H12" i="35" a="1"/>
  <c r="H12" i="35" s="1"/>
  <c r="H13" i="35" a="1"/>
  <c r="H13" i="35" s="1"/>
  <c r="H96" i="35" a="1"/>
  <c r="H96" i="35" s="1"/>
  <c r="H89" i="35" a="1"/>
  <c r="H89" i="35" s="1"/>
  <c r="H102" i="35" a="1"/>
  <c r="H102" i="35" s="1"/>
  <c r="H211" i="35" a="1"/>
  <c r="H211" i="35" s="1"/>
  <c r="H212" i="35" a="1"/>
  <c r="H212" i="35" s="1"/>
  <c r="H112" i="35" a="1"/>
  <c r="H112" i="35" s="1"/>
  <c r="H213" i="35" a="1"/>
  <c r="H213" i="35" s="1"/>
  <c r="H70" i="35" a="1"/>
  <c r="H70" i="35" s="1"/>
  <c r="I38" i="3" a="1"/>
  <c r="M46" i="34"/>
  <c r="H106" i="35" a="1"/>
  <c r="H106" i="35" s="1"/>
  <c r="H105" i="35" a="1"/>
  <c r="H105" i="35" s="1"/>
  <c r="H108" i="35" a="1"/>
  <c r="H108" i="35" s="1"/>
  <c r="H28" i="35" a="1"/>
  <c r="H28" i="35" s="1"/>
  <c r="H20" i="35" a="1"/>
  <c r="H20" i="35" s="1"/>
  <c r="H107" i="35" a="1"/>
  <c r="H107" i="35" s="1"/>
  <c r="H61" i="35" a="1"/>
  <c r="H61" i="35" s="1"/>
  <c r="H58" i="35" a="1"/>
  <c r="H58" i="35" s="1"/>
  <c r="H68" i="35" a="1"/>
  <c r="H68" i="35" s="1"/>
  <c r="H113" i="35" a="1"/>
  <c r="H113" i="35" s="1"/>
  <c r="H60" i="35" a="1"/>
  <c r="H60" i="35" s="1"/>
  <c r="H73" i="35" a="1"/>
  <c r="H73" i="35" s="1"/>
  <c r="H72" i="35" a="1"/>
  <c r="H72" i="35" s="1"/>
  <c r="H167" i="35" a="1"/>
  <c r="H167" i="35" s="1"/>
  <c r="H75" i="35" a="1"/>
  <c r="H75" i="35" s="1"/>
  <c r="H18" i="35" a="1"/>
  <c r="H18" i="35" s="1"/>
  <c r="H188" i="35" a="1"/>
  <c r="H188" i="35" s="1"/>
  <c r="H44" i="35" a="1"/>
  <c r="H44" i="35" s="1"/>
  <c r="H45" i="35" a="1"/>
  <c r="H45" i="35" s="1"/>
  <c r="H204" i="35" a="1"/>
  <c r="H204" i="35" s="1"/>
  <c r="H202" i="35" a="1"/>
  <c r="H202" i="35" s="1"/>
  <c r="H203" i="35" a="1"/>
  <c r="H203" i="35" s="1"/>
  <c r="H180" i="35" a="1"/>
  <c r="H180" i="35" s="1"/>
  <c r="H117" i="35" a="1"/>
  <c r="H117" i="35" s="1"/>
  <c r="H86" i="35" a="1"/>
  <c r="H86" i="35" s="1"/>
  <c r="H87" i="35" a="1"/>
  <c r="H87" i="35" s="1"/>
  <c r="H88" i="35" a="1"/>
  <c r="H88" i="35" s="1"/>
  <c r="L38" i="3"/>
  <c r="K29" i="34" s="1" a="1"/>
  <c r="K29" i="34" s="1"/>
  <c r="K38" i="34" a="1"/>
  <c r="K38" i="34" s="1"/>
  <c r="K50" i="34" a="1"/>
  <c r="K50" i="34" s="1"/>
  <c r="K66" i="34" a="1"/>
  <c r="K66" i="34" s="1"/>
  <c r="K25" i="34" a="1"/>
  <c r="K25" i="34" s="1"/>
  <c r="K27" i="34" a="1"/>
  <c r="K27" i="34" s="1"/>
  <c r="K31" i="34" a="1"/>
  <c r="K31" i="34" s="1"/>
  <c r="K30" i="34" a="1"/>
  <c r="K30" i="34" s="1"/>
  <c r="K61" i="34" a="1"/>
  <c r="K61" i="34" s="1"/>
  <c r="K2" i="34" a="1"/>
  <c r="K2" i="34" s="1"/>
  <c r="K28" i="34" a="1"/>
  <c r="K28" i="34" s="1"/>
  <c r="K37" i="34" a="1"/>
  <c r="K37" i="34" s="1"/>
  <c r="K16" i="34" a="1"/>
  <c r="K16" i="34" s="1"/>
  <c r="K12" i="34" a="1"/>
  <c r="K12" i="34" s="1"/>
  <c r="K85" i="34" a="1"/>
  <c r="K85" i="34" s="1"/>
  <c r="K42" i="34" a="1"/>
  <c r="K42" i="34" s="1"/>
  <c r="K75" i="34" a="1"/>
  <c r="K75" i="34" s="1"/>
  <c r="K106" i="34" a="1"/>
  <c r="K106" i="34" s="1"/>
  <c r="K73" i="34" a="1"/>
  <c r="K73" i="34" s="1"/>
  <c r="K98" i="34" a="1"/>
  <c r="K98" i="34" s="1"/>
  <c r="K90" i="34" a="1"/>
  <c r="K90" i="34" s="1"/>
  <c r="K7" i="34" a="1"/>
  <c r="K7" i="34" s="1"/>
  <c r="K52" i="34" a="1"/>
  <c r="K52" i="34" s="1"/>
  <c r="K24" i="34" a="1"/>
  <c r="K24" i="34" s="1"/>
  <c r="J38" i="3" a="1"/>
  <c r="N46" i="34"/>
  <c r="H166" i="35" a="1"/>
  <c r="H166" i="35" s="1"/>
  <c r="H190" i="35" a="1"/>
  <c r="H190" i="35" s="1"/>
  <c r="H143" i="35" a="1"/>
  <c r="H143" i="35" s="1"/>
  <c r="H187" i="35" a="1"/>
  <c r="H187" i="35" s="1"/>
  <c r="H199" i="35" a="1"/>
  <c r="H199" i="35" s="1"/>
  <c r="H160" i="35" a="1"/>
  <c r="H160" i="35" s="1"/>
  <c r="H189" i="35" a="1"/>
  <c r="H189" i="35" s="1"/>
  <c r="H159" i="35" a="1"/>
  <c r="H159" i="35" s="1"/>
  <c r="H198" i="35" a="1"/>
  <c r="H198" i="35" s="1"/>
  <c r="H56" i="35" a="1"/>
  <c r="H56" i="35" s="1"/>
  <c r="H55" i="35" a="1"/>
  <c r="H55" i="35" s="1"/>
  <c r="H9" i="35" a="1"/>
  <c r="H9" i="35" s="1"/>
  <c r="H6" i="35" a="1"/>
  <c r="H6" i="35" s="1"/>
  <c r="H8" i="35" a="1"/>
  <c r="H8" i="35" s="1"/>
  <c r="H7" i="35" a="1"/>
  <c r="H7" i="35" s="1"/>
  <c r="H115" i="35" a="1"/>
  <c r="H115" i="35" s="1"/>
  <c r="H116" i="35" a="1"/>
  <c r="H116" i="35" s="1"/>
  <c r="H208" i="35" a="1"/>
  <c r="H208" i="35" s="1"/>
  <c r="H118" i="35" a="1"/>
  <c r="H118" i="35" s="1"/>
  <c r="H127" i="35" a="1"/>
  <c r="H127" i="35" s="1"/>
  <c r="H126" i="35" a="1"/>
  <c r="H126" i="35" s="1"/>
  <c r="H125" i="35" a="1"/>
  <c r="H125" i="35" s="1"/>
  <c r="H48" i="35" a="1"/>
  <c r="H48" i="35" s="1"/>
  <c r="H49" i="35" a="1"/>
  <c r="H49" i="35" s="1"/>
  <c r="H137" i="35" a="1"/>
  <c r="H137" i="35" s="1"/>
  <c r="H123" i="35" a="1"/>
  <c r="H123" i="35" s="1"/>
  <c r="H99" i="35" a="1"/>
  <c r="H99" i="35" s="1"/>
  <c r="H100" i="35" a="1"/>
  <c r="H100" i="35" s="1"/>
  <c r="H183" i="35" a="1"/>
  <c r="H183" i="35" s="1"/>
  <c r="H101" i="35" a="1"/>
  <c r="H101" i="35" s="1"/>
  <c r="H97" i="35" a="1"/>
  <c r="H97" i="35" s="1"/>
  <c r="H149" i="35" a="1"/>
  <c r="H149" i="35" s="1"/>
  <c r="H150" i="35" a="1"/>
  <c r="H150" i="35" s="1"/>
  <c r="H152" i="35" a="1"/>
  <c r="H152" i="35" s="1"/>
  <c r="AH38" i="3"/>
  <c r="G195" i="35" a="1"/>
  <c r="G195" i="35" s="1"/>
  <c r="G140" i="35" a="1"/>
  <c r="G140" i="35" s="1"/>
  <c r="G85" i="35" a="1"/>
  <c r="G85" i="35" s="1"/>
  <c r="G194" i="35" a="1"/>
  <c r="G194" i="35" s="1"/>
  <c r="G71" i="35" a="1"/>
  <c r="G71" i="35" s="1"/>
  <c r="G51" i="35" a="1"/>
  <c r="G51" i="35" s="1"/>
  <c r="G207" i="35" a="1"/>
  <c r="G207" i="35" s="1"/>
  <c r="G172" i="35" a="1"/>
  <c r="G172" i="35" s="1"/>
  <c r="G197" i="35" a="1"/>
  <c r="G197" i="35" s="1"/>
  <c r="G148" i="35" a="1"/>
  <c r="G148" i="35" s="1"/>
  <c r="G171" i="35" a="1"/>
  <c r="G171" i="35" s="1"/>
  <c r="G23" i="35" a="1"/>
  <c r="G23" i="35" s="1"/>
  <c r="G173" i="35" a="1"/>
  <c r="G173" i="35" s="1"/>
  <c r="G84" i="35" a="1"/>
  <c r="G84" i="35" s="1"/>
  <c r="G200" i="35" a="1"/>
  <c r="G200" i="35" s="1"/>
  <c r="G132" i="35" a="1"/>
  <c r="G132" i="35" s="1"/>
  <c r="G206" i="35" a="1"/>
  <c r="G206" i="35" s="1"/>
  <c r="G110" i="35" a="1"/>
  <c r="G110" i="35" s="1"/>
  <c r="G162" i="35" a="1"/>
  <c r="G162" i="35" s="1"/>
  <c r="G76" i="35" a="1"/>
  <c r="G76" i="35" s="1"/>
  <c r="G54" i="35" a="1"/>
  <c r="G54" i="35" s="1"/>
  <c r="H80" i="35" a="1"/>
  <c r="H80" i="35" s="1"/>
  <c r="H82" i="35" a="1"/>
  <c r="H82" i="35" s="1"/>
  <c r="H139" i="35" a="1"/>
  <c r="H139" i="35" s="1"/>
  <c r="H79" i="35" a="1"/>
  <c r="H79" i="35" s="1"/>
  <c r="H81" i="35" a="1"/>
  <c r="H81" i="35" s="1"/>
  <c r="H66" i="35" a="1"/>
  <c r="H66" i="35" s="1"/>
  <c r="H64" i="35" a="1"/>
  <c r="H64" i="35" s="1"/>
  <c r="H65" i="35" a="1"/>
  <c r="H65" i="35" s="1"/>
  <c r="H103" i="35" a="1"/>
  <c r="H103" i="35" s="1"/>
  <c r="H165" i="35" a="1"/>
  <c r="H165" i="35" s="1"/>
  <c r="H164" i="35" a="1"/>
  <c r="H164" i="35" s="1"/>
  <c r="H175" i="35" a="1"/>
  <c r="H175" i="35" s="1"/>
  <c r="H35" i="35" a="1"/>
  <c r="H35" i="35" s="1"/>
  <c r="H179" i="35" a="1"/>
  <c r="H179" i="35" s="1"/>
  <c r="H36" i="35" a="1"/>
  <c r="H36" i="35" s="1"/>
  <c r="H155" i="35" a="1"/>
  <c r="H155" i="35" s="1"/>
  <c r="AQ38" i="3"/>
  <c r="G75" i="35" s="1" a="1"/>
  <c r="G75" i="35" s="1"/>
  <c r="G6" i="35" a="1"/>
  <c r="G6" i="35" s="1"/>
  <c r="G86" i="35" a="1"/>
  <c r="G86" i="35" s="1"/>
  <c r="G125" i="35" a="1"/>
  <c r="G125" i="35" s="1"/>
  <c r="G81" i="35" a="1"/>
  <c r="G81" i="35" s="1"/>
  <c r="G130" i="35" a="1"/>
  <c r="G130" i="35" s="1"/>
  <c r="G143" i="35" a="1"/>
  <c r="G143" i="35" s="1"/>
  <c r="G55" i="35" a="1"/>
  <c r="G55" i="35" s="1"/>
  <c r="G165" i="35" a="1"/>
  <c r="G165" i="35" s="1"/>
  <c r="G9" i="35" a="1"/>
  <c r="G9" i="35" s="1"/>
  <c r="G101" i="35" a="1"/>
  <c r="G101" i="35" s="1"/>
  <c r="G80" i="35" a="1"/>
  <c r="G80" i="35" s="1"/>
  <c r="G151" i="35" a="1"/>
  <c r="G151" i="35" s="1"/>
  <c r="G169" i="35" a="1"/>
  <c r="G169" i="35" s="1"/>
  <c r="G170" i="35" a="1"/>
  <c r="G170" i="35" s="1"/>
  <c r="G68" i="35" a="1"/>
  <c r="G68" i="35" s="1"/>
  <c r="G48" i="35" a="1"/>
  <c r="G48" i="35" s="1"/>
  <c r="G160" i="35" a="1"/>
  <c r="G160" i="35" s="1"/>
  <c r="G49" i="35" a="1"/>
  <c r="G49" i="35" s="1"/>
  <c r="G193" i="35" a="1"/>
  <c r="G193" i="35" s="1"/>
  <c r="G166" i="35" a="1"/>
  <c r="G166" i="35" s="1"/>
  <c r="G164" i="35" a="1"/>
  <c r="G164" i="35" s="1"/>
  <c r="G139" i="35" a="1"/>
  <c r="G139" i="35" s="1"/>
  <c r="G7" i="35" a="1"/>
  <c r="G7" i="35" s="1"/>
  <c r="G212" i="35" a="1"/>
  <c r="G212" i="35" s="1"/>
  <c r="G133" i="35" a="1"/>
  <c r="G133" i="35" s="1"/>
  <c r="G202" i="35" a="1"/>
  <c r="G202" i="35" s="1"/>
  <c r="G198" i="35" a="1"/>
  <c r="G198" i="35" s="1"/>
  <c r="G163" i="35" a="1"/>
  <c r="G163" i="35" s="1"/>
  <c r="G112" i="35" a="1"/>
  <c r="G112" i="35" s="1"/>
  <c r="G70" i="35" a="1"/>
  <c r="G70" i="35" s="1"/>
  <c r="G137" i="35" a="1"/>
  <c r="G137" i="35" s="1"/>
  <c r="G82" i="35" a="1"/>
  <c r="G82" i="35" s="1"/>
  <c r="G199" i="35" a="1"/>
  <c r="G199" i="35" s="1"/>
  <c r="G117" i="35" a="1"/>
  <c r="G117" i="35" s="1"/>
  <c r="G168" i="35" a="1"/>
  <c r="G168" i="35" s="1"/>
  <c r="G174" i="35" a="1"/>
  <c r="G174" i="35" s="1"/>
  <c r="G189" i="35" a="1"/>
  <c r="G189" i="35" s="1"/>
  <c r="G184" i="35" a="1"/>
  <c r="G184" i="35" s="1"/>
  <c r="G27" i="35" a="1"/>
  <c r="G27" i="35" s="1"/>
  <c r="G12" i="35" a="1"/>
  <c r="G12" i="35" s="1"/>
  <c r="G19" i="35" a="1"/>
  <c r="G19" i="35" s="1"/>
  <c r="G182" i="35" a="1"/>
  <c r="G182" i="35" s="1"/>
  <c r="G113" i="35" a="1"/>
  <c r="G113" i="35" s="1"/>
  <c r="G175" i="35" a="1"/>
  <c r="G175" i="35" s="1"/>
  <c r="G87" i="35" a="1"/>
  <c r="G87" i="35" s="1"/>
  <c r="G203" i="35" a="1"/>
  <c r="G203" i="35" s="1"/>
  <c r="G60" i="35" a="1"/>
  <c r="G60" i="35" s="1"/>
  <c r="G111" i="35" a="1"/>
  <c r="G111" i="35" s="1"/>
  <c r="G88" i="35" a="1"/>
  <c r="G88" i="35" s="1"/>
  <c r="G25" i="35" a="1"/>
  <c r="G25" i="35" s="1"/>
  <c r="G159" i="35" a="1"/>
  <c r="G159" i="35" s="1"/>
  <c r="G181" i="35" a="1"/>
  <c r="G181" i="35" s="1"/>
  <c r="G187" i="35" a="1"/>
  <c r="G187" i="35" s="1"/>
  <c r="G61" i="35" a="1"/>
  <c r="G61" i="35" s="1"/>
  <c r="G26" i="35" a="1"/>
  <c r="G26" i="35" s="1"/>
  <c r="G56" i="35" a="1"/>
  <c r="G56" i="35" s="1"/>
  <c r="G209" i="35" a="1"/>
  <c r="G209" i="35" s="1"/>
  <c r="G213" i="35" a="1"/>
  <c r="G213" i="35" s="1"/>
  <c r="G79" i="35" a="1"/>
  <c r="G79" i="35" s="1"/>
  <c r="G58" i="35" a="1"/>
  <c r="G58" i="35" s="1"/>
  <c r="G127" i="35" a="1"/>
  <c r="G127" i="35" s="1"/>
  <c r="G185" i="35" a="1"/>
  <c r="G185" i="35" s="1"/>
  <c r="G180" i="35" a="1"/>
  <c r="G180" i="35" s="1"/>
  <c r="G134" i="35" a="1"/>
  <c r="G134" i="35" s="1"/>
  <c r="G190" i="35" a="1"/>
  <c r="G190" i="35" s="1"/>
  <c r="G96" i="35" a="1"/>
  <c r="G96" i="35" s="1"/>
  <c r="G95" i="35" a="1"/>
  <c r="G95" i="35" s="1"/>
  <c r="G8" i="35" a="1"/>
  <c r="G8" i="35" s="1"/>
  <c r="G211" i="35" a="1"/>
  <c r="G211" i="35" s="1"/>
  <c r="G13" i="35" a="1"/>
  <c r="G13" i="35" s="1"/>
  <c r="G118" i="35" a="1"/>
  <c r="G118" i="35" s="1"/>
  <c r="G204" i="35" a="1"/>
  <c r="G204" i="35" s="1"/>
  <c r="G210" i="35" a="1"/>
  <c r="G210" i="35" s="1"/>
  <c r="G45" i="35" a="1"/>
  <c r="G45" i="35" s="1"/>
  <c r="G126" i="35" a="1"/>
  <c r="G126" i="35" s="1"/>
  <c r="H151" i="35" a="1"/>
  <c r="H151" i="35" s="1"/>
  <c r="H174" i="35" a="1"/>
  <c r="H174" i="35" s="1"/>
  <c r="H210" i="35" a="1"/>
  <c r="H210" i="35" s="1"/>
  <c r="H27" i="35" a="1"/>
  <c r="H27" i="35" s="1"/>
  <c r="H25" i="35" a="1"/>
  <c r="H25" i="35" s="1"/>
  <c r="H26" i="35" a="1"/>
  <c r="H26" i="35" s="1"/>
  <c r="H193" i="35" a="1"/>
  <c r="H193" i="35" s="1"/>
  <c r="H209" i="35" a="1"/>
  <c r="H209" i="35" s="1"/>
  <c r="H163" i="35" a="1"/>
  <c r="H163" i="35" s="1"/>
  <c r="H134" i="35" a="1"/>
  <c r="H134" i="35" s="1"/>
  <c r="H133" i="35" a="1"/>
  <c r="H133" i="35" s="1"/>
  <c r="H19" i="35" a="1"/>
  <c r="H19" i="35" s="1"/>
  <c r="H181" i="35" a="1"/>
  <c r="H181" i="35" s="1"/>
  <c r="H90" i="35" a="1"/>
  <c r="H90" i="35" s="1"/>
  <c r="H92" i="35" a="1"/>
  <c r="H92" i="35" s="1"/>
  <c r="H91" i="35" a="1"/>
  <c r="H91" i="35" s="1"/>
  <c r="H111" i="35" a="1"/>
  <c r="H111" i="35" s="1"/>
  <c r="AQ3" i="3"/>
  <c r="G63" i="35" a="1"/>
  <c r="G63" i="35" s="1"/>
  <c r="G62" i="35" a="1"/>
  <c r="G62" i="35" s="1"/>
  <c r="G129" i="35" a="1"/>
  <c r="G129" i="35" s="1"/>
  <c r="G59" i="35" a="1"/>
  <c r="G59" i="35" s="1"/>
  <c r="G136" i="35" a="1"/>
  <c r="G136" i="35" s="1"/>
  <c r="G205" i="35" a="1"/>
  <c r="G205" i="35" s="1"/>
  <c r="G57" i="35" a="1"/>
  <c r="G57" i="35" s="1"/>
  <c r="G47" i="35" a="1"/>
  <c r="G47" i="35" s="1"/>
  <c r="G69" i="35" a="1"/>
  <c r="G69" i="35" s="1"/>
  <c r="G122" i="35" a="1"/>
  <c r="G122" i="35" s="1"/>
  <c r="G147" i="35" a="1"/>
  <c r="G147" i="35" s="1"/>
  <c r="G138" i="35" a="1"/>
  <c r="G138" i="35" s="1"/>
  <c r="G146" i="35" a="1"/>
  <c r="G146" i="35" s="1"/>
  <c r="G156" i="35" a="1"/>
  <c r="G156" i="35" s="1"/>
  <c r="G153" i="35" a="1"/>
  <c r="G153" i="35" s="1"/>
  <c r="G186" i="35" a="1"/>
  <c r="G186" i="35" s="1"/>
  <c r="G121" i="35" a="1"/>
  <c r="G121" i="35" s="1"/>
  <c r="G74" i="35" a="1"/>
  <c r="G74" i="35" s="1"/>
  <c r="G191" i="35" a="1"/>
  <c r="G191" i="35" s="1"/>
  <c r="G29" i="35" a="1"/>
  <c r="G29" i="35" s="1"/>
  <c r="G145" i="35" a="1"/>
  <c r="G145" i="35" s="1"/>
  <c r="L113" i="34"/>
  <c r="L115" i="34"/>
  <c r="L114" i="34"/>
  <c r="H125" i="34" a="1"/>
  <c r="H125" i="34" s="1"/>
  <c r="I3" i="3" a="1"/>
  <c r="M29" i="33"/>
  <c r="H3" i="3" a="1"/>
  <c r="L29" i="33"/>
  <c r="K3" i="3" a="1"/>
  <c r="O29" i="33"/>
  <c r="L3" i="3"/>
  <c r="K56" i="33" a="1"/>
  <c r="K56" i="33" s="1"/>
  <c r="K72" i="33" a="1"/>
  <c r="K72" i="33" s="1"/>
  <c r="K30" i="33" a="1"/>
  <c r="K30" i="33" s="1"/>
  <c r="K67" i="33" a="1"/>
  <c r="K67" i="33" s="1"/>
  <c r="K46" i="33" a="1"/>
  <c r="K46" i="33" s="1"/>
  <c r="K15" i="33" a="1"/>
  <c r="K15" i="33" s="1"/>
  <c r="K50" i="33" a="1"/>
  <c r="K50" i="33" s="1"/>
  <c r="K13" i="33" a="1"/>
  <c r="K13" i="33" s="1"/>
  <c r="K20" i="33" a="1"/>
  <c r="K20" i="33" s="1"/>
  <c r="K19" i="33" a="1"/>
  <c r="K19" i="33" s="1"/>
  <c r="K3" i="33" a="1"/>
  <c r="K3" i="33" s="1"/>
  <c r="K17" i="33" a="1"/>
  <c r="K17" i="33" s="1"/>
  <c r="K84" i="33" a="1"/>
  <c r="K84" i="33" s="1"/>
  <c r="K62" i="33" a="1"/>
  <c r="K62" i="33" s="1"/>
  <c r="K22" i="33" a="1"/>
  <c r="K22" i="33" s="1"/>
  <c r="K59" i="33" a="1"/>
  <c r="K59" i="33" s="1"/>
  <c r="K21" i="33" a="1"/>
  <c r="K21" i="33" s="1"/>
  <c r="K10" i="33" a="1"/>
  <c r="K10" i="33" s="1"/>
  <c r="K85" i="33" a="1"/>
  <c r="K85" i="33" s="1"/>
  <c r="K61" i="33" a="1"/>
  <c r="K61" i="33" s="1"/>
  <c r="K8" i="33" a="1"/>
  <c r="K8" i="33" s="1"/>
  <c r="K75" i="33" a="1"/>
  <c r="K75" i="33" s="1"/>
  <c r="K45" i="33" a="1"/>
  <c r="K45" i="33" s="1"/>
  <c r="K70" i="33" a="1"/>
  <c r="K70" i="33" s="1"/>
  <c r="K53" i="33" a="1"/>
  <c r="K53" i="33" s="1"/>
  <c r="K12" i="33" a="1"/>
  <c r="K12" i="33" s="1"/>
  <c r="K7" i="33" a="1"/>
  <c r="K7" i="33" s="1"/>
  <c r="K68" i="33" a="1"/>
  <c r="K68" i="33" s="1"/>
  <c r="K58" i="33" a="1"/>
  <c r="K58" i="33" s="1"/>
  <c r="K36" i="33" a="1"/>
  <c r="K36" i="33" s="1"/>
  <c r="K39" i="33" a="1"/>
  <c r="K39" i="33" s="1"/>
  <c r="K41" i="33" a="1"/>
  <c r="K41" i="33" s="1"/>
  <c r="K48" i="33" a="1"/>
  <c r="K48" i="33" s="1"/>
  <c r="K69" i="33" a="1"/>
  <c r="K69" i="33" s="1"/>
  <c r="K6" i="33" a="1"/>
  <c r="K6" i="33" s="1"/>
  <c r="K42" i="33" a="1"/>
  <c r="K42" i="33" s="1"/>
  <c r="K81" i="33" a="1"/>
  <c r="K81" i="33" s="1"/>
  <c r="K71" i="33" a="1"/>
  <c r="K71" i="33" s="1"/>
  <c r="K49" i="33" a="1"/>
  <c r="K49" i="33" s="1"/>
  <c r="K33" i="33" a="1"/>
  <c r="K33" i="33" s="1"/>
  <c r="K25" i="33" a="1"/>
  <c r="K25" i="33" s="1"/>
  <c r="K79" i="33" a="1"/>
  <c r="K79" i="33" s="1"/>
  <c r="K66" i="33" a="1"/>
  <c r="K66" i="33" s="1"/>
  <c r="K18" i="33" a="1"/>
  <c r="K18" i="33" s="1"/>
  <c r="K24" i="33" a="1"/>
  <c r="K24" i="33" s="1"/>
  <c r="K5" i="33" a="1"/>
  <c r="K5" i="33" s="1"/>
  <c r="K55" i="33" a="1"/>
  <c r="K55" i="33" s="1"/>
  <c r="K47" i="33" a="1"/>
  <c r="K47" i="33" s="1"/>
  <c r="K54" i="33" a="1"/>
  <c r="K54" i="33" s="1"/>
  <c r="K14" i="33" a="1"/>
  <c r="K14" i="33" s="1"/>
  <c r="K38" i="33" a="1"/>
  <c r="K38" i="33" s="1"/>
  <c r="K27" i="33" a="1"/>
  <c r="K27" i="33" s="1"/>
  <c r="AD46" i="3"/>
  <c r="U38" i="3" a="1"/>
  <c r="G120" i="34" s="1" a="1"/>
  <c r="G120" i="34" s="1"/>
  <c r="Q46" i="3"/>
  <c r="O11" i="34" s="1"/>
  <c r="L57" i="33"/>
  <c r="O57" i="33"/>
  <c r="M57" i="33"/>
  <c r="F11" i="19"/>
  <c r="F45" i="19" s="1"/>
  <c r="G45" i="19"/>
  <c r="P11" i="3"/>
  <c r="BA19" i="3"/>
  <c r="AY19" i="3" s="1"/>
  <c r="BA15" i="3"/>
  <c r="AY15" i="3" s="1"/>
  <c r="BA6" i="3"/>
  <c r="AY6" i="3" s="1"/>
  <c r="BA14" i="3"/>
  <c r="AY14" i="3" s="1"/>
  <c r="BA13" i="3"/>
  <c r="AY13" i="3" s="1"/>
  <c r="BA18" i="3"/>
  <c r="AY18" i="3" s="1"/>
  <c r="BA4" i="3"/>
  <c r="AY4" i="3" s="1"/>
  <c r="BA26" i="3"/>
  <c r="AY26" i="3" s="1"/>
  <c r="BA22" i="3"/>
  <c r="AY22" i="3" s="1"/>
  <c r="BA31" i="3"/>
  <c r="AY31" i="3" s="1"/>
  <c r="BA9" i="3"/>
  <c r="BA12" i="3"/>
  <c r="AY12" i="3" s="1"/>
  <c r="BA29" i="3"/>
  <c r="AY29" i="3" s="1"/>
  <c r="BA17" i="3"/>
  <c r="H61" i="36" s="1" a="1"/>
  <c r="H61" i="36" s="1"/>
  <c r="BA20" i="3"/>
  <c r="AY20" i="3" s="1"/>
  <c r="BA23" i="3"/>
  <c r="AY23" i="3" s="1"/>
  <c r="BA30" i="3"/>
  <c r="AY30" i="3" s="1"/>
  <c r="BA25" i="3"/>
  <c r="AY25" i="3" s="1"/>
  <c r="BA28" i="3"/>
  <c r="AY28" i="3" s="1"/>
  <c r="BA24" i="3"/>
  <c r="AY24" i="3" s="1"/>
  <c r="BA5" i="3"/>
  <c r="AY5" i="3" s="1"/>
  <c r="BA8" i="3"/>
  <c r="AY8" i="3" s="1"/>
  <c r="BA34" i="3"/>
  <c r="AY34" i="3" s="1"/>
  <c r="BA11" i="3"/>
  <c r="AY11" i="3" s="1"/>
  <c r="BA10" i="3"/>
  <c r="AY10" i="3" s="1"/>
  <c r="BA16" i="3"/>
  <c r="AY16" i="3" s="1"/>
  <c r="BA32" i="3"/>
  <c r="AY32" i="3" s="1"/>
  <c r="BA7" i="3"/>
  <c r="AY7" i="3" s="1"/>
  <c r="BA27" i="3"/>
  <c r="AY27" i="3" s="1"/>
  <c r="BA21" i="3"/>
  <c r="H105" i="36" s="1" a="1"/>
  <c r="H105" i="36" s="1"/>
  <c r="D11" i="19"/>
  <c r="D33" i="2"/>
  <c r="D33" i="19"/>
  <c r="D40" i="19" s="1"/>
  <c r="D7" i="2"/>
  <c r="D7" i="19"/>
  <c r="F43" i="19"/>
  <c r="F68" i="19"/>
  <c r="F40" i="19"/>
  <c r="F51" i="19"/>
  <c r="F60" i="19"/>
  <c r="F65" i="19"/>
  <c r="F37" i="19"/>
  <c r="F67" i="19"/>
  <c r="F64" i="19"/>
  <c r="F57" i="19"/>
  <c r="F50" i="19"/>
  <c r="F54" i="19"/>
  <c r="F52" i="19"/>
  <c r="F55" i="19"/>
  <c r="F49" i="19"/>
  <c r="F59" i="19"/>
  <c r="F47" i="19"/>
  <c r="F58" i="19"/>
  <c r="F38" i="19"/>
  <c r="F44" i="19"/>
  <c r="F61" i="19"/>
  <c r="F63" i="19"/>
  <c r="F46" i="19"/>
  <c r="F56" i="19"/>
  <c r="F62" i="19"/>
  <c r="F48" i="19"/>
  <c r="F42" i="19"/>
  <c r="F39" i="19"/>
  <c r="F53" i="19"/>
  <c r="F66" i="19"/>
  <c r="F41" i="19"/>
  <c r="I39" i="19"/>
  <c r="I58" i="19"/>
  <c r="I54" i="19"/>
  <c r="I49" i="19"/>
  <c r="I62" i="19"/>
  <c r="I66" i="19"/>
  <c r="I56" i="19"/>
  <c r="I57" i="19"/>
  <c r="I48" i="19"/>
  <c r="I68" i="19"/>
  <c r="I40" i="19"/>
  <c r="I45" i="19"/>
  <c r="I50" i="19"/>
  <c r="I42" i="19"/>
  <c r="I59" i="19"/>
  <c r="I64" i="19"/>
  <c r="I37" i="19"/>
  <c r="I55" i="19"/>
  <c r="I67" i="19"/>
  <c r="I52" i="19"/>
  <c r="I46" i="19"/>
  <c r="I47" i="19"/>
  <c r="I51" i="19"/>
  <c r="I60" i="19"/>
  <c r="I65" i="19"/>
  <c r="I53" i="19"/>
  <c r="I41" i="19"/>
  <c r="I44" i="19"/>
  <c r="I38" i="19"/>
  <c r="I43" i="19"/>
  <c r="I61" i="19"/>
  <c r="I63" i="19"/>
  <c r="D43" i="19"/>
  <c r="D41" i="19"/>
  <c r="D54" i="19"/>
  <c r="F3" i="2"/>
  <c r="F17" i="2"/>
  <c r="F9" i="2"/>
  <c r="F34" i="2"/>
  <c r="F16" i="2"/>
  <c r="F25" i="2"/>
  <c r="F21" i="2"/>
  <c r="F20" i="2"/>
  <c r="F27" i="2"/>
  <c r="F4" i="2"/>
  <c r="F33" i="2"/>
  <c r="F22" i="2"/>
  <c r="F30" i="2"/>
  <c r="F26" i="2"/>
  <c r="F23" i="2"/>
  <c r="F24" i="2"/>
  <c r="F6" i="2"/>
  <c r="F12" i="2"/>
  <c r="F19" i="2"/>
  <c r="F15" i="2"/>
  <c r="F10" i="2"/>
  <c r="F18" i="2"/>
  <c r="AA59" i="2"/>
  <c r="AA38" i="2"/>
  <c r="AA41" i="2"/>
  <c r="F28" i="2"/>
  <c r="AA64" i="2"/>
  <c r="F29" i="2"/>
  <c r="F32" i="2"/>
  <c r="F11" i="2"/>
  <c r="AA61" i="2"/>
  <c r="F13" i="2"/>
  <c r="P67" i="2"/>
  <c r="AA60" i="2"/>
  <c r="H54" i="2"/>
  <c r="F8" i="2"/>
  <c r="AA66" i="2"/>
  <c r="AA51" i="2"/>
  <c r="AA54" i="2"/>
  <c r="AA42" i="2"/>
  <c r="AA53" i="2"/>
  <c r="AA65" i="2"/>
  <c r="AA44" i="2"/>
  <c r="AA45" i="2"/>
  <c r="AA63" i="2"/>
  <c r="P56" i="2"/>
  <c r="J52" i="2"/>
  <c r="AA49" i="2"/>
  <c r="AA39" i="2"/>
  <c r="AA67" i="2"/>
  <c r="AA58" i="2"/>
  <c r="AA68" i="2"/>
  <c r="AA46" i="2"/>
  <c r="AA37" i="2"/>
  <c r="AA40" i="2"/>
  <c r="AA48" i="2"/>
  <c r="AA62" i="2"/>
  <c r="AA52" i="2"/>
  <c r="AA56" i="2"/>
  <c r="AA55" i="2"/>
  <c r="AA57" i="2"/>
  <c r="H37" i="2"/>
  <c r="H46" i="2"/>
  <c r="H67" i="2"/>
  <c r="H52" i="2"/>
  <c r="H39" i="2"/>
  <c r="F5" i="2"/>
  <c r="AA50" i="2"/>
  <c r="H62" i="2"/>
  <c r="O38" i="2"/>
  <c r="P52" i="2"/>
  <c r="P63" i="2"/>
  <c r="H63" i="2"/>
  <c r="P53" i="2"/>
  <c r="P37" i="2"/>
  <c r="Q67" i="2"/>
  <c r="S38" i="2"/>
  <c r="S54" i="2"/>
  <c r="Z63" i="2"/>
  <c r="P48" i="2"/>
  <c r="T47" i="2"/>
  <c r="Z64" i="2"/>
  <c r="Z46" i="2"/>
  <c r="Z62" i="2"/>
  <c r="J50" i="2"/>
  <c r="O60" i="2"/>
  <c r="J66" i="2"/>
  <c r="J62" i="2"/>
  <c r="J59" i="2"/>
  <c r="J38" i="2"/>
  <c r="O49" i="2"/>
  <c r="J67" i="2"/>
  <c r="Z57" i="2"/>
  <c r="Z54" i="2"/>
  <c r="Z49" i="2"/>
  <c r="J48" i="2"/>
  <c r="O54" i="2"/>
  <c r="P40" i="2"/>
  <c r="O43" i="2"/>
  <c r="AB61" i="2"/>
  <c r="S62" i="2"/>
  <c r="J42" i="2"/>
  <c r="J64" i="2"/>
  <c r="J45" i="2"/>
  <c r="S46" i="2"/>
  <c r="Z65" i="2"/>
  <c r="P66" i="2"/>
  <c r="P47" i="2"/>
  <c r="P58" i="2"/>
  <c r="Z68" i="2"/>
  <c r="P43" i="2"/>
  <c r="J41" i="2"/>
  <c r="T37" i="2"/>
  <c r="R40" i="2"/>
  <c r="T64" i="2"/>
  <c r="O50" i="2"/>
  <c r="O52" i="2"/>
  <c r="O39" i="2"/>
  <c r="O40" i="2"/>
  <c r="O53" i="2"/>
  <c r="R62" i="2"/>
  <c r="O44" i="2"/>
  <c r="O47" i="2"/>
  <c r="O51" i="2"/>
  <c r="O68" i="2"/>
  <c r="O55" i="2"/>
  <c r="O56" i="2"/>
  <c r="Z43" i="2"/>
  <c r="Z56" i="2"/>
  <c r="Z37" i="2"/>
  <c r="H43" i="2"/>
  <c r="H65" i="2"/>
  <c r="Z58" i="2"/>
  <c r="Z60" i="2"/>
  <c r="Z41" i="2"/>
  <c r="P50" i="2"/>
  <c r="O67" i="2"/>
  <c r="P54" i="2"/>
  <c r="O41" i="2"/>
  <c r="P68" i="2"/>
  <c r="H44" i="2"/>
  <c r="H66" i="2"/>
  <c r="Z51" i="2"/>
  <c r="P64" i="2"/>
  <c r="Z48" i="2"/>
  <c r="H68" i="2"/>
  <c r="Z38" i="2"/>
  <c r="O57" i="2"/>
  <c r="P57" i="2"/>
  <c r="H48" i="2"/>
  <c r="O48" i="2"/>
  <c r="O59" i="2"/>
  <c r="P59" i="2"/>
  <c r="P44" i="2"/>
  <c r="O62" i="2"/>
  <c r="P38" i="2"/>
  <c r="Z42" i="2"/>
  <c r="Z39" i="2"/>
  <c r="H49" i="2"/>
  <c r="H57" i="2"/>
  <c r="Z50" i="2"/>
  <c r="H47" i="2"/>
  <c r="P62" i="2"/>
  <c r="O61" i="2"/>
  <c r="P61" i="2"/>
  <c r="O64" i="2"/>
  <c r="H50" i="2"/>
  <c r="H58" i="2"/>
  <c r="Z67" i="2"/>
  <c r="O65" i="2"/>
  <c r="P55" i="2"/>
  <c r="P42" i="2"/>
  <c r="P45" i="2"/>
  <c r="Z40" i="2"/>
  <c r="O45" i="2"/>
  <c r="P49" i="2"/>
  <c r="Z45" i="2"/>
  <c r="O66" i="2"/>
  <c r="Z59" i="2"/>
  <c r="H51" i="2"/>
  <c r="H59" i="2"/>
  <c r="P39" i="2"/>
  <c r="O46" i="2"/>
  <c r="Z47" i="2"/>
  <c r="H61" i="2"/>
  <c r="P60" i="2"/>
  <c r="P51" i="2"/>
  <c r="H40" i="2"/>
  <c r="H55" i="2"/>
  <c r="O37" i="2"/>
  <c r="Z66" i="2"/>
  <c r="Z44" i="2"/>
  <c r="P65" i="2"/>
  <c r="P46" i="2"/>
  <c r="P41" i="2"/>
  <c r="O63" i="2"/>
  <c r="O42" i="2"/>
  <c r="O58" i="2"/>
  <c r="H41" i="2"/>
  <c r="H56" i="2"/>
  <c r="H64" i="2"/>
  <c r="R43" i="2"/>
  <c r="R47" i="2"/>
  <c r="R52" i="2"/>
  <c r="AA43" i="2"/>
  <c r="R46" i="2"/>
  <c r="R37" i="2"/>
  <c r="R51" i="2"/>
  <c r="R38" i="2"/>
  <c r="T63" i="2"/>
  <c r="AA47" i="2"/>
  <c r="Z55" i="2"/>
  <c r="H42" i="2"/>
  <c r="H53" i="2"/>
  <c r="H60" i="2"/>
  <c r="F7" i="2"/>
  <c r="R49" i="2"/>
  <c r="R68" i="2"/>
  <c r="T68" i="2"/>
  <c r="H38" i="2"/>
  <c r="H45" i="2"/>
  <c r="R48" i="2"/>
  <c r="R39" i="2"/>
  <c r="R61" i="2"/>
  <c r="R55" i="2"/>
  <c r="R42" i="2"/>
  <c r="R54" i="2"/>
  <c r="R44" i="2"/>
  <c r="R56" i="2"/>
  <c r="R59" i="2"/>
  <c r="R45" i="2"/>
  <c r="R41" i="2"/>
  <c r="R50" i="2"/>
  <c r="R58" i="2"/>
  <c r="R65" i="2"/>
  <c r="R53" i="2"/>
  <c r="R60" i="2"/>
  <c r="R67" i="2"/>
  <c r="R57" i="2"/>
  <c r="R64" i="2"/>
  <c r="Q63" i="2"/>
  <c r="Q65" i="2"/>
  <c r="Q49" i="2"/>
  <c r="Q41" i="2"/>
  <c r="Q44" i="2"/>
  <c r="Q42" i="2"/>
  <c r="Q60" i="2"/>
  <c r="Q48" i="2"/>
  <c r="Q56" i="2"/>
  <c r="Q66" i="2"/>
  <c r="S63" i="2"/>
  <c r="Q55" i="2"/>
  <c r="Q53" i="2"/>
  <c r="Q46" i="2"/>
  <c r="Q38" i="2"/>
  <c r="Q39" i="2"/>
  <c r="Q59" i="2"/>
  <c r="Q50" i="2"/>
  <c r="Q54" i="2"/>
  <c r="Q40" i="2"/>
  <c r="Q58" i="2"/>
  <c r="Q52" i="2"/>
  <c r="Q45" i="2"/>
  <c r="Q64" i="2"/>
  <c r="Q51" i="2"/>
  <c r="Q68" i="2"/>
  <c r="Q62" i="2"/>
  <c r="Q57" i="2"/>
  <c r="Q37" i="2"/>
  <c r="Q61" i="2"/>
  <c r="Q43" i="2"/>
  <c r="Q47" i="2"/>
  <c r="AB45" i="2"/>
  <c r="AB44" i="2"/>
  <c r="AB41" i="2"/>
  <c r="AB43" i="2"/>
  <c r="AB65" i="2"/>
  <c r="AB51" i="2"/>
  <c r="AB42" i="2"/>
  <c r="AB60" i="2"/>
  <c r="AB46" i="2"/>
  <c r="AB53" i="2"/>
  <c r="AB62" i="2"/>
  <c r="AB59" i="2"/>
  <c r="AB66" i="2"/>
  <c r="AB37" i="2"/>
  <c r="AB57" i="2"/>
  <c r="AB54" i="2"/>
  <c r="AB63" i="2"/>
  <c r="AB58" i="2"/>
  <c r="AB50" i="2"/>
  <c r="AB47" i="2"/>
  <c r="AB48" i="2"/>
  <c r="T41" i="2"/>
  <c r="T52" i="2"/>
  <c r="T53" i="2"/>
  <c r="T51" i="2"/>
  <c r="T38" i="2"/>
  <c r="T48" i="2"/>
  <c r="T56" i="2"/>
  <c r="T39" i="2"/>
  <c r="T46" i="2"/>
  <c r="T55" i="2"/>
  <c r="T66" i="2"/>
  <c r="T67" i="2"/>
  <c r="T61" i="2"/>
  <c r="T59" i="2"/>
  <c r="T45" i="2"/>
  <c r="T65" i="2"/>
  <c r="T62" i="2"/>
  <c r="T57" i="2"/>
  <c r="T54" i="2"/>
  <c r="T42" i="2"/>
  <c r="T43" i="2"/>
  <c r="T50" i="2"/>
  <c r="T58" i="2"/>
  <c r="T49" i="2"/>
  <c r="T44" i="2"/>
  <c r="T40" i="2"/>
  <c r="T60" i="2"/>
  <c r="S50" i="2"/>
  <c r="S49" i="2"/>
  <c r="S58" i="2"/>
  <c r="S61" i="2"/>
  <c r="S37" i="2"/>
  <c r="S68" i="2"/>
  <c r="S51" i="2"/>
  <c r="S48" i="2"/>
  <c r="S43" i="2"/>
  <c r="S44" i="2"/>
  <c r="S67" i="2"/>
  <c r="S45" i="2"/>
  <c r="S65" i="2"/>
  <c r="S56" i="2"/>
  <c r="S52" i="2"/>
  <c r="S55" i="2"/>
  <c r="S60" i="2"/>
  <c r="S40" i="2"/>
  <c r="S41" i="2"/>
  <c r="S42" i="2"/>
  <c r="S47" i="2"/>
  <c r="S64" i="2"/>
  <c r="S39" i="2"/>
  <c r="S53" i="2"/>
  <c r="S66" i="2"/>
  <c r="S59" i="2"/>
  <c r="S57" i="2"/>
  <c r="AB49" i="2"/>
  <c r="AB52" i="2"/>
  <c r="AB67" i="2"/>
  <c r="AB55" i="2"/>
  <c r="AB56" i="2"/>
  <c r="AB40" i="2"/>
  <c r="AB38" i="2"/>
  <c r="AB68" i="2"/>
  <c r="AB64" i="2"/>
  <c r="AB39" i="2"/>
  <c r="Z61" i="2"/>
  <c r="Z52" i="2"/>
  <c r="Z53" i="2"/>
  <c r="R66" i="2"/>
  <c r="R63" i="2"/>
  <c r="J61" i="2"/>
  <c r="J54" i="2"/>
  <c r="J39" i="2"/>
  <c r="J60" i="2"/>
  <c r="J68" i="2"/>
  <c r="J58" i="2"/>
  <c r="J56" i="2"/>
  <c r="J63" i="2"/>
  <c r="J37" i="2"/>
  <c r="J55" i="2"/>
  <c r="J49" i="2"/>
  <c r="J44" i="2"/>
  <c r="J47" i="2"/>
  <c r="J53" i="2"/>
  <c r="J65" i="2"/>
  <c r="J43" i="2"/>
  <c r="J40" i="2"/>
  <c r="J46" i="2"/>
  <c r="J51" i="2"/>
  <c r="J57" i="2"/>
  <c r="AI11" i="3"/>
  <c r="H37" i="35" s="1" a="1"/>
  <c r="H37" i="35" s="1"/>
  <c r="AI20" i="3"/>
  <c r="AG20" i="3" s="1"/>
  <c r="AI27" i="3"/>
  <c r="H144" i="35" s="1" a="1"/>
  <c r="H144" i="35" s="1"/>
  <c r="AI22" i="3"/>
  <c r="AG22" i="3" s="1"/>
  <c r="AI10" i="3"/>
  <c r="AG10" i="3" s="1"/>
  <c r="AI26" i="3"/>
  <c r="AG26" i="3" s="1"/>
  <c r="AI21" i="3"/>
  <c r="AI30" i="3"/>
  <c r="AG30" i="3" s="1"/>
  <c r="AI28" i="3"/>
  <c r="AG28" i="3" s="1"/>
  <c r="AI8" i="3"/>
  <c r="AG8" i="3" s="1"/>
  <c r="AI5" i="3"/>
  <c r="AG5" i="3" s="1"/>
  <c r="AI4" i="3"/>
  <c r="AG4" i="3" s="1"/>
  <c r="AI15" i="3"/>
  <c r="AG15" i="3" s="1"/>
  <c r="AI24" i="3"/>
  <c r="AG24" i="3" s="1"/>
  <c r="AI32" i="3"/>
  <c r="AG32" i="3" s="1"/>
  <c r="AI6" i="3"/>
  <c r="AG6" i="3" s="1"/>
  <c r="AI33" i="3"/>
  <c r="AG33" i="3" s="1"/>
  <c r="AI16" i="3"/>
  <c r="AG16" i="3" s="1"/>
  <c r="AI13" i="3"/>
  <c r="AG13" i="3" s="1"/>
  <c r="AI19" i="3"/>
  <c r="H214" i="35" s="1" a="1"/>
  <c r="H214" i="35" s="1"/>
  <c r="AI17" i="3"/>
  <c r="AG17" i="3" s="1"/>
  <c r="AI31" i="3"/>
  <c r="AG31" i="3" s="1"/>
  <c r="AI29" i="3"/>
  <c r="AG29" i="3" s="1"/>
  <c r="AI25" i="3"/>
  <c r="AG25" i="3" s="1"/>
  <c r="AI7" i="3"/>
  <c r="AG7" i="3" s="1"/>
  <c r="AI12" i="3"/>
  <c r="AG12" i="3" s="1"/>
  <c r="AI18" i="3"/>
  <c r="AG18" i="3" s="1"/>
  <c r="AI23" i="3"/>
  <c r="AG23" i="3" s="1"/>
  <c r="AI9" i="3"/>
  <c r="AI14" i="3"/>
  <c r="H21" i="35" s="1" a="1"/>
  <c r="H21" i="35" s="1"/>
  <c r="AI34" i="3"/>
  <c r="AG34" i="3" s="1"/>
  <c r="I18" i="2"/>
  <c r="D18" i="2"/>
  <c r="N61" i="2"/>
  <c r="D21" i="2"/>
  <c r="I21" i="2"/>
  <c r="D29" i="2"/>
  <c r="I29" i="2"/>
  <c r="N58" i="2"/>
  <c r="U59" i="2"/>
  <c r="I31" i="2"/>
  <c r="D31" i="2"/>
  <c r="I30" i="2"/>
  <c r="D30" i="2"/>
  <c r="I33" i="2"/>
  <c r="V33" i="2"/>
  <c r="V39" i="2" s="1"/>
  <c r="I23" i="2"/>
  <c r="D23" i="2"/>
  <c r="I22" i="2"/>
  <c r="D22" i="2"/>
  <c r="N66" i="2"/>
  <c r="M64" i="2"/>
  <c r="D20" i="2"/>
  <c r="I20" i="2"/>
  <c r="I16" i="2"/>
  <c r="D16" i="2"/>
  <c r="D24" i="2"/>
  <c r="I24" i="2"/>
  <c r="U67" i="2"/>
  <c r="M61" i="2"/>
  <c r="M39" i="2"/>
  <c r="M46" i="2"/>
  <c r="D15" i="2"/>
  <c r="I15" i="2"/>
  <c r="U64" i="2"/>
  <c r="U37" i="2"/>
  <c r="U65" i="2"/>
  <c r="I13" i="2"/>
  <c r="D13" i="2"/>
  <c r="I11" i="2"/>
  <c r="D11" i="2"/>
  <c r="X49" i="2"/>
  <c r="C41" i="2"/>
  <c r="C39" i="2"/>
  <c r="D28" i="2"/>
  <c r="I28" i="2"/>
  <c r="AC50" i="2"/>
  <c r="N46" i="2"/>
  <c r="N62" i="2"/>
  <c r="N57" i="2"/>
  <c r="K54" i="2"/>
  <c r="I10" i="2"/>
  <c r="D10" i="2"/>
  <c r="AC62" i="2"/>
  <c r="D26" i="2"/>
  <c r="I26" i="2"/>
  <c r="X44" i="2"/>
  <c r="I9" i="2"/>
  <c r="D9" i="2"/>
  <c r="K55" i="2"/>
  <c r="X67" i="2"/>
  <c r="X54" i="2"/>
  <c r="K64" i="2"/>
  <c r="K56" i="2"/>
  <c r="K45" i="2"/>
  <c r="X58" i="2"/>
  <c r="K50" i="2"/>
  <c r="M63" i="2"/>
  <c r="X37" i="2"/>
  <c r="X53" i="2"/>
  <c r="K39" i="2"/>
  <c r="K65" i="2"/>
  <c r="X46" i="2"/>
  <c r="K62" i="2"/>
  <c r="K61" i="2"/>
  <c r="K41" i="2"/>
  <c r="K59" i="2"/>
  <c r="K44" i="2"/>
  <c r="K37" i="2"/>
  <c r="K47" i="2"/>
  <c r="K57" i="2"/>
  <c r="K46" i="2"/>
  <c r="C59" i="2"/>
  <c r="D17" i="2"/>
  <c r="I17" i="2"/>
  <c r="I8" i="2"/>
  <c r="D8" i="2"/>
  <c r="I27" i="2"/>
  <c r="D27" i="2"/>
  <c r="D6" i="2"/>
  <c r="I6" i="2"/>
  <c r="AD46" i="2"/>
  <c r="AD50" i="2"/>
  <c r="Y54" i="2"/>
  <c r="Y47" i="2"/>
  <c r="X42" i="2"/>
  <c r="X47" i="2"/>
  <c r="E63" i="2"/>
  <c r="D34" i="2"/>
  <c r="I34" i="2"/>
  <c r="I5" i="2"/>
  <c r="D5" i="2"/>
  <c r="M37" i="2"/>
  <c r="M56" i="2"/>
  <c r="M50" i="2"/>
  <c r="M38" i="2"/>
  <c r="M66" i="2"/>
  <c r="M52" i="2"/>
  <c r="M43" i="2"/>
  <c r="M53" i="2"/>
  <c r="M47" i="2"/>
  <c r="M42" i="2"/>
  <c r="M68" i="2"/>
  <c r="E59" i="2"/>
  <c r="E64" i="2"/>
  <c r="E52" i="2"/>
  <c r="E47" i="2"/>
  <c r="I7" i="2"/>
  <c r="AD37" i="2"/>
  <c r="AD48" i="2"/>
  <c r="AD56" i="2"/>
  <c r="AD59" i="2"/>
  <c r="AD42" i="2"/>
  <c r="AD58" i="2"/>
  <c r="AD65" i="2"/>
  <c r="AD45" i="2"/>
  <c r="AD64" i="2"/>
  <c r="Y44" i="2"/>
  <c r="X40" i="2"/>
  <c r="X56" i="2"/>
  <c r="U63" i="2"/>
  <c r="C38" i="2"/>
  <c r="C54" i="2"/>
  <c r="C49" i="2"/>
  <c r="C37" i="2"/>
  <c r="I4" i="2"/>
  <c r="D4" i="2"/>
  <c r="C46" i="2"/>
  <c r="C51" i="2"/>
  <c r="C48" i="2"/>
  <c r="C40" i="2"/>
  <c r="C60" i="2"/>
  <c r="D19" i="2"/>
  <c r="I19" i="2"/>
  <c r="AD51" i="2"/>
  <c r="AD63" i="2"/>
  <c r="AD52" i="2"/>
  <c r="AC53" i="2"/>
  <c r="AC47" i="2"/>
  <c r="Y51" i="2"/>
  <c r="Y39" i="2"/>
  <c r="Y40" i="2"/>
  <c r="X62" i="2"/>
  <c r="X41" i="2"/>
  <c r="X45" i="2"/>
  <c r="U45" i="2"/>
  <c r="U57" i="2"/>
  <c r="U42" i="2"/>
  <c r="U54" i="2"/>
  <c r="U46" i="2"/>
  <c r="U61" i="2"/>
  <c r="U39" i="2"/>
  <c r="U58" i="2"/>
  <c r="U53" i="2"/>
  <c r="U38" i="2"/>
  <c r="U48" i="2"/>
  <c r="U56" i="2"/>
  <c r="E39" i="2"/>
  <c r="E61" i="2"/>
  <c r="M45" i="2"/>
  <c r="M67" i="2"/>
  <c r="M55" i="2"/>
  <c r="M40" i="2"/>
  <c r="AC60" i="2"/>
  <c r="M54" i="2"/>
  <c r="Y68" i="2"/>
  <c r="N64" i="2"/>
  <c r="M44" i="2"/>
  <c r="N67" i="2"/>
  <c r="N65" i="2"/>
  <c r="C64" i="2"/>
  <c r="N56" i="2"/>
  <c r="AC48" i="2"/>
  <c r="M59" i="2"/>
  <c r="N53" i="2"/>
  <c r="M48" i="2"/>
  <c r="C61" i="2"/>
  <c r="M49" i="2"/>
  <c r="M65" i="2"/>
  <c r="L66" i="2"/>
  <c r="X38" i="2"/>
  <c r="AC55" i="2"/>
  <c r="N59" i="2"/>
  <c r="N39" i="2"/>
  <c r="C56" i="2"/>
  <c r="M60" i="2"/>
  <c r="M62" i="2"/>
  <c r="M57" i="2"/>
  <c r="Y48" i="2"/>
  <c r="N45" i="2"/>
  <c r="C55" i="2"/>
  <c r="N47" i="2"/>
  <c r="AC67" i="2"/>
  <c r="AC42" i="2"/>
  <c r="L39" i="2"/>
  <c r="N44" i="2"/>
  <c r="C63" i="2"/>
  <c r="N37" i="2"/>
  <c r="M58" i="2"/>
  <c r="N68" i="2"/>
  <c r="C67" i="2"/>
  <c r="AC54" i="2"/>
  <c r="M41" i="2"/>
  <c r="N41" i="2"/>
  <c r="AC37" i="2"/>
  <c r="N42" i="2"/>
  <c r="N43" i="2"/>
  <c r="AC68" i="2"/>
  <c r="N60" i="2"/>
  <c r="C45" i="2"/>
  <c r="M51" i="2"/>
  <c r="N52" i="2"/>
  <c r="C47" i="2"/>
  <c r="N49" i="2"/>
  <c r="I12" i="2"/>
  <c r="D12" i="2"/>
  <c r="W51" i="2"/>
  <c r="W56" i="2"/>
  <c r="AC39" i="2"/>
  <c r="AC43" i="2"/>
  <c r="AC61" i="2"/>
  <c r="AC59" i="2"/>
  <c r="AC40" i="2"/>
  <c r="AC66" i="2"/>
  <c r="AC58" i="2"/>
  <c r="AC46" i="2"/>
  <c r="AC52" i="2"/>
  <c r="AC44" i="2"/>
  <c r="AC57" i="2"/>
  <c r="AC63" i="2"/>
  <c r="AC56" i="2"/>
  <c r="AC64" i="2"/>
  <c r="Y45" i="2"/>
  <c r="W53" i="2"/>
  <c r="W44" i="2"/>
  <c r="W48" i="2"/>
  <c r="I32" i="2"/>
  <c r="D32" i="2"/>
  <c r="AD67" i="2"/>
  <c r="AD40" i="2"/>
  <c r="AD54" i="2"/>
  <c r="AD41" i="2"/>
  <c r="AD47" i="2"/>
  <c r="AD53" i="2"/>
  <c r="AD61" i="2"/>
  <c r="AD68" i="2"/>
  <c r="AD38" i="2"/>
  <c r="AD44" i="2"/>
  <c r="X66" i="2"/>
  <c r="X63" i="2"/>
  <c r="X59" i="2"/>
  <c r="X39" i="2"/>
  <c r="X55" i="2"/>
  <c r="X50" i="2"/>
  <c r="X57" i="2"/>
  <c r="X48" i="2"/>
  <c r="X43" i="2"/>
  <c r="X68" i="2"/>
  <c r="X65" i="2"/>
  <c r="X60" i="2"/>
  <c r="X51" i="2"/>
  <c r="X52" i="2"/>
  <c r="X61" i="2"/>
  <c r="K48" i="2"/>
  <c r="K68" i="2"/>
  <c r="K49" i="2"/>
  <c r="K38" i="2"/>
  <c r="K51" i="2"/>
  <c r="L47" i="2"/>
  <c r="L60" i="2"/>
  <c r="G58" i="2"/>
  <c r="G42" i="2"/>
  <c r="G64" i="2"/>
  <c r="G66" i="2"/>
  <c r="G41" i="2"/>
  <c r="C57" i="2"/>
  <c r="C42" i="2"/>
  <c r="C68" i="2"/>
  <c r="C44" i="2"/>
  <c r="C65" i="2"/>
  <c r="C58" i="2"/>
  <c r="C50" i="2"/>
  <c r="C62" i="2"/>
  <c r="C52" i="2"/>
  <c r="C53" i="2"/>
  <c r="C66" i="2"/>
  <c r="C43" i="2"/>
  <c r="I25" i="2"/>
  <c r="D25" i="2"/>
  <c r="AC49" i="2"/>
  <c r="AC41" i="2"/>
  <c r="AC51" i="2"/>
  <c r="AC38" i="2"/>
  <c r="AC65" i="2"/>
  <c r="AC45" i="2"/>
  <c r="Y64" i="2"/>
  <c r="Y56" i="2"/>
  <c r="Y46" i="2"/>
  <c r="Y55" i="2"/>
  <c r="Y53" i="2"/>
  <c r="Y42" i="2"/>
  <c r="Y58" i="2"/>
  <c r="Y62" i="2"/>
  <c r="Y63" i="2"/>
  <c r="Y38" i="2"/>
  <c r="Y49" i="2"/>
  <c r="Y50" i="2"/>
  <c r="Y57" i="2"/>
  <c r="Y60" i="2"/>
  <c r="Y59" i="2"/>
  <c r="Y41" i="2"/>
  <c r="X64" i="2"/>
  <c r="W68" i="2"/>
  <c r="W42" i="2"/>
  <c r="W61" i="2"/>
  <c r="W45" i="2"/>
  <c r="W60" i="2"/>
  <c r="W39" i="2"/>
  <c r="U40" i="2"/>
  <c r="U49" i="2"/>
  <c r="D14" i="2"/>
  <c r="I14" i="2"/>
  <c r="U43" i="2"/>
  <c r="U62" i="2"/>
  <c r="U50" i="2"/>
  <c r="U47" i="2"/>
  <c r="U68" i="2"/>
  <c r="U51" i="2"/>
  <c r="U44" i="2"/>
  <c r="U66" i="2"/>
  <c r="U60" i="2"/>
  <c r="U41" i="2"/>
  <c r="U55" i="2"/>
  <c r="U52" i="2"/>
  <c r="N54" i="2"/>
  <c r="L65" i="2"/>
  <c r="L50" i="2"/>
  <c r="L41" i="2"/>
  <c r="L64" i="2"/>
  <c r="L38" i="2"/>
  <c r="L55" i="2"/>
  <c r="L45" i="2"/>
  <c r="L40" i="2"/>
  <c r="L57" i="2"/>
  <c r="L63" i="2"/>
  <c r="L42" i="2"/>
  <c r="L48" i="2"/>
  <c r="L58" i="2"/>
  <c r="L43" i="2"/>
  <c r="L44" i="2"/>
  <c r="L68" i="2"/>
  <c r="L46" i="2"/>
  <c r="L56" i="2"/>
  <c r="L61" i="2"/>
  <c r="L62" i="2"/>
  <c r="L51" i="2"/>
  <c r="L67" i="2"/>
  <c r="L59" i="2"/>
  <c r="L49" i="2"/>
  <c r="L53" i="2"/>
  <c r="L52" i="2"/>
  <c r="L37" i="2"/>
  <c r="L54" i="2"/>
  <c r="F14" i="2"/>
  <c r="G46" i="2"/>
  <c r="G37" i="2"/>
  <c r="G55" i="2"/>
  <c r="G45" i="2"/>
  <c r="G44" i="2"/>
  <c r="G57" i="2"/>
  <c r="G68" i="2"/>
  <c r="G48" i="2"/>
  <c r="G67" i="2"/>
  <c r="G52" i="2"/>
  <c r="G62" i="2"/>
  <c r="G54" i="2"/>
  <c r="G65" i="2"/>
  <c r="G61" i="2"/>
  <c r="G60" i="2"/>
  <c r="G50" i="2"/>
  <c r="G47" i="2"/>
  <c r="G53" i="2"/>
  <c r="G40" i="2"/>
  <c r="G43" i="2"/>
  <c r="G51" i="2"/>
  <c r="G56" i="2"/>
  <c r="G39" i="2"/>
  <c r="G59" i="2"/>
  <c r="G63" i="2"/>
  <c r="G49" i="2"/>
  <c r="G38" i="2"/>
  <c r="E49" i="2"/>
  <c r="E50" i="2"/>
  <c r="E38" i="2"/>
  <c r="E54" i="2"/>
  <c r="E40" i="2"/>
  <c r="E56" i="2"/>
  <c r="E41" i="2"/>
  <c r="E67" i="2"/>
  <c r="E42" i="2"/>
  <c r="E48" i="2"/>
  <c r="E43" i="2"/>
  <c r="E45" i="2"/>
  <c r="E65" i="2"/>
  <c r="E46" i="2"/>
  <c r="E60" i="2"/>
  <c r="E55" i="2"/>
  <c r="E57" i="2"/>
  <c r="E53" i="2"/>
  <c r="E37" i="2"/>
  <c r="E44" i="2"/>
  <c r="E68" i="2"/>
  <c r="E51" i="2"/>
  <c r="E62" i="2"/>
  <c r="E58" i="2"/>
  <c r="E66" i="2"/>
  <c r="I3" i="2"/>
  <c r="D3" i="2"/>
  <c r="AD39" i="2"/>
  <c r="AD57" i="2"/>
  <c r="AD60" i="2"/>
  <c r="AD66" i="2"/>
  <c r="AD43" i="2"/>
  <c r="AD49" i="2"/>
  <c r="AD55" i="2"/>
  <c r="AD62" i="2"/>
  <c r="Y37" i="2"/>
  <c r="Y61" i="2"/>
  <c r="Y67" i="2"/>
  <c r="Y43" i="2"/>
  <c r="Y66" i="2"/>
  <c r="Y52" i="2"/>
  <c r="Y65" i="2"/>
  <c r="W59" i="2"/>
  <c r="W46" i="2"/>
  <c r="W40" i="2"/>
  <c r="W58" i="2"/>
  <c r="W52" i="2"/>
  <c r="W47" i="2"/>
  <c r="W37" i="2"/>
  <c r="W64" i="2"/>
  <c r="W57" i="2"/>
  <c r="W49" i="2"/>
  <c r="W41" i="2"/>
  <c r="W63" i="2"/>
  <c r="W65" i="2"/>
  <c r="W50" i="2"/>
  <c r="W66" i="2"/>
  <c r="W62" i="2"/>
  <c r="W43" i="2"/>
  <c r="W55" i="2"/>
  <c r="W38" i="2"/>
  <c r="W54" i="2"/>
  <c r="W67" i="2"/>
  <c r="N38" i="2"/>
  <c r="N51" i="2"/>
  <c r="N48" i="2"/>
  <c r="N50" i="2"/>
  <c r="N40" i="2"/>
  <c r="N63" i="2"/>
  <c r="N55" i="2"/>
  <c r="K66" i="2"/>
  <c r="K63" i="2"/>
  <c r="K58" i="2"/>
  <c r="K43" i="2"/>
  <c r="K42" i="2"/>
  <c r="K60" i="2"/>
  <c r="K40" i="2"/>
  <c r="K67" i="2"/>
  <c r="K53" i="2"/>
  <c r="K52" i="2"/>
  <c r="O75" i="34" l="1"/>
  <c r="O122" i="34"/>
  <c r="O121" i="34"/>
  <c r="O58" i="39"/>
  <c r="L6" i="40"/>
  <c r="L67" i="40"/>
  <c r="L68" i="40"/>
  <c r="O68" i="40"/>
  <c r="Q58" i="39"/>
  <c r="O6" i="40"/>
  <c r="O67" i="40"/>
  <c r="R58" i="39" a="1"/>
  <c r="R58" i="39" s="1"/>
  <c r="M6" i="40"/>
  <c r="M67" i="40"/>
  <c r="M68" i="40"/>
  <c r="P97" i="41"/>
  <c r="V10" i="39" a="1"/>
  <c r="V10" i="39" s="1"/>
  <c r="P14" i="41"/>
  <c r="P96" i="41"/>
  <c r="P98" i="41"/>
  <c r="V410" i="39" a="1"/>
  <c r="V410" i="39" s="1"/>
  <c r="N7" i="33"/>
  <c r="N61" i="33"/>
  <c r="N62" i="33"/>
  <c r="G50" i="35" a="1"/>
  <c r="G50" i="35" s="1"/>
  <c r="M50" i="35" s="1"/>
  <c r="G67" i="35" a="1"/>
  <c r="G67" i="35" s="1"/>
  <c r="M67" i="35" s="1"/>
  <c r="G89" i="35" a="1"/>
  <c r="G89" i="35" s="1"/>
  <c r="M89" i="35" s="1"/>
  <c r="G77" i="35" a="1"/>
  <c r="G77" i="35" s="1"/>
  <c r="M77" i="35" s="1"/>
  <c r="V295" i="39" a="1"/>
  <c r="V295" i="39" s="1"/>
  <c r="V480" i="39" a="1"/>
  <c r="V480" i="39" s="1"/>
  <c r="O16" i="34"/>
  <c r="O120" i="34"/>
  <c r="O17" i="34"/>
  <c r="O22" i="34"/>
  <c r="O55" i="34"/>
  <c r="O537" i="39"/>
  <c r="L85" i="40"/>
  <c r="L34" i="40"/>
  <c r="Q537" i="39"/>
  <c r="O85" i="40"/>
  <c r="O34" i="40"/>
  <c r="R537" i="39" a="1"/>
  <c r="R537" i="39" s="1"/>
  <c r="M85" i="40"/>
  <c r="M34" i="40"/>
  <c r="V286" i="39" a="1"/>
  <c r="V286" i="39" s="1"/>
  <c r="V363" i="39" a="1"/>
  <c r="V363" i="39" s="1"/>
  <c r="P77" i="41"/>
  <c r="P99" i="41"/>
  <c r="P78" i="41"/>
  <c r="P79" i="41"/>
  <c r="N79" i="33"/>
  <c r="N41" i="33"/>
  <c r="AP38" i="3"/>
  <c r="G72" i="35" a="1"/>
  <c r="G72" i="35" s="1"/>
  <c r="M72" i="35" s="1"/>
  <c r="G73" i="35" a="1"/>
  <c r="G73" i="35" s="1"/>
  <c r="M73" i="35" s="1"/>
  <c r="G167" i="35" a="1"/>
  <c r="G167" i="35" s="1"/>
  <c r="M167" i="35" s="1"/>
  <c r="O89" i="34"/>
  <c r="O83" i="34"/>
  <c r="O90" i="34"/>
  <c r="L44" i="40"/>
  <c r="L43" i="40"/>
  <c r="L18" i="40"/>
  <c r="O274" i="39"/>
  <c r="O18" i="40"/>
  <c r="O44" i="40"/>
  <c r="O43" i="40"/>
  <c r="Q274" i="39"/>
  <c r="M43" i="40"/>
  <c r="M18" i="40"/>
  <c r="M44" i="40"/>
  <c r="R274" i="39" a="1"/>
  <c r="R274" i="39" s="1"/>
  <c r="V356" i="39" a="1"/>
  <c r="V356" i="39" s="1"/>
  <c r="V32" i="39" a="1"/>
  <c r="V32" i="39" s="1"/>
  <c r="P33" i="41"/>
  <c r="P63" i="41"/>
  <c r="P64" i="41"/>
  <c r="P62" i="41"/>
  <c r="G46" i="35" a="1"/>
  <c r="G46" i="35" s="1"/>
  <c r="M46" i="35" s="1"/>
  <c r="G18" i="35" a="1"/>
  <c r="G18" i="35" s="1"/>
  <c r="M18" i="35" s="1"/>
  <c r="K83" i="33" a="1"/>
  <c r="K83" i="33" s="1"/>
  <c r="K31" i="33" a="1"/>
  <c r="K31" i="33" s="1"/>
  <c r="K65" i="33" a="1"/>
  <c r="K65" i="33" s="1"/>
  <c r="K32" i="33" a="1"/>
  <c r="K32" i="33" s="1"/>
  <c r="N53" i="33"/>
  <c r="N52" i="33"/>
  <c r="N16" i="33"/>
  <c r="G161" i="35" a="1"/>
  <c r="G161" i="35" s="1"/>
  <c r="M161" i="35" s="1"/>
  <c r="O28" i="34"/>
  <c r="O30" i="34"/>
  <c r="O95" i="34"/>
  <c r="O81" i="34"/>
  <c r="O80" i="34"/>
  <c r="N36" i="33"/>
  <c r="N27" i="33"/>
  <c r="K4" i="33" a="1"/>
  <c r="K4" i="33" s="1"/>
  <c r="G50" i="36" a="1"/>
  <c r="G50" i="36" s="1"/>
  <c r="G150" i="35" a="1"/>
  <c r="G150" i="35" s="1"/>
  <c r="M150" i="35" s="1"/>
  <c r="G149" i="35" a="1"/>
  <c r="G149" i="35" s="1"/>
  <c r="M149" i="35" s="1"/>
  <c r="M399" i="39" a="1"/>
  <c r="M399" i="39" s="1"/>
  <c r="W399" i="39" s="1" a="1"/>
  <c r="W399" i="39" s="1"/>
  <c r="X399" i="39" s="1"/>
  <c r="G40" i="35" a="1"/>
  <c r="G40" i="35" s="1"/>
  <c r="M40" i="35" s="1"/>
  <c r="V187" i="39" a="1"/>
  <c r="V187" i="39" s="1"/>
  <c r="V300" i="39" a="1"/>
  <c r="V300" i="39" s="1"/>
  <c r="K49" i="34" a="1"/>
  <c r="K49" i="34" s="1"/>
  <c r="P68" i="41"/>
  <c r="P53" i="41"/>
  <c r="V21" i="39" a="1"/>
  <c r="V21" i="39" s="1"/>
  <c r="P66" i="41"/>
  <c r="V178" i="39" a="1"/>
  <c r="V178" i="39" s="1"/>
  <c r="P67" i="41"/>
  <c r="K44" i="33" a="1"/>
  <c r="K44" i="33" s="1"/>
  <c r="K43" i="33" a="1"/>
  <c r="K43" i="33" s="1"/>
  <c r="G152" i="35" a="1"/>
  <c r="G152" i="35" s="1"/>
  <c r="M152" i="35" s="1"/>
  <c r="G5" i="35" a="1"/>
  <c r="G5" i="35" s="1"/>
  <c r="M86" i="40"/>
  <c r="R217" i="39" a="1"/>
  <c r="R217" i="39" s="1"/>
  <c r="M37" i="40"/>
  <c r="O86" i="40"/>
  <c r="Q217" i="39"/>
  <c r="O37" i="40"/>
  <c r="L86" i="40"/>
  <c r="O217" i="39"/>
  <c r="L37" i="40"/>
  <c r="K80" i="33" a="1"/>
  <c r="K80" i="33" s="1"/>
  <c r="K2" i="33" a="1"/>
  <c r="K2" i="33" s="1"/>
  <c r="G28" i="35" a="1"/>
  <c r="G28" i="35" s="1"/>
  <c r="M28" i="35" s="1"/>
  <c r="G4" i="36" a="1"/>
  <c r="G4" i="36" s="1"/>
  <c r="G105" i="35" a="1"/>
  <c r="G105" i="35" s="1"/>
  <c r="M105" i="35" s="1"/>
  <c r="G109" i="35" a="1"/>
  <c r="G109" i="35" s="1"/>
  <c r="G106" i="35" a="1"/>
  <c r="G106" i="35" s="1"/>
  <c r="M106" i="35" s="1"/>
  <c r="G108" i="35" a="1"/>
  <c r="G108" i="35" s="1"/>
  <c r="M108" i="35" s="1"/>
  <c r="G20" i="35" a="1"/>
  <c r="G20" i="35" s="1"/>
  <c r="M20" i="35" s="1"/>
  <c r="O92" i="34"/>
  <c r="O13" i="34"/>
  <c r="O14" i="34"/>
  <c r="K6" i="34" a="1"/>
  <c r="K6" i="34" s="1"/>
  <c r="G107" i="35" a="1"/>
  <c r="G107" i="35" s="1"/>
  <c r="M107" i="35" s="1"/>
  <c r="G4" i="35" a="1"/>
  <c r="G4" i="35" s="1"/>
  <c r="G11" i="35" a="1"/>
  <c r="G11" i="35" s="1"/>
  <c r="M11" i="35" s="1"/>
  <c r="N30" i="33"/>
  <c r="N39" i="33"/>
  <c r="P22" i="41"/>
  <c r="V20" i="39" a="1"/>
  <c r="V20" i="39" s="1"/>
  <c r="P24" i="41"/>
  <c r="P49" i="41"/>
  <c r="V267" i="39" a="1"/>
  <c r="V267" i="39" s="1"/>
  <c r="P23" i="41"/>
  <c r="O33" i="40"/>
  <c r="O5" i="40"/>
  <c r="Q156" i="39"/>
  <c r="O156" i="39"/>
  <c r="L33" i="40"/>
  <c r="L5" i="40"/>
  <c r="M5" i="40"/>
  <c r="M33" i="40"/>
  <c r="R156" i="39" a="1"/>
  <c r="R156" i="39" s="1"/>
  <c r="T12" i="38"/>
  <c r="T22" i="38"/>
  <c r="T19" i="38"/>
  <c r="T34" i="38"/>
  <c r="G141" i="35" a="1"/>
  <c r="G141" i="35" s="1"/>
  <c r="M141" i="35" s="1"/>
  <c r="K39" i="34" a="1"/>
  <c r="K39" i="34" s="1"/>
  <c r="L484" i="39" a="1"/>
  <c r="L484" i="39" s="1"/>
  <c r="T11" i="38"/>
  <c r="T32" i="38"/>
  <c r="T21" i="38"/>
  <c r="T8" i="38"/>
  <c r="T6" i="38"/>
  <c r="T5" i="38"/>
  <c r="T23" i="38"/>
  <c r="T17" i="38"/>
  <c r="T20" i="38"/>
  <c r="T30" i="38"/>
  <c r="T24" i="38"/>
  <c r="T14" i="38"/>
  <c r="T16" i="38"/>
  <c r="T25" i="38"/>
  <c r="T15" i="38"/>
  <c r="T9" i="38"/>
  <c r="T29" i="38"/>
  <c r="T10" i="38"/>
  <c r="T31" i="38"/>
  <c r="T26" i="38"/>
  <c r="T7" i="38"/>
  <c r="T18" i="38"/>
  <c r="T4" i="38"/>
  <c r="T13" i="38"/>
  <c r="T33" i="38"/>
  <c r="T28" i="38"/>
  <c r="T27" i="38"/>
  <c r="U3" i="38"/>
  <c r="L380" i="39" s="1" a="1"/>
  <c r="L380" i="39" s="1"/>
  <c r="G208" i="35" a="1"/>
  <c r="G208" i="35" s="1"/>
  <c r="M208" i="35" s="1"/>
  <c r="O37" i="34"/>
  <c r="O45" i="34"/>
  <c r="G115" i="35" a="1"/>
  <c r="G115" i="35" s="1"/>
  <c r="M115" i="35" s="1"/>
  <c r="V334" i="39" a="1"/>
  <c r="V334" i="39" s="1"/>
  <c r="V529" i="39" a="1"/>
  <c r="V529" i="39" s="1"/>
  <c r="O117" i="34"/>
  <c r="O65" i="34"/>
  <c r="G116" i="35" a="1"/>
  <c r="G116" i="35" s="1"/>
  <c r="M116" i="35" s="1"/>
  <c r="K37" i="33" a="1"/>
  <c r="K37" i="33" s="1"/>
  <c r="G37" i="36" a="1"/>
  <c r="G37" i="36" s="1"/>
  <c r="K63" i="33" a="1"/>
  <c r="K63" i="33" s="1"/>
  <c r="Q474" i="39"/>
  <c r="O69" i="40"/>
  <c r="O39" i="40"/>
  <c r="O38" i="40"/>
  <c r="G22" i="35" a="1"/>
  <c r="G22" i="35" s="1"/>
  <c r="O474" i="39"/>
  <c r="L38" i="40"/>
  <c r="L39" i="40"/>
  <c r="L69" i="40"/>
  <c r="N81" i="33"/>
  <c r="N67" i="33"/>
  <c r="N66" i="33"/>
  <c r="P87" i="41"/>
  <c r="P35" i="41"/>
  <c r="V355" i="39" a="1"/>
  <c r="V355" i="39" s="1"/>
  <c r="V447" i="39" a="1"/>
  <c r="V447" i="39" s="1"/>
  <c r="P34" i="41"/>
  <c r="G78" i="35" a="1"/>
  <c r="G78" i="35" s="1"/>
  <c r="M78" i="35" s="1"/>
  <c r="R474" i="39" a="1"/>
  <c r="R474" i="39" s="1"/>
  <c r="M39" i="40"/>
  <c r="M38" i="40"/>
  <c r="M69" i="40"/>
  <c r="M194" i="35"/>
  <c r="M100" i="39" a="1"/>
  <c r="M100" i="39" s="1"/>
  <c r="G123" i="35" a="1"/>
  <c r="G123" i="35" s="1"/>
  <c r="M123" i="35" s="1"/>
  <c r="G158" i="35" a="1"/>
  <c r="G158" i="35" s="1"/>
  <c r="M158" i="35" s="1"/>
  <c r="G97" i="35" a="1"/>
  <c r="G97" i="35" s="1"/>
  <c r="M97" i="35" s="1"/>
  <c r="O91" i="34"/>
  <c r="O56" i="34"/>
  <c r="O57" i="34"/>
  <c r="M312" i="39" a="1"/>
  <c r="M312" i="39" s="1"/>
  <c r="G100" i="35" a="1"/>
  <c r="G100" i="35" s="1"/>
  <c r="M100" i="35" s="1"/>
  <c r="M107" i="39" a="1"/>
  <c r="M107" i="39" s="1"/>
  <c r="G99" i="35" a="1"/>
  <c r="G99" i="35" s="1"/>
  <c r="M99" i="35" s="1"/>
  <c r="G98" i="35" a="1"/>
  <c r="G98" i="35" s="1"/>
  <c r="M98" i="35" s="1"/>
  <c r="G183" i="35" a="1"/>
  <c r="G183" i="35" s="1"/>
  <c r="M183" i="35" s="1"/>
  <c r="N46" i="33"/>
  <c r="N33" i="33"/>
  <c r="N47" i="33"/>
  <c r="K58" i="34" a="1"/>
  <c r="K58" i="34" s="1"/>
  <c r="M443" i="39" a="1"/>
  <c r="M443" i="39" s="1"/>
  <c r="P69" i="41"/>
  <c r="V45" i="39" a="1"/>
  <c r="V45" i="39" s="1"/>
  <c r="V321" i="39" a="1"/>
  <c r="V321" i="39" s="1"/>
  <c r="P85" i="41"/>
  <c r="P86" i="41"/>
  <c r="P84" i="41"/>
  <c r="K78" i="33" a="1"/>
  <c r="K78" i="33" s="1"/>
  <c r="K51" i="33" a="1"/>
  <c r="K51" i="33" s="1"/>
  <c r="O71" i="40"/>
  <c r="O28" i="40"/>
  <c r="O70" i="40"/>
  <c r="Q137" i="39"/>
  <c r="K77" i="33" a="1"/>
  <c r="K77" i="33" s="1"/>
  <c r="K76" i="33" a="1"/>
  <c r="K76" i="33" s="1"/>
  <c r="G89" i="36" a="1"/>
  <c r="G89" i="36" s="1"/>
  <c r="G16" i="35" a="1"/>
  <c r="G16" i="35" s="1"/>
  <c r="M61" i="39" a="1"/>
  <c r="M61" i="39" s="1"/>
  <c r="M28" i="40"/>
  <c r="M71" i="40"/>
  <c r="R137" i="39" a="1"/>
  <c r="R137" i="39" s="1"/>
  <c r="M70" i="40"/>
  <c r="O137" i="39"/>
  <c r="L70" i="40"/>
  <c r="L28" i="40"/>
  <c r="L71" i="40"/>
  <c r="M330" i="39" a="1"/>
  <c r="M330" i="39" s="1"/>
  <c r="M395" i="39" a="1"/>
  <c r="M395" i="39" s="1"/>
  <c r="M37" i="39" a="1"/>
  <c r="M37" i="39" s="1"/>
  <c r="K53" i="40" a="1"/>
  <c r="K53" i="40" s="1"/>
  <c r="N204" i="39" a="1"/>
  <c r="N204" i="39" s="1"/>
  <c r="M348" i="39" a="1"/>
  <c r="M348" i="39" s="1"/>
  <c r="M484" i="39" a="1"/>
  <c r="M484" i="39" s="1"/>
  <c r="K9" i="33" a="1"/>
  <c r="K9" i="33" s="1"/>
  <c r="M527" i="39" a="1"/>
  <c r="M527" i="39" s="1"/>
  <c r="K15" i="34" a="1"/>
  <c r="K15" i="34" s="1"/>
  <c r="M277" i="39" a="1"/>
  <c r="M277" i="39" s="1"/>
  <c r="G102" i="35" a="1"/>
  <c r="G102" i="35" s="1"/>
  <c r="M102" i="35" s="1"/>
  <c r="G21" i="35" a="1"/>
  <c r="G21" i="35" s="1"/>
  <c r="M21" i="35" s="1"/>
  <c r="M289" i="39" a="1"/>
  <c r="M289" i="39" s="1"/>
  <c r="O2" i="34"/>
  <c r="O34" i="34"/>
  <c r="M310" i="39" a="1"/>
  <c r="M310" i="39" s="1"/>
  <c r="O94" i="34"/>
  <c r="O84" i="34"/>
  <c r="O85" i="34"/>
  <c r="N3" i="33"/>
  <c r="N45" i="33"/>
  <c r="K23" i="33" a="1"/>
  <c r="K23" i="33" s="1"/>
  <c r="V299" i="39" a="1"/>
  <c r="V299" i="39" s="1"/>
  <c r="V248" i="39" a="1"/>
  <c r="V248" i="39" s="1"/>
  <c r="V7" i="39" a="1"/>
  <c r="V7" i="39" s="1"/>
  <c r="P59" i="41"/>
  <c r="P60" i="41"/>
  <c r="P58" i="41"/>
  <c r="V49" i="39" a="1"/>
  <c r="V49" i="39" s="1"/>
  <c r="P73" i="41"/>
  <c r="L330" i="39" a="1"/>
  <c r="L330" i="39" s="1"/>
  <c r="L312" i="39" a="1"/>
  <c r="L312" i="39" s="1"/>
  <c r="M303" i="39" a="1"/>
  <c r="M303" i="39" s="1"/>
  <c r="M557" i="39" a="1"/>
  <c r="M557" i="39" s="1"/>
  <c r="Q259" i="39"/>
  <c r="O3" i="40"/>
  <c r="O42" i="40"/>
  <c r="L3" i="40"/>
  <c r="O259" i="39"/>
  <c r="L42" i="40"/>
  <c r="L395" i="39" a="1"/>
  <c r="L395" i="39" s="1"/>
  <c r="L100" i="39" a="1"/>
  <c r="L100" i="39" s="1"/>
  <c r="L37" i="39" a="1"/>
  <c r="L37" i="39" s="1"/>
  <c r="M3" i="40"/>
  <c r="R259" i="39" a="1"/>
  <c r="R259" i="39" s="1"/>
  <c r="M42" i="40"/>
  <c r="H5" i="36" a="1"/>
  <c r="H5" i="36" s="1"/>
  <c r="M5" i="36" s="1"/>
  <c r="M547" i="39" a="1"/>
  <c r="M547" i="39" s="1"/>
  <c r="M175" i="35"/>
  <c r="M110" i="35"/>
  <c r="M531" i="39" a="1"/>
  <c r="M531" i="39" s="1"/>
  <c r="H2" i="35" a="1"/>
  <c r="H2" i="35" s="1"/>
  <c r="M207" i="35"/>
  <c r="M566" i="39" a="1"/>
  <c r="M566" i="39" s="1"/>
  <c r="M205" i="39" a="1"/>
  <c r="M205" i="39" s="1"/>
  <c r="M329" i="39" a="1"/>
  <c r="M329" i="39" s="1"/>
  <c r="M262" i="39" a="1"/>
  <c r="M262" i="39" s="1"/>
  <c r="K48" i="40" a="1"/>
  <c r="K48" i="40" s="1"/>
  <c r="K22" i="40" a="1"/>
  <c r="K22" i="40" s="1"/>
  <c r="K7" i="40" a="1"/>
  <c r="K7" i="40" s="1"/>
  <c r="M192" i="35"/>
  <c r="M554" i="39" a="1"/>
  <c r="M554" i="39" s="1"/>
  <c r="M241" i="39" a="1"/>
  <c r="M241" i="39" s="1"/>
  <c r="M508" i="39" a="1"/>
  <c r="M508" i="39" s="1"/>
  <c r="M333" i="39" a="1"/>
  <c r="M333" i="39" s="1"/>
  <c r="N38" i="33"/>
  <c r="N25" i="33"/>
  <c r="M186" i="35"/>
  <c r="M120" i="39" a="1"/>
  <c r="M120" i="39" s="1"/>
  <c r="H201" i="42" a="1"/>
  <c r="H201" i="42" s="1"/>
  <c r="G202" i="42" a="1"/>
  <c r="G202" i="42" s="1"/>
  <c r="L455" i="39" a="1"/>
  <c r="L455" i="39" s="1"/>
  <c r="L172" i="39" a="1"/>
  <c r="L172" i="39" s="1"/>
  <c r="G88" i="42" a="1"/>
  <c r="G88" i="42" s="1"/>
  <c r="O81" i="40"/>
  <c r="O56" i="40"/>
  <c r="Q203" i="39"/>
  <c r="O27" i="40"/>
  <c r="H130" i="35" a="1"/>
  <c r="H130" i="35" s="1"/>
  <c r="M130" i="35" s="1"/>
  <c r="G201" i="42" a="1"/>
  <c r="G201" i="42" s="1"/>
  <c r="L471" i="39" a="1"/>
  <c r="L471" i="39" s="1"/>
  <c r="L120" i="39" a="1"/>
  <c r="L120" i="39" s="1"/>
  <c r="G92" i="42" a="1"/>
  <c r="G92" i="42" s="1"/>
  <c r="H202" i="42" a="1"/>
  <c r="H202" i="42" s="1"/>
  <c r="M172" i="39" a="1"/>
  <c r="M172" i="39" s="1"/>
  <c r="L81" i="40"/>
  <c r="L56" i="40"/>
  <c r="O203" i="39"/>
  <c r="L27" i="40"/>
  <c r="M471" i="39" a="1"/>
  <c r="M471" i="39" s="1"/>
  <c r="H92" i="42" a="1"/>
  <c r="H92" i="42" s="1"/>
  <c r="K62" i="40" a="1"/>
  <c r="K62" i="40" s="1"/>
  <c r="N464" i="39" a="1"/>
  <c r="N464" i="39" s="1"/>
  <c r="N201" i="39" a="1"/>
  <c r="N201" i="39" s="1"/>
  <c r="M165" i="35"/>
  <c r="M455" i="39" a="1"/>
  <c r="M455" i="39" s="1"/>
  <c r="H88" i="42" a="1"/>
  <c r="H88" i="42" s="1"/>
  <c r="M80" i="40"/>
  <c r="R203" i="39" a="1"/>
  <c r="R203" i="39" s="1"/>
  <c r="M56" i="40"/>
  <c r="M27" i="40"/>
  <c r="M157" i="39" a="1"/>
  <c r="M157" i="39" s="1"/>
  <c r="M421" i="39" a="1"/>
  <c r="M421" i="39" s="1"/>
  <c r="M320" i="39" a="1"/>
  <c r="M320" i="39" s="1"/>
  <c r="M327" i="39" a="1"/>
  <c r="M327" i="39" s="1"/>
  <c r="M548" i="39" a="1"/>
  <c r="M548" i="39" s="1"/>
  <c r="M249" i="39" a="1"/>
  <c r="M249" i="39" s="1"/>
  <c r="G191" i="42" a="1"/>
  <c r="G191" i="42" s="1"/>
  <c r="G178" i="42" a="1"/>
  <c r="G178" i="42" s="1"/>
  <c r="G184" i="42" a="1"/>
  <c r="G184" i="42" s="1"/>
  <c r="L549" i="39" a="1"/>
  <c r="L549" i="39" s="1"/>
  <c r="L264" i="39" a="1"/>
  <c r="L264" i="39" s="1"/>
  <c r="G37" i="42" a="1"/>
  <c r="G37" i="42" s="1"/>
  <c r="G207" i="42" a="1"/>
  <c r="G207" i="42" s="1"/>
  <c r="G34" i="42" a="1"/>
  <c r="G34" i="42" s="1"/>
  <c r="G28" i="42" a="1"/>
  <c r="G28" i="42" s="1"/>
  <c r="M316" i="39" a="1"/>
  <c r="M316" i="39" s="1"/>
  <c r="M530" i="39" a="1"/>
  <c r="M530" i="39" s="1"/>
  <c r="M510" i="39" a="1"/>
  <c r="M510" i="39" s="1"/>
  <c r="O36" i="34"/>
  <c r="O105" i="34"/>
  <c r="O35" i="34"/>
  <c r="G204" i="42" a="1"/>
  <c r="G204" i="42" s="1"/>
  <c r="L221" i="39" a="1"/>
  <c r="L221" i="39" s="1"/>
  <c r="G153" i="42" a="1"/>
  <c r="G153" i="42" s="1"/>
  <c r="L509" i="39" a="1"/>
  <c r="L509" i="39" s="1"/>
  <c r="M509" i="39" a="1"/>
  <c r="M509" i="39" s="1"/>
  <c r="H153" i="42" a="1"/>
  <c r="H153" i="42" s="1"/>
  <c r="M346" i="39" a="1"/>
  <c r="M346" i="39" s="1"/>
  <c r="M549" i="39" a="1"/>
  <c r="M549" i="39" s="1"/>
  <c r="H191" i="42" a="1"/>
  <c r="H191" i="42" s="1"/>
  <c r="H178" i="42" a="1"/>
  <c r="H178" i="42" s="1"/>
  <c r="H184" i="42" a="1"/>
  <c r="H184" i="42" s="1"/>
  <c r="H85" i="43" a="1"/>
  <c r="H85" i="43" s="1"/>
  <c r="H97" i="43" a="1"/>
  <c r="H97" i="43" s="1"/>
  <c r="M62" i="39" a="1"/>
  <c r="M62" i="39" s="1"/>
  <c r="H84" i="43" a="1"/>
  <c r="H84" i="43" s="1"/>
  <c r="M432" i="39" a="1"/>
  <c r="M432" i="39" s="1"/>
  <c r="M25" i="35"/>
  <c r="M278" i="39" a="1"/>
  <c r="M278" i="39" s="1"/>
  <c r="M296" i="39" a="1"/>
  <c r="M296" i="39" s="1"/>
  <c r="H207" i="42" a="1"/>
  <c r="H207" i="42" s="1"/>
  <c r="M264" i="39" a="1"/>
  <c r="M264" i="39" s="1"/>
  <c r="H28" i="42" a="1"/>
  <c r="H28" i="42" s="1"/>
  <c r="H37" i="42" a="1"/>
  <c r="H37" i="42" s="1"/>
  <c r="H34" i="42" a="1"/>
  <c r="H34" i="42" s="1"/>
  <c r="M553" i="39" a="1"/>
  <c r="M553" i="39" s="1"/>
  <c r="P52" i="41"/>
  <c r="P51" i="41"/>
  <c r="P6" i="41"/>
  <c r="V40" i="39" a="1"/>
  <c r="V40" i="39" s="1"/>
  <c r="V162" i="39" a="1"/>
  <c r="V162" i="39" s="1"/>
  <c r="P50" i="41"/>
  <c r="M337" i="39" a="1"/>
  <c r="M337" i="39" s="1"/>
  <c r="M205" i="35"/>
  <c r="G97" i="43" a="1"/>
  <c r="G97" i="43" s="1"/>
  <c r="L62" i="39" a="1"/>
  <c r="L62" i="39" s="1"/>
  <c r="L46" i="39" a="1"/>
  <c r="L46" i="39" s="1"/>
  <c r="G84" i="43" a="1"/>
  <c r="G84" i="43" s="1"/>
  <c r="G3" i="43" a="1"/>
  <c r="G3" i="43" s="1"/>
  <c r="G85" i="43" a="1"/>
  <c r="G85" i="43" s="1"/>
  <c r="G4" i="43" a="1"/>
  <c r="G4" i="43" s="1"/>
  <c r="L56" i="39" a="1"/>
  <c r="L56" i="39" s="1"/>
  <c r="G112" i="43" a="1"/>
  <c r="G112" i="43" s="1"/>
  <c r="L432" i="39" a="1"/>
  <c r="L432" i="39" s="1"/>
  <c r="H204" i="42" a="1"/>
  <c r="H204" i="42" s="1"/>
  <c r="M221" i="39" a="1"/>
  <c r="M221" i="39" s="1"/>
  <c r="M46" i="39" a="1"/>
  <c r="M46" i="39" s="1"/>
  <c r="H112" i="43" a="1"/>
  <c r="H112" i="43" s="1"/>
  <c r="M56" i="39" a="1"/>
  <c r="M56" i="39" s="1"/>
  <c r="H3" i="43" a="1"/>
  <c r="H3" i="43" s="1"/>
  <c r="H4" i="43" a="1"/>
  <c r="H4" i="43" s="1"/>
  <c r="M26" i="35"/>
  <c r="M210" i="35"/>
  <c r="M27" i="35"/>
  <c r="M164" i="35"/>
  <c r="M122" i="35"/>
  <c r="M172" i="35"/>
  <c r="M121" i="35"/>
  <c r="M153" i="35"/>
  <c r="M156" i="35"/>
  <c r="M23" i="35"/>
  <c r="M132" i="35"/>
  <c r="M71" i="35"/>
  <c r="M146" i="35"/>
  <c r="M143" i="35"/>
  <c r="M184" i="35"/>
  <c r="M195" i="35"/>
  <c r="M148" i="35"/>
  <c r="M138" i="35"/>
  <c r="M189" i="35"/>
  <c r="K75" i="40" a="1"/>
  <c r="K75" i="40" s="1"/>
  <c r="K86" i="40" a="1"/>
  <c r="K86" i="40" s="1"/>
  <c r="K85" i="40" a="1"/>
  <c r="K85" i="40" s="1"/>
  <c r="K43" i="40" a="1"/>
  <c r="K43" i="40" s="1"/>
  <c r="K77" i="40" a="1"/>
  <c r="K77" i="40" s="1"/>
  <c r="K69" i="40" a="1"/>
  <c r="K69" i="40" s="1"/>
  <c r="M13" i="35"/>
  <c r="M182" i="35"/>
  <c r="M76" i="35"/>
  <c r="M204" i="35"/>
  <c r="M58" i="35"/>
  <c r="M112" i="35"/>
  <c r="M145" i="35"/>
  <c r="M185" i="35"/>
  <c r="M84" i="35"/>
  <c r="H3" i="38" a="1"/>
  <c r="G78" i="40" s="1" a="1"/>
  <c r="G78" i="40" s="1"/>
  <c r="K39" i="40" a="1"/>
  <c r="K39" i="40" s="1"/>
  <c r="K6" i="40" a="1"/>
  <c r="K6" i="40" s="1"/>
  <c r="K45" i="40" a="1"/>
  <c r="K45" i="40" s="1"/>
  <c r="K46" i="40" a="1"/>
  <c r="K46" i="40" s="1"/>
  <c r="K17" i="40" a="1"/>
  <c r="K17" i="40" s="1"/>
  <c r="K13" i="40" a="1"/>
  <c r="K13" i="40" s="1"/>
  <c r="K42" i="40" a="1"/>
  <c r="K42" i="40" s="1"/>
  <c r="K33" i="40" a="1"/>
  <c r="K33" i="40" s="1"/>
  <c r="K47" i="40" a="1"/>
  <c r="K47" i="40" s="1"/>
  <c r="K27" i="40" a="1"/>
  <c r="K27" i="40" s="1"/>
  <c r="K54" i="40" a="1"/>
  <c r="K54" i="40" s="1"/>
  <c r="K70" i="40" a="1"/>
  <c r="K70" i="40" s="1"/>
  <c r="K60" i="40" a="1"/>
  <c r="K60" i="40" s="1"/>
  <c r="K78" i="40" a="1"/>
  <c r="K78" i="40" s="1"/>
  <c r="M57" i="35"/>
  <c r="M55" i="35"/>
  <c r="M47" i="35"/>
  <c r="M191" i="35"/>
  <c r="M63" i="35"/>
  <c r="M56" i="35"/>
  <c r="M45" i="35"/>
  <c r="M62" i="35"/>
  <c r="M74" i="35"/>
  <c r="M48" i="35"/>
  <c r="K36" i="40" a="1"/>
  <c r="K36" i="40" s="1"/>
  <c r="K67" i="40" a="1"/>
  <c r="K67" i="40" s="1"/>
  <c r="K68" i="40" a="1"/>
  <c r="K68" i="40" s="1"/>
  <c r="K59" i="40" a="1"/>
  <c r="K59" i="40" s="1"/>
  <c r="L3" i="38"/>
  <c r="K37" i="40" a="1"/>
  <c r="K37" i="40" s="1"/>
  <c r="K14" i="40" a="1"/>
  <c r="K14" i="40" s="1"/>
  <c r="K56" i="40" a="1"/>
  <c r="K56" i="40" s="1"/>
  <c r="K57" i="40" a="1"/>
  <c r="K57" i="40" s="1"/>
  <c r="K80" i="40" a="1"/>
  <c r="K80" i="40" s="1"/>
  <c r="K58" i="40" a="1"/>
  <c r="K58" i="40" s="1"/>
  <c r="K3" i="40" a="1"/>
  <c r="K3" i="40" s="1"/>
  <c r="K52" i="40" a="1"/>
  <c r="K52" i="40" s="1"/>
  <c r="K55" i="40" a="1"/>
  <c r="K55" i="40" s="1"/>
  <c r="M96" i="35"/>
  <c r="M75" i="35"/>
  <c r="M88" i="35"/>
  <c r="M68" i="35"/>
  <c r="M202" i="35"/>
  <c r="M9" i="35"/>
  <c r="M118" i="35"/>
  <c r="M180" i="35"/>
  <c r="M127" i="35"/>
  <c r="M159" i="35"/>
  <c r="M137" i="35"/>
  <c r="M126" i="35"/>
  <c r="M187" i="35"/>
  <c r="M200" i="35"/>
  <c r="M173" i="35"/>
  <c r="M113" i="35"/>
  <c r="V558" i="39" a="1"/>
  <c r="V558" i="39" s="1"/>
  <c r="V38" i="39" a="1"/>
  <c r="V38" i="39" s="1"/>
  <c r="C38" i="38" a="1"/>
  <c r="V328" i="39" a="1"/>
  <c r="V328" i="39" s="1"/>
  <c r="H40" i="42" a="1"/>
  <c r="H40" i="42" s="1"/>
  <c r="M123" i="39" a="1"/>
  <c r="M123" i="39" s="1"/>
  <c r="H19" i="42" a="1"/>
  <c r="H19" i="42" s="1"/>
  <c r="M55" i="39" a="1"/>
  <c r="M55" i="39" s="1"/>
  <c r="M426" i="39" a="1"/>
  <c r="M426" i="39" s="1"/>
  <c r="M290" i="39" a="1"/>
  <c r="M290" i="39" s="1"/>
  <c r="H15" i="42" a="1"/>
  <c r="H15" i="42" s="1"/>
  <c r="M418" i="39" a="1"/>
  <c r="M418" i="39" s="1"/>
  <c r="H107" i="42" a="1"/>
  <c r="H107" i="42" s="1"/>
  <c r="M171" i="39" a="1"/>
  <c r="M171" i="39" s="1"/>
  <c r="H58" i="42" a="1"/>
  <c r="H58" i="42" s="1"/>
  <c r="M174" i="39" a="1"/>
  <c r="M174" i="39" s="1"/>
  <c r="M238" i="39" a="1"/>
  <c r="M238" i="39" s="1"/>
  <c r="M71" i="39" a="1"/>
  <c r="M71" i="39" s="1"/>
  <c r="M31" i="39" a="1"/>
  <c r="M31" i="39" s="1"/>
  <c r="M132" i="39" a="1"/>
  <c r="M132" i="39" s="1"/>
  <c r="M218" i="39" a="1"/>
  <c r="M218" i="39" s="1"/>
  <c r="M420" i="39" a="1"/>
  <c r="M420" i="39" s="1"/>
  <c r="H43" i="42" a="1"/>
  <c r="H43" i="42" s="1"/>
  <c r="M438" i="39" a="1"/>
  <c r="M438" i="39" s="1"/>
  <c r="H5" i="42" a="1"/>
  <c r="H5" i="42" s="1"/>
  <c r="M380" i="39" a="1"/>
  <c r="M380" i="39" s="1"/>
  <c r="H62" i="42" a="1"/>
  <c r="H62" i="42" s="1"/>
  <c r="M409" i="39" a="1"/>
  <c r="M409" i="39" s="1"/>
  <c r="H56" i="42" a="1"/>
  <c r="H56" i="42" s="1"/>
  <c r="M134" i="39" a="1"/>
  <c r="M134" i="39" s="1"/>
  <c r="H152" i="42" a="1"/>
  <c r="H152" i="42" s="1"/>
  <c r="M186" i="39" a="1"/>
  <c r="M186" i="39" s="1"/>
  <c r="L506" i="39" a="1"/>
  <c r="L506" i="39" s="1"/>
  <c r="L394" i="39" a="1"/>
  <c r="L394" i="39" s="1"/>
  <c r="L390" i="39" a="1"/>
  <c r="L390" i="39" s="1"/>
  <c r="L83" i="39" a="1"/>
  <c r="L83" i="39" s="1"/>
  <c r="L400" i="39" a="1"/>
  <c r="L400" i="39" s="1"/>
  <c r="L290" i="39" a="1"/>
  <c r="L290" i="39" s="1"/>
  <c r="L238" i="39" a="1"/>
  <c r="L238" i="39" s="1"/>
  <c r="L82" i="39" a="1"/>
  <c r="L82" i="39" s="1"/>
  <c r="L127" i="39" a="1"/>
  <c r="L127" i="39" s="1"/>
  <c r="L124" i="39" a="1"/>
  <c r="L124" i="39" s="1"/>
  <c r="L78" i="39" a="1"/>
  <c r="L78" i="39" s="1"/>
  <c r="L433" i="39" a="1"/>
  <c r="L433" i="39" s="1"/>
  <c r="L397" i="39" a="1"/>
  <c r="L397" i="39" s="1"/>
  <c r="L562" i="39" a="1"/>
  <c r="L562" i="39" s="1"/>
  <c r="L414" i="39" a="1"/>
  <c r="L414" i="39" s="1"/>
  <c r="L119" i="39" a="1"/>
  <c r="L119" i="39" s="1"/>
  <c r="L71" i="39" a="1"/>
  <c r="L71" i="39" s="1"/>
  <c r="L98" i="39" a="1"/>
  <c r="L98" i="39" s="1"/>
  <c r="L193" i="39" a="1"/>
  <c r="L193" i="39" s="1"/>
  <c r="L170" i="39" a="1"/>
  <c r="L170" i="39" s="1"/>
  <c r="L166" i="39" a="1"/>
  <c r="L166" i="39" s="1"/>
  <c r="L118" i="39" a="1"/>
  <c r="L118" i="39" s="1"/>
  <c r="L378" i="39" a="1"/>
  <c r="L378" i="39" s="1"/>
  <c r="L386" i="39" a="1"/>
  <c r="L386" i="39" s="1"/>
  <c r="L398" i="39" a="1"/>
  <c r="L398" i="39" s="1"/>
  <c r="L271" i="39" a="1"/>
  <c r="L271" i="39" s="1"/>
  <c r="L342" i="39" a="1"/>
  <c r="L342" i="39" s="1"/>
  <c r="L545" i="39" a="1"/>
  <c r="L545" i="39" s="1"/>
  <c r="L360" i="39" a="1"/>
  <c r="L360" i="39" s="1"/>
  <c r="L142" i="39" a="1"/>
  <c r="L142" i="39" s="1"/>
  <c r="L426" i="39" a="1"/>
  <c r="L426" i="39" s="1"/>
  <c r="L451" i="39" a="1"/>
  <c r="L451" i="39" s="1"/>
  <c r="L182" i="39" a="1"/>
  <c r="L182" i="39" s="1"/>
  <c r="L468" i="39" a="1"/>
  <c r="L468" i="39" s="1"/>
  <c r="L325" i="39" a="1"/>
  <c r="L325" i="39" s="1"/>
  <c r="L177" i="39" a="1"/>
  <c r="L177" i="39" s="1"/>
  <c r="L185" i="39" a="1"/>
  <c r="L185" i="39" s="1"/>
  <c r="L11" i="39" a="1"/>
  <c r="L11" i="39" s="1"/>
  <c r="L132" i="39" a="1"/>
  <c r="L132" i="39" s="1"/>
  <c r="L31" i="39" a="1"/>
  <c r="L31" i="39" s="1"/>
  <c r="L73" i="39" a="1"/>
  <c r="L73" i="39" s="1"/>
  <c r="M545" i="39" a="1"/>
  <c r="M545" i="39" s="1"/>
  <c r="M73" i="39" a="1"/>
  <c r="M73" i="39" s="1"/>
  <c r="M562" i="39" a="1"/>
  <c r="M562" i="39" s="1"/>
  <c r="M193" i="39" a="1"/>
  <c r="M193" i="39" s="1"/>
  <c r="K40" i="40" a="1"/>
  <c r="K40" i="40" s="1"/>
  <c r="K51" i="40" a="1"/>
  <c r="K51" i="40" s="1"/>
  <c r="K8" i="40" a="1"/>
  <c r="K8" i="40" s="1"/>
  <c r="K34" i="40" a="1"/>
  <c r="K34" i="40" s="1"/>
  <c r="K79" i="40" a="1"/>
  <c r="K79" i="40" s="1"/>
  <c r="H7" i="42" a="1"/>
  <c r="H7" i="42" s="1"/>
  <c r="M131" i="39" a="1"/>
  <c r="M131" i="39" s="1"/>
  <c r="M11" i="39" a="1"/>
  <c r="M11" i="39" s="1"/>
  <c r="M82" i="39" a="1"/>
  <c r="M82" i="39" s="1"/>
  <c r="M271" i="39" a="1"/>
  <c r="M271" i="39" s="1"/>
  <c r="M83" i="39" a="1"/>
  <c r="M83" i="39" s="1"/>
  <c r="L387" i="39" a="1"/>
  <c r="L387" i="39" s="1"/>
  <c r="L208" i="39" a="1"/>
  <c r="L208" i="39" s="1"/>
  <c r="L70" i="39" a="1"/>
  <c r="L70" i="39" s="1"/>
  <c r="L446" i="39" a="1"/>
  <c r="L446" i="39" s="1"/>
  <c r="L171" i="39" a="1"/>
  <c r="L171" i="39" s="1"/>
  <c r="L153" i="39" a="1"/>
  <c r="L153" i="39" s="1"/>
  <c r="L154" i="39" a="1"/>
  <c r="L154" i="39" s="1"/>
  <c r="L174" i="39" a="1"/>
  <c r="L174" i="39" s="1"/>
  <c r="L202" i="39" a="1"/>
  <c r="L202" i="39" s="1"/>
  <c r="L406" i="39" a="1"/>
  <c r="L406" i="39" s="1"/>
  <c r="L106" i="39" a="1"/>
  <c r="L106" i="39" s="1"/>
  <c r="L442" i="39" a="1"/>
  <c r="L442" i="39" s="1"/>
  <c r="L417" i="39" a="1"/>
  <c r="L417" i="39" s="1"/>
  <c r="L110" i="39" a="1"/>
  <c r="L110" i="39" s="1"/>
  <c r="L77" i="39" a="1"/>
  <c r="L77" i="39" s="1"/>
  <c r="L145" i="39" a="1"/>
  <c r="L145" i="39" s="1"/>
  <c r="L409" i="39" a="1"/>
  <c r="L409" i="39" s="1"/>
  <c r="L190" i="39" a="1"/>
  <c r="L190" i="39" s="1"/>
  <c r="L90" i="39" a="1"/>
  <c r="L90" i="39" s="1"/>
  <c r="L186" i="39" a="1"/>
  <c r="L186" i="39" s="1"/>
  <c r="H65" i="42" a="1"/>
  <c r="H65" i="42" s="1"/>
  <c r="M406" i="39" a="1"/>
  <c r="M406" i="39" s="1"/>
  <c r="H69" i="42" a="1"/>
  <c r="H69" i="42" s="1"/>
  <c r="M442" i="39" a="1"/>
  <c r="M442" i="39" s="1"/>
  <c r="L135" i="39" a="1"/>
  <c r="L135" i="39" s="1"/>
  <c r="L55" i="39" a="1"/>
  <c r="L55" i="39" s="1"/>
  <c r="L117" i="39" a="1"/>
  <c r="L117" i="39" s="1"/>
  <c r="L155" i="39" a="1"/>
  <c r="L155" i="39" s="1"/>
  <c r="L123" i="39" a="1"/>
  <c r="L123" i="39" s="1"/>
  <c r="L113" i="39" a="1"/>
  <c r="L113" i="39" s="1"/>
  <c r="L51" i="39" a="1"/>
  <c r="L51" i="39" s="1"/>
  <c r="L101" i="39" a="1"/>
  <c r="L101" i="39" s="1"/>
  <c r="L143" i="39" a="1"/>
  <c r="L143" i="39" s="1"/>
  <c r="L401" i="39" a="1"/>
  <c r="L401" i="39" s="1"/>
  <c r="L381" i="39" a="1"/>
  <c r="L381" i="39" s="1"/>
  <c r="L103" i="39" a="1"/>
  <c r="L103" i="39" s="1"/>
  <c r="L377" i="39" a="1"/>
  <c r="L377" i="39" s="1"/>
  <c r="L48" i="39" a="1"/>
  <c r="L48" i="39" s="1"/>
  <c r="L439" i="39" a="1"/>
  <c r="L439" i="39" s="1"/>
  <c r="L84" i="39" a="1"/>
  <c r="L84" i="39" s="1"/>
  <c r="L89" i="39" a="1"/>
  <c r="L89" i="39" s="1"/>
  <c r="L438" i="39" a="1"/>
  <c r="L438" i="39" s="1"/>
  <c r="L158" i="39" a="1"/>
  <c r="L158" i="39" s="1"/>
  <c r="L437" i="39" a="1"/>
  <c r="L437" i="39" s="1"/>
  <c r="H42" i="42" a="1"/>
  <c r="H42" i="42" s="1"/>
  <c r="M155" i="39" a="1"/>
  <c r="M155" i="39" s="1"/>
  <c r="H11" i="42" a="1"/>
  <c r="H11" i="42" s="1"/>
  <c r="M405" i="39" a="1"/>
  <c r="M405" i="39" s="1"/>
  <c r="H45" i="42" a="1"/>
  <c r="H45" i="42" s="1"/>
  <c r="M70" i="39" a="1"/>
  <c r="M70" i="39" s="1"/>
  <c r="H89" i="42" a="1"/>
  <c r="H89" i="42" s="1"/>
  <c r="M459" i="39" a="1"/>
  <c r="M459" i="39" s="1"/>
  <c r="M170" i="39" a="1"/>
  <c r="M170" i="39" s="1"/>
  <c r="M325" i="39" a="1"/>
  <c r="M325" i="39" s="1"/>
  <c r="H25" i="42" a="1"/>
  <c r="H25" i="42" s="1"/>
  <c r="M113" i="39" a="1"/>
  <c r="M113" i="39" s="1"/>
  <c r="H41" i="42" a="1"/>
  <c r="H41" i="42" s="1"/>
  <c r="M436" i="39" a="1"/>
  <c r="M436" i="39" s="1"/>
  <c r="H85" i="42" a="1"/>
  <c r="H85" i="42" s="1"/>
  <c r="M51" i="39" a="1"/>
  <c r="M51" i="39" s="1"/>
  <c r="H59" i="42" a="1"/>
  <c r="H59" i="42" s="1"/>
  <c r="M258" i="39" a="1"/>
  <c r="M258" i="39" s="1"/>
  <c r="H44" i="42" a="1"/>
  <c r="H44" i="42" s="1"/>
  <c r="M293" i="39" a="1"/>
  <c r="M293" i="39" s="1"/>
  <c r="M177" i="39" a="1"/>
  <c r="M177" i="39" s="1"/>
  <c r="M397" i="39" a="1"/>
  <c r="M397" i="39" s="1"/>
  <c r="M97" i="39" a="1"/>
  <c r="M97" i="39" s="1"/>
  <c r="M114" i="39" a="1"/>
  <c r="M114" i="39" s="1"/>
  <c r="M485" i="39" a="1"/>
  <c r="M485" i="39" s="1"/>
  <c r="M67" i="39" a="1"/>
  <c r="M67" i="39" s="1"/>
  <c r="K28" i="40" a="1"/>
  <c r="K28" i="40" s="1"/>
  <c r="K71" i="40" a="1"/>
  <c r="K71" i="40" s="1"/>
  <c r="K61" i="40" a="1"/>
  <c r="K61" i="40" s="1"/>
  <c r="K44" i="40" a="1"/>
  <c r="K44" i="40" s="1"/>
  <c r="K18" i="40" a="1"/>
  <c r="K18" i="40" s="1"/>
  <c r="K76" i="40" a="1"/>
  <c r="K76" i="40" s="1"/>
  <c r="M342" i="39" a="1"/>
  <c r="M342" i="39" s="1"/>
  <c r="M119" i="39" a="1"/>
  <c r="M119" i="39" s="1"/>
  <c r="M166" i="39" a="1"/>
  <c r="M166" i="39" s="1"/>
  <c r="M185" i="39" a="1"/>
  <c r="M185" i="39" s="1"/>
  <c r="M255" i="39" a="1"/>
  <c r="M255" i="39" s="1"/>
  <c r="M425" i="39" a="1"/>
  <c r="M425" i="39" s="1"/>
  <c r="K11" i="40" a="1"/>
  <c r="K11" i="40" s="1"/>
  <c r="K38" i="40" a="1"/>
  <c r="K38" i="40" s="1"/>
  <c r="K5" i="40" a="1"/>
  <c r="K5" i="40" s="1"/>
  <c r="H9" i="42" a="1"/>
  <c r="H9" i="42" s="1"/>
  <c r="M401" i="39" a="1"/>
  <c r="M401" i="39" s="1"/>
  <c r="H6" i="42" a="1"/>
  <c r="H6" i="42" s="1"/>
  <c r="M381" i="39" a="1"/>
  <c r="M381" i="39" s="1"/>
  <c r="H16" i="42" a="1"/>
  <c r="H16" i="42" s="1"/>
  <c r="M149" i="39" a="1"/>
  <c r="M149" i="39" s="1"/>
  <c r="H100" i="42" a="1"/>
  <c r="H100" i="42" s="1"/>
  <c r="M90" i="39" a="1"/>
  <c r="M90" i="39" s="1"/>
  <c r="H55" i="42" a="1"/>
  <c r="H55" i="42" s="1"/>
  <c r="M110" i="39" a="1"/>
  <c r="M110" i="39" s="1"/>
  <c r="H10" i="42" a="1"/>
  <c r="H10" i="42" s="1"/>
  <c r="M154" i="39" a="1"/>
  <c r="M154" i="39" s="1"/>
  <c r="M127" i="39" a="1"/>
  <c r="M127" i="39" s="1"/>
  <c r="M414" i="39" a="1"/>
  <c r="M414" i="39" s="1"/>
  <c r="M307" i="39" a="1"/>
  <c r="M307" i="39" s="1"/>
  <c r="M419" i="39" a="1"/>
  <c r="M419" i="39" s="1"/>
  <c r="H90" i="42" a="1"/>
  <c r="H90" i="42" s="1"/>
  <c r="M89" i="39" a="1"/>
  <c r="M89" i="39" s="1"/>
  <c r="H23" i="42" a="1"/>
  <c r="H23" i="42" s="1"/>
  <c r="M102" i="39" a="1"/>
  <c r="M102" i="39" s="1"/>
  <c r="H78" i="42" a="1"/>
  <c r="H78" i="42" s="1"/>
  <c r="M117" i="39" a="1"/>
  <c r="M117" i="39" s="1"/>
  <c r="H106" i="42" a="1"/>
  <c r="H106" i="42" s="1"/>
  <c r="M190" i="39" a="1"/>
  <c r="M190" i="39" s="1"/>
  <c r="H54" i="42" a="1"/>
  <c r="H54" i="42" s="1"/>
  <c r="M387" i="39" a="1"/>
  <c r="M387" i="39" s="1"/>
  <c r="H86" i="42" a="1"/>
  <c r="H86" i="42" s="1"/>
  <c r="M453" i="39" a="1"/>
  <c r="M453" i="39" s="1"/>
  <c r="H95" i="42" a="1"/>
  <c r="H95" i="42" s="1"/>
  <c r="M143" i="39" a="1"/>
  <c r="M143" i="39" s="1"/>
  <c r="H96" i="42" a="1"/>
  <c r="H96" i="42" s="1"/>
  <c r="M101" i="39" a="1"/>
  <c r="M101" i="39" s="1"/>
  <c r="H12" i="42" a="1"/>
  <c r="H12" i="42" s="1"/>
  <c r="M413" i="39" a="1"/>
  <c r="M413" i="39" s="1"/>
  <c r="H46" i="42" a="1"/>
  <c r="H46" i="42" s="1"/>
  <c r="M93" i="39" a="1"/>
  <c r="M93" i="39" s="1"/>
  <c r="H105" i="42" a="1"/>
  <c r="H105" i="42" s="1"/>
  <c r="M153" i="39" a="1"/>
  <c r="M153" i="39" s="1"/>
  <c r="H101" i="42" a="1"/>
  <c r="H101" i="42" s="1"/>
  <c r="M208" i="39" a="1"/>
  <c r="M208" i="39" s="1"/>
  <c r="M64" i="39" a="1"/>
  <c r="M64" i="39" s="1"/>
  <c r="M524" i="39" a="1"/>
  <c r="M524" i="39" s="1"/>
  <c r="M378" i="39" a="1"/>
  <c r="M378" i="39" s="1"/>
  <c r="M398" i="39" a="1"/>
  <c r="M398" i="39" s="1"/>
  <c r="M390" i="39" a="1"/>
  <c r="M390" i="39" s="1"/>
  <c r="M451" i="39" a="1"/>
  <c r="M451" i="39" s="1"/>
  <c r="K83" i="40" a="1"/>
  <c r="K83" i="40" s="1"/>
  <c r="H20" i="42" a="1"/>
  <c r="H20" i="42" s="1"/>
  <c r="M437" i="39" a="1"/>
  <c r="M437" i="39" s="1"/>
  <c r="M28" i="39" a="1"/>
  <c r="M28" i="39" s="1"/>
  <c r="M181" i="39" a="1"/>
  <c r="M181" i="39" s="1"/>
  <c r="M506" i="39" a="1"/>
  <c r="M506" i="39" s="1"/>
  <c r="M505" i="39" a="1"/>
  <c r="M505" i="39" s="1"/>
  <c r="K15" i="40" a="1"/>
  <c r="K15" i="40" s="1"/>
  <c r="K81" i="40" a="1"/>
  <c r="K81" i="40" s="1"/>
  <c r="K31" i="40" a="1"/>
  <c r="K31" i="40" s="1"/>
  <c r="H22" i="42" a="1"/>
  <c r="H22" i="42" s="1"/>
  <c r="M84" i="39" a="1"/>
  <c r="M84" i="39" s="1"/>
  <c r="H3" i="42" a="1"/>
  <c r="H3" i="42" s="1"/>
  <c r="M377" i="39" a="1"/>
  <c r="M377" i="39" s="1"/>
  <c r="H18" i="42" a="1"/>
  <c r="H18" i="42" s="1"/>
  <c r="M103" i="39" a="1"/>
  <c r="M103" i="39" s="1"/>
  <c r="H87" i="42" a="1"/>
  <c r="H87" i="42" s="1"/>
  <c r="M454" i="39" a="1"/>
  <c r="M454" i="39" s="1"/>
  <c r="M118" i="39" a="1"/>
  <c r="M118" i="39" s="1"/>
  <c r="M182" i="39" a="1"/>
  <c r="M182" i="39" s="1"/>
  <c r="M428" i="39" a="1"/>
  <c r="M428" i="39" s="1"/>
  <c r="M198" i="39" a="1"/>
  <c r="M198" i="39" s="1"/>
  <c r="M142" i="39" a="1"/>
  <c r="M142" i="39" s="1"/>
  <c r="M360" i="39" a="1"/>
  <c r="M360" i="39" s="1"/>
  <c r="N537" i="39" a="1"/>
  <c r="N537" i="39" s="1"/>
  <c r="N217" i="39" a="1"/>
  <c r="N217" i="39" s="1"/>
  <c r="N223" i="39" a="1"/>
  <c r="N223" i="39" s="1"/>
  <c r="N274" i="39" a="1"/>
  <c r="N274" i="39" s="1"/>
  <c r="N317" i="39" a="1"/>
  <c r="N317" i="39" s="1"/>
  <c r="N282" i="39" a="1"/>
  <c r="N282" i="39" s="1"/>
  <c r="N161" i="39" a="1"/>
  <c r="N161" i="39" s="1"/>
  <c r="N159" i="39" a="1"/>
  <c r="N159" i="39" s="1"/>
  <c r="N109" i="39" a="1"/>
  <c r="N109" i="39" s="1"/>
  <c r="X109" i="39" s="1"/>
  <c r="N474" i="39" a="1"/>
  <c r="N474" i="39" s="1"/>
  <c r="N137" i="39" a="1"/>
  <c r="N137" i="39" s="1"/>
  <c r="N212" i="39" a="1"/>
  <c r="N212" i="39" s="1"/>
  <c r="N259" i="39" a="1"/>
  <c r="N259" i="39" s="1"/>
  <c r="N313" i="39" a="1"/>
  <c r="N313" i="39" s="1"/>
  <c r="N528" i="39" a="1"/>
  <c r="N528" i="39" s="1"/>
  <c r="N507" i="39" a="1"/>
  <c r="N507" i="39" s="1"/>
  <c r="N456" i="39" a="1"/>
  <c r="N456" i="39" s="1"/>
  <c r="N224" i="39" a="1"/>
  <c r="N224" i="39" s="1"/>
  <c r="N500" i="39" a="1"/>
  <c r="N500" i="39" s="1"/>
  <c r="N203" i="39" a="1"/>
  <c r="N203" i="39" s="1"/>
  <c r="N294" i="39" a="1"/>
  <c r="N294" i="39" s="1"/>
  <c r="N156" i="39" a="1"/>
  <c r="N156" i="39" s="1"/>
  <c r="N491" i="39" a="1"/>
  <c r="N491" i="39" s="1"/>
  <c r="N58" i="39" a="1"/>
  <c r="N58" i="39" s="1"/>
  <c r="N490" i="39" a="1"/>
  <c r="N490" i="39" s="1"/>
  <c r="H99" i="42" a="1"/>
  <c r="H99" i="42" s="1"/>
  <c r="M77" i="39" a="1"/>
  <c r="M77" i="39" s="1"/>
  <c r="H24" i="42" a="1"/>
  <c r="H24" i="42" s="1"/>
  <c r="M66" i="39" a="1"/>
  <c r="M66" i="39" s="1"/>
  <c r="H21" i="42" a="1"/>
  <c r="H21" i="42" s="1"/>
  <c r="M81" i="39" a="1"/>
  <c r="M81" i="39" s="1"/>
  <c r="H52" i="42" a="1"/>
  <c r="H52" i="42" s="1"/>
  <c r="M106" i="39" a="1"/>
  <c r="M106" i="39" s="1"/>
  <c r="M433" i="39" a="1"/>
  <c r="M433" i="39" s="1"/>
  <c r="M124" i="39" a="1"/>
  <c r="M124" i="39" s="1"/>
  <c r="M78" i="39" a="1"/>
  <c r="M78" i="39" s="1"/>
  <c r="M394" i="39" a="1"/>
  <c r="M394" i="39" s="1"/>
  <c r="M150" i="39" a="1"/>
  <c r="M150" i="39" s="1"/>
  <c r="M165" i="39" a="1"/>
  <c r="M165" i="39" s="1"/>
  <c r="H4" i="42" a="1"/>
  <c r="H4" i="42" s="1"/>
  <c r="M379" i="39" a="1"/>
  <c r="M379" i="39" s="1"/>
  <c r="H2" i="42" a="1"/>
  <c r="H2" i="42" s="1"/>
  <c r="M285" i="39" a="1"/>
  <c r="M285" i="39" s="1"/>
  <c r="H57" i="42" a="1"/>
  <c r="H57" i="42" s="1"/>
  <c r="M145" i="39" a="1"/>
  <c r="M145" i="39" s="1"/>
  <c r="H14" i="42" a="1"/>
  <c r="H14" i="42" s="1"/>
  <c r="M417" i="39" a="1"/>
  <c r="M417" i="39" s="1"/>
  <c r="H47" i="42" a="1"/>
  <c r="H47" i="42" s="1"/>
  <c r="M439" i="39" a="1"/>
  <c r="M439" i="39" s="1"/>
  <c r="H8" i="42" a="1"/>
  <c r="H8" i="42" s="1"/>
  <c r="M65" i="39" a="1"/>
  <c r="M65" i="39" s="1"/>
  <c r="H94" i="42" a="1"/>
  <c r="H94" i="42" s="1"/>
  <c r="M135" i="39" a="1"/>
  <c r="M135" i="39" s="1"/>
  <c r="H84" i="42" a="1"/>
  <c r="H84" i="42" s="1"/>
  <c r="M48" i="39" a="1"/>
  <c r="M48" i="39" s="1"/>
  <c r="H91" i="42" a="1"/>
  <c r="H91" i="42" s="1"/>
  <c r="M158" i="39" a="1"/>
  <c r="M158" i="39" s="1"/>
  <c r="H79" i="42" a="1"/>
  <c r="H79" i="42" s="1"/>
  <c r="M446" i="39" a="1"/>
  <c r="M446" i="39" s="1"/>
  <c r="H53" i="42" a="1"/>
  <c r="H53" i="42" s="1"/>
  <c r="M202" i="39" a="1"/>
  <c r="M202" i="39" s="1"/>
  <c r="M386" i="39" a="1"/>
  <c r="M386" i="39" s="1"/>
  <c r="M98" i="39" a="1"/>
  <c r="M98" i="39" s="1"/>
  <c r="M400" i="39" a="1"/>
  <c r="M400" i="39" s="1"/>
  <c r="M468" i="39" a="1"/>
  <c r="M468" i="39" s="1"/>
  <c r="H156" i="42" a="1"/>
  <c r="H156" i="42" s="1"/>
  <c r="M341" i="39" a="1"/>
  <c r="M341" i="39" s="1"/>
  <c r="H102" i="42" a="1"/>
  <c r="H102" i="42" s="1"/>
  <c r="M488" i="39" a="1"/>
  <c r="M488" i="39" s="1"/>
  <c r="H166" i="42" a="1"/>
  <c r="H166" i="42" s="1"/>
  <c r="M270" i="39" a="1"/>
  <c r="M270" i="39" s="1"/>
  <c r="H169" i="42" a="1"/>
  <c r="H169" i="42" s="1"/>
  <c r="M251" i="39" a="1"/>
  <c r="M251" i="39" s="1"/>
  <c r="L263" i="39" a="1"/>
  <c r="L263" i="39" s="1"/>
  <c r="L188" i="39" a="1"/>
  <c r="L188" i="39" s="1"/>
  <c r="L243" i="39" a="1"/>
  <c r="L243" i="39" s="1"/>
  <c r="L523" i="39" a="1"/>
  <c r="L523" i="39" s="1"/>
  <c r="L233" i="39" a="1"/>
  <c r="L233" i="39" s="1"/>
  <c r="L270" i="39" a="1"/>
  <c r="L270" i="39" s="1"/>
  <c r="L283" i="39" a="1"/>
  <c r="L283" i="39" s="1"/>
  <c r="L251" i="39" a="1"/>
  <c r="L251" i="39" s="1"/>
  <c r="L570" i="39" a="1"/>
  <c r="L570" i="39" s="1"/>
  <c r="L244" i="39" a="1"/>
  <c r="L244" i="39" s="1"/>
  <c r="L495" i="39" a="1"/>
  <c r="L495" i="39" s="1"/>
  <c r="L275" i="39" a="1"/>
  <c r="L275" i="39" s="1"/>
  <c r="L488" i="39" a="1"/>
  <c r="L488" i="39" s="1"/>
  <c r="L519" i="39" a="1"/>
  <c r="L519" i="39" s="1"/>
  <c r="L472" i="39" a="1"/>
  <c r="L472" i="39" s="1"/>
  <c r="L341" i="39" a="1"/>
  <c r="L341" i="39" s="1"/>
  <c r="L517" i="39" a="1"/>
  <c r="L517" i="39" s="1"/>
  <c r="L209" i="39" a="1"/>
  <c r="L209" i="39" s="1"/>
  <c r="L260" i="39" a="1"/>
  <c r="L260" i="39" s="1"/>
  <c r="H158" i="42" a="1"/>
  <c r="H158" i="42" s="1"/>
  <c r="M233" i="39" a="1"/>
  <c r="M233" i="39" s="1"/>
  <c r="H167" i="42" a="1"/>
  <c r="H167" i="42" s="1"/>
  <c r="M275" i="39" a="1"/>
  <c r="M275" i="39" s="1"/>
  <c r="H82" i="42" a="1"/>
  <c r="H82" i="42" s="1"/>
  <c r="M450" i="39" a="1"/>
  <c r="M450" i="39" s="1"/>
  <c r="L296" i="39" a="1"/>
  <c r="L296" i="39" s="1"/>
  <c r="L316" i="39" a="1"/>
  <c r="L316" i="39" s="1"/>
  <c r="L262" i="39" a="1"/>
  <c r="L262" i="39" s="1"/>
  <c r="L278" i="39" a="1"/>
  <c r="L278" i="39" s="1"/>
  <c r="L289" i="39" a="1"/>
  <c r="L289" i="39" s="1"/>
  <c r="L337" i="39" a="1"/>
  <c r="L337" i="39" s="1"/>
  <c r="L303" i="39" a="1"/>
  <c r="L303" i="39" s="1"/>
  <c r="L530" i="39" a="1"/>
  <c r="L530" i="39" s="1"/>
  <c r="L531" i="39" a="1"/>
  <c r="L531" i="39" s="1"/>
  <c r="W531" i="39" s="1" a="1"/>
  <c r="W531" i="39" s="1"/>
  <c r="L510" i="39" a="1"/>
  <c r="L510" i="39" s="1"/>
  <c r="L320" i="39" a="1"/>
  <c r="L320" i="39" s="1"/>
  <c r="L548" i="39" a="1"/>
  <c r="L548" i="39" s="1"/>
  <c r="L310" i="39" a="1"/>
  <c r="L310" i="39" s="1"/>
  <c r="L421" i="39" a="1"/>
  <c r="L421" i="39" s="1"/>
  <c r="L333" i="39" a="1"/>
  <c r="L333" i="39" s="1"/>
  <c r="L327" i="39" a="1"/>
  <c r="L327" i="39" s="1"/>
  <c r="L329" i="39" a="1"/>
  <c r="L329" i="39" s="1"/>
  <c r="L157" i="39" a="1"/>
  <c r="L157" i="39" s="1"/>
  <c r="W157" i="39" s="1" a="1"/>
  <c r="W157" i="39" s="1"/>
  <c r="L346" i="39" a="1"/>
  <c r="L346" i="39" s="1"/>
  <c r="L553" i="39" a="1"/>
  <c r="L553" i="39" s="1"/>
  <c r="L566" i="39" a="1"/>
  <c r="L566" i="39" s="1"/>
  <c r="L508" i="39" a="1"/>
  <c r="L508" i="39" s="1"/>
  <c r="H168" i="42" a="1"/>
  <c r="H168" i="42" s="1"/>
  <c r="M570" i="39" a="1"/>
  <c r="M570" i="39" s="1"/>
  <c r="H67" i="42" a="1"/>
  <c r="H67" i="42" s="1"/>
  <c r="M244" i="39" a="1"/>
  <c r="M244" i="39" s="1"/>
  <c r="H104" i="42" a="1"/>
  <c r="H104" i="42" s="1"/>
  <c r="M257" i="39" a="1"/>
  <c r="M257" i="39" s="1"/>
  <c r="H103" i="42" a="1"/>
  <c r="H103" i="42" s="1"/>
  <c r="M495" i="39" a="1"/>
  <c r="M495" i="39" s="1"/>
  <c r="H66" i="42" a="1"/>
  <c r="H66" i="42" s="1"/>
  <c r="H98" i="42" a="1"/>
  <c r="H98" i="42" s="1"/>
  <c r="M550" i="39" a="1"/>
  <c r="M550" i="39" s="1"/>
  <c r="H160" i="42" a="1"/>
  <c r="H160" i="42" s="1"/>
  <c r="M243" i="39" a="1"/>
  <c r="M243" i="39" s="1"/>
  <c r="H162" i="42" a="1"/>
  <c r="H162" i="42" s="1"/>
  <c r="M516" i="39" a="1"/>
  <c r="M516" i="39" s="1"/>
  <c r="H64" i="42" a="1"/>
  <c r="H64" i="42" s="1"/>
  <c r="M209" i="39" a="1"/>
  <c r="M209" i="39" s="1"/>
  <c r="H155" i="42" a="1"/>
  <c r="H155" i="42" s="1"/>
  <c r="M568" i="39" a="1"/>
  <c r="M568" i="39" s="1"/>
  <c r="H68" i="42" a="1"/>
  <c r="H68" i="42" s="1"/>
  <c r="M260" i="39" a="1"/>
  <c r="M260" i="39" s="1"/>
  <c r="H63" i="42" a="1"/>
  <c r="H63" i="42" s="1"/>
  <c r="M283" i="39" a="1"/>
  <c r="M283" i="39" s="1"/>
  <c r="H93" i="42" a="1"/>
  <c r="H93" i="42" s="1"/>
  <c r="M472" i="39" a="1"/>
  <c r="M472" i="39" s="1"/>
  <c r="H157" i="42" a="1"/>
  <c r="H157" i="42" s="1"/>
  <c r="M519" i="39" a="1"/>
  <c r="M519" i="39" s="1"/>
  <c r="H61" i="42" a="1"/>
  <c r="H61" i="42" s="1"/>
  <c r="M197" i="39" a="1"/>
  <c r="M197" i="39" s="1"/>
  <c r="H165" i="42" a="1"/>
  <c r="H165" i="42" s="1"/>
  <c r="M263" i="39" a="1"/>
  <c r="M263" i="39" s="1"/>
  <c r="H71" i="42" a="1"/>
  <c r="H71" i="42" s="1"/>
  <c r="H13" i="42" a="1"/>
  <c r="H13" i="42" s="1"/>
  <c r="M347" i="39" a="1"/>
  <c r="M347" i="39" s="1"/>
  <c r="H163" i="42" a="1"/>
  <c r="H163" i="42" s="1"/>
  <c r="M523" i="39" a="1"/>
  <c r="M523" i="39" s="1"/>
  <c r="H154" i="42" a="1"/>
  <c r="H154" i="42" s="1"/>
  <c r="M517" i="39" a="1"/>
  <c r="M517" i="39" s="1"/>
  <c r="H70" i="42" a="1"/>
  <c r="H70" i="42" s="1"/>
  <c r="M266" i="39" a="1"/>
  <c r="M266" i="39" s="1"/>
  <c r="H97" i="42" a="1"/>
  <c r="H97" i="42" s="1"/>
  <c r="M473" i="39" a="1"/>
  <c r="M473" i="39" s="1"/>
  <c r="H60" i="42" a="1"/>
  <c r="H60" i="42" s="1"/>
  <c r="M188" i="39" a="1"/>
  <c r="M188" i="39" s="1"/>
  <c r="M199" i="35"/>
  <c r="M171" i="35"/>
  <c r="M12" i="35"/>
  <c r="M162" i="35"/>
  <c r="M69" i="35"/>
  <c r="M86" i="35"/>
  <c r="M87" i="35"/>
  <c r="M82" i="35"/>
  <c r="M54" i="35"/>
  <c r="M79" i="35"/>
  <c r="M81" i="35"/>
  <c r="G154" i="35" a="1"/>
  <c r="G154" i="35" s="1"/>
  <c r="M154" i="35" s="1"/>
  <c r="AG38" i="3"/>
  <c r="M206" i="35"/>
  <c r="G42" i="35" a="1"/>
  <c r="G42" i="35" s="1"/>
  <c r="AG3" i="3"/>
  <c r="M168" i="35"/>
  <c r="AG19" i="3"/>
  <c r="G52" i="35" a="1"/>
  <c r="G52" i="35" s="1"/>
  <c r="M52" i="35" s="1"/>
  <c r="AP3" i="3"/>
  <c r="M117" i="35"/>
  <c r="AG11" i="3"/>
  <c r="AY21" i="3"/>
  <c r="AY17" i="3"/>
  <c r="M211" i="35"/>
  <c r="M212" i="35"/>
  <c r="M140" i="35"/>
  <c r="AY9" i="3"/>
  <c r="M7" i="35"/>
  <c r="AG27" i="3"/>
  <c r="M125" i="35"/>
  <c r="M197" i="35"/>
  <c r="G12" i="36" a="1"/>
  <c r="G12" i="36" s="1"/>
  <c r="AY3" i="3"/>
  <c r="AG21" i="3"/>
  <c r="AG14" i="3"/>
  <c r="AG9" i="3"/>
  <c r="M198" i="35"/>
  <c r="M147" i="35"/>
  <c r="M61" i="35"/>
  <c r="H6" i="43" a="1"/>
  <c r="H6" i="43" s="1"/>
  <c r="H7" i="43" a="1"/>
  <c r="H7" i="43" s="1"/>
  <c r="H83" i="43" a="1"/>
  <c r="H83" i="43" s="1"/>
  <c r="H8" i="43" a="1"/>
  <c r="H8" i="43" s="1"/>
  <c r="H22" i="43" a="1"/>
  <c r="H22" i="43" s="1"/>
  <c r="H24" i="43" a="1"/>
  <c r="H24" i="43" s="1"/>
  <c r="H76" i="43" a="1"/>
  <c r="H76" i="43" s="1"/>
  <c r="H23" i="43" a="1"/>
  <c r="H23" i="43" s="1"/>
  <c r="H42" i="43" a="1"/>
  <c r="H42" i="43" s="1"/>
  <c r="H88" i="43" a="1"/>
  <c r="H88" i="43" s="1"/>
  <c r="H87" i="43" a="1"/>
  <c r="H87" i="43" s="1"/>
  <c r="H11" i="43" a="1"/>
  <c r="H11" i="43" s="1"/>
  <c r="H12" i="43" a="1"/>
  <c r="H12" i="43" s="1"/>
  <c r="H10" i="43" a="1"/>
  <c r="H10" i="43" s="1"/>
  <c r="H50" i="43" a="1"/>
  <c r="H50" i="43" s="1"/>
  <c r="H9" i="43" a="1"/>
  <c r="H9" i="43" s="1"/>
  <c r="H30" i="43" a="1"/>
  <c r="H30" i="43" s="1"/>
  <c r="H29" i="43" a="1"/>
  <c r="H29" i="43" s="1"/>
  <c r="H103" i="43" a="1"/>
  <c r="H103" i="43" s="1"/>
  <c r="H102" i="43" a="1"/>
  <c r="H102" i="43" s="1"/>
  <c r="H101" i="43" a="1"/>
  <c r="H101" i="43" s="1"/>
  <c r="H61" i="43" a="1"/>
  <c r="H61" i="43" s="1"/>
  <c r="H79" i="43" a="1"/>
  <c r="H79" i="43" s="1"/>
  <c r="H96" i="43" a="1"/>
  <c r="H96" i="43" s="1"/>
  <c r="H94" i="43" a="1"/>
  <c r="H94" i="43" s="1"/>
  <c r="H95" i="43" a="1"/>
  <c r="H95" i="43" s="1"/>
  <c r="H35" i="43" a="1"/>
  <c r="H35" i="43" s="1"/>
  <c r="H37" i="43" a="1"/>
  <c r="H37" i="43" s="1"/>
  <c r="H36" i="43" a="1"/>
  <c r="H36" i="43" s="1"/>
  <c r="H86" i="43" a="1"/>
  <c r="H86" i="43" s="1"/>
  <c r="H28" i="43" a="1"/>
  <c r="H28" i="43" s="1"/>
  <c r="H44" i="43" a="1"/>
  <c r="H44" i="43" s="1"/>
  <c r="H43" i="43" a="1"/>
  <c r="H43" i="43" s="1"/>
  <c r="H45" i="43" a="1"/>
  <c r="H45" i="43" s="1"/>
  <c r="H75" i="43" a="1"/>
  <c r="H75" i="43" s="1"/>
  <c r="H74" i="43" a="1"/>
  <c r="H74" i="43" s="1"/>
  <c r="H73" i="43" a="1"/>
  <c r="H73" i="43" s="1"/>
  <c r="H21" i="43" a="1"/>
  <c r="H21" i="43" s="1"/>
  <c r="H63" i="43" a="1"/>
  <c r="H63" i="43" s="1"/>
  <c r="H17" i="43" a="1"/>
  <c r="H17" i="43" s="1"/>
  <c r="H62" i="43" a="1"/>
  <c r="H62" i="43" s="1"/>
  <c r="H93" i="43" a="1"/>
  <c r="H93" i="43" s="1"/>
  <c r="H82" i="43" a="1"/>
  <c r="H82" i="43" s="1"/>
  <c r="H80" i="43" a="1"/>
  <c r="H80" i="43" s="1"/>
  <c r="H81" i="43" a="1"/>
  <c r="H81" i="43" s="1"/>
  <c r="H25" i="43" a="1"/>
  <c r="H25" i="43" s="1"/>
  <c r="H33" i="43" a="1"/>
  <c r="H33" i="43" s="1"/>
  <c r="H32" i="43" a="1"/>
  <c r="H32" i="43" s="1"/>
  <c r="H98" i="43" a="1"/>
  <c r="H98" i="43" s="1"/>
  <c r="H99" i="43" a="1"/>
  <c r="H99" i="43" s="1"/>
  <c r="H100" i="43" a="1"/>
  <c r="H100" i="43" s="1"/>
  <c r="H68" i="43" a="1"/>
  <c r="H68" i="43" s="1"/>
  <c r="H52" i="43" a="1"/>
  <c r="H52" i="43" s="1"/>
  <c r="H53" i="43" a="1"/>
  <c r="H53" i="43" s="1"/>
  <c r="H51" i="43" a="1"/>
  <c r="H51" i="43" s="1"/>
  <c r="H15" i="43" a="1"/>
  <c r="H15" i="43" s="1"/>
  <c r="H16" i="43" a="1"/>
  <c r="H16" i="43" s="1"/>
  <c r="H14" i="43" a="1"/>
  <c r="H14" i="43" s="1"/>
  <c r="H72" i="43" a="1"/>
  <c r="H72" i="43" s="1"/>
  <c r="H41" i="43" a="1"/>
  <c r="H41" i="43" s="1"/>
  <c r="H54" i="43" a="1"/>
  <c r="H54" i="43" s="1"/>
  <c r="H39" i="43" a="1"/>
  <c r="H39" i="43" s="1"/>
  <c r="H40" i="43" a="1"/>
  <c r="H40" i="43" s="1"/>
  <c r="H20" i="43" a="1"/>
  <c r="H20" i="43" s="1"/>
  <c r="H18" i="43" a="1"/>
  <c r="H18" i="43" s="1"/>
  <c r="H31" i="43" a="1"/>
  <c r="H31" i="43" s="1"/>
  <c r="H19" i="43" a="1"/>
  <c r="H19" i="43" s="1"/>
  <c r="H92" i="43" a="1"/>
  <c r="H92" i="43" s="1"/>
  <c r="H91" i="43" a="1"/>
  <c r="H91" i="43" s="1"/>
  <c r="H90" i="43" a="1"/>
  <c r="H90" i="43" s="1"/>
  <c r="H5" i="43" a="1"/>
  <c r="H5" i="43" s="1"/>
  <c r="H89" i="43" a="1"/>
  <c r="H89" i="43" s="1"/>
  <c r="H66" i="43" a="1"/>
  <c r="H66" i="43" s="1"/>
  <c r="H65" i="43" a="1"/>
  <c r="H65" i="43" s="1"/>
  <c r="H67" i="43" a="1"/>
  <c r="H67" i="43" s="1"/>
  <c r="H105" i="43" a="1"/>
  <c r="H105" i="43" s="1"/>
  <c r="H104" i="43" a="1"/>
  <c r="H104" i="43" s="1"/>
  <c r="H107" i="43" a="1"/>
  <c r="H107" i="43" s="1"/>
  <c r="H106" i="43" a="1"/>
  <c r="H106" i="43" s="1"/>
  <c r="H78" i="43" a="1"/>
  <c r="H78" i="43" s="1"/>
  <c r="H77" i="43" a="1"/>
  <c r="H77" i="43" s="1"/>
  <c r="H64" i="43" a="1"/>
  <c r="H64" i="43" s="1"/>
  <c r="H113" i="43" a="1"/>
  <c r="H113" i="43" s="1"/>
  <c r="H114" i="43" a="1"/>
  <c r="H114" i="43" s="1"/>
  <c r="H38" i="43" a="1"/>
  <c r="H38" i="43" s="1"/>
  <c r="H115" i="43" a="1"/>
  <c r="H115" i="43" s="1"/>
  <c r="H49" i="43" a="1"/>
  <c r="H49" i="43" s="1"/>
  <c r="H48" i="43" a="1"/>
  <c r="H48" i="43" s="1"/>
  <c r="H46" i="43" a="1"/>
  <c r="H46" i="43" s="1"/>
  <c r="H47" i="43" a="1"/>
  <c r="H47" i="43" s="1"/>
  <c r="G73" i="43" a="1"/>
  <c r="G73" i="43" s="1"/>
  <c r="G75" i="43" a="1"/>
  <c r="G75" i="43" s="1"/>
  <c r="G41" i="43" a="1"/>
  <c r="G41" i="43" s="1"/>
  <c r="G113" i="43" a="1"/>
  <c r="G113" i="43" s="1"/>
  <c r="G115" i="43" a="1"/>
  <c r="G115" i="43" s="1"/>
  <c r="G33" i="43" a="1"/>
  <c r="G33" i="43" s="1"/>
  <c r="G109" i="43" a="1"/>
  <c r="G109" i="43" s="1"/>
  <c r="G111" i="43" a="1"/>
  <c r="G111" i="43" s="1"/>
  <c r="G110" i="43" a="1"/>
  <c r="G110" i="43" s="1"/>
  <c r="G45" i="43" a="1"/>
  <c r="G45" i="43" s="1"/>
  <c r="G74" i="43" a="1"/>
  <c r="G74" i="43" s="1"/>
  <c r="G7" i="43" a="1"/>
  <c r="G7" i="43" s="1"/>
  <c r="G67" i="43" a="1"/>
  <c r="G67" i="43" s="1"/>
  <c r="G62" i="43" a="1"/>
  <c r="G62" i="43" s="1"/>
  <c r="G30" i="43" a="1"/>
  <c r="G30" i="43" s="1"/>
  <c r="G32" i="43" a="1"/>
  <c r="G32" i="43" s="1"/>
  <c r="G53" i="43" a="1"/>
  <c r="G53" i="43" s="1"/>
  <c r="G9" i="43" a="1"/>
  <c r="G9" i="43" s="1"/>
  <c r="G114" i="43" a="1"/>
  <c r="G114" i="43" s="1"/>
  <c r="G38" i="43" a="1"/>
  <c r="G38" i="43" s="1"/>
  <c r="G65" i="43" a="1"/>
  <c r="G65" i="43" s="1"/>
  <c r="G13" i="43" a="1"/>
  <c r="G13" i="43" s="1"/>
  <c r="G51" i="43" a="1"/>
  <c r="G51" i="43" s="1"/>
  <c r="G96" i="43" a="1"/>
  <c r="G96" i="43" s="1"/>
  <c r="G82" i="43" a="1"/>
  <c r="G82" i="43" s="1"/>
  <c r="G43" i="43" a="1"/>
  <c r="G43" i="43" s="1"/>
  <c r="G52" i="43" a="1"/>
  <c r="G52" i="43" s="1"/>
  <c r="G14" i="43" a="1"/>
  <c r="G14" i="43" s="1"/>
  <c r="G68" i="43" a="1"/>
  <c r="G68" i="43" s="1"/>
  <c r="G25" i="43" a="1"/>
  <c r="G25" i="43" s="1"/>
  <c r="G99" i="43" a="1"/>
  <c r="G99" i="43" s="1"/>
  <c r="G29" i="43" a="1"/>
  <c r="G29" i="43" s="1"/>
  <c r="G16" i="43" a="1"/>
  <c r="G16" i="43" s="1"/>
  <c r="G95" i="43" a="1"/>
  <c r="G95" i="43" s="1"/>
  <c r="G17" i="43" a="1"/>
  <c r="G17" i="43" s="1"/>
  <c r="G100" i="43" a="1"/>
  <c r="G100" i="43" s="1"/>
  <c r="G79" i="43" a="1"/>
  <c r="G79" i="43" s="1"/>
  <c r="G87" i="43" a="1"/>
  <c r="G87" i="43" s="1"/>
  <c r="G39" i="43" a="1"/>
  <c r="G39" i="43" s="1"/>
  <c r="G103" i="43" a="1"/>
  <c r="G103" i="43" s="1"/>
  <c r="G27" i="43" a="1"/>
  <c r="G27" i="43" s="1"/>
  <c r="G108" i="43" a="1"/>
  <c r="G108" i="43" s="1"/>
  <c r="G80" i="43" a="1"/>
  <c r="G80" i="43" s="1"/>
  <c r="G83" i="43" a="1"/>
  <c r="G83" i="43" s="1"/>
  <c r="G117" i="43" a="1"/>
  <c r="G117" i="43" s="1"/>
  <c r="G101" i="43" a="1"/>
  <c r="G101" i="43" s="1"/>
  <c r="G34" i="43" a="1"/>
  <c r="G34" i="43" s="1"/>
  <c r="G21" i="43" a="1"/>
  <c r="G21" i="43" s="1"/>
  <c r="G88" i="43" a="1"/>
  <c r="G88" i="43" s="1"/>
  <c r="G81" i="43" a="1"/>
  <c r="G81" i="43" s="1"/>
  <c r="G93" i="43" a="1"/>
  <c r="G93" i="43" s="1"/>
  <c r="G63" i="43" a="1"/>
  <c r="G63" i="43" s="1"/>
  <c r="G94" i="43" a="1"/>
  <c r="G94" i="43" s="1"/>
  <c r="G105" i="43" a="1"/>
  <c r="G105" i="43" s="1"/>
  <c r="G15" i="43" a="1"/>
  <c r="G15" i="43" s="1"/>
  <c r="G104" i="43" a="1"/>
  <c r="G104" i="43" s="1"/>
  <c r="G42" i="43" a="1"/>
  <c r="G42" i="43" s="1"/>
  <c r="G98" i="43" a="1"/>
  <c r="G98" i="43" s="1"/>
  <c r="G8" i="43" a="1"/>
  <c r="G8" i="43" s="1"/>
  <c r="G26" i="43" a="1"/>
  <c r="G26" i="43" s="1"/>
  <c r="G40" i="43" a="1"/>
  <c r="G40" i="43" s="1"/>
  <c r="G54" i="43" a="1"/>
  <c r="G54" i="43" s="1"/>
  <c r="G106" i="43" a="1"/>
  <c r="G106" i="43" s="1"/>
  <c r="G66" i="43" a="1"/>
  <c r="G66" i="43" s="1"/>
  <c r="G6" i="43" a="1"/>
  <c r="G6" i="43" s="1"/>
  <c r="G28" i="43" a="1"/>
  <c r="G28" i="43" s="1"/>
  <c r="G61" i="43" a="1"/>
  <c r="G61" i="43" s="1"/>
  <c r="G102" i="43" a="1"/>
  <c r="G102" i="43" s="1"/>
  <c r="G89" i="43" a="1"/>
  <c r="G89" i="43" s="1"/>
  <c r="G44" i="43" a="1"/>
  <c r="G44" i="43" s="1"/>
  <c r="G107" i="43" a="1"/>
  <c r="G107" i="43" s="1"/>
  <c r="G72" i="43" a="1"/>
  <c r="G72" i="43" s="1"/>
  <c r="H110" i="43" a="1"/>
  <c r="H110" i="43" s="1"/>
  <c r="H109" i="43" a="1"/>
  <c r="H109" i="43" s="1"/>
  <c r="H111" i="43" a="1"/>
  <c r="H111" i="43" s="1"/>
  <c r="H108" i="43" a="1"/>
  <c r="H108" i="43" s="1"/>
  <c r="H2" i="43" a="1"/>
  <c r="H2" i="43" s="1"/>
  <c r="H59" i="43" a="1"/>
  <c r="H59" i="43" s="1"/>
  <c r="H60" i="43" a="1"/>
  <c r="H60" i="43" s="1"/>
  <c r="H58" i="43" a="1"/>
  <c r="H58" i="43" s="1"/>
  <c r="H117" i="43" a="1"/>
  <c r="H117" i="43" s="1"/>
  <c r="H13" i="43" a="1"/>
  <c r="H13" i="43" s="1"/>
  <c r="H26" i="43" a="1"/>
  <c r="H26" i="43" s="1"/>
  <c r="H27" i="43" a="1"/>
  <c r="H27" i="43" s="1"/>
  <c r="H34" i="43" a="1"/>
  <c r="H34" i="43" s="1"/>
  <c r="H70" i="43" a="1"/>
  <c r="H70" i="43" s="1"/>
  <c r="H57" i="43" a="1"/>
  <c r="H57" i="43" s="1"/>
  <c r="H71" i="43" a="1"/>
  <c r="H71" i="43" s="1"/>
  <c r="H69" i="43" a="1"/>
  <c r="H69" i="43" s="1"/>
  <c r="H55" i="43" a="1"/>
  <c r="H55" i="43" s="1"/>
  <c r="H116" i="43" a="1"/>
  <c r="H116" i="43" s="1"/>
  <c r="H56" i="43" a="1"/>
  <c r="H56" i="43" s="1"/>
  <c r="M105" i="36"/>
  <c r="M61" i="36"/>
  <c r="M8" i="35"/>
  <c r="M213" i="35"/>
  <c r="M70" i="35"/>
  <c r="M139" i="35"/>
  <c r="M170" i="35"/>
  <c r="M95" i="35"/>
  <c r="M209" i="35"/>
  <c r="M60" i="35"/>
  <c r="M169" i="35"/>
  <c r="M203" i="35"/>
  <c r="M59" i="35"/>
  <c r="M6" i="35"/>
  <c r="M190" i="35"/>
  <c r="M166" i="35"/>
  <c r="M101" i="35"/>
  <c r="M51" i="35"/>
  <c r="M49" i="35"/>
  <c r="M160" i="35"/>
  <c r="M85" i="35"/>
  <c r="M111" i="35"/>
  <c r="M19" i="35"/>
  <c r="M144" i="35"/>
  <c r="M163" i="35"/>
  <c r="M151" i="35"/>
  <c r="M80" i="35"/>
  <c r="M174" i="35"/>
  <c r="M134" i="35"/>
  <c r="M193" i="35"/>
  <c r="M181" i="35"/>
  <c r="M133" i="35"/>
  <c r="M214" i="35"/>
  <c r="H109" i="42" a="1"/>
  <c r="H109" i="42" s="1"/>
  <c r="H136" i="42" a="1"/>
  <c r="H136" i="42" s="1"/>
  <c r="H123" i="42" a="1"/>
  <c r="H123" i="42" s="1"/>
  <c r="H77" i="42" a="1"/>
  <c r="H77" i="42" s="1"/>
  <c r="H124" i="42" a="1"/>
  <c r="H124" i="42" s="1"/>
  <c r="H137" i="42" a="1"/>
  <c r="H137" i="42" s="1"/>
  <c r="H110" i="42" a="1"/>
  <c r="H110" i="42" s="1"/>
  <c r="H81" i="42" a="1"/>
  <c r="H81" i="42" s="1"/>
  <c r="H145" i="42" a="1"/>
  <c r="H145" i="42" s="1"/>
  <c r="H205" i="42" a="1"/>
  <c r="H205" i="42" s="1"/>
  <c r="H210" i="42" a="1"/>
  <c r="H210" i="42" s="1"/>
  <c r="H212" i="42" a="1"/>
  <c r="H212" i="42" s="1"/>
  <c r="H208" i="42" a="1"/>
  <c r="H208" i="42" s="1"/>
  <c r="H161" i="42" a="1"/>
  <c r="H161" i="42" s="1"/>
  <c r="H188" i="42" a="1"/>
  <c r="H188" i="42" s="1"/>
  <c r="H185" i="42" a="1"/>
  <c r="H185" i="42" s="1"/>
  <c r="H179" i="42" a="1"/>
  <c r="H179" i="42" s="1"/>
  <c r="H192" i="42" a="1"/>
  <c r="H192" i="42" s="1"/>
  <c r="H30" i="42" a="1"/>
  <c r="H30" i="42" s="1"/>
  <c r="H38" i="42" a="1"/>
  <c r="H38" i="42" s="1"/>
  <c r="H35" i="42" a="1"/>
  <c r="H35" i="42" s="1"/>
  <c r="H31" i="42" a="1"/>
  <c r="H31" i="42" s="1"/>
  <c r="H172" i="42" a="1"/>
  <c r="H172" i="42" s="1"/>
  <c r="AC43" i="38"/>
  <c r="AC55" i="38"/>
  <c r="AC67" i="38"/>
  <c r="AC44" i="38"/>
  <c r="AC56" i="38"/>
  <c r="AC68" i="38"/>
  <c r="AC45" i="38"/>
  <c r="AC57" i="38"/>
  <c r="AC69" i="38"/>
  <c r="AC46" i="38"/>
  <c r="AC58" i="38"/>
  <c r="AC47" i="38"/>
  <c r="AC59" i="38"/>
  <c r="AC48" i="38"/>
  <c r="AC60" i="38"/>
  <c r="AC49" i="38"/>
  <c r="AC61" i="38"/>
  <c r="AC50" i="38"/>
  <c r="AC62" i="38"/>
  <c r="AC39" i="38"/>
  <c r="AC51" i="38"/>
  <c r="AC63" i="38"/>
  <c r="AC40" i="38"/>
  <c r="AC52" i="38"/>
  <c r="AC64" i="38"/>
  <c r="AC41" i="38"/>
  <c r="AC53" i="38"/>
  <c r="AC65" i="38"/>
  <c r="AC42" i="38"/>
  <c r="AC54" i="38"/>
  <c r="AC66" i="38"/>
  <c r="G212" i="42" a="1"/>
  <c r="G212" i="42" s="1"/>
  <c r="G81" i="42" a="1"/>
  <c r="G81" i="42" s="1"/>
  <c r="G36" i="42" a="1"/>
  <c r="G36" i="42" s="1"/>
  <c r="G113" i="42" a="1"/>
  <c r="G113" i="42" s="1"/>
  <c r="G182" i="42" a="1"/>
  <c r="G182" i="42" s="1"/>
  <c r="G73" i="42" a="1"/>
  <c r="G73" i="42" s="1"/>
  <c r="G31" i="42" a="1"/>
  <c r="G31" i="42" s="1"/>
  <c r="G197" i="42" a="1"/>
  <c r="G197" i="42" s="1"/>
  <c r="G173" i="42" a="1"/>
  <c r="G173" i="42" s="1"/>
  <c r="G122" i="42" a="1"/>
  <c r="G122" i="42" s="1"/>
  <c r="G177" i="42" a="1"/>
  <c r="G177" i="42" s="1"/>
  <c r="G198" i="42" a="1"/>
  <c r="G198" i="42" s="1"/>
  <c r="G189" i="42" a="1"/>
  <c r="G189" i="42" s="1"/>
  <c r="G124" i="42" a="1"/>
  <c r="G124" i="42" s="1"/>
  <c r="G196" i="42" a="1"/>
  <c r="G196" i="42" s="1"/>
  <c r="G108" i="42" a="1"/>
  <c r="G108" i="42" s="1"/>
  <c r="G214" i="42" a="1"/>
  <c r="G214" i="42" s="1"/>
  <c r="G123" i="42" a="1"/>
  <c r="G123" i="42" s="1"/>
  <c r="G200" i="42" a="1"/>
  <c r="G200" i="42" s="1"/>
  <c r="G164" i="42" a="1"/>
  <c r="G164" i="42" s="1"/>
  <c r="G110" i="42" a="1"/>
  <c r="G110" i="42" s="1"/>
  <c r="G77" i="42" a="1"/>
  <c r="G77" i="42" s="1"/>
  <c r="G120" i="42" a="1"/>
  <c r="G120" i="42" s="1"/>
  <c r="G51" i="42" a="1"/>
  <c r="G51" i="42" s="1"/>
  <c r="G32" i="42" a="1"/>
  <c r="G32" i="42" s="1"/>
  <c r="G195" i="42" a="1"/>
  <c r="G195" i="42" s="1"/>
  <c r="G50" i="42" a="1"/>
  <c r="G50" i="42" s="1"/>
  <c r="G206" i="42" a="1"/>
  <c r="G206" i="42" s="1"/>
  <c r="G111" i="42" a="1"/>
  <c r="G111" i="42" s="1"/>
  <c r="G176" i="42" a="1"/>
  <c r="G176" i="42" s="1"/>
  <c r="G199" i="42" a="1"/>
  <c r="G199" i="42" s="1"/>
  <c r="G171" i="42" a="1"/>
  <c r="G171" i="42" s="1"/>
  <c r="G142" i="42" a="1"/>
  <c r="G142" i="42" s="1"/>
  <c r="G141" i="42" a="1"/>
  <c r="G141" i="42" s="1"/>
  <c r="G129" i="42" a="1"/>
  <c r="G129" i="42" s="1"/>
  <c r="G181" i="42" a="1"/>
  <c r="G181" i="42" s="1"/>
  <c r="G194" i="42" a="1"/>
  <c r="G194" i="42" s="1"/>
  <c r="G159" i="42" a="1"/>
  <c r="G159" i="42" s="1"/>
  <c r="G125" i="42" a="1"/>
  <c r="G125" i="42" s="1"/>
  <c r="G48" i="42" a="1"/>
  <c r="G48" i="42" s="1"/>
  <c r="G116" i="42" a="1"/>
  <c r="G116" i="42" s="1"/>
  <c r="G136" i="42" a="1"/>
  <c r="G136" i="42" s="1"/>
  <c r="G146" i="42" a="1"/>
  <c r="G146" i="42" s="1"/>
  <c r="G208" i="42" a="1"/>
  <c r="G208" i="42" s="1"/>
  <c r="G138" i="42" a="1"/>
  <c r="G138" i="42" s="1"/>
  <c r="G26" i="42" a="1"/>
  <c r="G26" i="42" s="1"/>
  <c r="G137" i="42" a="1"/>
  <c r="G137" i="42" s="1"/>
  <c r="G115" i="42" a="1"/>
  <c r="G115" i="42" s="1"/>
  <c r="G109" i="42" a="1"/>
  <c r="G109" i="42" s="1"/>
  <c r="G205" i="42" a="1"/>
  <c r="G205" i="42" s="1"/>
  <c r="G172" i="42" a="1"/>
  <c r="G172" i="42" s="1"/>
  <c r="G134" i="42" a="1"/>
  <c r="G134" i="42" s="1"/>
  <c r="G130" i="42" a="1"/>
  <c r="G130" i="42" s="1"/>
  <c r="G187" i="42" a="1"/>
  <c r="G187" i="42" s="1"/>
  <c r="G76" i="42" a="1"/>
  <c r="G76" i="42" s="1"/>
  <c r="G190" i="42" a="1"/>
  <c r="G190" i="42" s="1"/>
  <c r="G174" i="42" a="1"/>
  <c r="G174" i="42" s="1"/>
  <c r="G209" i="42" a="1"/>
  <c r="G209" i="42" s="1"/>
  <c r="G145" i="42" a="1"/>
  <c r="G145" i="42" s="1"/>
  <c r="G183" i="42" a="1"/>
  <c r="G183" i="42" s="1"/>
  <c r="G49" i="42" a="1"/>
  <c r="G49" i="42" s="1"/>
  <c r="G75" i="42" a="1"/>
  <c r="G75" i="42" s="1"/>
  <c r="G211" i="42" a="1"/>
  <c r="G211" i="42" s="1"/>
  <c r="G210" i="42" a="1"/>
  <c r="G210" i="42" s="1"/>
  <c r="G39" i="42" a="1"/>
  <c r="G39" i="42" s="1"/>
  <c r="G127" i="42" a="1"/>
  <c r="G127" i="42" s="1"/>
  <c r="G180" i="42" a="1"/>
  <c r="G180" i="42" s="1"/>
  <c r="G80" i="42" a="1"/>
  <c r="G80" i="42" s="1"/>
  <c r="G186" i="42" a="1"/>
  <c r="G186" i="42" s="1"/>
  <c r="G213" i="42" a="1"/>
  <c r="G213" i="42" s="1"/>
  <c r="H135" i="42" a="1"/>
  <c r="H135" i="42" s="1"/>
  <c r="H121" i="42" a="1"/>
  <c r="H121" i="42" s="1"/>
  <c r="H193" i="42" a="1"/>
  <c r="H193" i="42" s="1"/>
  <c r="H198" i="42" a="1"/>
  <c r="H198" i="42" s="1"/>
  <c r="H199" i="42" a="1"/>
  <c r="H199" i="42" s="1"/>
  <c r="H190" i="42" a="1"/>
  <c r="H190" i="42" s="1"/>
  <c r="H200" i="42" a="1"/>
  <c r="H200" i="42" s="1"/>
  <c r="H180" i="42" a="1"/>
  <c r="H180" i="42" s="1"/>
  <c r="H144" i="42" a="1"/>
  <c r="H144" i="42" s="1"/>
  <c r="H83" i="42" a="1"/>
  <c r="H83" i="42" s="1"/>
  <c r="H132" i="42" a="1"/>
  <c r="H132" i="42" s="1"/>
  <c r="H118" i="42" a="1"/>
  <c r="H118" i="42" s="1"/>
  <c r="H147" i="42" a="1"/>
  <c r="H147" i="42" s="1"/>
  <c r="H17" i="42" a="1"/>
  <c r="H17" i="42" s="1"/>
  <c r="H126" i="42" a="1"/>
  <c r="H126" i="42" s="1"/>
  <c r="H150" i="42" a="1"/>
  <c r="H150" i="42" s="1"/>
  <c r="H139" i="42" a="1"/>
  <c r="H139" i="42" s="1"/>
  <c r="H112" i="42" a="1"/>
  <c r="H112" i="42" s="1"/>
  <c r="H111" i="42" a="1"/>
  <c r="H111" i="42" s="1"/>
  <c r="H125" i="42" a="1"/>
  <c r="H125" i="42" s="1"/>
  <c r="H138" i="42" a="1"/>
  <c r="H138" i="42" s="1"/>
  <c r="H164" i="42" a="1"/>
  <c r="H164" i="42" s="1"/>
  <c r="H146" i="42" a="1"/>
  <c r="H146" i="42" s="1"/>
  <c r="H27" i="42" a="1"/>
  <c r="H27" i="42" s="1"/>
  <c r="H72" i="42" a="1"/>
  <c r="H72" i="42" s="1"/>
  <c r="H33" i="42" a="1"/>
  <c r="H33" i="42" s="1"/>
  <c r="H128" i="42" a="1"/>
  <c r="H128" i="42" s="1"/>
  <c r="H151" i="42" a="1"/>
  <c r="H151" i="42" s="1"/>
  <c r="H140" i="42" a="1"/>
  <c r="H140" i="42" s="1"/>
  <c r="H148" i="42" a="1"/>
  <c r="H148" i="42" s="1"/>
  <c r="H114" i="42" a="1"/>
  <c r="H114" i="42" s="1"/>
  <c r="H175" i="42" a="1"/>
  <c r="H175" i="42" s="1"/>
  <c r="H186" i="42" a="1"/>
  <c r="H186" i="42" s="1"/>
  <c r="H181" i="42" a="1"/>
  <c r="H181" i="42" s="1"/>
  <c r="H173" i="42" a="1"/>
  <c r="H173" i="42" s="1"/>
  <c r="H29" i="42" a="1"/>
  <c r="H29" i="42" s="1"/>
  <c r="H74" i="42" a="1"/>
  <c r="H74" i="42" s="1"/>
  <c r="H80" i="42" a="1"/>
  <c r="H80" i="42" s="1"/>
  <c r="H130" i="42" a="1"/>
  <c r="H130" i="42" s="1"/>
  <c r="H142" i="42" a="1"/>
  <c r="H142" i="42" s="1"/>
  <c r="H116" i="42" a="1"/>
  <c r="H116" i="42" s="1"/>
  <c r="H133" i="42" a="1"/>
  <c r="H133" i="42" s="1"/>
  <c r="H203" i="42" a="1"/>
  <c r="H203" i="42" s="1"/>
  <c r="H119" i="42" a="1"/>
  <c r="H119" i="42" s="1"/>
  <c r="H49" i="42" a="1"/>
  <c r="H49" i="42" s="1"/>
  <c r="H174" i="42" a="1"/>
  <c r="H174" i="42" s="1"/>
  <c r="H51" i="42" a="1"/>
  <c r="H51" i="42" s="1"/>
  <c r="H159" i="42" a="1"/>
  <c r="H159" i="42" s="1"/>
  <c r="H48" i="42" a="1"/>
  <c r="H48" i="42" s="1"/>
  <c r="H50" i="42" a="1"/>
  <c r="H50" i="42" s="1"/>
  <c r="T39" i="38"/>
  <c r="T51" i="38"/>
  <c r="T63" i="38"/>
  <c r="T40" i="38"/>
  <c r="T52" i="38"/>
  <c r="T64" i="38"/>
  <c r="T41" i="38"/>
  <c r="T53" i="38"/>
  <c r="T65" i="38"/>
  <c r="T42" i="38"/>
  <c r="T54" i="38"/>
  <c r="T66" i="38"/>
  <c r="T43" i="38"/>
  <c r="T55" i="38"/>
  <c r="T67" i="38"/>
  <c r="T44" i="38"/>
  <c r="T56" i="38"/>
  <c r="T68" i="38"/>
  <c r="T45" i="38"/>
  <c r="T57" i="38"/>
  <c r="T69" i="38"/>
  <c r="T46" i="38"/>
  <c r="T58" i="38"/>
  <c r="T47" i="38"/>
  <c r="T59" i="38"/>
  <c r="T48" i="38"/>
  <c r="T60" i="38"/>
  <c r="T49" i="38"/>
  <c r="T61" i="38"/>
  <c r="T50" i="38"/>
  <c r="T62" i="38"/>
  <c r="G93" i="42" a="1"/>
  <c r="G93" i="42" s="1"/>
  <c r="G67" i="42" a="1"/>
  <c r="G67" i="42" s="1"/>
  <c r="G71" i="42" a="1"/>
  <c r="G71" i="42" s="1"/>
  <c r="G102" i="42" a="1"/>
  <c r="G102" i="42" s="1"/>
  <c r="G157" i="42" a="1"/>
  <c r="G157" i="42" s="1"/>
  <c r="G163" i="42" a="1"/>
  <c r="G163" i="42" s="1"/>
  <c r="G165" i="42" a="1"/>
  <c r="G165" i="42" s="1"/>
  <c r="G167" i="42" a="1"/>
  <c r="G167" i="42" s="1"/>
  <c r="G169" i="42" a="1"/>
  <c r="G169" i="42" s="1"/>
  <c r="G158" i="42" a="1"/>
  <c r="G158" i="42" s="1"/>
  <c r="G60" i="42" a="1"/>
  <c r="G60" i="42" s="1"/>
  <c r="G166" i="42" a="1"/>
  <c r="G166" i="42" s="1"/>
  <c r="G154" i="42" a="1"/>
  <c r="G154" i="42" s="1"/>
  <c r="G168" i="42" a="1"/>
  <c r="G168" i="42" s="1"/>
  <c r="G63" i="42" a="1"/>
  <c r="G63" i="42" s="1"/>
  <c r="G160" i="42" a="1"/>
  <c r="G160" i="42" s="1"/>
  <c r="G64" i="42" a="1"/>
  <c r="G64" i="42" s="1"/>
  <c r="G103" i="42" a="1"/>
  <c r="G103" i="42" s="1"/>
  <c r="G156" i="42" a="1"/>
  <c r="G156" i="42" s="1"/>
  <c r="G68" i="42" a="1"/>
  <c r="G68" i="42" s="1"/>
  <c r="H127" i="42" a="1"/>
  <c r="H127" i="42" s="1"/>
  <c r="H113" i="42" a="1"/>
  <c r="H113" i="42" s="1"/>
  <c r="H195" i="42" a="1"/>
  <c r="H195" i="42" s="1"/>
  <c r="H206" i="42" a="1"/>
  <c r="H206" i="42" s="1"/>
  <c r="H197" i="42" a="1"/>
  <c r="H197" i="42" s="1"/>
  <c r="H75" i="42" a="1"/>
  <c r="H75" i="42" s="1"/>
  <c r="H214" i="42" a="1"/>
  <c r="H214" i="42" s="1"/>
  <c r="H213" i="42" a="1"/>
  <c r="H213" i="42" s="1"/>
  <c r="H209" i="42" a="1"/>
  <c r="H209" i="42" s="1"/>
  <c r="H211" i="42" a="1"/>
  <c r="H211" i="42" s="1"/>
  <c r="H149" i="42" a="1"/>
  <c r="H149" i="42" s="1"/>
  <c r="H143" i="42" a="1"/>
  <c r="H143" i="42" s="1"/>
  <c r="H131" i="42" a="1"/>
  <c r="H131" i="42" s="1"/>
  <c r="H117" i="42" a="1"/>
  <c r="H117" i="42" s="1"/>
  <c r="H170" i="42" a="1"/>
  <c r="H170" i="42" s="1"/>
  <c r="H73" i="42" a="1"/>
  <c r="H73" i="42" s="1"/>
  <c r="H177" i="42" a="1"/>
  <c r="H177" i="42" s="1"/>
  <c r="H187" i="42" a="1"/>
  <c r="H187" i="42" s="1"/>
  <c r="H183" i="42" a="1"/>
  <c r="H183" i="42" s="1"/>
  <c r="H171" i="42" a="1"/>
  <c r="H171" i="42" s="1"/>
  <c r="H108" i="42" a="1"/>
  <c r="H108" i="42" s="1"/>
  <c r="H122" i="42" a="1"/>
  <c r="H122" i="42" s="1"/>
  <c r="H134" i="42" a="1"/>
  <c r="H134" i="42" s="1"/>
  <c r="H120" i="42" a="1"/>
  <c r="H120" i="42" s="1"/>
  <c r="H189" i="42" a="1"/>
  <c r="H189" i="42" s="1"/>
  <c r="H32" i="42" a="1"/>
  <c r="H32" i="42" s="1"/>
  <c r="H194" i="42" a="1"/>
  <c r="H194" i="42" s="1"/>
  <c r="H26" i="42" a="1"/>
  <c r="H26" i="42" s="1"/>
  <c r="H39" i="42" a="1"/>
  <c r="H39" i="42" s="1"/>
  <c r="H36" i="42" a="1"/>
  <c r="H36" i="42" s="1"/>
  <c r="H141" i="42" a="1"/>
  <c r="H141" i="42" s="1"/>
  <c r="H76" i="42" a="1"/>
  <c r="H76" i="42" s="1"/>
  <c r="H115" i="42" a="1"/>
  <c r="H115" i="42" s="1"/>
  <c r="H129" i="42" a="1"/>
  <c r="H129" i="42" s="1"/>
  <c r="H196" i="42" a="1"/>
  <c r="H196" i="42" s="1"/>
  <c r="H182" i="42" a="1"/>
  <c r="H182" i="42" s="1"/>
  <c r="H176" i="42" a="1"/>
  <c r="H176" i="42" s="1"/>
  <c r="AL9" i="38"/>
  <c r="AL21" i="38"/>
  <c r="AL33" i="38"/>
  <c r="AL10" i="38"/>
  <c r="AL22" i="38"/>
  <c r="AL34" i="38"/>
  <c r="AL11" i="38"/>
  <c r="AL23" i="38"/>
  <c r="AL12" i="38"/>
  <c r="AL24" i="38"/>
  <c r="AL13" i="38"/>
  <c r="AL25" i="38"/>
  <c r="AL14" i="38"/>
  <c r="AL26" i="38"/>
  <c r="AL15" i="38"/>
  <c r="AL27" i="38"/>
  <c r="AL4" i="38"/>
  <c r="AL16" i="38"/>
  <c r="AL28" i="38"/>
  <c r="AL5" i="38"/>
  <c r="AL17" i="38"/>
  <c r="AL29" i="38"/>
  <c r="AL6" i="38"/>
  <c r="AL18" i="38"/>
  <c r="AL30" i="38"/>
  <c r="AL7" i="38"/>
  <c r="AL19" i="38"/>
  <c r="AL31" i="38"/>
  <c r="AL8" i="38"/>
  <c r="AL20" i="38"/>
  <c r="AL32" i="38"/>
  <c r="H4" i="35" a="1"/>
  <c r="H4" i="35" s="1"/>
  <c r="G18" i="42" a="1"/>
  <c r="G18" i="42" s="1"/>
  <c r="G9" i="42" a="1"/>
  <c r="G9" i="42" s="1"/>
  <c r="G5" i="42" a="1"/>
  <c r="G5" i="42" s="1"/>
  <c r="G25" i="42" a="1"/>
  <c r="G25" i="42" s="1"/>
  <c r="G47" i="42" a="1"/>
  <c r="G47" i="42" s="1"/>
  <c r="G91" i="42" a="1"/>
  <c r="G91" i="42" s="1"/>
  <c r="G42" i="42" a="1"/>
  <c r="G42" i="42" s="1"/>
  <c r="G95" i="42" a="1"/>
  <c r="G95" i="42" s="1"/>
  <c r="G19" i="42" a="1"/>
  <c r="G19" i="42" s="1"/>
  <c r="G78" i="42" a="1"/>
  <c r="G78" i="42" s="1"/>
  <c r="G40" i="42" a="1"/>
  <c r="G40" i="42" s="1"/>
  <c r="G43" i="42" a="1"/>
  <c r="G43" i="42" s="1"/>
  <c r="G85" i="42" a="1"/>
  <c r="G85" i="42" s="1"/>
  <c r="G3" i="42" a="1"/>
  <c r="G3" i="42" s="1"/>
  <c r="G20" i="42" a="1"/>
  <c r="G20" i="42" s="1"/>
  <c r="G21" i="42" a="1"/>
  <c r="G21" i="42" s="1"/>
  <c r="G6" i="42" a="1"/>
  <c r="G6" i="42" s="1"/>
  <c r="G22" i="42" a="1"/>
  <c r="G22" i="42" s="1"/>
  <c r="G11" i="42" a="1"/>
  <c r="G11" i="42" s="1"/>
  <c r="G94" i="42" a="1"/>
  <c r="G94" i="42" s="1"/>
  <c r="G96" i="42" a="1"/>
  <c r="G96" i="42" s="1"/>
  <c r="G84" i="42" a="1"/>
  <c r="G84" i="42" s="1"/>
  <c r="G90" i="42" a="1"/>
  <c r="G90" i="42" s="1"/>
  <c r="G23" i="42" a="1"/>
  <c r="G23" i="42" s="1"/>
  <c r="P61" i="41"/>
  <c r="P108" i="41"/>
  <c r="P109" i="41"/>
  <c r="P107" i="41"/>
  <c r="AC13" i="38"/>
  <c r="AC25" i="38"/>
  <c r="AC14" i="38"/>
  <c r="AC26" i="38"/>
  <c r="AC15" i="38"/>
  <c r="AC27" i="38"/>
  <c r="AC4" i="38"/>
  <c r="AC16" i="38"/>
  <c r="AC28" i="38"/>
  <c r="AC5" i="38"/>
  <c r="AC17" i="38"/>
  <c r="AC29" i="38"/>
  <c r="AC6" i="38"/>
  <c r="AC18" i="38"/>
  <c r="AC30" i="38"/>
  <c r="AC7" i="38"/>
  <c r="AC19" i="38"/>
  <c r="AC31" i="38"/>
  <c r="AC8" i="38"/>
  <c r="AC20" i="38"/>
  <c r="AC32" i="38"/>
  <c r="AC9" i="38"/>
  <c r="AC21" i="38"/>
  <c r="AC33" i="38"/>
  <c r="G55" i="42" a="1"/>
  <c r="G55" i="42" s="1"/>
  <c r="AC10" i="38"/>
  <c r="AC22" i="38"/>
  <c r="AC34" i="38"/>
  <c r="AC11" i="38"/>
  <c r="AC23" i="38"/>
  <c r="AC12" i="38"/>
  <c r="AC24" i="38"/>
  <c r="G58" i="42" a="1"/>
  <c r="G58" i="42" s="1"/>
  <c r="G107" i="42" a="1"/>
  <c r="G107" i="42" s="1"/>
  <c r="G152" i="42" a="1"/>
  <c r="G152" i="42" s="1"/>
  <c r="G69" i="42" a="1"/>
  <c r="G69" i="42" s="1"/>
  <c r="G52" i="42" a="1"/>
  <c r="G52" i="42" s="1"/>
  <c r="G105" i="42" a="1"/>
  <c r="G105" i="42" s="1"/>
  <c r="G100" i="42" a="1"/>
  <c r="G100" i="42" s="1"/>
  <c r="G101" i="42" a="1"/>
  <c r="G101" i="42" s="1"/>
  <c r="G62" i="42" a="1"/>
  <c r="G62" i="42" s="1"/>
  <c r="G53" i="42" a="1"/>
  <c r="G53" i="42" s="1"/>
  <c r="G14" i="42" a="1"/>
  <c r="G14" i="42" s="1"/>
  <c r="G106" i="42" a="1"/>
  <c r="G106" i="42" s="1"/>
  <c r="G10" i="42" a="1"/>
  <c r="G10" i="42" s="1"/>
  <c r="G65" i="42" a="1"/>
  <c r="G65" i="42" s="1"/>
  <c r="G99" i="42" a="1"/>
  <c r="G99" i="42" s="1"/>
  <c r="G79" i="42" a="1"/>
  <c r="G79" i="42" s="1"/>
  <c r="G57" i="42" a="1"/>
  <c r="G57" i="42" s="1"/>
  <c r="G45" i="42" a="1"/>
  <c r="G45" i="42" s="1"/>
  <c r="G54" i="42" a="1"/>
  <c r="G54" i="42" s="1"/>
  <c r="G2" i="35" a="1"/>
  <c r="G2" i="35" s="1"/>
  <c r="G36" i="35" a="1"/>
  <c r="G36" i="35" s="1"/>
  <c r="M36" i="35" s="1"/>
  <c r="K3" i="38" a="1"/>
  <c r="K46" i="34" a="1"/>
  <c r="K46" i="34" s="1"/>
  <c r="L80" i="40"/>
  <c r="O31" i="40"/>
  <c r="Q159" i="39"/>
  <c r="L31" i="40"/>
  <c r="I3" i="38" a="1"/>
  <c r="M81" i="40"/>
  <c r="R159" i="39" a="1"/>
  <c r="R159" i="39" s="1"/>
  <c r="O80" i="40"/>
  <c r="O159" i="39"/>
  <c r="M31" i="40"/>
  <c r="K28" i="33" a="1"/>
  <c r="K28" i="33" s="1"/>
  <c r="K86" i="33" a="1"/>
  <c r="K86" i="33" s="1"/>
  <c r="G179" i="35" a="1"/>
  <c r="G179" i="35" s="1"/>
  <c r="M179" i="35" s="1"/>
  <c r="G35" i="35" a="1"/>
  <c r="G35" i="35" s="1"/>
  <c r="M35" i="35" s="1"/>
  <c r="H136" i="35" a="1"/>
  <c r="H136" i="35" s="1"/>
  <c r="M136" i="35" s="1"/>
  <c r="G83" i="35" a="1"/>
  <c r="G83" i="35" s="1"/>
  <c r="M83" i="35" s="1"/>
  <c r="G39" i="36" a="1"/>
  <c r="G39" i="36" s="1"/>
  <c r="G37" i="35" a="1"/>
  <c r="G37" i="35" s="1"/>
  <c r="M37" i="35" s="1"/>
  <c r="O106" i="34"/>
  <c r="O27" i="34"/>
  <c r="O99" i="34"/>
  <c r="O124" i="34"/>
  <c r="O125" i="34"/>
  <c r="H55" i="34" a="1"/>
  <c r="H55" i="34" s="1"/>
  <c r="H34" i="34" a="1"/>
  <c r="H34" i="34" s="1"/>
  <c r="H11" i="34" a="1"/>
  <c r="H11" i="34" s="1"/>
  <c r="H64" i="34" a="1"/>
  <c r="H64" i="34" s="1"/>
  <c r="I55" i="34" a="1"/>
  <c r="I55" i="34" s="1"/>
  <c r="I11" i="34" a="1"/>
  <c r="I11" i="34" s="1"/>
  <c r="I34" i="34" a="1"/>
  <c r="I34" i="34" s="1"/>
  <c r="I64" i="34" a="1"/>
  <c r="I64" i="34" s="1"/>
  <c r="G155" i="35" a="1"/>
  <c r="G155" i="35" s="1"/>
  <c r="M155" i="35" s="1"/>
  <c r="N28" i="33"/>
  <c r="N85" i="33"/>
  <c r="N86" i="33"/>
  <c r="K57" i="33" a="1"/>
  <c r="K57" i="33" s="1"/>
  <c r="K29" i="33" a="1"/>
  <c r="K29" i="33" s="1"/>
  <c r="H34" i="35" a="1"/>
  <c r="H34" i="35" s="1"/>
  <c r="M34" i="35" s="1"/>
  <c r="H113" i="36" a="1"/>
  <c r="H113" i="36" s="1"/>
  <c r="M113" i="36" s="1"/>
  <c r="H10" i="35" a="1"/>
  <c r="H10" i="35" s="1"/>
  <c r="M10" i="35" s="1"/>
  <c r="G43" i="35" a="1"/>
  <c r="G43" i="35" s="1"/>
  <c r="H41" i="35" a="1"/>
  <c r="H41" i="35" s="1"/>
  <c r="M41" i="35" s="1"/>
  <c r="K35" i="33" a="1"/>
  <c r="K35" i="33" s="1"/>
  <c r="H42" i="35" a="1"/>
  <c r="H42" i="35" s="1"/>
  <c r="G92" i="35" a="1"/>
  <c r="G92" i="35" s="1"/>
  <c r="M92" i="35" s="1"/>
  <c r="G90" i="35" a="1"/>
  <c r="G90" i="35" s="1"/>
  <c r="M90" i="35" s="1"/>
  <c r="G91" i="35" a="1"/>
  <c r="G91" i="35" s="1"/>
  <c r="M91" i="35" s="1"/>
  <c r="K34" i="33" a="1"/>
  <c r="K34" i="33" s="1"/>
  <c r="K23" i="34" a="1"/>
  <c r="K23" i="34" s="1"/>
  <c r="O64" i="34"/>
  <c r="O110" i="34"/>
  <c r="O109" i="34"/>
  <c r="H39" i="36" a="1"/>
  <c r="H39" i="36" s="1"/>
  <c r="P11" i="38"/>
  <c r="N12" i="33"/>
  <c r="N75" i="33"/>
  <c r="K26" i="33" a="1"/>
  <c r="K26" i="33" s="1"/>
  <c r="H25" i="36" a="1"/>
  <c r="H25" i="36" s="1"/>
  <c r="M25" i="36" s="1"/>
  <c r="H6" i="36" a="1"/>
  <c r="H6" i="36" s="1"/>
  <c r="M6" i="36" s="1"/>
  <c r="G94" i="35" a="1"/>
  <c r="G94" i="35" s="1"/>
  <c r="M94" i="35" s="1"/>
  <c r="H12" i="36" a="1"/>
  <c r="H12" i="36" s="1"/>
  <c r="K84" i="40" a="1"/>
  <c r="K84" i="40" s="1"/>
  <c r="K23" i="40" a="1"/>
  <c r="K23" i="40" s="1"/>
  <c r="AD38" i="38"/>
  <c r="L249" i="39" s="1" a="1"/>
  <c r="L249" i="39" s="1"/>
  <c r="K16" i="40" a="1"/>
  <c r="K16" i="40" s="1"/>
  <c r="K9" i="40" a="1"/>
  <c r="K9" i="40" s="1"/>
  <c r="K10" i="40" a="1"/>
  <c r="K10" i="40" s="1"/>
  <c r="AM3" i="38"/>
  <c r="U38" i="38"/>
  <c r="L197" i="39" s="1" a="1"/>
  <c r="L197" i="39" s="1"/>
  <c r="AD3" i="38"/>
  <c r="G24" i="42" a="1"/>
  <c r="G24" i="42" s="1"/>
  <c r="K11" i="33" a="1"/>
  <c r="K11" i="33" s="1"/>
  <c r="K82" i="33" a="1"/>
  <c r="K82" i="33" s="1"/>
  <c r="U3" i="3" a="1"/>
  <c r="U3" i="3" s="1"/>
  <c r="N46" i="38"/>
  <c r="V3" i="3" a="1"/>
  <c r="V3" i="3" s="1"/>
  <c r="O46" i="38"/>
  <c r="L38" i="38" a="1"/>
  <c r="P223" i="39"/>
  <c r="N17" i="40"/>
  <c r="N40" i="40"/>
  <c r="W3" i="3" a="1"/>
  <c r="W3" i="3" s="1"/>
  <c r="P46" i="38"/>
  <c r="H30" i="35" a="1"/>
  <c r="H30" i="35" s="1"/>
  <c r="M30" i="35" s="1"/>
  <c r="H29" i="35" a="1"/>
  <c r="H29" i="35" s="1"/>
  <c r="M29" i="35" s="1"/>
  <c r="G64" i="35" a="1"/>
  <c r="G64" i="35" s="1"/>
  <c r="M64" i="35" s="1"/>
  <c r="G103" i="35" a="1"/>
  <c r="G103" i="35" s="1"/>
  <c r="M103" i="35" s="1"/>
  <c r="G65" i="35" a="1"/>
  <c r="G65" i="35" s="1"/>
  <c r="M65" i="35" s="1"/>
  <c r="G93" i="35" a="1"/>
  <c r="G93" i="35" s="1"/>
  <c r="M93" i="35" s="1"/>
  <c r="G66" i="35" a="1"/>
  <c r="G66" i="35" s="1"/>
  <c r="M66" i="35" s="1"/>
  <c r="H83" i="36" a="1"/>
  <c r="H83" i="36" s="1"/>
  <c r="M83" i="36" s="1"/>
  <c r="H31" i="35" a="1"/>
  <c r="H31" i="35" s="1"/>
  <c r="M31" i="35" s="1"/>
  <c r="H32" i="35" a="1"/>
  <c r="H32" i="35" s="1"/>
  <c r="M32" i="35" s="1"/>
  <c r="H57" i="36" a="1"/>
  <c r="H57" i="36" s="1"/>
  <c r="M57" i="36" s="1"/>
  <c r="G44" i="35" a="1"/>
  <c r="G44" i="35" s="1"/>
  <c r="M44" i="35" s="1"/>
  <c r="K45" i="34" a="1"/>
  <c r="K45" i="34" s="1"/>
  <c r="G188" i="35" a="1"/>
  <c r="G188" i="35" s="1"/>
  <c r="M188" i="35" s="1"/>
  <c r="H131" i="35" a="1"/>
  <c r="H131" i="35" s="1"/>
  <c r="M131" i="35" s="1"/>
  <c r="H7" i="36" a="1"/>
  <c r="H7" i="36" s="1"/>
  <c r="M7" i="36" s="1"/>
  <c r="H201" i="35" a="1"/>
  <c r="H201" i="35" s="1"/>
  <c r="M201" i="35" s="1"/>
  <c r="H4" i="36" a="1"/>
  <c r="H4" i="36" s="1"/>
  <c r="H84" i="36" a="1"/>
  <c r="H84" i="36" s="1"/>
  <c r="M84" i="36" s="1"/>
  <c r="H112" i="36" a="1"/>
  <c r="H112" i="36" s="1"/>
  <c r="M112" i="36" s="1"/>
  <c r="K64" i="33" a="1"/>
  <c r="K64" i="33" s="1"/>
  <c r="H129" i="35" a="1"/>
  <c r="H129" i="35" s="1"/>
  <c r="M129" i="35" s="1"/>
  <c r="H56" i="36" a="1"/>
  <c r="H56" i="36" s="1"/>
  <c r="M56" i="36" s="1"/>
  <c r="H33" i="35" a="1"/>
  <c r="H33" i="35" s="1"/>
  <c r="M33" i="35" s="1"/>
  <c r="H31" i="36" a="1"/>
  <c r="H31" i="36" s="1"/>
  <c r="M31" i="36" s="1"/>
  <c r="G53" i="35" a="1"/>
  <c r="G53" i="35" s="1"/>
  <c r="M53" i="35" s="1"/>
  <c r="H43" i="35" a="1"/>
  <c r="H43" i="35" s="1"/>
  <c r="H5" i="35" a="1"/>
  <c r="H5" i="35" s="1"/>
  <c r="H14" i="35" a="1"/>
  <c r="H14" i="35" s="1"/>
  <c r="M14" i="35" s="1"/>
  <c r="K40" i="33" a="1"/>
  <c r="K40" i="33" s="1"/>
  <c r="K16" i="33" a="1"/>
  <c r="K16" i="33" s="1"/>
  <c r="K52" i="33" a="1"/>
  <c r="K52" i="33" s="1"/>
  <c r="O59" i="34"/>
  <c r="O60" i="34"/>
  <c r="O96" i="34"/>
  <c r="I19" i="34" a="1"/>
  <c r="I19" i="34" s="1"/>
  <c r="I22" i="34" a="1"/>
  <c r="I22" i="34" s="1"/>
  <c r="I84" i="34" a="1"/>
  <c r="I84" i="34" s="1"/>
  <c r="I121" i="34" a="1"/>
  <c r="I121" i="34" s="1"/>
  <c r="H27" i="34" a="1"/>
  <c r="H27" i="34" s="1"/>
  <c r="H121" i="34" a="1"/>
  <c r="H121" i="34" s="1"/>
  <c r="H19" i="34" a="1"/>
  <c r="H19" i="34" s="1"/>
  <c r="H22" i="34" a="1"/>
  <c r="H22" i="34" s="1"/>
  <c r="H84" i="34" a="1"/>
  <c r="H84" i="34" s="1"/>
  <c r="K18" i="34" a="1"/>
  <c r="K18" i="34" s="1"/>
  <c r="AD11" i="3"/>
  <c r="Q46" i="38" s="1"/>
  <c r="O25" i="34"/>
  <c r="H38" i="35" a="1"/>
  <c r="H38" i="35" s="1"/>
  <c r="M38" i="35" s="1"/>
  <c r="H24" i="35" a="1"/>
  <c r="H24" i="35" s="1"/>
  <c r="M24" i="35" s="1"/>
  <c r="H119" i="35" a="1"/>
  <c r="H119" i="35" s="1"/>
  <c r="M119" i="35" s="1"/>
  <c r="H39" i="35" a="1"/>
  <c r="H39" i="35" s="1"/>
  <c r="M39" i="35" s="1"/>
  <c r="H114" i="35" a="1"/>
  <c r="H114" i="35" s="1"/>
  <c r="M114" i="35" s="1"/>
  <c r="H157" i="35" a="1"/>
  <c r="H157" i="35" s="1"/>
  <c r="M157" i="35" s="1"/>
  <c r="H196" i="35" a="1"/>
  <c r="H196" i="35" s="1"/>
  <c r="M196" i="35" s="1"/>
  <c r="H26" i="36" a="1"/>
  <c r="H26" i="36" s="1"/>
  <c r="M26" i="36" s="1"/>
  <c r="H104" i="35" a="1"/>
  <c r="H104" i="35" s="1"/>
  <c r="H142" i="35" a="1"/>
  <c r="H142" i="35" s="1"/>
  <c r="M142" i="35" s="1"/>
  <c r="H22" i="35" a="1"/>
  <c r="H22" i="35" s="1"/>
  <c r="H135" i="35" a="1"/>
  <c r="H135" i="35" s="1"/>
  <c r="M135" i="35" s="1"/>
  <c r="H50" i="36" a="1"/>
  <c r="H50" i="36" s="1"/>
  <c r="H3" i="35" a="1"/>
  <c r="H3" i="35" s="1"/>
  <c r="M3" i="35" s="1"/>
  <c r="H16" i="35" a="1"/>
  <c r="H16" i="35" s="1"/>
  <c r="H13" i="36" a="1"/>
  <c r="H13" i="36" s="1"/>
  <c r="M13" i="36" s="1"/>
  <c r="H33" i="36" a="1"/>
  <c r="H33" i="36" s="1"/>
  <c r="M33" i="36" s="1"/>
  <c r="H120" i="35" a="1"/>
  <c r="H120" i="35" s="1"/>
  <c r="M120" i="35" s="1"/>
  <c r="H32" i="36" a="1"/>
  <c r="H32" i="36" s="1"/>
  <c r="M32" i="36" s="1"/>
  <c r="N40" i="33"/>
  <c r="N64" i="33"/>
  <c r="H27" i="36" a="1"/>
  <c r="H27" i="36" s="1"/>
  <c r="M27" i="36" s="1"/>
  <c r="H28" i="36" a="1"/>
  <c r="H28" i="36" s="1"/>
  <c r="M28" i="36" s="1"/>
  <c r="H109" i="35" a="1"/>
  <c r="H109" i="35" s="1"/>
  <c r="H15" i="35" a="1"/>
  <c r="H15" i="35" s="1"/>
  <c r="M15" i="35" s="1"/>
  <c r="G125" i="34" a="1"/>
  <c r="G125" i="34" s="1"/>
  <c r="G124" i="35" a="1"/>
  <c r="G124" i="35" s="1"/>
  <c r="M124" i="35" s="1"/>
  <c r="G9" i="36" a="1"/>
  <c r="G9" i="36" s="1"/>
  <c r="G17" i="35" a="1"/>
  <c r="G17" i="35" s="1"/>
  <c r="M17" i="35" s="1"/>
  <c r="G104" i="35" a="1"/>
  <c r="G104" i="35" s="1"/>
  <c r="G42" i="34" a="1"/>
  <c r="G42" i="34" s="1"/>
  <c r="H38" i="3"/>
  <c r="G18" i="34" s="1" a="1"/>
  <c r="G18" i="34" s="1"/>
  <c r="H37" i="34" a="1"/>
  <c r="H37" i="34" s="1"/>
  <c r="H28" i="34" a="1"/>
  <c r="H28" i="34" s="1"/>
  <c r="I38" i="3"/>
  <c r="H29" i="34" s="1" a="1"/>
  <c r="H29" i="34" s="1"/>
  <c r="G38" i="34" a="1"/>
  <c r="G38" i="34" s="1"/>
  <c r="H31" i="34" a="1"/>
  <c r="H31" i="34" s="1"/>
  <c r="G75" i="34" a="1"/>
  <c r="G75" i="34" s="1"/>
  <c r="G2" i="34" a="1"/>
  <c r="G2" i="34" s="1"/>
  <c r="G106" i="34" a="1"/>
  <c r="G106" i="34" s="1"/>
  <c r="H90" i="34" a="1"/>
  <c r="H90" i="34" s="1"/>
  <c r="H38" i="34" a="1"/>
  <c r="H38" i="34" s="1"/>
  <c r="H2" i="34" a="1"/>
  <c r="H2" i="34" s="1"/>
  <c r="H85" i="34" a="1"/>
  <c r="H85" i="34" s="1"/>
  <c r="H73" i="34" a="1"/>
  <c r="H73" i="34" s="1"/>
  <c r="H52" i="34" a="1"/>
  <c r="H52" i="34" s="1"/>
  <c r="H25" i="34" a="1"/>
  <c r="H25" i="34" s="1"/>
  <c r="H30" i="34" a="1"/>
  <c r="H30" i="34" s="1"/>
  <c r="H42" i="34" a="1"/>
  <c r="H42" i="34" s="1"/>
  <c r="H106" i="34" a="1"/>
  <c r="H106" i="34" s="1"/>
  <c r="H50" i="34" a="1"/>
  <c r="H50" i="34" s="1"/>
  <c r="H75" i="34" a="1"/>
  <c r="H75" i="34" s="1"/>
  <c r="H61" i="34" a="1"/>
  <c r="H61" i="34" s="1"/>
  <c r="H66" i="34" a="1"/>
  <c r="H66" i="34" s="1"/>
  <c r="H12" i="34" a="1"/>
  <c r="H12" i="34" s="1"/>
  <c r="H7" i="34" a="1"/>
  <c r="H7" i="34" s="1"/>
  <c r="H98" i="34" a="1"/>
  <c r="H98" i="34" s="1"/>
  <c r="H24" i="34" a="1"/>
  <c r="H24" i="34" s="1"/>
  <c r="H16" i="34" a="1"/>
  <c r="H16" i="34" s="1"/>
  <c r="G37" i="34" a="1"/>
  <c r="G37" i="34" s="1"/>
  <c r="G25" i="34" a="1"/>
  <c r="G25" i="34" s="1"/>
  <c r="G24" i="34" a="1"/>
  <c r="G24" i="34" s="1"/>
  <c r="G28" i="34" a="1"/>
  <c r="G28" i="34" s="1"/>
  <c r="G30" i="34" a="1"/>
  <c r="G30" i="34" s="1"/>
  <c r="G61" i="34" a="1"/>
  <c r="G61" i="34" s="1"/>
  <c r="G73" i="34" a="1"/>
  <c r="G73" i="34" s="1"/>
  <c r="G52" i="34" a="1"/>
  <c r="G52" i="34" s="1"/>
  <c r="G31" i="34" a="1"/>
  <c r="G31" i="34" s="1"/>
  <c r="G50" i="34" a="1"/>
  <c r="G50" i="34" s="1"/>
  <c r="G85" i="34" a="1"/>
  <c r="G85" i="34" s="1"/>
  <c r="G12" i="34" a="1"/>
  <c r="G12" i="34" s="1"/>
  <c r="G66" i="34" a="1"/>
  <c r="G66" i="34" s="1"/>
  <c r="G16" i="34" a="1"/>
  <c r="G16" i="34" s="1"/>
  <c r="G90" i="34" a="1"/>
  <c r="G90" i="34" s="1"/>
  <c r="G7" i="34" a="1"/>
  <c r="G7" i="34" s="1"/>
  <c r="J38" i="3"/>
  <c r="I29" i="34" s="1" a="1"/>
  <c r="I29" i="34" s="1"/>
  <c r="I24" i="34" a="1"/>
  <c r="I24" i="34" s="1"/>
  <c r="I27" i="34" a="1"/>
  <c r="I27" i="34" s="1"/>
  <c r="I37" i="34" a="1"/>
  <c r="I37" i="34" s="1"/>
  <c r="I28" i="34" a="1"/>
  <c r="I28" i="34" s="1"/>
  <c r="I7" i="34" a="1"/>
  <c r="I7" i="34" s="1"/>
  <c r="I12" i="34" a="1"/>
  <c r="I12" i="34" s="1"/>
  <c r="I50" i="34" a="1"/>
  <c r="I50" i="34" s="1"/>
  <c r="I75" i="34" a="1"/>
  <c r="I75" i="34" s="1"/>
  <c r="I90" i="34" a="1"/>
  <c r="I90" i="34" s="1"/>
  <c r="I66" i="34" a="1"/>
  <c r="I66" i="34" s="1"/>
  <c r="I45" i="34" a="1"/>
  <c r="I45" i="34" s="1"/>
  <c r="I73" i="34" a="1"/>
  <c r="I73" i="34" s="1"/>
  <c r="I98" i="34" a="1"/>
  <c r="I98" i="34" s="1"/>
  <c r="I52" i="34" a="1"/>
  <c r="I52" i="34" s="1"/>
  <c r="I2" i="34" a="1"/>
  <c r="I2" i="34" s="1"/>
  <c r="I42" i="34" a="1"/>
  <c r="I42" i="34" s="1"/>
  <c r="I31" i="34" a="1"/>
  <c r="I31" i="34" s="1"/>
  <c r="I61" i="34" a="1"/>
  <c r="I61" i="34" s="1"/>
  <c r="I85" i="34" a="1"/>
  <c r="I85" i="34" s="1"/>
  <c r="I25" i="34" a="1"/>
  <c r="I25" i="34" s="1"/>
  <c r="I30" i="34" a="1"/>
  <c r="I30" i="34" s="1"/>
  <c r="I38" i="34" a="1"/>
  <c r="I38" i="34" s="1"/>
  <c r="I16" i="34" a="1"/>
  <c r="I16" i="34" s="1"/>
  <c r="I106" i="34" a="1"/>
  <c r="I106" i="34" s="1"/>
  <c r="G178" i="35" a="1"/>
  <c r="G178" i="35" s="1"/>
  <c r="M178" i="35" s="1"/>
  <c r="G177" i="35" a="1"/>
  <c r="G177" i="35" s="1"/>
  <c r="M177" i="35" s="1"/>
  <c r="G128" i="35" a="1"/>
  <c r="G128" i="35" s="1"/>
  <c r="M128" i="35" s="1"/>
  <c r="G176" i="35" a="1"/>
  <c r="G176" i="35" s="1"/>
  <c r="M176" i="35" s="1"/>
  <c r="K57" i="3"/>
  <c r="O46" i="34"/>
  <c r="X38" i="3" a="1"/>
  <c r="T42" i="3" s="1"/>
  <c r="O115" i="34"/>
  <c r="O114" i="34"/>
  <c r="O113" i="34"/>
  <c r="U38" i="3"/>
  <c r="G57" i="34" a="1"/>
  <c r="G57" i="34" s="1"/>
  <c r="G122" i="34" a="1"/>
  <c r="G122" i="34" s="1"/>
  <c r="G107" i="34" a="1"/>
  <c r="G107" i="34" s="1"/>
  <c r="G101" i="34" a="1"/>
  <c r="G101" i="34" s="1"/>
  <c r="G78" i="34" a="1"/>
  <c r="G78" i="34" s="1"/>
  <c r="G35" i="34" a="1"/>
  <c r="G35" i="34" s="1"/>
  <c r="G26" i="34" a="1"/>
  <c r="G26" i="34" s="1"/>
  <c r="G93" i="34" a="1"/>
  <c r="G93" i="34" s="1"/>
  <c r="G47" i="34" a="1"/>
  <c r="G47" i="34" s="1"/>
  <c r="G36" i="34" a="1"/>
  <c r="G36" i="34" s="1"/>
  <c r="G88" i="34" a="1"/>
  <c r="G88" i="34" s="1"/>
  <c r="G109" i="34" a="1"/>
  <c r="G109" i="34" s="1"/>
  <c r="G117" i="34" a="1"/>
  <c r="G117" i="34" s="1"/>
  <c r="G48" i="34" a="1"/>
  <c r="G48" i="34" s="1"/>
  <c r="G105" i="34" a="1"/>
  <c r="G105" i="34" s="1"/>
  <c r="G40" i="34" a="1"/>
  <c r="G40" i="34" s="1"/>
  <c r="G110" i="34" a="1"/>
  <c r="G110" i="34" s="1"/>
  <c r="G65" i="34" a="1"/>
  <c r="G65" i="34" s="1"/>
  <c r="G92" i="34" a="1"/>
  <c r="G92" i="34" s="1"/>
  <c r="G27" i="34" a="1"/>
  <c r="G27" i="34" s="1"/>
  <c r="G80" i="34" a="1"/>
  <c r="G80" i="34" s="1"/>
  <c r="G41" i="34" a="1"/>
  <c r="G41" i="34" s="1"/>
  <c r="G64" i="34" a="1"/>
  <c r="G64" i="34" s="1"/>
  <c r="G83" i="34" a="1"/>
  <c r="G83" i="34" s="1"/>
  <c r="G123" i="34" a="1"/>
  <c r="G123" i="34" s="1"/>
  <c r="G11" i="34" a="1"/>
  <c r="G11" i="34" s="1"/>
  <c r="G100" i="34" a="1"/>
  <c r="G100" i="34" s="1"/>
  <c r="G19" i="34" a="1"/>
  <c r="G19" i="34" s="1"/>
  <c r="G3" i="34" a="1"/>
  <c r="G3" i="34" s="1"/>
  <c r="G72" i="34" a="1"/>
  <c r="G72" i="34" s="1"/>
  <c r="G89" i="34" a="1"/>
  <c r="G89" i="34" s="1"/>
  <c r="G9" i="34" a="1"/>
  <c r="G9" i="34" s="1"/>
  <c r="G99" i="34" a="1"/>
  <c r="G99" i="34" s="1"/>
  <c r="G20" i="34" a="1"/>
  <c r="G20" i="34" s="1"/>
  <c r="G81" i="34" a="1"/>
  <c r="G81" i="34" s="1"/>
  <c r="G4" i="34" a="1"/>
  <c r="G4" i="34" s="1"/>
  <c r="G77" i="34" a="1"/>
  <c r="G77" i="34" s="1"/>
  <c r="G87" i="34" a="1"/>
  <c r="G87" i="34" s="1"/>
  <c r="G22" i="34" a="1"/>
  <c r="G22" i="34" s="1"/>
  <c r="G21" i="34" a="1"/>
  <c r="G21" i="34" s="1"/>
  <c r="G95" i="34" a="1"/>
  <c r="G95" i="34" s="1"/>
  <c r="G5" i="34" a="1"/>
  <c r="G5" i="34" s="1"/>
  <c r="G76" i="34" a="1"/>
  <c r="G76" i="34" s="1"/>
  <c r="G116" i="34" a="1"/>
  <c r="G116" i="34" s="1"/>
  <c r="G124" i="34" a="1"/>
  <c r="G124" i="34" s="1"/>
  <c r="G91" i="34" a="1"/>
  <c r="G91" i="34" s="1"/>
  <c r="G96" i="34" a="1"/>
  <c r="G96" i="34" s="1"/>
  <c r="G17" i="34" a="1"/>
  <c r="G17" i="34" s="1"/>
  <c r="G94" i="34" a="1"/>
  <c r="G94" i="34" s="1"/>
  <c r="G63" i="34" a="1"/>
  <c r="G63" i="34" s="1"/>
  <c r="G14" i="34" a="1"/>
  <c r="G14" i="34" s="1"/>
  <c r="G104" i="34" a="1"/>
  <c r="G104" i="34" s="1"/>
  <c r="G59" i="34" a="1"/>
  <c r="G59" i="34" s="1"/>
  <c r="G34" i="34" a="1"/>
  <c r="G34" i="34" s="1"/>
  <c r="G13" i="34" a="1"/>
  <c r="G13" i="34" s="1"/>
  <c r="G56" i="34" a="1"/>
  <c r="G56" i="34" s="1"/>
  <c r="G121" i="34" a="1"/>
  <c r="G121" i="34" s="1"/>
  <c r="G60" i="34" a="1"/>
  <c r="G60" i="34" s="1"/>
  <c r="G62" i="34" a="1"/>
  <c r="G62" i="34" s="1"/>
  <c r="G84" i="34" a="1"/>
  <c r="G84" i="34" s="1"/>
  <c r="K74" i="33" a="1"/>
  <c r="K74" i="33" s="1"/>
  <c r="K60" i="33" a="1"/>
  <c r="K60" i="33" s="1"/>
  <c r="K73" i="33" a="1"/>
  <c r="K73" i="33" s="1"/>
  <c r="K3" i="3"/>
  <c r="J52" i="33" s="1" a="1"/>
  <c r="J52" i="33" s="1"/>
  <c r="J30" i="33" a="1"/>
  <c r="J30" i="33" s="1"/>
  <c r="J86" i="33" a="1"/>
  <c r="J86" i="33" s="1"/>
  <c r="J20" i="33" a="1"/>
  <c r="J20" i="33" s="1"/>
  <c r="J62" i="33" a="1"/>
  <c r="J62" i="33" s="1"/>
  <c r="J18" i="33" a="1"/>
  <c r="J18" i="33" s="1"/>
  <c r="J5" i="33" a="1"/>
  <c r="J5" i="33" s="1"/>
  <c r="J6" i="33" a="1"/>
  <c r="J6" i="33" s="1"/>
  <c r="J13" i="33" a="1"/>
  <c r="J13" i="33" s="1"/>
  <c r="J81" i="33" a="1"/>
  <c r="J81" i="33" s="1"/>
  <c r="J47" i="33" a="1"/>
  <c r="J47" i="33" s="1"/>
  <c r="J59" i="33" a="1"/>
  <c r="J59" i="33" s="1"/>
  <c r="J8" i="33" a="1"/>
  <c r="J8" i="33" s="1"/>
  <c r="J21" i="33" a="1"/>
  <c r="J21" i="33" s="1"/>
  <c r="J46" i="33" a="1"/>
  <c r="J46" i="33" s="1"/>
  <c r="J55" i="33" a="1"/>
  <c r="J55" i="33" s="1"/>
  <c r="J50" i="33" a="1"/>
  <c r="J50" i="33" s="1"/>
  <c r="J75" i="33" a="1"/>
  <c r="J75" i="33" s="1"/>
  <c r="J36" i="33" a="1"/>
  <c r="J36" i="33" s="1"/>
  <c r="J61" i="33" a="1"/>
  <c r="J61" i="33" s="1"/>
  <c r="J65" i="33" a="1"/>
  <c r="J65" i="33" s="1"/>
  <c r="J70" i="33" a="1"/>
  <c r="J70" i="33" s="1"/>
  <c r="J67" i="33" a="1"/>
  <c r="J67" i="33" s="1"/>
  <c r="J17" i="33" a="1"/>
  <c r="J17" i="33" s="1"/>
  <c r="J27" i="33" a="1"/>
  <c r="J27" i="33" s="1"/>
  <c r="J10" i="33" a="1"/>
  <c r="J10" i="33" s="1"/>
  <c r="J32" i="33" a="1"/>
  <c r="J32" i="33" s="1"/>
  <c r="J54" i="33" a="1"/>
  <c r="J54" i="33" s="1"/>
  <c r="J38" i="33" a="1"/>
  <c r="J38" i="33" s="1"/>
  <c r="J3" i="33" a="1"/>
  <c r="J3" i="33" s="1"/>
  <c r="J22" i="33" a="1"/>
  <c r="J22" i="33" s="1"/>
  <c r="J66" i="33" a="1"/>
  <c r="J66" i="33" s="1"/>
  <c r="J24" i="33" a="1"/>
  <c r="J24" i="33" s="1"/>
  <c r="J25" i="33" a="1"/>
  <c r="J25" i="33" s="1"/>
  <c r="J12" i="33" a="1"/>
  <c r="J12" i="33" s="1"/>
  <c r="J42" i="33" a="1"/>
  <c r="J42" i="33" s="1"/>
  <c r="J84" i="33" a="1"/>
  <c r="J84" i="33" s="1"/>
  <c r="J68" i="33" a="1"/>
  <c r="J68" i="33" s="1"/>
  <c r="J15" i="33" a="1"/>
  <c r="J15" i="33" s="1"/>
  <c r="J85" i="33" a="1"/>
  <c r="J85" i="33" s="1"/>
  <c r="J19" i="33" a="1"/>
  <c r="J19" i="33" s="1"/>
  <c r="J41" i="33" a="1"/>
  <c r="J41" i="33" s="1"/>
  <c r="J48" i="33" a="1"/>
  <c r="J48" i="33" s="1"/>
  <c r="J28" i="33" a="1"/>
  <c r="J28" i="33" s="1"/>
  <c r="J58" i="33" a="1"/>
  <c r="J58" i="33" s="1"/>
  <c r="J53" i="33" a="1"/>
  <c r="J53" i="33" s="1"/>
  <c r="J56" i="33" a="1"/>
  <c r="J56" i="33" s="1"/>
  <c r="J33" i="33" a="1"/>
  <c r="J33" i="33" s="1"/>
  <c r="J69" i="33" a="1"/>
  <c r="J69" i="33" s="1"/>
  <c r="J7" i="33" a="1"/>
  <c r="J7" i="33" s="1"/>
  <c r="J31" i="33" a="1"/>
  <c r="J31" i="33" s="1"/>
  <c r="J72" i="33" a="1"/>
  <c r="J72" i="33" s="1"/>
  <c r="J49" i="33" a="1"/>
  <c r="J49" i="33" s="1"/>
  <c r="J14" i="33" a="1"/>
  <c r="J14" i="33" s="1"/>
  <c r="J71" i="33" a="1"/>
  <c r="J71" i="33" s="1"/>
  <c r="J45" i="33" a="1"/>
  <c r="J45" i="33" s="1"/>
  <c r="J79" i="33" a="1"/>
  <c r="J79" i="33" s="1"/>
  <c r="J39" i="33" a="1"/>
  <c r="J39" i="33" s="1"/>
  <c r="H3" i="3"/>
  <c r="G53" i="33" s="1" a="1"/>
  <c r="G53" i="33" s="1"/>
  <c r="G30" i="33" a="1"/>
  <c r="G30" i="33" s="1"/>
  <c r="G81" i="33" a="1"/>
  <c r="G81" i="33" s="1"/>
  <c r="G86" i="33" a="1"/>
  <c r="G86" i="33" s="1"/>
  <c r="G70" i="33" a="1"/>
  <c r="G70" i="33" s="1"/>
  <c r="G79" i="33" a="1"/>
  <c r="G79" i="33" s="1"/>
  <c r="G47" i="33" a="1"/>
  <c r="G47" i="33" s="1"/>
  <c r="G12" i="33" a="1"/>
  <c r="G12" i="33" s="1"/>
  <c r="G24" i="33" a="1"/>
  <c r="G24" i="33" s="1"/>
  <c r="G50" i="33" a="1"/>
  <c r="G50" i="33" s="1"/>
  <c r="G19" i="33" a="1"/>
  <c r="G19" i="33" s="1"/>
  <c r="G57" i="33" a="1"/>
  <c r="G57" i="33" s="1"/>
  <c r="G54" i="33" a="1"/>
  <c r="G54" i="33" s="1"/>
  <c r="G56" i="33" a="1"/>
  <c r="G56" i="33" s="1"/>
  <c r="G61" i="33" a="1"/>
  <c r="G61" i="33" s="1"/>
  <c r="G62" i="33" a="1"/>
  <c r="G62" i="33" s="1"/>
  <c r="G55" i="33" a="1"/>
  <c r="G55" i="33" s="1"/>
  <c r="G22" i="33" a="1"/>
  <c r="G22" i="33" s="1"/>
  <c r="G20" i="33" a="1"/>
  <c r="G20" i="33" s="1"/>
  <c r="G38" i="33" a="1"/>
  <c r="G38" i="33" s="1"/>
  <c r="G6" i="33" a="1"/>
  <c r="G6" i="33" s="1"/>
  <c r="G16" i="33" a="1"/>
  <c r="G16" i="33" s="1"/>
  <c r="G21" i="33" a="1"/>
  <c r="G21" i="33" s="1"/>
  <c r="G45" i="33" a="1"/>
  <c r="G45" i="33" s="1"/>
  <c r="G31" i="33" a="1"/>
  <c r="G31" i="33" s="1"/>
  <c r="G25" i="33" a="1"/>
  <c r="G25" i="33" s="1"/>
  <c r="G52" i="33" a="1"/>
  <c r="G52" i="33" s="1"/>
  <c r="G42" i="33" a="1"/>
  <c r="G42" i="33" s="1"/>
  <c r="G41" i="33" a="1"/>
  <c r="G41" i="33" s="1"/>
  <c r="G36" i="33" a="1"/>
  <c r="G36" i="33" s="1"/>
  <c r="G71" i="33" a="1"/>
  <c r="G71" i="33" s="1"/>
  <c r="G49" i="33" a="1"/>
  <c r="G49" i="33" s="1"/>
  <c r="G28" i="33" a="1"/>
  <c r="G28" i="33" s="1"/>
  <c r="G26" i="33" a="1"/>
  <c r="G26" i="33" s="1"/>
  <c r="G58" i="33" a="1"/>
  <c r="G58" i="33" s="1"/>
  <c r="G69" i="33" a="1"/>
  <c r="G69" i="33" s="1"/>
  <c r="G15" i="33" a="1"/>
  <c r="G15" i="33" s="1"/>
  <c r="G46" i="33" a="1"/>
  <c r="G46" i="33" s="1"/>
  <c r="G48" i="33" a="1"/>
  <c r="G48" i="33" s="1"/>
  <c r="G84" i="33" a="1"/>
  <c r="G84" i="33" s="1"/>
  <c r="G13" i="33" a="1"/>
  <c r="G13" i="33" s="1"/>
  <c r="G59" i="33" a="1"/>
  <c r="G59" i="33" s="1"/>
  <c r="G72" i="33" a="1"/>
  <c r="G72" i="33" s="1"/>
  <c r="G33" i="33" a="1"/>
  <c r="G33" i="33" s="1"/>
  <c r="G67" i="33" a="1"/>
  <c r="G67" i="33" s="1"/>
  <c r="G32" i="33" a="1"/>
  <c r="G32" i="33" s="1"/>
  <c r="G5" i="33" a="1"/>
  <c r="G5" i="33" s="1"/>
  <c r="G7" i="33" a="1"/>
  <c r="G7" i="33" s="1"/>
  <c r="G18" i="33" a="1"/>
  <c r="G18" i="33" s="1"/>
  <c r="G17" i="33" a="1"/>
  <c r="G17" i="33" s="1"/>
  <c r="G27" i="33" a="1"/>
  <c r="G27" i="33" s="1"/>
  <c r="G68" i="33" a="1"/>
  <c r="G68" i="33" s="1"/>
  <c r="G10" i="33" a="1"/>
  <c r="G10" i="33" s="1"/>
  <c r="G75" i="33" a="1"/>
  <c r="G75" i="33" s="1"/>
  <c r="G66" i="33" a="1"/>
  <c r="G66" i="33" s="1"/>
  <c r="G8" i="33" a="1"/>
  <c r="G8" i="33" s="1"/>
  <c r="G39" i="33" a="1"/>
  <c r="G39" i="33" s="1"/>
  <c r="G65" i="33" a="1"/>
  <c r="G65" i="33" s="1"/>
  <c r="G14" i="33" a="1"/>
  <c r="G14" i="33" s="1"/>
  <c r="G3" i="33" a="1"/>
  <c r="G3" i="33" s="1"/>
  <c r="J3" i="3"/>
  <c r="N29" i="33"/>
  <c r="I3" i="3"/>
  <c r="H22" i="33" s="1" a="1"/>
  <c r="H22" i="33" s="1"/>
  <c r="H20" i="33" a="1"/>
  <c r="H20" i="33" s="1"/>
  <c r="H14" i="33" a="1"/>
  <c r="H14" i="33" s="1"/>
  <c r="H27" i="33" a="1"/>
  <c r="H27" i="33" s="1"/>
  <c r="H54" i="33" a="1"/>
  <c r="H54" i="33" s="1"/>
  <c r="H67" i="33" a="1"/>
  <c r="H67" i="33" s="1"/>
  <c r="H32" i="33" a="1"/>
  <c r="H32" i="33" s="1"/>
  <c r="H36" i="33" a="1"/>
  <c r="H36" i="33" s="1"/>
  <c r="H55" i="33" a="1"/>
  <c r="H55" i="33" s="1"/>
  <c r="H50" i="33" a="1"/>
  <c r="H50" i="33" s="1"/>
  <c r="H38" i="33" a="1"/>
  <c r="H38" i="33" s="1"/>
  <c r="H49" i="33" a="1"/>
  <c r="H49" i="33" s="1"/>
  <c r="H6" i="33" a="1"/>
  <c r="H6" i="33" s="1"/>
  <c r="H21" i="33" a="1"/>
  <c r="H21" i="33" s="1"/>
  <c r="H17" i="33" a="1"/>
  <c r="H17" i="33" s="1"/>
  <c r="H40" i="33" a="1"/>
  <c r="H40" i="33" s="1"/>
  <c r="H25" i="33" a="1"/>
  <c r="H25" i="33" s="1"/>
  <c r="H3" i="33" a="1"/>
  <c r="H3" i="33" s="1"/>
  <c r="H68" i="33" a="1"/>
  <c r="H68" i="33" s="1"/>
  <c r="H10" i="33" a="1"/>
  <c r="H10" i="33" s="1"/>
  <c r="H33" i="33" a="1"/>
  <c r="H33" i="33" s="1"/>
  <c r="H7" i="33" a="1"/>
  <c r="H7" i="33" s="1"/>
  <c r="H58" i="33" a="1"/>
  <c r="H58" i="33" s="1"/>
  <c r="H61" i="33" a="1"/>
  <c r="H61" i="33" s="1"/>
  <c r="H65" i="33" a="1"/>
  <c r="H65" i="33" s="1"/>
  <c r="H15" i="33" a="1"/>
  <c r="H15" i="33" s="1"/>
  <c r="H46" i="33" a="1"/>
  <c r="H46" i="33" s="1"/>
  <c r="H19" i="33" a="1"/>
  <c r="H19" i="33" s="1"/>
  <c r="H18" i="33" a="1"/>
  <c r="H18" i="33" s="1"/>
  <c r="H42" i="33" a="1"/>
  <c r="H42" i="33" s="1"/>
  <c r="H84" i="33" a="1"/>
  <c r="H84" i="33" s="1"/>
  <c r="H62" i="33" a="1"/>
  <c r="H62" i="33" s="1"/>
  <c r="H45" i="33" a="1"/>
  <c r="H45" i="33" s="1"/>
  <c r="H13" i="33" a="1"/>
  <c r="H13" i="33" s="1"/>
  <c r="H30" i="33" a="1"/>
  <c r="H30" i="33" s="1"/>
  <c r="H41" i="33" a="1"/>
  <c r="H41" i="33" s="1"/>
  <c r="H66" i="33" a="1"/>
  <c r="H66" i="33" s="1"/>
  <c r="H72" i="33" a="1"/>
  <c r="H72" i="33" s="1"/>
  <c r="H79" i="33" a="1"/>
  <c r="H79" i="33" s="1"/>
  <c r="H12" i="33" a="1"/>
  <c r="H12" i="33" s="1"/>
  <c r="H69" i="33" a="1"/>
  <c r="H69" i="33" s="1"/>
  <c r="H75" i="33" a="1"/>
  <c r="H75" i="33" s="1"/>
  <c r="H56" i="33" a="1"/>
  <c r="H56" i="33" s="1"/>
  <c r="H39" i="33" a="1"/>
  <c r="H39" i="33" s="1"/>
  <c r="H8" i="33" a="1"/>
  <c r="H8" i="33" s="1"/>
  <c r="H48" i="33" a="1"/>
  <c r="H48" i="33" s="1"/>
  <c r="H81" i="33" a="1"/>
  <c r="H81" i="33" s="1"/>
  <c r="H71" i="33" a="1"/>
  <c r="H71" i="33" s="1"/>
  <c r="H47" i="33" a="1"/>
  <c r="H47" i="33" s="1"/>
  <c r="H52" i="33" a="1"/>
  <c r="H52" i="33" s="1"/>
  <c r="H59" i="33" a="1"/>
  <c r="H59" i="33" s="1"/>
  <c r="H70" i="33" a="1"/>
  <c r="H70" i="33" s="1"/>
  <c r="H64" i="33" a="1"/>
  <c r="H64" i="33" s="1"/>
  <c r="K55" i="3"/>
  <c r="K38" i="3"/>
  <c r="K54" i="3"/>
  <c r="K40" i="3"/>
  <c r="K58" i="3"/>
  <c r="K50" i="3"/>
  <c r="K46" i="3"/>
  <c r="K69" i="3"/>
  <c r="K61" i="3"/>
  <c r="K42" i="3"/>
  <c r="K66" i="3"/>
  <c r="K52" i="3"/>
  <c r="K51" i="3"/>
  <c r="K64" i="3"/>
  <c r="K41" i="3"/>
  <c r="G41" i="3" s="1"/>
  <c r="K49" i="3"/>
  <c r="K47" i="3"/>
  <c r="K39" i="3"/>
  <c r="K44" i="3"/>
  <c r="K53" i="3"/>
  <c r="K63" i="3"/>
  <c r="K45" i="3"/>
  <c r="K67" i="3"/>
  <c r="K65" i="3"/>
  <c r="K68" i="3"/>
  <c r="K56" i="3"/>
  <c r="K59" i="3"/>
  <c r="K48" i="3"/>
  <c r="K43" i="3"/>
  <c r="K62" i="3"/>
  <c r="K60" i="3"/>
  <c r="N57" i="33"/>
  <c r="BA33" i="3"/>
  <c r="D60" i="19"/>
  <c r="D44" i="19"/>
  <c r="D66" i="19"/>
  <c r="D64" i="19"/>
  <c r="D50" i="19"/>
  <c r="D63" i="19"/>
  <c r="D46" i="19"/>
  <c r="D59" i="19"/>
  <c r="D53" i="19"/>
  <c r="D67" i="19"/>
  <c r="D55" i="19"/>
  <c r="D68" i="19"/>
  <c r="D62" i="19"/>
  <c r="D61" i="19"/>
  <c r="D47" i="19"/>
  <c r="D45" i="19"/>
  <c r="D42" i="19"/>
  <c r="D58" i="19"/>
  <c r="D57" i="19"/>
  <c r="D49" i="19"/>
  <c r="D38" i="19"/>
  <c r="D52" i="19"/>
  <c r="D56" i="19"/>
  <c r="D48" i="19"/>
  <c r="D51" i="19"/>
  <c r="D37" i="19"/>
  <c r="D65" i="19"/>
  <c r="D39" i="19"/>
  <c r="B3" i="19"/>
  <c r="B37" i="19" s="1"/>
  <c r="B43" i="19"/>
  <c r="B50" i="19"/>
  <c r="B62" i="19"/>
  <c r="B41" i="19"/>
  <c r="B54" i="19"/>
  <c r="B59" i="19"/>
  <c r="B57" i="19"/>
  <c r="B42" i="19"/>
  <c r="B38" i="19"/>
  <c r="B48" i="19"/>
  <c r="B64" i="19"/>
  <c r="B52" i="19"/>
  <c r="B47" i="19"/>
  <c r="B56" i="19"/>
  <c r="B58" i="19"/>
  <c r="B66" i="19"/>
  <c r="B61" i="19"/>
  <c r="B63" i="19"/>
  <c r="B53" i="19"/>
  <c r="B65" i="19"/>
  <c r="B67" i="19"/>
  <c r="B68" i="19"/>
  <c r="B40" i="19"/>
  <c r="B55" i="19"/>
  <c r="B46" i="19"/>
  <c r="B51" i="19"/>
  <c r="B39" i="19"/>
  <c r="B60" i="19"/>
  <c r="B44" i="19"/>
  <c r="B49" i="19"/>
  <c r="V64" i="2"/>
  <c r="F62" i="2"/>
  <c r="F57" i="2"/>
  <c r="F37" i="2"/>
  <c r="F55" i="2"/>
  <c r="F44" i="2"/>
  <c r="F68" i="2"/>
  <c r="V63" i="2"/>
  <c r="V37" i="2"/>
  <c r="V52" i="2"/>
  <c r="F42" i="2"/>
  <c r="F63" i="2"/>
  <c r="F66" i="2"/>
  <c r="F46" i="2"/>
  <c r="F60" i="2"/>
  <c r="F41" i="2"/>
  <c r="F52" i="2"/>
  <c r="F53" i="2"/>
  <c r="F51" i="2"/>
  <c r="F38" i="2"/>
  <c r="F49" i="2"/>
  <c r="F48" i="2"/>
  <c r="F47" i="2"/>
  <c r="F59" i="2"/>
  <c r="J18" i="3"/>
  <c r="G18" i="3" s="1"/>
  <c r="J27" i="3"/>
  <c r="G27" i="3" s="1"/>
  <c r="J8" i="3"/>
  <c r="G8" i="3" s="1"/>
  <c r="J33" i="3"/>
  <c r="G33" i="3" s="1"/>
  <c r="J10" i="3"/>
  <c r="G10" i="3" s="1"/>
  <c r="J11" i="3"/>
  <c r="G11" i="3" s="1"/>
  <c r="J13" i="3"/>
  <c r="G13" i="3" s="1"/>
  <c r="J19" i="3"/>
  <c r="G19" i="3" s="1"/>
  <c r="J21" i="3"/>
  <c r="G21" i="3" s="1"/>
  <c r="J30" i="3"/>
  <c r="G30" i="3" s="1"/>
  <c r="J5" i="3"/>
  <c r="G5" i="3" s="1"/>
  <c r="J31" i="3"/>
  <c r="G31" i="3" s="1"/>
  <c r="J7" i="3"/>
  <c r="G7" i="3" s="1"/>
  <c r="J15" i="3"/>
  <c r="G15" i="3" s="1"/>
  <c r="J6" i="3"/>
  <c r="G6" i="3" s="1"/>
  <c r="J22" i="3"/>
  <c r="G22" i="3" s="1"/>
  <c r="J16" i="3"/>
  <c r="G16" i="3" s="1"/>
  <c r="J29" i="3"/>
  <c r="G29" i="3" s="1"/>
  <c r="J28" i="3"/>
  <c r="G28" i="3" s="1"/>
  <c r="J9" i="3"/>
  <c r="G9" i="3" s="1"/>
  <c r="J26" i="3"/>
  <c r="G26" i="3" s="1"/>
  <c r="J14" i="3"/>
  <c r="G14" i="3" s="1"/>
  <c r="J4" i="3"/>
  <c r="G4" i="3" s="1"/>
  <c r="J24" i="3"/>
  <c r="G24" i="3" s="1"/>
  <c r="J12" i="3"/>
  <c r="G12" i="3" s="1"/>
  <c r="J25" i="3"/>
  <c r="G25" i="3" s="1"/>
  <c r="J17" i="3"/>
  <c r="G17" i="3" s="1"/>
  <c r="J34" i="3"/>
  <c r="G34" i="3" s="1"/>
  <c r="J23" i="3"/>
  <c r="G23" i="3" s="1"/>
  <c r="J20" i="3"/>
  <c r="G20" i="3" s="1"/>
  <c r="J32" i="3"/>
  <c r="G32" i="3" s="1"/>
  <c r="F50" i="2"/>
  <c r="F54" i="2"/>
  <c r="F61" i="2"/>
  <c r="F64" i="2"/>
  <c r="F65" i="2"/>
  <c r="F45" i="2"/>
  <c r="F40" i="2"/>
  <c r="F67" i="2"/>
  <c r="F56" i="2"/>
  <c r="F39" i="2"/>
  <c r="F43" i="2"/>
  <c r="F58" i="2"/>
  <c r="V43" i="2"/>
  <c r="V41" i="2"/>
  <c r="V49" i="2"/>
  <c r="V47" i="2"/>
  <c r="V68" i="2"/>
  <c r="V51" i="2"/>
  <c r="V44" i="2"/>
  <c r="V58" i="2"/>
  <c r="V50" i="2"/>
  <c r="V38" i="2"/>
  <c r="V67" i="2"/>
  <c r="V60" i="2"/>
  <c r="V45" i="2"/>
  <c r="V46" i="2"/>
  <c r="V57" i="2"/>
  <c r="V59" i="2"/>
  <c r="V66" i="2"/>
  <c r="V61" i="2"/>
  <c r="V53" i="2"/>
  <c r="V48" i="2"/>
  <c r="V65" i="2"/>
  <c r="V62" i="2"/>
  <c r="V42" i="2"/>
  <c r="V54" i="2"/>
  <c r="V40" i="2"/>
  <c r="V55" i="2"/>
  <c r="V56" i="2"/>
  <c r="D38" i="2"/>
  <c r="D61" i="2"/>
  <c r="D43" i="2"/>
  <c r="I61" i="2"/>
  <c r="I56" i="2"/>
  <c r="D53" i="2"/>
  <c r="D49" i="2"/>
  <c r="D44" i="2"/>
  <c r="I60" i="2"/>
  <c r="I44" i="2"/>
  <c r="I66" i="2"/>
  <c r="I40" i="2"/>
  <c r="I39" i="2"/>
  <c r="I50" i="2"/>
  <c r="I55" i="2"/>
  <c r="I64" i="2"/>
  <c r="D48" i="2"/>
  <c r="I62" i="2"/>
  <c r="I38" i="2"/>
  <c r="I57" i="2"/>
  <c r="D47" i="2"/>
  <c r="I63" i="2"/>
  <c r="D40" i="2"/>
  <c r="D63" i="2"/>
  <c r="D66" i="2"/>
  <c r="I43" i="2"/>
  <c r="I52" i="2"/>
  <c r="D55" i="2"/>
  <c r="D58" i="2"/>
  <c r="I68" i="2"/>
  <c r="I47" i="2"/>
  <c r="D39" i="2"/>
  <c r="D60" i="2"/>
  <c r="D42" i="2"/>
  <c r="I51" i="2"/>
  <c r="I59" i="2"/>
  <c r="I67" i="2"/>
  <c r="D62" i="2"/>
  <c r="D54" i="2"/>
  <c r="D65" i="2"/>
  <c r="I41" i="2"/>
  <c r="I58" i="2"/>
  <c r="I48" i="2"/>
  <c r="D67" i="2"/>
  <c r="D57" i="2"/>
  <c r="D50" i="2"/>
  <c r="D56" i="2"/>
  <c r="D37" i="2"/>
  <c r="I54" i="2"/>
  <c r="I46" i="2"/>
  <c r="D68" i="2"/>
  <c r="D46" i="2"/>
  <c r="I49" i="2"/>
  <c r="D41" i="2"/>
  <c r="I42" i="2"/>
  <c r="I53" i="2"/>
  <c r="I37" i="2"/>
  <c r="D52" i="2"/>
  <c r="D51" i="2"/>
  <c r="I65" i="2"/>
  <c r="I45" i="2"/>
  <c r="D64" i="2"/>
  <c r="D59" i="2"/>
  <c r="D45" i="2"/>
  <c r="B3" i="2"/>
  <c r="B64" i="2" s="1"/>
  <c r="P58" i="39" l="1"/>
  <c r="N68" i="40"/>
  <c r="N6" i="40"/>
  <c r="N67" i="40"/>
  <c r="R10" i="39" a="1"/>
  <c r="R10" i="39" s="1"/>
  <c r="L97" i="41"/>
  <c r="L96" i="41"/>
  <c r="L98" i="41"/>
  <c r="L14" i="41"/>
  <c r="R410" i="39" a="1"/>
  <c r="R410" i="39" s="1"/>
  <c r="T10" i="39" a="1"/>
  <c r="T10" i="39" s="1"/>
  <c r="M14" i="41"/>
  <c r="M96" i="41"/>
  <c r="M97" i="41"/>
  <c r="M98" i="41"/>
  <c r="T410" i="39" a="1"/>
  <c r="T410" i="39" s="1"/>
  <c r="U410" i="39" a="1"/>
  <c r="U410" i="39" s="1"/>
  <c r="N96" i="41"/>
  <c r="U10" i="39" a="1"/>
  <c r="U10" i="39" s="1"/>
  <c r="N98" i="41"/>
  <c r="N97" i="41"/>
  <c r="N14" i="41"/>
  <c r="O98" i="41"/>
  <c r="S410" i="39" a="1"/>
  <c r="S410" i="39" s="1"/>
  <c r="S10" i="39" a="1"/>
  <c r="S10" i="39" s="1"/>
  <c r="O97" i="41"/>
  <c r="O14" i="41"/>
  <c r="O96" i="41"/>
  <c r="L114" i="39" a="1"/>
  <c r="L114" i="39" s="1"/>
  <c r="W114" i="39" s="1" a="1"/>
  <c r="W114" i="39" s="1"/>
  <c r="X114" i="39" s="1"/>
  <c r="L97" i="39" a="1"/>
  <c r="L97" i="39" s="1"/>
  <c r="W97" i="39" s="1" a="1"/>
  <c r="W97" i="39" s="1"/>
  <c r="X97" i="39" s="1"/>
  <c r="L102" i="39" a="1"/>
  <c r="L102" i="39" s="1"/>
  <c r="W102" i="39" s="1" a="1"/>
  <c r="W102" i="39" s="1"/>
  <c r="X102" i="39" s="1"/>
  <c r="L81" i="39" a="1"/>
  <c r="L81" i="39" s="1"/>
  <c r="W81" i="39" s="1" a="1"/>
  <c r="W81" i="39" s="1"/>
  <c r="X81" i="39" s="1"/>
  <c r="G18" i="43" a="1"/>
  <c r="G18" i="43" s="1"/>
  <c r="M18" i="43" s="1"/>
  <c r="G31" i="43" a="1"/>
  <c r="G31" i="43" s="1"/>
  <c r="M31" i="43" s="1"/>
  <c r="G20" i="43" a="1"/>
  <c r="G20" i="43" s="1"/>
  <c r="M20" i="43" s="1"/>
  <c r="G19" i="43" a="1"/>
  <c r="G19" i="43" s="1"/>
  <c r="M19" i="43" s="1"/>
  <c r="H53" i="36" a="1"/>
  <c r="H53" i="36" s="1"/>
  <c r="M53" i="36" s="1"/>
  <c r="H34" i="36" a="1"/>
  <c r="H34" i="36" s="1"/>
  <c r="M34" i="36" s="1"/>
  <c r="M5" i="35"/>
  <c r="K26" i="40" a="1"/>
  <c r="K26" i="40" s="1"/>
  <c r="K19" i="40" a="1"/>
  <c r="K19" i="40" s="1"/>
  <c r="K21" i="40" a="1"/>
  <c r="K21" i="40" s="1"/>
  <c r="K20" i="40" a="1"/>
  <c r="K20" i="40" s="1"/>
  <c r="G33" i="42" a="1"/>
  <c r="G33" i="42" s="1"/>
  <c r="M33" i="42" s="1"/>
  <c r="G27" i="42" a="1"/>
  <c r="G27" i="42" s="1"/>
  <c r="M27" i="42" s="1"/>
  <c r="G72" i="42" a="1"/>
  <c r="G72" i="42" s="1"/>
  <c r="M72" i="42" s="1"/>
  <c r="L241" i="39" a="1"/>
  <c r="L241" i="39" s="1"/>
  <c r="W241" i="39" s="1" a="1"/>
  <c r="W241" i="39" s="1"/>
  <c r="X241" i="39" s="1"/>
  <c r="G61" i="42" a="1"/>
  <c r="G61" i="42" s="1"/>
  <c r="M61" i="42" s="1"/>
  <c r="L93" i="39" a="1"/>
  <c r="L93" i="39" s="1"/>
  <c r="W93" i="39" s="1" a="1"/>
  <c r="W93" i="39" s="1"/>
  <c r="X93" i="39" s="1"/>
  <c r="L134" i="39" a="1"/>
  <c r="L134" i="39" s="1"/>
  <c r="W134" i="39" s="1" a="1"/>
  <c r="W134" i="39" s="1"/>
  <c r="X134" i="39" s="1"/>
  <c r="G56" i="42" a="1"/>
  <c r="G56" i="42" s="1"/>
  <c r="M56" i="42" s="1"/>
  <c r="G132" i="42" a="1"/>
  <c r="G132" i="42" s="1"/>
  <c r="M132" i="42" s="1"/>
  <c r="G83" i="42" a="1"/>
  <c r="G83" i="42" s="1"/>
  <c r="M83" i="42" s="1"/>
  <c r="G118" i="42" a="1"/>
  <c r="G118" i="42" s="1"/>
  <c r="M118" i="42" s="1"/>
  <c r="L181" i="39" a="1"/>
  <c r="L181" i="39" s="1"/>
  <c r="W181" i="39" s="1" a="1"/>
  <c r="W181" i="39" s="1"/>
  <c r="X181" i="39" s="1"/>
  <c r="L28" i="39" a="1"/>
  <c r="L28" i="39" s="1"/>
  <c r="W28" i="39" s="1" a="1"/>
  <c r="W28" i="39" s="1"/>
  <c r="X28" i="39" s="1"/>
  <c r="L516" i="39" a="1"/>
  <c r="L516" i="39" s="1"/>
  <c r="W516" i="39" s="1" a="1"/>
  <c r="W516" i="39" s="1"/>
  <c r="X516" i="39" s="1"/>
  <c r="G66" i="42" a="1"/>
  <c r="G66" i="42" s="1"/>
  <c r="M66" i="42" s="1"/>
  <c r="L348" i="39" a="1"/>
  <c r="L348" i="39" s="1"/>
  <c r="W348" i="39" s="1" a="1"/>
  <c r="W348" i="39" s="1"/>
  <c r="X348" i="39" s="1"/>
  <c r="G144" i="42" a="1"/>
  <c r="G144" i="42" s="1"/>
  <c r="M144" i="42" s="1"/>
  <c r="G10" i="34" a="1"/>
  <c r="G10" i="34" s="1"/>
  <c r="G118" i="34" a="1"/>
  <c r="G118" i="34" s="1"/>
  <c r="G86" i="34" a="1"/>
  <c r="G86" i="34" s="1"/>
  <c r="N85" i="40"/>
  <c r="N34" i="40"/>
  <c r="P537" i="39"/>
  <c r="G71" i="43" a="1"/>
  <c r="G71" i="43" s="1"/>
  <c r="M71" i="43" s="1"/>
  <c r="G69" i="43" a="1"/>
  <c r="G69" i="43" s="1"/>
  <c r="M69" i="43" s="1"/>
  <c r="G70" i="43" a="1"/>
  <c r="G70" i="43" s="1"/>
  <c r="M70" i="43" s="1"/>
  <c r="G57" i="43" a="1"/>
  <c r="G57" i="43" s="1"/>
  <c r="M57" i="43" s="1"/>
  <c r="L418" i="39" a="1"/>
  <c r="L418" i="39" s="1"/>
  <c r="W418" i="39" s="1" a="1"/>
  <c r="W418" i="39" s="1"/>
  <c r="X418" i="39" s="1"/>
  <c r="G46" i="42" a="1"/>
  <c r="G46" i="42" s="1"/>
  <c r="M46" i="42" s="1"/>
  <c r="L79" i="41"/>
  <c r="L78" i="41"/>
  <c r="R363" i="39" a="1"/>
  <c r="R363" i="39" s="1"/>
  <c r="R286" i="39" a="1"/>
  <c r="R286" i="39" s="1"/>
  <c r="L77" i="41"/>
  <c r="L99" i="41"/>
  <c r="T286" i="39" a="1"/>
  <c r="T286" i="39" s="1"/>
  <c r="M79" i="41"/>
  <c r="M78" i="41"/>
  <c r="M99" i="41"/>
  <c r="M77" i="41"/>
  <c r="T363" i="39" a="1"/>
  <c r="T363" i="39" s="1"/>
  <c r="N99" i="41"/>
  <c r="N79" i="41"/>
  <c r="N78" i="41"/>
  <c r="U286" i="39" a="1"/>
  <c r="U286" i="39" s="1"/>
  <c r="U363" i="39" a="1"/>
  <c r="U363" i="39" s="1"/>
  <c r="N77" i="41"/>
  <c r="O99" i="41"/>
  <c r="O77" i="41"/>
  <c r="O79" i="41"/>
  <c r="O78" i="41"/>
  <c r="S363" i="39" a="1"/>
  <c r="S363" i="39" s="1"/>
  <c r="S286" i="39" a="1"/>
  <c r="S286" i="39" s="1"/>
  <c r="H24" i="33" a="1"/>
  <c r="H24" i="33" s="1"/>
  <c r="H5" i="33" a="1"/>
  <c r="H5" i="33" s="1"/>
  <c r="G170" i="42" a="1"/>
  <c r="G170" i="42" s="1"/>
  <c r="M170" i="42" s="1"/>
  <c r="L547" i="39" a="1"/>
  <c r="L547" i="39" s="1"/>
  <c r="W547" i="39" s="1" a="1"/>
  <c r="W547" i="39" s="1"/>
  <c r="X547" i="39" s="1"/>
  <c r="K29" i="40" a="1"/>
  <c r="K29" i="40" s="1"/>
  <c r="K82" i="40" a="1"/>
  <c r="K82" i="40" s="1"/>
  <c r="L218" i="39" a="1"/>
  <c r="L218" i="39" s="1"/>
  <c r="W218" i="39" s="1" a="1"/>
  <c r="W218" i="39" s="1"/>
  <c r="X218" i="39" s="1"/>
  <c r="L420" i="39" a="1"/>
  <c r="L420" i="39" s="1"/>
  <c r="W420" i="39" s="1" a="1"/>
  <c r="W420" i="39" s="1"/>
  <c r="X420" i="39" s="1"/>
  <c r="G13" i="42" a="1"/>
  <c r="G13" i="42" s="1"/>
  <c r="M13" i="42" s="1"/>
  <c r="G162" i="42" a="1"/>
  <c r="G162" i="42" s="1"/>
  <c r="M162" i="42" s="1"/>
  <c r="G17" i="42" a="1"/>
  <c r="G17" i="42" s="1"/>
  <c r="M17" i="42" s="1"/>
  <c r="G149" i="42" a="1"/>
  <c r="G149" i="42" s="1"/>
  <c r="M149" i="42" s="1"/>
  <c r="G143" i="42" a="1"/>
  <c r="G143" i="42" s="1"/>
  <c r="M143" i="42" s="1"/>
  <c r="G117" i="42" a="1"/>
  <c r="G117" i="42" s="1"/>
  <c r="M117" i="42" s="1"/>
  <c r="G131" i="42" a="1"/>
  <c r="G131" i="42" s="1"/>
  <c r="M131" i="42" s="1"/>
  <c r="M109" i="35"/>
  <c r="G41" i="42" a="1"/>
  <c r="G41" i="42" s="1"/>
  <c r="M41" i="42" s="1"/>
  <c r="L405" i="39" a="1"/>
  <c r="L405" i="39" s="1"/>
  <c r="W405" i="39" s="1" a="1"/>
  <c r="W405" i="39" s="1"/>
  <c r="X405" i="39" s="1"/>
  <c r="K72" i="40" a="1"/>
  <c r="K72" i="40" s="1"/>
  <c r="K30" i="40" a="1"/>
  <c r="K30" i="40" s="1"/>
  <c r="N18" i="40"/>
  <c r="N43" i="40"/>
  <c r="P274" i="39"/>
  <c r="N44" i="40"/>
  <c r="L64" i="39" a="1"/>
  <c r="L64" i="39" s="1"/>
  <c r="W64" i="39" s="1" a="1"/>
  <c r="W64" i="39" s="1"/>
  <c r="X64" i="39" s="1"/>
  <c r="G37" i="43" a="1"/>
  <c r="G37" i="43" s="1"/>
  <c r="M37" i="43" s="1"/>
  <c r="G35" i="43" a="1"/>
  <c r="G35" i="43" s="1"/>
  <c r="M35" i="43" s="1"/>
  <c r="G86" i="43" a="1"/>
  <c r="G86" i="43" s="1"/>
  <c r="M86" i="43" s="1"/>
  <c r="G36" i="43" a="1"/>
  <c r="G36" i="43" s="1"/>
  <c r="M36" i="43" s="1"/>
  <c r="L131" i="39" a="1"/>
  <c r="L131" i="39" s="1"/>
  <c r="W131" i="39" s="1" a="1"/>
  <c r="W131" i="39" s="1"/>
  <c r="X131" i="39" s="1"/>
  <c r="G15" i="42" a="1"/>
  <c r="G15" i="42" s="1"/>
  <c r="M15" i="42" s="1"/>
  <c r="R356" i="39" a="1"/>
  <c r="R356" i="39" s="1"/>
  <c r="L62" i="41"/>
  <c r="L64" i="41"/>
  <c r="R32" i="39" a="1"/>
  <c r="R32" i="39" s="1"/>
  <c r="L63" i="41"/>
  <c r="L33" i="41"/>
  <c r="M62" i="41"/>
  <c r="T356" i="39" a="1"/>
  <c r="T356" i="39" s="1"/>
  <c r="T32" i="39" a="1"/>
  <c r="T32" i="39" s="1"/>
  <c r="M64" i="41"/>
  <c r="M63" i="41"/>
  <c r="M33" i="41"/>
  <c r="U356" i="39" a="1"/>
  <c r="U356" i="39" s="1"/>
  <c r="N33" i="41"/>
  <c r="N63" i="41"/>
  <c r="N64" i="41"/>
  <c r="N62" i="41"/>
  <c r="U32" i="39" a="1"/>
  <c r="U32" i="39" s="1"/>
  <c r="O62" i="41"/>
  <c r="O64" i="41"/>
  <c r="O63" i="41"/>
  <c r="O33" i="41"/>
  <c r="S32" i="39" a="1"/>
  <c r="S32" i="39" s="1"/>
  <c r="S356" i="39" a="1"/>
  <c r="S356" i="39" s="1"/>
  <c r="H57" i="33" a="1"/>
  <c r="H57" i="33" s="1"/>
  <c r="H31" i="33" a="1"/>
  <c r="H31" i="33" s="1"/>
  <c r="H11" i="36" a="1"/>
  <c r="H11" i="36" s="1"/>
  <c r="M11" i="36" s="1"/>
  <c r="H89" i="36" a="1"/>
  <c r="H89" i="36" s="1"/>
  <c r="M89" i="36" s="1"/>
  <c r="N460" i="39" a="1"/>
  <c r="N460" i="39" s="1"/>
  <c r="M50" i="36"/>
  <c r="H43" i="33" a="1"/>
  <c r="H43" i="33" s="1"/>
  <c r="M4" i="36"/>
  <c r="H44" i="33" a="1"/>
  <c r="H44" i="33" s="1"/>
  <c r="G193" i="42" a="1"/>
  <c r="G193" i="42" s="1"/>
  <c r="M193" i="42" s="1"/>
  <c r="J4" i="33" a="1"/>
  <c r="J4" i="33" s="1"/>
  <c r="K50" i="40" a="1"/>
  <c r="K50" i="40" s="1"/>
  <c r="K24" i="40" a="1"/>
  <c r="K24" i="40" s="1"/>
  <c r="J43" i="33" a="1"/>
  <c r="J43" i="33" s="1"/>
  <c r="J44" i="33" a="1"/>
  <c r="J44" i="33" s="1"/>
  <c r="K25" i="40" a="1"/>
  <c r="K25" i="40" s="1"/>
  <c r="H10" i="36" a="1"/>
  <c r="H10" i="36" s="1"/>
  <c r="M10" i="36" s="1"/>
  <c r="G47" i="43" a="1"/>
  <c r="G47" i="43" s="1"/>
  <c r="M47" i="43" s="1"/>
  <c r="G48" i="43" a="1"/>
  <c r="G48" i="43" s="1"/>
  <c r="M48" i="43" s="1"/>
  <c r="L307" i="39" a="1"/>
  <c r="L307" i="39" s="1"/>
  <c r="W307" i="39" s="1" a="1"/>
  <c r="W307" i="39" s="1"/>
  <c r="X307" i="39" s="1"/>
  <c r="G49" i="43" a="1"/>
  <c r="G49" i="43" s="1"/>
  <c r="M49" i="43" s="1"/>
  <c r="G46" i="43" a="1"/>
  <c r="G46" i="43" s="1"/>
  <c r="M46" i="43" s="1"/>
  <c r="L419" i="39" a="1"/>
  <c r="L419" i="39" s="1"/>
  <c r="W419" i="39" s="1" a="1"/>
  <c r="W419" i="39" s="1"/>
  <c r="X419" i="39" s="1"/>
  <c r="G135" i="42" a="1"/>
  <c r="G135" i="42" s="1"/>
  <c r="M135" i="42" s="1"/>
  <c r="L557" i="39" a="1"/>
  <c r="L557" i="39" s="1"/>
  <c r="W557" i="39" s="1" a="1"/>
  <c r="W557" i="39" s="1"/>
  <c r="X557" i="39" s="1"/>
  <c r="G121" i="42" a="1"/>
  <c r="G121" i="42" s="1"/>
  <c r="M121" i="42" s="1"/>
  <c r="L473" i="39" a="1"/>
  <c r="L473" i="39" s="1"/>
  <c r="W473" i="39" s="1" a="1"/>
  <c r="W473" i="39" s="1"/>
  <c r="X473" i="39" s="1"/>
  <c r="G97" i="42" a="1"/>
  <c r="G97" i="42" s="1"/>
  <c r="M97" i="42" s="1"/>
  <c r="G86" i="42" a="1"/>
  <c r="G86" i="42" s="1"/>
  <c r="M86" i="42" s="1"/>
  <c r="L453" i="39" a="1"/>
  <c r="L453" i="39" s="1"/>
  <c r="W453" i="39" s="1" a="1"/>
  <c r="W453" i="39" s="1"/>
  <c r="X453" i="39" s="1"/>
  <c r="I49" i="34" a="1"/>
  <c r="I49" i="34" s="1"/>
  <c r="N66" i="41"/>
  <c r="U21" i="39" a="1"/>
  <c r="U21" i="39" s="1"/>
  <c r="N67" i="41"/>
  <c r="N68" i="41"/>
  <c r="N53" i="41"/>
  <c r="U178" i="39" a="1"/>
  <c r="U178" i="39" s="1"/>
  <c r="H49" i="34" a="1"/>
  <c r="H49" i="34" s="1"/>
  <c r="M53" i="41"/>
  <c r="M66" i="41"/>
  <c r="T21" i="39" a="1"/>
  <c r="T21" i="39" s="1"/>
  <c r="M67" i="41"/>
  <c r="T178" i="39" a="1"/>
  <c r="T178" i="39" s="1"/>
  <c r="M68" i="41"/>
  <c r="G112" i="34" a="1"/>
  <c r="G112" i="34" s="1"/>
  <c r="G51" i="34" a="1"/>
  <c r="G51" i="34" s="1"/>
  <c r="R178" i="39" a="1"/>
  <c r="R178" i="39" s="1"/>
  <c r="L53" i="41"/>
  <c r="L66" i="41"/>
  <c r="L67" i="41"/>
  <c r="R21" i="39" a="1"/>
  <c r="R21" i="39" s="1"/>
  <c r="L68" i="41"/>
  <c r="S21" i="39" a="1"/>
  <c r="S21" i="39" s="1"/>
  <c r="S178" i="39" a="1"/>
  <c r="S178" i="39" s="1"/>
  <c r="O68" i="41"/>
  <c r="O67" i="41"/>
  <c r="O66" i="41"/>
  <c r="O53" i="41"/>
  <c r="G49" i="34" a="1"/>
  <c r="G49" i="34" s="1"/>
  <c r="H4" i="33" a="1"/>
  <c r="H4" i="33" s="1"/>
  <c r="G4" i="33" a="1"/>
  <c r="G4" i="33" s="1"/>
  <c r="G44" i="33" a="1"/>
  <c r="G44" i="33" s="1"/>
  <c r="N86" i="40"/>
  <c r="P217" i="39"/>
  <c r="N37" i="40"/>
  <c r="G43" i="33" a="1"/>
  <c r="G43" i="33" s="1"/>
  <c r="G2" i="42" a="1"/>
  <c r="G2" i="42" s="1"/>
  <c r="M2" i="42" s="1"/>
  <c r="K49" i="40" a="1"/>
  <c r="K49" i="40" s="1"/>
  <c r="N191" i="39" a="1"/>
  <c r="N191" i="39" s="1"/>
  <c r="G80" i="33" a="1"/>
  <c r="G80" i="33" s="1"/>
  <c r="G2" i="33" a="1"/>
  <c r="G2" i="33" s="1"/>
  <c r="J80" i="33" a="1"/>
  <c r="J80" i="33" s="1"/>
  <c r="G6" i="34" a="1"/>
  <c r="G6" i="34" s="1"/>
  <c r="G97" i="34" a="1"/>
  <c r="G97" i="34" s="1"/>
  <c r="G98" i="34" a="1"/>
  <c r="G98" i="34" s="1"/>
  <c r="G69" i="34" a="1"/>
  <c r="G69" i="34" s="1"/>
  <c r="H2" i="33" a="1"/>
  <c r="H2" i="33" s="1"/>
  <c r="M4" i="35"/>
  <c r="G112" i="42" a="1"/>
  <c r="G112" i="42" s="1"/>
  <c r="M112" i="42" s="1"/>
  <c r="H6" i="34" a="1"/>
  <c r="H6" i="34" s="1"/>
  <c r="G126" i="42" a="1"/>
  <c r="G126" i="42" s="1"/>
  <c r="M126" i="42" s="1"/>
  <c r="I6" i="34" a="1"/>
  <c r="I6" i="34" s="1"/>
  <c r="J2" i="33" a="1"/>
  <c r="J2" i="33" s="1"/>
  <c r="H37" i="36" a="1"/>
  <c r="H37" i="36" s="1"/>
  <c r="M37" i="36" s="1"/>
  <c r="H80" i="33" a="1"/>
  <c r="H80" i="33" s="1"/>
  <c r="G60" i="43" a="1"/>
  <c r="G60" i="43" s="1"/>
  <c r="M60" i="43" s="1"/>
  <c r="K2" i="40" a="1"/>
  <c r="K2" i="40" s="1"/>
  <c r="L347" i="39" a="1"/>
  <c r="L347" i="39" s="1"/>
  <c r="W347" i="39" s="1" a="1"/>
  <c r="W347" i="39" s="1"/>
  <c r="X347" i="39" s="1"/>
  <c r="L285" i="39" a="1"/>
  <c r="L285" i="39" s="1"/>
  <c r="W285" i="39" s="1" a="1"/>
  <c r="W285" i="39" s="1"/>
  <c r="X285" i="39" s="1"/>
  <c r="G139" i="42" a="1"/>
  <c r="G139" i="42" s="1"/>
  <c r="M139" i="42" s="1"/>
  <c r="G150" i="42" a="1"/>
  <c r="G150" i="42" s="1"/>
  <c r="M150" i="42" s="1"/>
  <c r="G147" i="42" a="1"/>
  <c r="G147" i="42" s="1"/>
  <c r="M147" i="42" s="1"/>
  <c r="T20" i="39" a="1"/>
  <c r="T20" i="39" s="1"/>
  <c r="M22" i="41"/>
  <c r="M49" i="41"/>
  <c r="M23" i="41"/>
  <c r="M24" i="41"/>
  <c r="T267" i="39" a="1"/>
  <c r="T267" i="39" s="1"/>
  <c r="L22" i="41"/>
  <c r="L24" i="41"/>
  <c r="L23" i="41"/>
  <c r="R267" i="39" a="1"/>
  <c r="R267" i="39" s="1"/>
  <c r="L49" i="41"/>
  <c r="R20" i="39" a="1"/>
  <c r="R20" i="39" s="1"/>
  <c r="S20" i="39" a="1"/>
  <c r="S20" i="39" s="1"/>
  <c r="S267" i="39" a="1"/>
  <c r="S267" i="39" s="1"/>
  <c r="O24" i="41"/>
  <c r="O49" i="41"/>
  <c r="O22" i="41"/>
  <c r="O23" i="41"/>
  <c r="N22" i="41"/>
  <c r="N24" i="41"/>
  <c r="U20" i="39" a="1"/>
  <c r="U20" i="39" s="1"/>
  <c r="U267" i="39" a="1"/>
  <c r="U267" i="39" s="1"/>
  <c r="N49" i="41"/>
  <c r="N23" i="41"/>
  <c r="L524" i="39" a="1"/>
  <c r="L524" i="39" s="1"/>
  <c r="W524" i="39" s="1" a="1"/>
  <c r="W524" i="39" s="1"/>
  <c r="X524" i="39" s="1"/>
  <c r="G7" i="42" a="1"/>
  <c r="G7" i="42" s="1"/>
  <c r="M7" i="42" s="1"/>
  <c r="G2" i="43" a="1"/>
  <c r="G2" i="43" s="1"/>
  <c r="M2" i="43" s="1"/>
  <c r="G59" i="43" a="1"/>
  <c r="G59" i="43" s="1"/>
  <c r="M59" i="43" s="1"/>
  <c r="L61" i="39" a="1"/>
  <c r="L61" i="39" s="1"/>
  <c r="W61" i="39" s="1" a="1"/>
  <c r="W61" i="39" s="1"/>
  <c r="X61" i="39" s="1"/>
  <c r="P156" i="39"/>
  <c r="N5" i="40"/>
  <c r="N33" i="40"/>
  <c r="G58" i="43" a="1"/>
  <c r="G58" i="43" s="1"/>
  <c r="M58" i="43" s="1"/>
  <c r="L436" i="39" a="1"/>
  <c r="L436" i="39" s="1"/>
  <c r="W436" i="39" s="1" a="1"/>
  <c r="W436" i="39" s="1"/>
  <c r="X436" i="39" s="1"/>
  <c r="N477" i="39" a="1"/>
  <c r="N477" i="39" s="1"/>
  <c r="W484" i="39" a="1"/>
  <c r="W484" i="39" s="1"/>
  <c r="X484" i="39" s="1"/>
  <c r="G63" i="33" a="1"/>
  <c r="G63" i="33" s="1"/>
  <c r="G37" i="33" a="1"/>
  <c r="G37" i="33" s="1"/>
  <c r="M22" i="35"/>
  <c r="J37" i="33" a="1"/>
  <c r="J37" i="33" s="1"/>
  <c r="H37" i="33" a="1"/>
  <c r="H37" i="33" s="1"/>
  <c r="J63" i="33" a="1"/>
  <c r="J63" i="33" s="1"/>
  <c r="H39" i="34" a="1"/>
  <c r="H39" i="34" s="1"/>
  <c r="G54" i="34" a="1"/>
  <c r="G54" i="34" s="1"/>
  <c r="L550" i="39" a="1"/>
  <c r="L550" i="39" s="1"/>
  <c r="W550" i="39" s="1" a="1"/>
  <c r="W550" i="39" s="1"/>
  <c r="X550" i="39" s="1"/>
  <c r="L205" i="39" a="1"/>
  <c r="L205" i="39" s="1"/>
  <c r="W205" i="39" s="1" a="1"/>
  <c r="W205" i="39" s="1"/>
  <c r="L165" i="39" a="1"/>
  <c r="L165" i="39" s="1"/>
  <c r="W165" i="39" s="1" a="1"/>
  <c r="W165" i="39" s="1"/>
  <c r="X165" i="39" s="1"/>
  <c r="T3" i="38"/>
  <c r="N476" i="39" a="1"/>
  <c r="N476" i="39" s="1"/>
  <c r="L459" i="39" a="1"/>
  <c r="L459" i="39" s="1"/>
  <c r="W459" i="39" s="1" a="1"/>
  <c r="W459" i="39" s="1"/>
  <c r="X459" i="39" s="1"/>
  <c r="K41" i="40" a="1"/>
  <c r="K41" i="40" s="1"/>
  <c r="G108" i="34" a="1"/>
  <c r="G108" i="34" s="1"/>
  <c r="G155" i="42" a="1"/>
  <c r="G155" i="42" s="1"/>
  <c r="M155" i="42" s="1"/>
  <c r="L568" i="39" a="1"/>
  <c r="L568" i="39" s="1"/>
  <c r="W568" i="39" s="1" a="1"/>
  <c r="W568" i="39" s="1"/>
  <c r="X568" i="39" s="1"/>
  <c r="G119" i="42" a="1"/>
  <c r="G119" i="42" s="1"/>
  <c r="M119" i="42" s="1"/>
  <c r="G133" i="42" a="1"/>
  <c r="G133" i="42" s="1"/>
  <c r="M133" i="42" s="1"/>
  <c r="G64" i="43" a="1"/>
  <c r="G64" i="43" s="1"/>
  <c r="M64" i="43" s="1"/>
  <c r="G78" i="43" a="1"/>
  <c r="G78" i="43" s="1"/>
  <c r="M78" i="43" s="1"/>
  <c r="G53" i="34" a="1"/>
  <c r="G53" i="34" s="1"/>
  <c r="G203" i="42" a="1"/>
  <c r="G203" i="42" s="1"/>
  <c r="M203" i="42" s="1"/>
  <c r="I39" i="34" a="1"/>
  <c r="I39" i="34" s="1"/>
  <c r="G39" i="34" a="1"/>
  <c r="G39" i="34" s="1"/>
  <c r="L527" i="39" a="1"/>
  <c r="L527" i="39" s="1"/>
  <c r="W527" i="39" s="1" a="1"/>
  <c r="W527" i="39" s="1"/>
  <c r="X527" i="39" s="1"/>
  <c r="L87" i="41"/>
  <c r="L35" i="41"/>
  <c r="R447" i="39" a="1"/>
  <c r="R447" i="39" s="1"/>
  <c r="R355" i="39" a="1"/>
  <c r="R355" i="39" s="1"/>
  <c r="L34" i="41"/>
  <c r="O87" i="41"/>
  <c r="O34" i="41"/>
  <c r="O35" i="41"/>
  <c r="S447" i="39" a="1"/>
  <c r="S447" i="39" s="1"/>
  <c r="S355" i="39" a="1"/>
  <c r="S355" i="39" s="1"/>
  <c r="U355" i="39" a="1"/>
  <c r="U355" i="39" s="1"/>
  <c r="N34" i="41"/>
  <c r="U447" i="39" a="1"/>
  <c r="U447" i="39" s="1"/>
  <c r="N87" i="41"/>
  <c r="N35" i="41"/>
  <c r="H63" i="33" a="1"/>
  <c r="H63" i="33" s="1"/>
  <c r="G77" i="43" a="1"/>
  <c r="G77" i="43" s="1"/>
  <c r="M77" i="43" s="1"/>
  <c r="P474" i="39"/>
  <c r="N39" i="40"/>
  <c r="N69" i="40"/>
  <c r="N38" i="40"/>
  <c r="M35" i="41"/>
  <c r="M87" i="41"/>
  <c r="M34" i="41"/>
  <c r="T355" i="39" a="1"/>
  <c r="T355" i="39" s="1"/>
  <c r="T447" i="39" a="1"/>
  <c r="T447" i="39" s="1"/>
  <c r="H9" i="36" a="1"/>
  <c r="H9" i="36" s="1"/>
  <c r="M9" i="36" s="1"/>
  <c r="G59" i="42" a="1"/>
  <c r="G59" i="42" s="1"/>
  <c r="M59" i="42" s="1"/>
  <c r="L258" i="39" a="1"/>
  <c r="L258" i="39" s="1"/>
  <c r="W258" i="39" s="1" a="1"/>
  <c r="W258" i="39" s="1"/>
  <c r="L425" i="39" a="1"/>
  <c r="L425" i="39" s="1"/>
  <c r="W425" i="39" s="1" a="1"/>
  <c r="W425" i="39" s="1"/>
  <c r="X425" i="39" s="1"/>
  <c r="L255" i="39" a="1"/>
  <c r="L255" i="39" s="1"/>
  <c r="W255" i="39" s="1" a="1"/>
  <c r="W255" i="39" s="1"/>
  <c r="X255" i="39" s="1"/>
  <c r="K63" i="40" a="1"/>
  <c r="K63" i="40" s="1"/>
  <c r="W100" i="39" a="1"/>
  <c r="W100" i="39" s="1"/>
  <c r="X100" i="39" s="1"/>
  <c r="M16" i="35"/>
  <c r="K35" i="40" a="1"/>
  <c r="K35" i="40" s="1"/>
  <c r="G102" i="34" a="1"/>
  <c r="G102" i="34" s="1"/>
  <c r="G103" i="34" a="1"/>
  <c r="G103" i="34" s="1"/>
  <c r="I58" i="34" a="1"/>
  <c r="I58" i="34" s="1"/>
  <c r="W312" i="39" a="1"/>
  <c r="W312" i="39" s="1"/>
  <c r="X312" i="39" s="1"/>
  <c r="G119" i="34" a="1"/>
  <c r="G119" i="34" s="1"/>
  <c r="G114" i="42" a="1"/>
  <c r="G114" i="42" s="1"/>
  <c r="M114" i="42" s="1"/>
  <c r="L443" i="39" a="1"/>
  <c r="L443" i="39" s="1"/>
  <c r="W443" i="39" s="1" a="1"/>
  <c r="W443" i="39" s="1"/>
  <c r="X443" i="39" s="1"/>
  <c r="G87" i="42" a="1"/>
  <c r="G87" i="42" s="1"/>
  <c r="M87" i="42" s="1"/>
  <c r="L454" i="39" a="1"/>
  <c r="L454" i="39" s="1"/>
  <c r="W454" i="39" s="1" a="1"/>
  <c r="W454" i="39" s="1"/>
  <c r="X454" i="39" s="1"/>
  <c r="G58" i="34" a="1"/>
  <c r="G58" i="34" s="1"/>
  <c r="J77" i="33" a="1"/>
  <c r="J77" i="33" s="1"/>
  <c r="G56" i="43" a="1"/>
  <c r="G56" i="43" s="1"/>
  <c r="M56" i="43" s="1"/>
  <c r="M69" i="41"/>
  <c r="M85" i="41"/>
  <c r="M84" i="41"/>
  <c r="T321" i="39" a="1"/>
  <c r="T321" i="39" s="1"/>
  <c r="T45" i="39" a="1"/>
  <c r="T45" i="39" s="1"/>
  <c r="M86" i="41"/>
  <c r="G12" i="42" a="1"/>
  <c r="G12" i="42" s="1"/>
  <c r="M12" i="42" s="1"/>
  <c r="G116" i="43" a="1"/>
  <c r="G116" i="43" s="1"/>
  <c r="M116" i="43" s="1"/>
  <c r="G55" i="43" a="1"/>
  <c r="G55" i="43" s="1"/>
  <c r="M55" i="43" s="1"/>
  <c r="K65" i="40" a="1"/>
  <c r="K65" i="40" s="1"/>
  <c r="H76" i="33" a="1"/>
  <c r="H76" i="33" s="1"/>
  <c r="H77" i="33" a="1"/>
  <c r="H77" i="33" s="1"/>
  <c r="J76" i="33" a="1"/>
  <c r="J76" i="33" s="1"/>
  <c r="G128" i="42" a="1"/>
  <c r="G128" i="42" s="1"/>
  <c r="M128" i="42" s="1"/>
  <c r="L505" i="39" a="1"/>
  <c r="L505" i="39" s="1"/>
  <c r="W505" i="39" s="1" a="1"/>
  <c r="W505" i="39" s="1"/>
  <c r="X505" i="39" s="1"/>
  <c r="G175" i="42" a="1"/>
  <c r="G175" i="42" s="1"/>
  <c r="M175" i="42" s="1"/>
  <c r="R45" i="39" a="1"/>
  <c r="R45" i="39" s="1"/>
  <c r="R321" i="39" a="1"/>
  <c r="R321" i="39" s="1"/>
  <c r="L85" i="41"/>
  <c r="L86" i="41"/>
  <c r="L69" i="41"/>
  <c r="L84" i="41"/>
  <c r="J51" i="33" a="1"/>
  <c r="J51" i="33" s="1"/>
  <c r="G82" i="42" a="1"/>
  <c r="G82" i="42" s="1"/>
  <c r="M82" i="42" s="1"/>
  <c r="K64" i="40" a="1"/>
  <c r="K64" i="40" s="1"/>
  <c r="H78" i="33" a="1"/>
  <c r="H78" i="33" s="1"/>
  <c r="J78" i="33" a="1"/>
  <c r="J78" i="33" s="1"/>
  <c r="H58" i="34" a="1"/>
  <c r="H58" i="34" s="1"/>
  <c r="O85" i="41"/>
  <c r="O84" i="41"/>
  <c r="S45" i="39" a="1"/>
  <c r="S45" i="39" s="1"/>
  <c r="S321" i="39" a="1"/>
  <c r="S321" i="39" s="1"/>
  <c r="O69" i="41"/>
  <c r="O86" i="41"/>
  <c r="N86" i="41"/>
  <c r="U321" i="39" a="1"/>
  <c r="U321" i="39" s="1"/>
  <c r="N69" i="41"/>
  <c r="U45" i="39" a="1"/>
  <c r="U45" i="39" s="1"/>
  <c r="N84" i="41"/>
  <c r="N85" i="41"/>
  <c r="G140" i="42" a="1"/>
  <c r="G140" i="42" s="1"/>
  <c r="M140" i="42" s="1"/>
  <c r="L413" i="39" a="1"/>
  <c r="L413" i="39" s="1"/>
  <c r="W413" i="39" s="1" a="1"/>
  <c r="W413" i="39" s="1"/>
  <c r="X413" i="39" s="1"/>
  <c r="G148" i="42" a="1"/>
  <c r="G148" i="42" s="1"/>
  <c r="M148" i="42" s="1"/>
  <c r="G151" i="42" a="1"/>
  <c r="G151" i="42" s="1"/>
  <c r="M151" i="42" s="1"/>
  <c r="H51" i="33" a="1"/>
  <c r="H51" i="33" s="1"/>
  <c r="L554" i="39" a="1"/>
  <c r="L554" i="39" s="1"/>
  <c r="W554" i="39" s="1" a="1"/>
  <c r="W554" i="39" s="1"/>
  <c r="X554" i="39" s="1"/>
  <c r="L450" i="39" a="1"/>
  <c r="L450" i="39" s="1"/>
  <c r="W450" i="39" s="1" a="1"/>
  <c r="W450" i="39" s="1"/>
  <c r="X450" i="39" s="1"/>
  <c r="G78" i="33" a="1"/>
  <c r="G78" i="33" s="1"/>
  <c r="G76" i="33" a="1"/>
  <c r="G76" i="33" s="1"/>
  <c r="G77" i="33" a="1"/>
  <c r="G77" i="33" s="1"/>
  <c r="G51" i="33" a="1"/>
  <c r="G51" i="33" s="1"/>
  <c r="N28" i="40"/>
  <c r="P137" i="39"/>
  <c r="N71" i="40"/>
  <c r="N70" i="40"/>
  <c r="W330" i="39" a="1"/>
  <c r="W330" i="39" s="1"/>
  <c r="X330" i="39" s="1"/>
  <c r="W303" i="39" a="1"/>
  <c r="W303" i="39" s="1"/>
  <c r="X303" i="39" s="1"/>
  <c r="G16" i="42" a="1"/>
  <c r="G16" i="42" s="1"/>
  <c r="M16" i="42" s="1"/>
  <c r="W395" i="39" a="1"/>
  <c r="W395" i="39" s="1"/>
  <c r="X395" i="39" s="1"/>
  <c r="W37" i="39" a="1"/>
  <c r="W37" i="39" s="1"/>
  <c r="X37" i="39" s="1"/>
  <c r="K74" i="40" a="1"/>
  <c r="K74" i="40" s="1"/>
  <c r="K4" i="40" a="1"/>
  <c r="K4" i="40" s="1"/>
  <c r="N237" i="39" a="1"/>
  <c r="N237" i="39" s="1"/>
  <c r="K73" i="40" a="1"/>
  <c r="K73" i="40" s="1"/>
  <c r="G92" i="43" a="1"/>
  <c r="G92" i="43" s="1"/>
  <c r="M92" i="43" s="1"/>
  <c r="L67" i="39" a="1"/>
  <c r="L67" i="39" s="1"/>
  <c r="W67" i="39" s="1" a="1"/>
  <c r="W67" i="39" s="1"/>
  <c r="X67" i="39" s="1"/>
  <c r="G91" i="43" a="1"/>
  <c r="G91" i="43" s="1"/>
  <c r="M91" i="43" s="1"/>
  <c r="L485" i="39" a="1"/>
  <c r="L485" i="39" s="1"/>
  <c r="W485" i="39" s="1" a="1"/>
  <c r="W485" i="39" s="1"/>
  <c r="X485" i="39" s="1"/>
  <c r="G90" i="43" a="1"/>
  <c r="G90" i="43" s="1"/>
  <c r="M90" i="43" s="1"/>
  <c r="G5" i="43" a="1"/>
  <c r="G5" i="43" s="1"/>
  <c r="M5" i="43" s="1"/>
  <c r="G161" i="42" a="1"/>
  <c r="G161" i="42" s="1"/>
  <c r="M161" i="42" s="1"/>
  <c r="G188" i="42" a="1"/>
  <c r="G188" i="42" s="1"/>
  <c r="M188" i="42" s="1"/>
  <c r="G179" i="42" a="1"/>
  <c r="G179" i="42" s="1"/>
  <c r="M179" i="42" s="1"/>
  <c r="L277" i="39" a="1"/>
  <c r="L277" i="39" s="1"/>
  <c r="W277" i="39" s="1" a="1"/>
  <c r="W277" i="39" s="1"/>
  <c r="X277" i="39" s="1"/>
  <c r="G185" i="42" a="1"/>
  <c r="G185" i="42" s="1"/>
  <c r="M185" i="42" s="1"/>
  <c r="L257" i="39" a="1"/>
  <c r="L257" i="39" s="1"/>
  <c r="W257" i="39" s="1" a="1"/>
  <c r="W257" i="39" s="1"/>
  <c r="X257" i="39" s="1"/>
  <c r="G104" i="42" a="1"/>
  <c r="G104" i="42" s="1"/>
  <c r="M104" i="42" s="1"/>
  <c r="G8" i="42" a="1"/>
  <c r="G8" i="42" s="1"/>
  <c r="M8" i="42" s="1"/>
  <c r="L65" i="39" a="1"/>
  <c r="L65" i="39" s="1"/>
  <c r="W65" i="39" s="1" a="1"/>
  <c r="W65" i="39" s="1"/>
  <c r="X65" i="39" s="1"/>
  <c r="L149" i="39" a="1"/>
  <c r="L149" i="39" s="1"/>
  <c r="W149" i="39" s="1" a="1"/>
  <c r="W149" i="39" s="1"/>
  <c r="X149" i="39" s="1"/>
  <c r="H62" i="40" a="1"/>
  <c r="H62" i="40" s="1"/>
  <c r="J204" i="39" a="1"/>
  <c r="J204" i="39" s="1"/>
  <c r="J62" i="40" a="1"/>
  <c r="J62" i="40" s="1"/>
  <c r="I204" i="39" a="1"/>
  <c r="I204" i="39" s="1"/>
  <c r="W310" i="39" a="1"/>
  <c r="W310" i="39" s="1"/>
  <c r="X310" i="39" s="1"/>
  <c r="G15" i="34" a="1"/>
  <c r="G15" i="34" s="1"/>
  <c r="W508" i="39" a="1"/>
  <c r="W508" i="39" s="1"/>
  <c r="X508" i="39" s="1"/>
  <c r="G9" i="33" a="1"/>
  <c r="G9" i="33" s="1"/>
  <c r="G23" i="33" a="1"/>
  <c r="G23" i="33" s="1"/>
  <c r="G71" i="34" a="1"/>
  <c r="G71" i="34" s="1"/>
  <c r="I15" i="34" a="1"/>
  <c r="I15" i="34" s="1"/>
  <c r="J23" i="33" a="1"/>
  <c r="J23" i="33" s="1"/>
  <c r="J9" i="33" a="1"/>
  <c r="J9" i="33" s="1"/>
  <c r="G70" i="42" a="1"/>
  <c r="G70" i="42" s="1"/>
  <c r="M70" i="42" s="1"/>
  <c r="W289" i="39" a="1"/>
  <c r="W289" i="39" s="1"/>
  <c r="X289" i="39" s="1"/>
  <c r="W249" i="39" a="1"/>
  <c r="W249" i="39" s="1"/>
  <c r="X249" i="39" s="1"/>
  <c r="G74" i="34" a="1"/>
  <c r="G74" i="34" s="1"/>
  <c r="H15" i="34" a="1"/>
  <c r="H15" i="34" s="1"/>
  <c r="G74" i="42" a="1"/>
  <c r="G74" i="42" s="1"/>
  <c r="M74" i="42" s="1"/>
  <c r="G70" i="34" a="1"/>
  <c r="G70" i="34" s="1"/>
  <c r="H23" i="33" a="1"/>
  <c r="H23" i="33" s="1"/>
  <c r="H47" i="36" a="1"/>
  <c r="H47" i="36" s="1"/>
  <c r="M47" i="36" s="1"/>
  <c r="G44" i="42" a="1"/>
  <c r="G44" i="42" s="1"/>
  <c r="M44" i="42" s="1"/>
  <c r="H9" i="33" a="1"/>
  <c r="H9" i="33" s="1"/>
  <c r="G29" i="42" a="1"/>
  <c r="G29" i="42" s="1"/>
  <c r="M29" i="42" s="1"/>
  <c r="L266" i="39" a="1"/>
  <c r="L266" i="39" s="1"/>
  <c r="W266" i="39" s="1" a="1"/>
  <c r="W266" i="39" s="1"/>
  <c r="X266" i="39" s="1"/>
  <c r="R49" i="39" a="1"/>
  <c r="R49" i="39" s="1"/>
  <c r="L60" i="41"/>
  <c r="R7" i="39" a="1"/>
  <c r="R7" i="39" s="1"/>
  <c r="L73" i="41"/>
  <c r="L59" i="41"/>
  <c r="L58" i="41"/>
  <c r="N58" i="41"/>
  <c r="N59" i="41"/>
  <c r="U7" i="39" a="1"/>
  <c r="U7" i="39" s="1"/>
  <c r="N60" i="41"/>
  <c r="U49" i="39" a="1"/>
  <c r="U49" i="39" s="1"/>
  <c r="N73" i="41"/>
  <c r="L293" i="39" a="1"/>
  <c r="L293" i="39" s="1"/>
  <c r="W293" i="39" s="1" a="1"/>
  <c r="W293" i="39" s="1"/>
  <c r="X293" i="39" s="1"/>
  <c r="S7" i="39" a="1"/>
  <c r="S7" i="39" s="1"/>
  <c r="O73" i="41"/>
  <c r="O58" i="41"/>
  <c r="S49" i="39" a="1"/>
  <c r="S49" i="39" s="1"/>
  <c r="O60" i="41"/>
  <c r="O59" i="41"/>
  <c r="N356" i="39" a="1"/>
  <c r="N356" i="39" s="1"/>
  <c r="N10" i="39" a="1"/>
  <c r="N10" i="39" s="1"/>
  <c r="M59" i="41"/>
  <c r="T7" i="39" a="1"/>
  <c r="T7" i="39" s="1"/>
  <c r="T49" i="39" a="1"/>
  <c r="T49" i="39" s="1"/>
  <c r="M60" i="41"/>
  <c r="M73" i="41"/>
  <c r="M58" i="41"/>
  <c r="G11" i="43" a="1"/>
  <c r="G11" i="43" s="1"/>
  <c r="M11" i="43" s="1"/>
  <c r="G12" i="43" a="1"/>
  <c r="G12" i="43" s="1"/>
  <c r="M12" i="43" s="1"/>
  <c r="N3" i="40"/>
  <c r="P259" i="39"/>
  <c r="N42" i="40"/>
  <c r="L66" i="39" a="1"/>
  <c r="L66" i="39" s="1"/>
  <c r="W66" i="39" s="1" a="1"/>
  <c r="W66" i="39" s="1"/>
  <c r="X66" i="39" s="1"/>
  <c r="G10" i="43" a="1"/>
  <c r="G10" i="43" s="1"/>
  <c r="M10" i="43" s="1"/>
  <c r="K32" i="40" a="1"/>
  <c r="K32" i="40" s="1"/>
  <c r="L150" i="39" a="1"/>
  <c r="L150" i="39" s="1"/>
  <c r="W150" i="39" s="1" a="1"/>
  <c r="W150" i="39" s="1"/>
  <c r="X150" i="39" s="1"/>
  <c r="L379" i="39" a="1"/>
  <c r="L379" i="39" s="1"/>
  <c r="W379" i="39" s="1" a="1"/>
  <c r="W379" i="39" s="1"/>
  <c r="X379" i="39" s="1"/>
  <c r="L107" i="39" a="1"/>
  <c r="L107" i="39" s="1"/>
  <c r="W107" i="39" s="1" a="1"/>
  <c r="W107" i="39" s="1"/>
  <c r="X107" i="39" s="1"/>
  <c r="G50" i="43" a="1"/>
  <c r="G50" i="43" s="1"/>
  <c r="M50" i="43" s="1"/>
  <c r="M2" i="35"/>
  <c r="M94" i="43"/>
  <c r="W566" i="39" a="1"/>
  <c r="W566" i="39" s="1"/>
  <c r="X566" i="39" s="1"/>
  <c r="W333" i="39" a="1"/>
  <c r="W333" i="39" s="1"/>
  <c r="X333" i="39" s="1"/>
  <c r="W329" i="39" a="1"/>
  <c r="W329" i="39" s="1"/>
  <c r="X329" i="39" s="1"/>
  <c r="G22" i="40" a="1"/>
  <c r="G22" i="40" s="1"/>
  <c r="W262" i="39" a="1"/>
  <c r="W262" i="39" s="1"/>
  <c r="X262" i="39" s="1"/>
  <c r="W553" i="39" a="1"/>
  <c r="W553" i="39" s="1"/>
  <c r="X553" i="39" s="1"/>
  <c r="G7" i="40" a="1"/>
  <c r="G7" i="40" s="1"/>
  <c r="G53" i="40" a="1"/>
  <c r="G53" i="40" s="1"/>
  <c r="G48" i="40" a="1"/>
  <c r="G48" i="40" s="1"/>
  <c r="M84" i="43"/>
  <c r="M106" i="42"/>
  <c r="W421" i="39" a="1"/>
  <c r="W421" i="39" s="1"/>
  <c r="W432" i="39" a="1"/>
  <c r="W432" i="39" s="1"/>
  <c r="X432" i="39" s="1"/>
  <c r="W471" i="39" a="1"/>
  <c r="W471" i="39" s="1"/>
  <c r="X471" i="39" s="1"/>
  <c r="W278" i="39" a="1"/>
  <c r="W278" i="39" s="1"/>
  <c r="M28" i="42"/>
  <c r="W320" i="39" a="1"/>
  <c r="W320" i="39" s="1"/>
  <c r="X320" i="39" s="1"/>
  <c r="M207" i="42"/>
  <c r="W316" i="39" a="1"/>
  <c r="W316" i="39" s="1"/>
  <c r="X316" i="39" s="1"/>
  <c r="W296" i="39" a="1"/>
  <c r="W296" i="39" s="1"/>
  <c r="X296" i="39" s="1"/>
  <c r="W346" i="39" a="1"/>
  <c r="W346" i="39" s="1"/>
  <c r="X346" i="39" s="1"/>
  <c r="W120" i="39" a="1"/>
  <c r="W120" i="39" s="1"/>
  <c r="X120" i="39" s="1"/>
  <c r="W327" i="39" a="1"/>
  <c r="W327" i="39" s="1"/>
  <c r="X327" i="39" s="1"/>
  <c r="M202" i="42"/>
  <c r="W548" i="39" a="1"/>
  <c r="W548" i="39" s="1"/>
  <c r="X548" i="39" s="1"/>
  <c r="W530" i="39" a="1"/>
  <c r="W530" i="39" s="1"/>
  <c r="X530" i="39" s="1"/>
  <c r="W337" i="39" a="1"/>
  <c r="W337" i="39" s="1"/>
  <c r="X337" i="39" s="1"/>
  <c r="H48" i="40" a="1"/>
  <c r="H48" i="40" s="1"/>
  <c r="W510" i="39" a="1"/>
  <c r="W510" i="39" s="1"/>
  <c r="X510" i="39" s="1"/>
  <c r="M204" i="42"/>
  <c r="M201" i="42"/>
  <c r="J201" i="39" a="1"/>
  <c r="J201" i="39" s="1"/>
  <c r="J48" i="40" a="1"/>
  <c r="J48" i="40" s="1"/>
  <c r="W46" i="39" a="1"/>
  <c r="W46" i="39" s="1"/>
  <c r="X46" i="39" s="1"/>
  <c r="M34" i="42"/>
  <c r="M88" i="42"/>
  <c r="J7" i="40" a="1"/>
  <c r="J7" i="40" s="1"/>
  <c r="J53" i="40" a="1"/>
  <c r="J53" i="40" s="1"/>
  <c r="M153" i="42"/>
  <c r="J22" i="40" a="1"/>
  <c r="J22" i="40" s="1"/>
  <c r="W172" i="39" a="1"/>
  <c r="W172" i="39" s="1"/>
  <c r="X172" i="39" s="1"/>
  <c r="H53" i="40" a="1"/>
  <c r="H53" i="40" s="1"/>
  <c r="I201" i="39" a="1"/>
  <c r="I201" i="39" s="1"/>
  <c r="W455" i="39" a="1"/>
  <c r="W455" i="39" s="1"/>
  <c r="X455" i="39" s="1"/>
  <c r="H7" i="40" a="1"/>
  <c r="H7" i="40" s="1"/>
  <c r="J464" i="39" a="1"/>
  <c r="J464" i="39" s="1"/>
  <c r="M92" i="42"/>
  <c r="H22" i="40" a="1"/>
  <c r="H22" i="40" s="1"/>
  <c r="P203" i="39"/>
  <c r="N27" i="40"/>
  <c r="N56" i="40"/>
  <c r="M112" i="43"/>
  <c r="I464" i="39" a="1"/>
  <c r="I464" i="39" s="1"/>
  <c r="M97" i="43"/>
  <c r="N6" i="41"/>
  <c r="N50" i="41"/>
  <c r="N52" i="41"/>
  <c r="N51" i="41"/>
  <c r="U40" i="39" a="1"/>
  <c r="U40" i="39" s="1"/>
  <c r="U162" i="39" a="1"/>
  <c r="U162" i="39" s="1"/>
  <c r="W56" i="39" a="1"/>
  <c r="W56" i="39" s="1"/>
  <c r="X56" i="39" s="1"/>
  <c r="J55" i="34" a="1"/>
  <c r="J55" i="34" s="1"/>
  <c r="Q55" i="34" s="1"/>
  <c r="M4" i="43"/>
  <c r="W509" i="39" a="1"/>
  <c r="W509" i="39" s="1"/>
  <c r="X509" i="39" s="1"/>
  <c r="M37" i="42"/>
  <c r="W221" i="39" a="1"/>
  <c r="W221" i="39" s="1"/>
  <c r="X221" i="39" s="1"/>
  <c r="W264" i="39" a="1"/>
  <c r="W264" i="39" s="1"/>
  <c r="X264" i="39" s="1"/>
  <c r="K8" i="41" a="1"/>
  <c r="K8" i="41" s="1"/>
  <c r="K76" i="41" a="1"/>
  <c r="K76" i="41" s="1"/>
  <c r="N50" i="39" a="1"/>
  <c r="N50" i="39" s="1"/>
  <c r="K105" i="41" a="1"/>
  <c r="K105" i="41" s="1"/>
  <c r="N41" i="39" a="1"/>
  <c r="N41" i="39" s="1"/>
  <c r="N364" i="39" a="1"/>
  <c r="N364" i="39" s="1"/>
  <c r="K103" i="41" a="1"/>
  <c r="K103" i="41" s="1"/>
  <c r="K10" i="41" a="1"/>
  <c r="K10" i="41" s="1"/>
  <c r="K104" i="41" a="1"/>
  <c r="K104" i="41" s="1"/>
  <c r="K7" i="41" a="1"/>
  <c r="K7" i="41" s="1"/>
  <c r="K9" i="41" a="1"/>
  <c r="K9" i="41" s="1"/>
  <c r="N59" i="39" a="1"/>
  <c r="N59" i="39" s="1"/>
  <c r="M3" i="43"/>
  <c r="W549" i="39" a="1"/>
  <c r="W549" i="39" s="1"/>
  <c r="X549" i="39" s="1"/>
  <c r="M52" i="41"/>
  <c r="T162" i="39" a="1"/>
  <c r="T162" i="39" s="1"/>
  <c r="M6" i="41"/>
  <c r="M50" i="41"/>
  <c r="T40" i="39" a="1"/>
  <c r="T40" i="39" s="1"/>
  <c r="M51" i="41"/>
  <c r="M85" i="43"/>
  <c r="M184" i="42"/>
  <c r="W62" i="39" a="1"/>
  <c r="W62" i="39" s="1"/>
  <c r="X62" i="39" s="1"/>
  <c r="M178" i="42"/>
  <c r="L51" i="41"/>
  <c r="R40" i="39" a="1"/>
  <c r="R40" i="39" s="1"/>
  <c r="L50" i="41"/>
  <c r="L52" i="41"/>
  <c r="R162" i="39" a="1"/>
  <c r="R162" i="39" s="1"/>
  <c r="L6" i="41"/>
  <c r="M191" i="42"/>
  <c r="O6" i="41"/>
  <c r="S162" i="39" a="1"/>
  <c r="S162" i="39" s="1"/>
  <c r="S40" i="39" a="1"/>
  <c r="S40" i="39" s="1"/>
  <c r="O52" i="41"/>
  <c r="O50" i="41"/>
  <c r="O51" i="41"/>
  <c r="N254" i="39" a="1"/>
  <c r="N254" i="39" s="1"/>
  <c r="N567" i="39" a="1"/>
  <c r="N567" i="39" s="1"/>
  <c r="M45" i="42"/>
  <c r="G27" i="40" a="1"/>
  <c r="G27" i="40" s="1"/>
  <c r="G6" i="40" a="1"/>
  <c r="G6" i="40" s="1"/>
  <c r="G15" i="40" a="1"/>
  <c r="G15" i="40" s="1"/>
  <c r="G67" i="40" a="1"/>
  <c r="G67" i="40" s="1"/>
  <c r="G47" i="40" a="1"/>
  <c r="G47" i="40" s="1"/>
  <c r="G77" i="40" a="1"/>
  <c r="G77" i="40" s="1"/>
  <c r="G56" i="40" a="1"/>
  <c r="G56" i="40" s="1"/>
  <c r="G61" i="40" a="1"/>
  <c r="G61" i="40" s="1"/>
  <c r="G79" i="40" a="1"/>
  <c r="G79" i="40" s="1"/>
  <c r="G68" i="40" a="1"/>
  <c r="G68" i="40" s="1"/>
  <c r="G51" i="40" a="1"/>
  <c r="G51" i="40" s="1"/>
  <c r="G42" i="40" a="1"/>
  <c r="G42" i="40" s="1"/>
  <c r="G34" i="40" a="1"/>
  <c r="G34" i="40" s="1"/>
  <c r="G38" i="40" a="1"/>
  <c r="G38" i="40" s="1"/>
  <c r="G33" i="40" a="1"/>
  <c r="G33" i="40" s="1"/>
  <c r="G28" i="40" a="1"/>
  <c r="G28" i="40" s="1"/>
  <c r="G17" i="40" a="1"/>
  <c r="G17" i="40" s="1"/>
  <c r="G36" i="40" a="1"/>
  <c r="G36" i="40" s="1"/>
  <c r="G85" i="40" a="1"/>
  <c r="G85" i="40" s="1"/>
  <c r="M58" i="42"/>
  <c r="G44" i="40" a="1"/>
  <c r="G44" i="40" s="1"/>
  <c r="G43" i="40" a="1"/>
  <c r="G43" i="40" s="1"/>
  <c r="G45" i="40" a="1"/>
  <c r="G45" i="40" s="1"/>
  <c r="G69" i="40" a="1"/>
  <c r="G69" i="40" s="1"/>
  <c r="M55" i="42"/>
  <c r="K12" i="40" a="1"/>
  <c r="K12" i="40" s="1"/>
  <c r="K66" i="40" a="1"/>
  <c r="K66" i="40" s="1"/>
  <c r="M9" i="42"/>
  <c r="M68" i="43"/>
  <c r="G70" i="40" a="1"/>
  <c r="G70" i="40" s="1"/>
  <c r="G13" i="40" a="1"/>
  <c r="G13" i="40" s="1"/>
  <c r="G86" i="40" a="1"/>
  <c r="G86" i="40" s="1"/>
  <c r="G75" i="40" a="1"/>
  <c r="G75" i="40" s="1"/>
  <c r="G59" i="40" a="1"/>
  <c r="G59" i="40" s="1"/>
  <c r="G81" i="40" a="1"/>
  <c r="G81" i="40" s="1"/>
  <c r="H3" i="38"/>
  <c r="G14" i="40" a="1"/>
  <c r="G14" i="40" s="1"/>
  <c r="G31" i="40" a="1"/>
  <c r="G31" i="40" s="1"/>
  <c r="G46" i="40" a="1"/>
  <c r="G46" i="40" s="1"/>
  <c r="G30" i="40" a="1"/>
  <c r="G30" i="40" s="1"/>
  <c r="G19" i="40" a="1"/>
  <c r="G19" i="40" s="1"/>
  <c r="G11" i="40" a="1"/>
  <c r="G11" i="40" s="1"/>
  <c r="G5" i="40" a="1"/>
  <c r="G5" i="40" s="1"/>
  <c r="G76" i="40" a="1"/>
  <c r="G76" i="40" s="1"/>
  <c r="M104" i="43"/>
  <c r="M100" i="43"/>
  <c r="M14" i="42"/>
  <c r="M152" i="42"/>
  <c r="M69" i="42"/>
  <c r="M79" i="42"/>
  <c r="M24" i="42"/>
  <c r="M94" i="42"/>
  <c r="G52" i="40" a="1"/>
  <c r="G52" i="40" s="1"/>
  <c r="G71" i="40" a="1"/>
  <c r="G71" i="40" s="1"/>
  <c r="G54" i="40" a="1"/>
  <c r="G54" i="40" s="1"/>
  <c r="G40" i="40" a="1"/>
  <c r="G40" i="40" s="1"/>
  <c r="G55" i="40" a="1"/>
  <c r="G55" i="40" s="1"/>
  <c r="G26" i="40" a="1"/>
  <c r="G26" i="40" s="1"/>
  <c r="G60" i="40" a="1"/>
  <c r="G60" i="40" s="1"/>
  <c r="G39" i="40" a="1"/>
  <c r="G39" i="40" s="1"/>
  <c r="G80" i="40" a="1"/>
  <c r="G80" i="40" s="1"/>
  <c r="G37" i="40" a="1"/>
  <c r="G37" i="40" s="1"/>
  <c r="G62" i="40" a="1"/>
  <c r="G62" i="40" s="1"/>
  <c r="G3" i="40" a="1"/>
  <c r="G3" i="40" s="1"/>
  <c r="G18" i="40" a="1"/>
  <c r="G18" i="40" s="1"/>
  <c r="W438" i="39" a="1"/>
  <c r="W438" i="39" s="1"/>
  <c r="X438" i="39" s="1"/>
  <c r="M156" i="42"/>
  <c r="W55" i="39" a="1"/>
  <c r="W55" i="39" s="1"/>
  <c r="X55" i="39" s="1"/>
  <c r="M100" i="42"/>
  <c r="M23" i="42"/>
  <c r="M40" i="42"/>
  <c r="M96" i="42"/>
  <c r="M89" i="43"/>
  <c r="M42" i="43"/>
  <c r="M28" i="43"/>
  <c r="M101" i="43"/>
  <c r="W123" i="39" a="1"/>
  <c r="W123" i="39" s="1"/>
  <c r="X123" i="39" s="1"/>
  <c r="M78" i="42"/>
  <c r="M19" i="42"/>
  <c r="M10" i="42"/>
  <c r="M104" i="35"/>
  <c r="M44" i="43"/>
  <c r="M81" i="43"/>
  <c r="M15" i="43"/>
  <c r="M106" i="43"/>
  <c r="M80" i="43"/>
  <c r="W171" i="39" a="1"/>
  <c r="W171" i="39" s="1"/>
  <c r="X171" i="39" s="1"/>
  <c r="W238" i="39" a="1"/>
  <c r="W238" i="39" s="1"/>
  <c r="X238" i="39" s="1"/>
  <c r="M67" i="42"/>
  <c r="M57" i="42"/>
  <c r="M91" i="42"/>
  <c r="M47" i="42"/>
  <c r="M52" i="42"/>
  <c r="M102" i="42"/>
  <c r="M60" i="42"/>
  <c r="M99" i="42"/>
  <c r="M65" i="42"/>
  <c r="M124" i="42"/>
  <c r="M84" i="42"/>
  <c r="M21" i="42"/>
  <c r="M68" i="42"/>
  <c r="M71" i="42"/>
  <c r="W71" i="39" a="1"/>
  <c r="W71" i="39" s="1"/>
  <c r="X71" i="39" s="1"/>
  <c r="W31" i="39" a="1"/>
  <c r="W31" i="39" s="1"/>
  <c r="X31" i="39" s="1"/>
  <c r="W132" i="39" a="1"/>
  <c r="W132" i="39" s="1"/>
  <c r="X132" i="39" s="1"/>
  <c r="W186" i="39" a="1"/>
  <c r="W186" i="39" s="1"/>
  <c r="X186" i="39" s="1"/>
  <c r="W380" i="39" a="1"/>
  <c r="W380" i="39" s="1"/>
  <c r="X380" i="39" s="1"/>
  <c r="J75" i="40" a="1"/>
  <c r="J75" i="40" s="1"/>
  <c r="J47" i="40" a="1"/>
  <c r="J47" i="40" s="1"/>
  <c r="M64" i="42"/>
  <c r="M22" i="42"/>
  <c r="M166" i="42"/>
  <c r="M158" i="42"/>
  <c r="W341" i="39" a="1"/>
  <c r="W341" i="39" s="1"/>
  <c r="X341" i="39" s="1"/>
  <c r="W426" i="39" a="1"/>
  <c r="W426" i="39" s="1"/>
  <c r="X426" i="39" s="1"/>
  <c r="M167" i="42"/>
  <c r="W406" i="39" a="1"/>
  <c r="W406" i="39" s="1"/>
  <c r="X406" i="39" s="1"/>
  <c r="M157" i="42"/>
  <c r="M54" i="42"/>
  <c r="M154" i="42"/>
  <c r="M20" i="42"/>
  <c r="M3" i="42"/>
  <c r="C38" i="38"/>
  <c r="N496" i="39" a="1"/>
  <c r="N496" i="39" s="1"/>
  <c r="N529" i="39" a="1"/>
  <c r="N529" i="39" s="1"/>
  <c r="N504" i="39" a="1"/>
  <c r="N504" i="39" s="1"/>
  <c r="N561" i="39" a="1"/>
  <c r="N561" i="39" s="1"/>
  <c r="N169" i="39" a="1"/>
  <c r="N169" i="39" s="1"/>
  <c r="N136" i="39" a="1"/>
  <c r="N136" i="39" s="1"/>
  <c r="N306" i="39" a="1"/>
  <c r="N306" i="39" s="1"/>
  <c r="N311" i="39" a="1"/>
  <c r="N311" i="39" s="1"/>
  <c r="N187" i="39" a="1"/>
  <c r="N187" i="39" s="1"/>
  <c r="N328" i="39" a="1"/>
  <c r="N328" i="39" s="1"/>
  <c r="N480" i="39" a="1"/>
  <c r="N480" i="39" s="1"/>
  <c r="N536" i="39" a="1"/>
  <c r="N536" i="39" s="1"/>
  <c r="N334" i="39" a="1"/>
  <c r="N334" i="39" s="1"/>
  <c r="N230" i="39" a="1"/>
  <c r="N230" i="39" s="1"/>
  <c r="N222" i="39" a="1"/>
  <c r="N222" i="39" s="1"/>
  <c r="N345" i="39" a="1"/>
  <c r="N345" i="39" s="1"/>
  <c r="N467" i="39" a="1"/>
  <c r="N467" i="39" s="1"/>
  <c r="N544" i="39" a="1"/>
  <c r="N544" i="39" s="1"/>
  <c r="N324" i="39" a="1"/>
  <c r="N324" i="39" s="1"/>
  <c r="N248" i="39" a="1"/>
  <c r="N248" i="39" s="1"/>
  <c r="N300" i="39" a="1"/>
  <c r="N300" i="39" s="1"/>
  <c r="N299" i="39" a="1"/>
  <c r="N299" i="39" s="1"/>
  <c r="N295" i="39" a="1"/>
  <c r="N295" i="39" s="1"/>
  <c r="M25" i="42"/>
  <c r="N465" i="39" a="1"/>
  <c r="N465" i="39" s="1"/>
  <c r="N447" i="39" a="1"/>
  <c r="N447" i="39" s="1"/>
  <c r="N411" i="39" a="1"/>
  <c r="N411" i="39" s="1"/>
  <c r="X411" i="39" s="1"/>
  <c r="N541" i="39" a="1"/>
  <c r="N541" i="39" s="1"/>
  <c r="N33" i="39" a="1"/>
  <c r="N33" i="39" s="1"/>
  <c r="N357" i="39" a="1"/>
  <c r="N357" i="39" s="1"/>
  <c r="X357" i="39" s="1"/>
  <c r="N4" i="39" a="1"/>
  <c r="N4" i="39" s="1"/>
  <c r="N24" i="39" a="1"/>
  <c r="N24" i="39" s="1"/>
  <c r="N49" i="39" a="1"/>
  <c r="N49" i="39" s="1"/>
  <c r="N15" i="39" a="1"/>
  <c r="N15" i="39" s="1"/>
  <c r="N94" i="39" a="1"/>
  <c r="N94" i="39" s="1"/>
  <c r="N128" i="39" a="1"/>
  <c r="N128" i="39" s="1"/>
  <c r="N338" i="39" a="1"/>
  <c r="N338" i="39" s="1"/>
  <c r="N363" i="39" a="1"/>
  <c r="N363" i="39" s="1"/>
  <c r="N111" i="39" a="1"/>
  <c r="N111" i="39" s="1"/>
  <c r="N410" i="39" a="1"/>
  <c r="N410" i="39" s="1"/>
  <c r="N558" i="39" a="1"/>
  <c r="N558" i="39" s="1"/>
  <c r="N45" i="39" a="1"/>
  <c r="N45" i="39" s="1"/>
  <c r="N32" i="39" a="1"/>
  <c r="N32" i="39" s="1"/>
  <c r="N6" i="39" a="1"/>
  <c r="N6" i="39" s="1"/>
  <c r="N286" i="39" a="1"/>
  <c r="N286" i="39" s="1"/>
  <c r="N147" i="39" a="1"/>
  <c r="N147" i="39" s="1"/>
  <c r="X147" i="39" s="1"/>
  <c r="N370" i="39" a="1"/>
  <c r="N370" i="39" s="1"/>
  <c r="N365" i="39" a="1"/>
  <c r="N365" i="39" s="1"/>
  <c r="N369" i="39" a="1"/>
  <c r="N369" i="39" s="1"/>
  <c r="N373" i="39" a="1"/>
  <c r="N373" i="39" s="1"/>
  <c r="N17" i="39" a="1"/>
  <c r="N17" i="39" s="1"/>
  <c r="N27" i="39" a="1"/>
  <c r="N27" i="39" s="1"/>
  <c r="N34" i="39" a="1"/>
  <c r="N34" i="39" s="1"/>
  <c r="N374" i="39" a="1"/>
  <c r="N374" i="39" s="1"/>
  <c r="N429" i="39" a="1"/>
  <c r="N429" i="39" s="1"/>
  <c r="N40" i="39" a="1"/>
  <c r="N40" i="39" s="1"/>
  <c r="N321" i="39" a="1"/>
  <c r="N321" i="39" s="1"/>
  <c r="N38" i="39" a="1"/>
  <c r="N38" i="39" s="1"/>
  <c r="N20" i="39" a="1"/>
  <c r="N20" i="39" s="1"/>
  <c r="N213" i="39" a="1"/>
  <c r="N213" i="39" s="1"/>
  <c r="N21" i="39" a="1"/>
  <c r="N21" i="39" s="1"/>
  <c r="N391" i="39" a="1"/>
  <c r="N391" i="39" s="1"/>
  <c r="N178" i="39" a="1"/>
  <c r="N178" i="39" s="1"/>
  <c r="N74" i="39" a="1"/>
  <c r="N74" i="39" s="1"/>
  <c r="N267" i="39" a="1"/>
  <c r="N267" i="39" s="1"/>
  <c r="N234" i="39" a="1"/>
  <c r="N234" i="39" s="1"/>
  <c r="N162" i="39" a="1"/>
  <c r="N162" i="39" s="1"/>
  <c r="N7" i="39" a="1"/>
  <c r="N7" i="39" s="1"/>
  <c r="N355" i="39" a="1"/>
  <c r="N355" i="39" s="1"/>
  <c r="M105" i="42"/>
  <c r="M43" i="42"/>
  <c r="M101" i="42"/>
  <c r="M18" i="42"/>
  <c r="M5" i="42"/>
  <c r="M6" i="42"/>
  <c r="J40" i="40" a="1"/>
  <c r="J40" i="40" s="1"/>
  <c r="M107" i="42"/>
  <c r="M42" i="42"/>
  <c r="W417" i="39" a="1"/>
  <c r="W417" i="39" s="1"/>
  <c r="X417" i="39" s="1"/>
  <c r="W446" i="39" a="1"/>
  <c r="W446" i="39" s="1"/>
  <c r="X446" i="39" s="1"/>
  <c r="W11" i="39" a="1"/>
  <c r="W11" i="39" s="1"/>
  <c r="X11" i="39" s="1"/>
  <c r="W166" i="39" a="1"/>
  <c r="W166" i="39" s="1"/>
  <c r="X166" i="39" s="1"/>
  <c r="W433" i="39" a="1"/>
  <c r="W433" i="39" s="1"/>
  <c r="X433" i="39" s="1"/>
  <c r="W400" i="39" a="1"/>
  <c r="W400" i="39" s="1"/>
  <c r="X400" i="39" s="1"/>
  <c r="W90" i="39" a="1"/>
  <c r="W90" i="39" s="1"/>
  <c r="X90" i="39" s="1"/>
  <c r="W442" i="39" a="1"/>
  <c r="W442" i="39" s="1"/>
  <c r="X442" i="39" s="1"/>
  <c r="W185" i="39" a="1"/>
  <c r="W185" i="39" s="1"/>
  <c r="X185" i="39" s="1"/>
  <c r="W409" i="39" a="1"/>
  <c r="W409" i="39" s="1"/>
  <c r="X409" i="39" s="1"/>
  <c r="W174" i="39" a="1"/>
  <c r="W174" i="39" s="1"/>
  <c r="X174" i="39" s="1"/>
  <c r="W73" i="39" a="1"/>
  <c r="W73" i="39" s="1"/>
  <c r="X73" i="39" s="1"/>
  <c r="W290" i="39" a="1"/>
  <c r="W290" i="39" s="1"/>
  <c r="X290" i="39" s="1"/>
  <c r="W377" i="39" a="1"/>
  <c r="W377" i="39" s="1"/>
  <c r="X377" i="39" s="1"/>
  <c r="W113" i="39" a="1"/>
  <c r="W113" i="39" s="1"/>
  <c r="X113" i="39" s="1"/>
  <c r="W110" i="39" a="1"/>
  <c r="W110" i="39" s="1"/>
  <c r="X110" i="39" s="1"/>
  <c r="W142" i="39" a="1"/>
  <c r="W142" i="39" s="1"/>
  <c r="X142" i="39" s="1"/>
  <c r="W170" i="39" a="1"/>
  <c r="W170" i="39" s="1"/>
  <c r="X170" i="39" s="1"/>
  <c r="W78" i="39" a="1"/>
  <c r="W78" i="39" s="1"/>
  <c r="X78" i="39" s="1"/>
  <c r="W83" i="39" a="1"/>
  <c r="W83" i="39" s="1"/>
  <c r="X83" i="39" s="1"/>
  <c r="M90" i="42"/>
  <c r="M103" i="42"/>
  <c r="M169" i="42"/>
  <c r="M105" i="43"/>
  <c r="W381" i="39" a="1"/>
  <c r="W381" i="39" s="1"/>
  <c r="X381" i="39" s="1"/>
  <c r="W106" i="39" a="1"/>
  <c r="W106" i="39" s="1"/>
  <c r="X106" i="39" s="1"/>
  <c r="W70" i="39" a="1"/>
  <c r="W70" i="39" s="1"/>
  <c r="X70" i="39" s="1"/>
  <c r="W360" i="39" a="1"/>
  <c r="W360" i="39" s="1"/>
  <c r="X360" i="39" s="1"/>
  <c r="W193" i="39" a="1"/>
  <c r="W193" i="39" s="1"/>
  <c r="X193" i="39" s="1"/>
  <c r="W124" i="39" a="1"/>
  <c r="W124" i="39" s="1"/>
  <c r="X124" i="39" s="1"/>
  <c r="W390" i="39" a="1"/>
  <c r="W390" i="39" s="1"/>
  <c r="X390" i="39" s="1"/>
  <c r="W437" i="39" a="1"/>
  <c r="W437" i="39" s="1"/>
  <c r="X437" i="39" s="1"/>
  <c r="W208" i="39" a="1"/>
  <c r="W208" i="39" s="1"/>
  <c r="X208" i="39" s="1"/>
  <c r="W545" i="39" a="1"/>
  <c r="W545" i="39" s="1"/>
  <c r="X545" i="39" s="1"/>
  <c r="W98" i="39" a="1"/>
  <c r="W98" i="39" s="1"/>
  <c r="X98" i="39" s="1"/>
  <c r="W103" i="39" a="1"/>
  <c r="W103" i="39" s="1"/>
  <c r="X103" i="39" s="1"/>
  <c r="M165" i="42"/>
  <c r="W158" i="39" a="1"/>
  <c r="W158" i="39" s="1"/>
  <c r="X158" i="39" s="1"/>
  <c r="W401" i="39" a="1"/>
  <c r="W401" i="39" s="1"/>
  <c r="X401" i="39" s="1"/>
  <c r="W155" i="39" a="1"/>
  <c r="W155" i="39" s="1"/>
  <c r="X155" i="39" s="1"/>
  <c r="W190" i="39" a="1"/>
  <c r="W190" i="39" s="1"/>
  <c r="X190" i="39" s="1"/>
  <c r="W202" i="39" a="1"/>
  <c r="W202" i="39" s="1"/>
  <c r="X202" i="39" s="1"/>
  <c r="W387" i="39" a="1"/>
  <c r="W387" i="39" s="1"/>
  <c r="X387" i="39" s="1"/>
  <c r="W177" i="39" a="1"/>
  <c r="W177" i="39" s="1"/>
  <c r="X177" i="39" s="1"/>
  <c r="W342" i="39" a="1"/>
  <c r="W342" i="39" s="1"/>
  <c r="X342" i="39" s="1"/>
  <c r="W394" i="39" a="1"/>
  <c r="W394" i="39" s="1"/>
  <c r="X394" i="39" s="1"/>
  <c r="W117" i="39" a="1"/>
  <c r="W117" i="39" s="1"/>
  <c r="X117" i="39" s="1"/>
  <c r="W325" i="39" a="1"/>
  <c r="W325" i="39" s="1"/>
  <c r="X325" i="39" s="1"/>
  <c r="W271" i="39" a="1"/>
  <c r="W271" i="39" s="1"/>
  <c r="X271" i="39" s="1"/>
  <c r="W127" i="39" a="1"/>
  <c r="W127" i="39" s="1"/>
  <c r="X127" i="39" s="1"/>
  <c r="L428" i="39" a="1"/>
  <c r="L428" i="39" s="1"/>
  <c r="W428" i="39" s="1" a="1"/>
  <c r="W428" i="39" s="1"/>
  <c r="X428" i="39" s="1"/>
  <c r="L198" i="39" a="1"/>
  <c r="L198" i="39" s="1"/>
  <c r="W198" i="39" s="1" a="1"/>
  <c r="W198" i="39" s="1"/>
  <c r="X198" i="39" s="1"/>
  <c r="M123" i="42"/>
  <c r="W488" i="39" a="1"/>
  <c r="W488" i="39" s="1"/>
  <c r="X488" i="39" s="1"/>
  <c r="W89" i="39" a="1"/>
  <c r="W89" i="39" s="1"/>
  <c r="X89" i="39" s="1"/>
  <c r="W143" i="39" a="1"/>
  <c r="W143" i="39" s="1"/>
  <c r="X143" i="39" s="1"/>
  <c r="W145" i="39" a="1"/>
  <c r="W145" i="39" s="1"/>
  <c r="X145" i="39" s="1"/>
  <c r="W468" i="39" a="1"/>
  <c r="W468" i="39" s="1"/>
  <c r="X468" i="39" s="1"/>
  <c r="W398" i="39" a="1"/>
  <c r="W398" i="39" s="1"/>
  <c r="X398" i="39" s="1"/>
  <c r="W119" i="39" a="1"/>
  <c r="W119" i="39" s="1"/>
  <c r="X119" i="39" s="1"/>
  <c r="W82" i="39" a="1"/>
  <c r="W82" i="39" s="1"/>
  <c r="X82" i="39" s="1"/>
  <c r="W506" i="39" a="1"/>
  <c r="W506" i="39" s="1"/>
  <c r="M11" i="42"/>
  <c r="M95" i="42"/>
  <c r="W135" i="39" a="1"/>
  <c r="W135" i="39" s="1"/>
  <c r="X135" i="39" s="1"/>
  <c r="W386" i="39" a="1"/>
  <c r="W386" i="39" s="1"/>
  <c r="X386" i="39" s="1"/>
  <c r="W414" i="39" a="1"/>
  <c r="W414" i="39" s="1"/>
  <c r="X414" i="39" s="1"/>
  <c r="M53" i="42"/>
  <c r="M8" i="43"/>
  <c r="M103" i="43"/>
  <c r="W84" i="39" a="1"/>
  <c r="W84" i="39" s="1"/>
  <c r="X84" i="39" s="1"/>
  <c r="W154" i="39" a="1"/>
  <c r="W154" i="39" s="1"/>
  <c r="X154" i="39" s="1"/>
  <c r="W378" i="39" a="1"/>
  <c r="W378" i="39" s="1"/>
  <c r="X378" i="39" s="1"/>
  <c r="W562" i="39" a="1"/>
  <c r="W562" i="39" s="1"/>
  <c r="X562" i="39" s="1"/>
  <c r="M62" i="42"/>
  <c r="W439" i="39" a="1"/>
  <c r="W439" i="39" s="1"/>
  <c r="X439" i="39" s="1"/>
  <c r="W101" i="39" a="1"/>
  <c r="W101" i="39" s="1"/>
  <c r="X101" i="39" s="1"/>
  <c r="W77" i="39" a="1"/>
  <c r="W77" i="39" s="1"/>
  <c r="X77" i="39" s="1"/>
  <c r="W153" i="39" a="1"/>
  <c r="W153" i="39" s="1"/>
  <c r="X153" i="39" s="1"/>
  <c r="W182" i="39" a="1"/>
  <c r="W182" i="39" s="1"/>
  <c r="X182" i="39" s="1"/>
  <c r="W397" i="39" a="1"/>
  <c r="W397" i="39" s="1"/>
  <c r="M85" i="42"/>
  <c r="W48" i="39" a="1"/>
  <c r="W48" i="39" s="1"/>
  <c r="X48" i="39" s="1"/>
  <c r="W51" i="39" a="1"/>
  <c r="W51" i="39" s="1"/>
  <c r="X51" i="39" s="1"/>
  <c r="W451" i="39" a="1"/>
  <c r="W451" i="39" s="1"/>
  <c r="X451" i="39" s="1"/>
  <c r="W118" i="39" a="1"/>
  <c r="W118" i="39" s="1"/>
  <c r="X118" i="39" s="1"/>
  <c r="W244" i="39" a="1"/>
  <c r="W244" i="39" s="1"/>
  <c r="X244" i="39" s="1"/>
  <c r="W263" i="39" a="1"/>
  <c r="W263" i="39" s="1"/>
  <c r="X263" i="39" s="1"/>
  <c r="W197" i="39" a="1"/>
  <c r="W197" i="39" s="1"/>
  <c r="X197" i="39" s="1"/>
  <c r="W275" i="39" a="1"/>
  <c r="W275" i="39" s="1"/>
  <c r="X275" i="39" s="1"/>
  <c r="W243" i="39" a="1"/>
  <c r="W243" i="39" s="1"/>
  <c r="X243" i="39" s="1"/>
  <c r="W495" i="39" a="1"/>
  <c r="W495" i="39" s="1"/>
  <c r="X495" i="39" s="1"/>
  <c r="W188" i="39" a="1"/>
  <c r="W188" i="39" s="1"/>
  <c r="X188" i="39" s="1"/>
  <c r="W209" i="39" a="1"/>
  <c r="W209" i="39" s="1"/>
  <c r="X209" i="39" s="1"/>
  <c r="W570" i="39" a="1"/>
  <c r="W570" i="39" s="1"/>
  <c r="W517" i="39" a="1"/>
  <c r="W517" i="39" s="1"/>
  <c r="X517" i="39" s="1"/>
  <c r="W251" i="39" a="1"/>
  <c r="W251" i="39" s="1"/>
  <c r="X251" i="39" s="1"/>
  <c r="W472" i="39" a="1"/>
  <c r="W472" i="39" s="1"/>
  <c r="X472" i="39" s="1"/>
  <c r="W283" i="39" a="1"/>
  <c r="W283" i="39" s="1"/>
  <c r="X283" i="39" s="1"/>
  <c r="W519" i="39" a="1"/>
  <c r="W519" i="39" s="1"/>
  <c r="X519" i="39" s="1"/>
  <c r="W270" i="39" a="1"/>
  <c r="W270" i="39" s="1"/>
  <c r="X270" i="39" s="1"/>
  <c r="W233" i="39" a="1"/>
  <c r="W233" i="39" s="1"/>
  <c r="X233" i="39" s="1"/>
  <c r="W260" i="39" a="1"/>
  <c r="W260" i="39" s="1"/>
  <c r="X260" i="39" s="1"/>
  <c r="W523" i="39" a="1"/>
  <c r="W523" i="39" s="1"/>
  <c r="X523" i="39" s="1"/>
  <c r="M110" i="42"/>
  <c r="M63" i="42"/>
  <c r="M81" i="42"/>
  <c r="M168" i="42"/>
  <c r="M137" i="42"/>
  <c r="M77" i="42"/>
  <c r="M93" i="42"/>
  <c r="M145" i="42"/>
  <c r="U38" i="39" a="1"/>
  <c r="U38" i="39" s="1"/>
  <c r="U558" i="39" a="1"/>
  <c r="U558" i="39" s="1"/>
  <c r="M163" i="42"/>
  <c r="T558" i="39" a="1"/>
  <c r="T558" i="39" s="1"/>
  <c r="T38" i="39" a="1"/>
  <c r="T38" i="39" s="1"/>
  <c r="M160" i="42"/>
  <c r="M107" i="43"/>
  <c r="M30" i="43"/>
  <c r="M62" i="43"/>
  <c r="M93" i="43"/>
  <c r="M29" i="43"/>
  <c r="M42" i="35"/>
  <c r="M65" i="43"/>
  <c r="M136" i="42"/>
  <c r="M95" i="43"/>
  <c r="M115" i="43"/>
  <c r="M9" i="43"/>
  <c r="M7" i="43"/>
  <c r="M39" i="43"/>
  <c r="M74" i="43"/>
  <c r="M96" i="43"/>
  <c r="M12" i="36"/>
  <c r="M32" i="43"/>
  <c r="M52" i="43"/>
  <c r="H49" i="36" a="1"/>
  <c r="H49" i="36" s="1"/>
  <c r="M49" i="36" s="1"/>
  <c r="AY33" i="3"/>
  <c r="M54" i="43"/>
  <c r="M63" i="43"/>
  <c r="M40" i="43"/>
  <c r="M109" i="42"/>
  <c r="M16" i="43"/>
  <c r="M14" i="43"/>
  <c r="M67" i="43"/>
  <c r="J69" i="40" a="1"/>
  <c r="J69" i="40" s="1"/>
  <c r="M98" i="43"/>
  <c r="M73" i="43"/>
  <c r="M6" i="43"/>
  <c r="M208" i="42"/>
  <c r="M66" i="43"/>
  <c r="M43" i="43"/>
  <c r="M26" i="43"/>
  <c r="J3" i="40" a="1"/>
  <c r="J3" i="40" s="1"/>
  <c r="J85" i="40" a="1"/>
  <c r="J85" i="40" s="1"/>
  <c r="J18" i="40" a="1"/>
  <c r="J18" i="40" s="1"/>
  <c r="J68" i="40" a="1"/>
  <c r="J68" i="40" s="1"/>
  <c r="J71" i="40" a="1"/>
  <c r="J71" i="40" s="1"/>
  <c r="J60" i="40" a="1"/>
  <c r="J60" i="40" s="1"/>
  <c r="J37" i="40" a="1"/>
  <c r="J37" i="40" s="1"/>
  <c r="J42" i="40" a="1"/>
  <c r="J42" i="40" s="1"/>
  <c r="AL3" i="38"/>
  <c r="G24" i="43" a="1"/>
  <c r="G24" i="43" s="1"/>
  <c r="M24" i="43" s="1"/>
  <c r="G22" i="43" a="1"/>
  <c r="G22" i="43" s="1"/>
  <c r="M22" i="43" s="1"/>
  <c r="G76" i="43" a="1"/>
  <c r="G76" i="43" s="1"/>
  <c r="M76" i="43" s="1"/>
  <c r="G23" i="43" a="1"/>
  <c r="G23" i="43" s="1"/>
  <c r="M23" i="43" s="1"/>
  <c r="M205" i="42"/>
  <c r="M33" i="43"/>
  <c r="M114" i="43"/>
  <c r="M113" i="43"/>
  <c r="J51" i="40" a="1"/>
  <c r="J51" i="40" s="1"/>
  <c r="J15" i="40" a="1"/>
  <c r="J15" i="40" s="1"/>
  <c r="J27" i="40" a="1"/>
  <c r="J27" i="40" s="1"/>
  <c r="J81" i="40" a="1"/>
  <c r="J81" i="40" s="1"/>
  <c r="J11" i="40" a="1"/>
  <c r="J11" i="40" s="1"/>
  <c r="M27" i="43"/>
  <c r="M41" i="43"/>
  <c r="J43" i="40" a="1"/>
  <c r="J43" i="40" s="1"/>
  <c r="J17" i="40" a="1"/>
  <c r="J17" i="40" s="1"/>
  <c r="J56" i="40" a="1"/>
  <c r="J56" i="40" s="1"/>
  <c r="J80" i="40" a="1"/>
  <c r="J80" i="40" s="1"/>
  <c r="J14" i="40" a="1"/>
  <c r="J14" i="40" s="1"/>
  <c r="K3" i="38"/>
  <c r="I490" i="39" a="1"/>
  <c r="I490" i="39" s="1"/>
  <c r="M108" i="43"/>
  <c r="M61" i="43"/>
  <c r="M88" i="43"/>
  <c r="M75" i="43"/>
  <c r="M102" i="43"/>
  <c r="J59" i="40" a="1"/>
  <c r="J59" i="40" s="1"/>
  <c r="J34" i="40" a="1"/>
  <c r="J34" i="40" s="1"/>
  <c r="J46" i="40" a="1"/>
  <c r="J46" i="40" s="1"/>
  <c r="J70" i="40" a="1"/>
  <c r="J70" i="40" s="1"/>
  <c r="J29" i="40" a="1"/>
  <c r="J29" i="40" s="1"/>
  <c r="M51" i="43"/>
  <c r="M82" i="43"/>
  <c r="J45" i="40" a="1"/>
  <c r="J45" i="40" s="1"/>
  <c r="J52" i="40" a="1"/>
  <c r="J52" i="40" s="1"/>
  <c r="J44" i="40" a="1"/>
  <c r="J44" i="40" s="1"/>
  <c r="M34" i="43"/>
  <c r="M45" i="43"/>
  <c r="M53" i="43"/>
  <c r="J36" i="40" a="1"/>
  <c r="J36" i="40" s="1"/>
  <c r="J33" i="40" a="1"/>
  <c r="J33" i="40" s="1"/>
  <c r="I282" i="39" a="1"/>
  <c r="I282" i="39" s="1"/>
  <c r="M87" i="43"/>
  <c r="M25" i="43"/>
  <c r="M110" i="43"/>
  <c r="J28" i="40" a="1"/>
  <c r="J28" i="40" s="1"/>
  <c r="J86" i="40" a="1"/>
  <c r="J86" i="40" s="1"/>
  <c r="J20" i="40" a="1"/>
  <c r="J20" i="40" s="1"/>
  <c r="J6" i="40" a="1"/>
  <c r="J6" i="40" s="1"/>
  <c r="I474" i="39" a="1"/>
  <c r="I474" i="39" s="1"/>
  <c r="M72" i="43"/>
  <c r="M117" i="43"/>
  <c r="M79" i="43"/>
  <c r="M17" i="43"/>
  <c r="J39" i="40" a="1"/>
  <c r="J39" i="40" s="1"/>
  <c r="J31" i="40" a="1"/>
  <c r="J31" i="40" s="1"/>
  <c r="I137" i="39" a="1"/>
  <c r="I137" i="39" s="1"/>
  <c r="M83" i="43"/>
  <c r="J38" i="40" a="1"/>
  <c r="J38" i="40" s="1"/>
  <c r="J67" i="40" a="1"/>
  <c r="J67" i="40" s="1"/>
  <c r="J13" i="40" a="1"/>
  <c r="J13" i="40" s="1"/>
  <c r="I259" i="39" a="1"/>
  <c r="I259" i="39" s="1"/>
  <c r="M13" i="43"/>
  <c r="M111" i="43"/>
  <c r="M99" i="43"/>
  <c r="M21" i="43"/>
  <c r="J61" i="40" a="1"/>
  <c r="J61" i="40" s="1"/>
  <c r="J5" i="40" a="1"/>
  <c r="J5" i="40" s="1"/>
  <c r="M109" i="43"/>
  <c r="M38" i="43"/>
  <c r="M39" i="36"/>
  <c r="M43" i="35"/>
  <c r="M209" i="42"/>
  <c r="M32" i="42"/>
  <c r="M122" i="42"/>
  <c r="M212" i="42"/>
  <c r="M31" i="42"/>
  <c r="M210" i="42"/>
  <c r="M174" i="42"/>
  <c r="M129" i="42"/>
  <c r="M51" i="42"/>
  <c r="M173" i="42"/>
  <c r="M36" i="42"/>
  <c r="M39" i="42"/>
  <c r="M190" i="42"/>
  <c r="M116" i="42"/>
  <c r="M141" i="42"/>
  <c r="M120" i="42"/>
  <c r="M197" i="42"/>
  <c r="M211" i="42"/>
  <c r="M115" i="42"/>
  <c r="M48" i="42"/>
  <c r="M142" i="42"/>
  <c r="M214" i="42"/>
  <c r="M75" i="42"/>
  <c r="M171" i="42"/>
  <c r="M108" i="42"/>
  <c r="M49" i="42"/>
  <c r="M76" i="42"/>
  <c r="M26" i="42"/>
  <c r="M125" i="42"/>
  <c r="M199" i="42"/>
  <c r="M196" i="42"/>
  <c r="M183" i="42"/>
  <c r="M187" i="42"/>
  <c r="M138" i="42"/>
  <c r="M159" i="42"/>
  <c r="M176" i="42"/>
  <c r="M213" i="42"/>
  <c r="M194" i="42"/>
  <c r="M186" i="42"/>
  <c r="M130" i="42"/>
  <c r="M111" i="42"/>
  <c r="M164" i="42"/>
  <c r="M189" i="42"/>
  <c r="M73" i="42"/>
  <c r="M80" i="42"/>
  <c r="M134" i="42"/>
  <c r="M206" i="42"/>
  <c r="M200" i="42"/>
  <c r="M182" i="42"/>
  <c r="M180" i="42"/>
  <c r="M172" i="42"/>
  <c r="M181" i="42"/>
  <c r="M50" i="42"/>
  <c r="M198" i="42"/>
  <c r="M113" i="42"/>
  <c r="M127" i="42"/>
  <c r="M146" i="42"/>
  <c r="M195" i="42"/>
  <c r="M177" i="42"/>
  <c r="AC38" i="38"/>
  <c r="G38" i="42" a="1"/>
  <c r="G38" i="42" s="1"/>
  <c r="M38" i="42" s="1"/>
  <c r="G35" i="42" a="1"/>
  <c r="G35" i="42" s="1"/>
  <c r="M35" i="42" s="1"/>
  <c r="G192" i="42" a="1"/>
  <c r="G192" i="42" s="1"/>
  <c r="M192" i="42" s="1"/>
  <c r="G30" i="42" a="1"/>
  <c r="G30" i="42" s="1"/>
  <c r="M30" i="42" s="1"/>
  <c r="T38" i="38"/>
  <c r="G98" i="42" a="1"/>
  <c r="G98" i="42" s="1"/>
  <c r="M98" i="42" s="1"/>
  <c r="O107" i="41"/>
  <c r="O109" i="41"/>
  <c r="O108" i="41"/>
  <c r="O61" i="41"/>
  <c r="G4" i="42" a="1"/>
  <c r="G4" i="42" s="1"/>
  <c r="M4" i="42" s="1"/>
  <c r="AC3" i="38"/>
  <c r="G89" i="42" a="1"/>
  <c r="G89" i="42" s="1"/>
  <c r="M89" i="42" s="1"/>
  <c r="N61" i="41"/>
  <c r="N107" i="41"/>
  <c r="N108" i="41"/>
  <c r="N109" i="41"/>
  <c r="L38" i="38"/>
  <c r="K77" i="41" a="1"/>
  <c r="K77" i="41" s="1"/>
  <c r="K35" i="41" a="1"/>
  <c r="K35" i="41" s="1"/>
  <c r="K89" i="41" a="1"/>
  <c r="K89" i="41" s="1"/>
  <c r="K42" i="41" a="1"/>
  <c r="K42" i="41" s="1"/>
  <c r="K50" i="41" a="1"/>
  <c r="K50" i="41" s="1"/>
  <c r="K57" i="41" a="1"/>
  <c r="K57" i="41" s="1"/>
  <c r="K97" i="41" a="1"/>
  <c r="K97" i="41" s="1"/>
  <c r="K24" i="41" a="1"/>
  <c r="K24" i="41" s="1"/>
  <c r="K91" i="41" a="1"/>
  <c r="K91" i="41" s="1"/>
  <c r="K67" i="41" a="1"/>
  <c r="K67" i="41" s="1"/>
  <c r="K41" i="41" a="1"/>
  <c r="K41" i="41" s="1"/>
  <c r="K109" i="41" a="1"/>
  <c r="K109" i="41" s="1"/>
  <c r="K40" i="41" a="1"/>
  <c r="K40" i="41" s="1"/>
  <c r="K63" i="41" a="1"/>
  <c r="K63" i="41" s="1"/>
  <c r="K78" i="41" a="1"/>
  <c r="K78" i="41" s="1"/>
  <c r="K45" i="41" a="1"/>
  <c r="K45" i="41" s="1"/>
  <c r="K61" i="41" a="1"/>
  <c r="K61" i="41" s="1"/>
  <c r="K94" i="41" a="1"/>
  <c r="K94" i="41" s="1"/>
  <c r="K23" i="41" a="1"/>
  <c r="K23" i="41" s="1"/>
  <c r="K27" i="41" a="1"/>
  <c r="K27" i="41" s="1"/>
  <c r="K55" i="41" a="1"/>
  <c r="K55" i="41" s="1"/>
  <c r="K47" i="41" a="1"/>
  <c r="K47" i="41" s="1"/>
  <c r="K16" i="41" a="1"/>
  <c r="K16" i="41" s="1"/>
  <c r="K112" i="41" a="1"/>
  <c r="K112" i="41" s="1"/>
  <c r="K28" i="41" a="1"/>
  <c r="K28" i="41" s="1"/>
  <c r="K4" i="41" a="1"/>
  <c r="K4" i="41" s="1"/>
  <c r="K111" i="41" a="1"/>
  <c r="K111" i="41" s="1"/>
  <c r="K44" i="41" a="1"/>
  <c r="K44" i="41" s="1"/>
  <c r="K48" i="41" a="1"/>
  <c r="K48" i="41" s="1"/>
  <c r="K73" i="41" a="1"/>
  <c r="K73" i="41" s="1"/>
  <c r="K90" i="41" a="1"/>
  <c r="K90" i="41" s="1"/>
  <c r="K34" i="41" a="1"/>
  <c r="K34" i="41" s="1"/>
  <c r="K6" i="41" a="1"/>
  <c r="K6" i="41" s="1"/>
  <c r="K56" i="41" a="1"/>
  <c r="K56" i="41" s="1"/>
  <c r="K46" i="41" a="1"/>
  <c r="K46" i="41" s="1"/>
  <c r="K11" i="41" a="1"/>
  <c r="K11" i="41" s="1"/>
  <c r="K60" i="41" a="1"/>
  <c r="K60" i="41" s="1"/>
  <c r="K84" i="41" a="1"/>
  <c r="K84" i="41" s="1"/>
  <c r="K86" i="41" a="1"/>
  <c r="K86" i="41" s="1"/>
  <c r="K22" i="41" a="1"/>
  <c r="K22" i="41" s="1"/>
  <c r="K59" i="41" a="1"/>
  <c r="K59" i="41" s="1"/>
  <c r="K113" i="41" a="1"/>
  <c r="K113" i="41" s="1"/>
  <c r="K87" i="41" a="1"/>
  <c r="K87" i="41" s="1"/>
  <c r="K68" i="41" a="1"/>
  <c r="K68" i="41" s="1"/>
  <c r="K51" i="41" a="1"/>
  <c r="K51" i="41" s="1"/>
  <c r="K26" i="41" a="1"/>
  <c r="K26" i="41" s="1"/>
  <c r="K88" i="41" a="1"/>
  <c r="K88" i="41" s="1"/>
  <c r="K30" i="41" a="1"/>
  <c r="K30" i="41" s="1"/>
  <c r="K58" i="41" a="1"/>
  <c r="K58" i="41" s="1"/>
  <c r="K18" i="41" a="1"/>
  <c r="K18" i="41" s="1"/>
  <c r="K96" i="41" a="1"/>
  <c r="K96" i="41" s="1"/>
  <c r="K69" i="41" a="1"/>
  <c r="K69" i="41" s="1"/>
  <c r="K108" i="41" a="1"/>
  <c r="K108" i="41" s="1"/>
  <c r="K64" i="41" a="1"/>
  <c r="K64" i="41" s="1"/>
  <c r="K110" i="41" a="1"/>
  <c r="K110" i="41" s="1"/>
  <c r="K3" i="41" a="1"/>
  <c r="K3" i="41" s="1"/>
  <c r="K14" i="41" a="1"/>
  <c r="K14" i="41" s="1"/>
  <c r="K32" i="41" a="1"/>
  <c r="K32" i="41" s="1"/>
  <c r="K62" i="41" a="1"/>
  <c r="K62" i="41" s="1"/>
  <c r="K17" i="41" a="1"/>
  <c r="K17" i="41" s="1"/>
  <c r="K107" i="41" a="1"/>
  <c r="K107" i="41" s="1"/>
  <c r="K54" i="41" a="1"/>
  <c r="K54" i="41" s="1"/>
  <c r="K15" i="41" a="1"/>
  <c r="K15" i="41" s="1"/>
  <c r="K52" i="41" a="1"/>
  <c r="K52" i="41" s="1"/>
  <c r="K99" i="41" a="1"/>
  <c r="K99" i="41" s="1"/>
  <c r="K33" i="41" a="1"/>
  <c r="K33" i="41" s="1"/>
  <c r="K53" i="41" a="1"/>
  <c r="K53" i="41" s="1"/>
  <c r="K19" i="41" a="1"/>
  <c r="K19" i="41" s="1"/>
  <c r="K31" i="41" a="1"/>
  <c r="K31" i="41" s="1"/>
  <c r="K36" i="41" a="1"/>
  <c r="K36" i="41" s="1"/>
  <c r="K49" i="41" a="1"/>
  <c r="K49" i="41" s="1"/>
  <c r="K20" i="41" a="1"/>
  <c r="K20" i="41" s="1"/>
  <c r="K118" i="41" a="1"/>
  <c r="K118" i="41" s="1"/>
  <c r="K43" i="41" a="1"/>
  <c r="K43" i="41" s="1"/>
  <c r="K66" i="41" a="1"/>
  <c r="K66" i="41" s="1"/>
  <c r="K79" i="41" a="1"/>
  <c r="K79" i="41" s="1"/>
  <c r="K114" i="41" a="1"/>
  <c r="K114" i="41" s="1"/>
  <c r="K106" i="41" a="1"/>
  <c r="K106" i="41" s="1"/>
  <c r="K5" i="41" a="1"/>
  <c r="K5" i="41" s="1"/>
  <c r="K85" i="41" a="1"/>
  <c r="K85" i="41" s="1"/>
  <c r="K92" i="41" a="1"/>
  <c r="K92" i="41" s="1"/>
  <c r="K93" i="41" a="1"/>
  <c r="K93" i="41" s="1"/>
  <c r="K98" i="41" a="1"/>
  <c r="K98" i="41" s="1"/>
  <c r="M61" i="41"/>
  <c r="M107" i="41"/>
  <c r="M109" i="41"/>
  <c r="M108" i="41"/>
  <c r="G84" i="40" a="1"/>
  <c r="G84" i="40" s="1"/>
  <c r="L109" i="41"/>
  <c r="L108" i="41"/>
  <c r="L61" i="41"/>
  <c r="L107" i="41"/>
  <c r="I274" i="39" a="1"/>
  <c r="I274" i="39" s="1"/>
  <c r="I109" i="39" a="1"/>
  <c r="I109" i="39" s="1"/>
  <c r="I203" i="39" a="1"/>
  <c r="I203" i="39" s="1"/>
  <c r="I217" i="39" a="1"/>
  <c r="I217" i="39" s="1"/>
  <c r="I58" i="39" a="1"/>
  <c r="I58" i="39" s="1"/>
  <c r="I500" i="39" a="1"/>
  <c r="I500" i="39" s="1"/>
  <c r="I223" i="39" a="1"/>
  <c r="I223" i="39" s="1"/>
  <c r="I159" i="39" a="1"/>
  <c r="I159" i="39" s="1"/>
  <c r="I317" i="39" a="1"/>
  <c r="I317" i="39" s="1"/>
  <c r="I537" i="39" a="1"/>
  <c r="I537" i="39" s="1"/>
  <c r="H5" i="40" a="1"/>
  <c r="H5" i="40" s="1"/>
  <c r="H33" i="40" a="1"/>
  <c r="H33" i="40" s="1"/>
  <c r="H17" i="40" a="1"/>
  <c r="H17" i="40" s="1"/>
  <c r="H59" i="40" a="1"/>
  <c r="H59" i="40" s="1"/>
  <c r="H31" i="40" a="1"/>
  <c r="H31" i="40" s="1"/>
  <c r="H15" i="40" a="1"/>
  <c r="H15" i="40" s="1"/>
  <c r="H69" i="40" a="1"/>
  <c r="H69" i="40" s="1"/>
  <c r="H80" i="40" a="1"/>
  <c r="H80" i="40" s="1"/>
  <c r="H70" i="40" a="1"/>
  <c r="H70" i="40" s="1"/>
  <c r="H71" i="40" a="1"/>
  <c r="H71" i="40" s="1"/>
  <c r="H37" i="40" a="1"/>
  <c r="H37" i="40" s="1"/>
  <c r="H39" i="40" a="1"/>
  <c r="H39" i="40" s="1"/>
  <c r="H81" i="40" a="1"/>
  <c r="H81" i="40" s="1"/>
  <c r="H56" i="40" a="1"/>
  <c r="H56" i="40" s="1"/>
  <c r="H27" i="40" a="1"/>
  <c r="H27" i="40" s="1"/>
  <c r="H61" i="40" a="1"/>
  <c r="H61" i="40" s="1"/>
  <c r="H60" i="40" a="1"/>
  <c r="H60" i="40" s="1"/>
  <c r="H34" i="40" a="1"/>
  <c r="H34" i="40" s="1"/>
  <c r="H85" i="40" a="1"/>
  <c r="H85" i="40" s="1"/>
  <c r="H67" i="40" a="1"/>
  <c r="H67" i="40" s="1"/>
  <c r="I212" i="39" a="1"/>
  <c r="I212" i="39" s="1"/>
  <c r="H36" i="40" a="1"/>
  <c r="H36" i="40" s="1"/>
  <c r="H47" i="40" a="1"/>
  <c r="H47" i="40" s="1"/>
  <c r="H75" i="40" a="1"/>
  <c r="H75" i="40" s="1"/>
  <c r="H43" i="40" a="1"/>
  <c r="H43" i="40" s="1"/>
  <c r="H44" i="40" a="1"/>
  <c r="H44" i="40" s="1"/>
  <c r="H51" i="40" a="1"/>
  <c r="H51" i="40" s="1"/>
  <c r="H86" i="40" a="1"/>
  <c r="H86" i="40" s="1"/>
  <c r="I491" i="39" a="1"/>
  <c r="I491" i="39" s="1"/>
  <c r="I156" i="39" a="1"/>
  <c r="I156" i="39" s="1"/>
  <c r="I507" i="39" a="1"/>
  <c r="I507" i="39" s="1"/>
  <c r="H14" i="40" a="1"/>
  <c r="H14" i="40" s="1"/>
  <c r="H68" i="40" a="1"/>
  <c r="H68" i="40" s="1"/>
  <c r="H28" i="40" a="1"/>
  <c r="H28" i="40" s="1"/>
  <c r="H38" i="40" a="1"/>
  <c r="H38" i="40" s="1"/>
  <c r="H42" i="40" a="1"/>
  <c r="H42" i="40" s="1"/>
  <c r="H18" i="40" a="1"/>
  <c r="H18" i="40" s="1"/>
  <c r="H40" i="40" a="1"/>
  <c r="H40" i="40" s="1"/>
  <c r="H11" i="40" a="1"/>
  <c r="H11" i="40" s="1"/>
  <c r="J317" i="39" a="1"/>
  <c r="J317" i="39" s="1"/>
  <c r="J217" i="39" a="1"/>
  <c r="J217" i="39" s="1"/>
  <c r="I3" i="38"/>
  <c r="J460" i="39" s="1" a="1"/>
  <c r="J460" i="39" s="1"/>
  <c r="H52" i="40" a="1"/>
  <c r="H52" i="40" s="1"/>
  <c r="H45" i="40" a="1"/>
  <c r="H45" i="40" s="1"/>
  <c r="H13" i="40" a="1"/>
  <c r="H13" i="40" s="1"/>
  <c r="H6" i="40" a="1"/>
  <c r="H6" i="40" s="1"/>
  <c r="H46" i="40" a="1"/>
  <c r="H46" i="40" s="1"/>
  <c r="H3" i="40" a="1"/>
  <c r="H3" i="40" s="1"/>
  <c r="J109" i="39" a="1"/>
  <c r="J109" i="39" s="1"/>
  <c r="J54" i="40" a="1"/>
  <c r="J54" i="40" s="1"/>
  <c r="J78" i="40" a="1"/>
  <c r="J78" i="40" s="1"/>
  <c r="J79" i="40" a="1"/>
  <c r="J79" i="40" s="1"/>
  <c r="J159" i="39" a="1"/>
  <c r="J159" i="39" s="1"/>
  <c r="J55" i="40" a="1"/>
  <c r="J55" i="40" s="1"/>
  <c r="J76" i="40" a="1"/>
  <c r="J76" i="40" s="1"/>
  <c r="J490" i="39" a="1"/>
  <c r="J490" i="39" s="1"/>
  <c r="J77" i="40" a="1"/>
  <c r="J77" i="40" s="1"/>
  <c r="J259" i="39" a="1"/>
  <c r="J259" i="39" s="1"/>
  <c r="H55" i="40" a="1"/>
  <c r="H55" i="40" s="1"/>
  <c r="J474" i="39" a="1"/>
  <c r="J474" i="39" s="1"/>
  <c r="G115" i="34" a="1"/>
  <c r="G115" i="34" s="1"/>
  <c r="G114" i="34" a="1"/>
  <c r="G114" i="34" s="1"/>
  <c r="J537" i="39" a="1"/>
  <c r="J537" i="39" s="1"/>
  <c r="J156" i="39" a="1"/>
  <c r="J156" i="39" s="1"/>
  <c r="H76" i="40" a="1"/>
  <c r="H76" i="40" s="1"/>
  <c r="J212" i="39" a="1"/>
  <c r="J212" i="39" s="1"/>
  <c r="J500" i="39" a="1"/>
  <c r="J500" i="39" s="1"/>
  <c r="H26" i="40" a="1"/>
  <c r="H26" i="40" s="1"/>
  <c r="J137" i="39" a="1"/>
  <c r="J137" i="39" s="1"/>
  <c r="H58" i="40" a="1"/>
  <c r="H58" i="40" s="1"/>
  <c r="J161" i="39" a="1"/>
  <c r="J161" i="39" s="1"/>
  <c r="J528" i="39" a="1"/>
  <c r="J528" i="39" s="1"/>
  <c r="H77" i="40" a="1"/>
  <c r="H77" i="40" s="1"/>
  <c r="J203" i="39" a="1"/>
  <c r="J203" i="39" s="1"/>
  <c r="J223" i="39" a="1"/>
  <c r="J223" i="39" s="1"/>
  <c r="J507" i="39" a="1"/>
  <c r="J507" i="39" s="1"/>
  <c r="J274" i="39" a="1"/>
  <c r="J274" i="39" s="1"/>
  <c r="J313" i="39" a="1"/>
  <c r="J313" i="39" s="1"/>
  <c r="J58" i="39" a="1"/>
  <c r="J58" i="39" s="1"/>
  <c r="H57" i="40" a="1"/>
  <c r="H57" i="40" s="1"/>
  <c r="J491" i="39" a="1"/>
  <c r="J491" i="39" s="1"/>
  <c r="H54" i="40" a="1"/>
  <c r="H54" i="40" s="1"/>
  <c r="H78" i="40" a="1"/>
  <c r="H78" i="40" s="1"/>
  <c r="H79" i="40" a="1"/>
  <c r="H79" i="40" s="1"/>
  <c r="H29" i="33" a="1"/>
  <c r="H29" i="33" s="1"/>
  <c r="H85" i="33" a="1"/>
  <c r="H85" i="33" s="1"/>
  <c r="H86" i="33" a="1"/>
  <c r="H86" i="33" s="1"/>
  <c r="G85" i="33" a="1"/>
  <c r="G85" i="33" s="1"/>
  <c r="H28" i="33" a="1"/>
  <c r="H28" i="33" s="1"/>
  <c r="G46" i="34" a="1"/>
  <c r="G46" i="34" s="1"/>
  <c r="G113" i="34" a="1"/>
  <c r="G113" i="34" s="1"/>
  <c r="I46" i="34" a="1"/>
  <c r="I46" i="34" s="1"/>
  <c r="H46" i="34" a="1"/>
  <c r="H46" i="34" s="1"/>
  <c r="J57" i="33" a="1"/>
  <c r="J57" i="33" s="1"/>
  <c r="J29" i="33" a="1"/>
  <c r="J29" i="33" s="1"/>
  <c r="N75" i="40"/>
  <c r="P159" i="39"/>
  <c r="N80" i="40"/>
  <c r="N81" i="40"/>
  <c r="N31" i="40"/>
  <c r="G29" i="33" a="1"/>
  <c r="G29" i="33" s="1"/>
  <c r="R38" i="39" a="1"/>
  <c r="R38" i="39" s="1"/>
  <c r="R558" i="39" a="1"/>
  <c r="R558" i="39" s="1"/>
  <c r="H2" i="36" a="1"/>
  <c r="H2" i="36" s="1"/>
  <c r="M2" i="36" s="1"/>
  <c r="S38" i="39" a="1"/>
  <c r="S38" i="39" s="1"/>
  <c r="S558" i="39" a="1"/>
  <c r="S558" i="39" s="1"/>
  <c r="J14" i="38"/>
  <c r="J32" i="38"/>
  <c r="J19" i="38"/>
  <c r="G19" i="38" s="1"/>
  <c r="J13" i="38"/>
  <c r="J9" i="38"/>
  <c r="J6" i="38"/>
  <c r="J17" i="38"/>
  <c r="J20" i="38"/>
  <c r="J3" i="38"/>
  <c r="J31" i="38"/>
  <c r="J23" i="38"/>
  <c r="J26" i="38"/>
  <c r="J30" i="38"/>
  <c r="J18" i="38"/>
  <c r="J5" i="38"/>
  <c r="J33" i="38"/>
  <c r="J24" i="38"/>
  <c r="J8" i="38"/>
  <c r="J11" i="38"/>
  <c r="J12" i="38"/>
  <c r="G12" i="38" s="1"/>
  <c r="J29" i="38"/>
  <c r="J15" i="38"/>
  <c r="J34" i="38"/>
  <c r="G34" i="38" s="1"/>
  <c r="J21" i="38"/>
  <c r="J22" i="38"/>
  <c r="G22" i="38" s="1"/>
  <c r="J4" i="38"/>
  <c r="J10" i="38"/>
  <c r="J16" i="38"/>
  <c r="J25" i="38"/>
  <c r="J7" i="38"/>
  <c r="J28" i="38"/>
  <c r="J27" i="38"/>
  <c r="I23" i="34" a="1"/>
  <c r="I23" i="34" s="1"/>
  <c r="G35" i="33" a="1"/>
  <c r="G35" i="33" s="1"/>
  <c r="G34" i="33" a="1"/>
  <c r="G34" i="33" s="1"/>
  <c r="G23" i="34" a="1"/>
  <c r="G23" i="34" s="1"/>
  <c r="G33" i="34" a="1"/>
  <c r="G33" i="34" s="1"/>
  <c r="J12" i="34" a="1"/>
  <c r="J12" i="34" s="1"/>
  <c r="Q12" i="34" s="1"/>
  <c r="J46" i="34" a="1"/>
  <c r="J46" i="34" s="1"/>
  <c r="J35" i="33" a="1"/>
  <c r="J35" i="33" s="1"/>
  <c r="J26" i="33" a="1"/>
  <c r="J26" i="33" s="1"/>
  <c r="J34" i="33" a="1"/>
  <c r="J34" i="33" s="1"/>
  <c r="G83" i="40" a="1"/>
  <c r="G83" i="40" s="1"/>
  <c r="G23" i="40" a="1"/>
  <c r="G23" i="40" s="1"/>
  <c r="P490" i="39"/>
  <c r="N36" i="40"/>
  <c r="G79" i="34" a="1"/>
  <c r="G79" i="34" s="1"/>
  <c r="G32" i="34" a="1"/>
  <c r="G32" i="34" s="1"/>
  <c r="J61" i="34" a="1"/>
  <c r="J61" i="34" s="1"/>
  <c r="Q61" i="34" s="1"/>
  <c r="J66" i="34" a="1"/>
  <c r="J66" i="34" s="1"/>
  <c r="Q66" i="34" s="1"/>
  <c r="H23" i="34" a="1"/>
  <c r="H23" i="34" s="1"/>
  <c r="H35" i="33" a="1"/>
  <c r="H35" i="33" s="1"/>
  <c r="H26" i="33" a="1"/>
  <c r="H26" i="33" s="1"/>
  <c r="H58" i="36" a="1"/>
  <c r="H58" i="36" s="1"/>
  <c r="M58" i="36" s="1"/>
  <c r="H34" i="33" a="1"/>
  <c r="H34" i="33" s="1"/>
  <c r="S74" i="39" a="1"/>
  <c r="S74" i="39" s="1"/>
  <c r="S373" i="39" a="1"/>
  <c r="S373" i="39" s="1"/>
  <c r="R373" i="39" a="1"/>
  <c r="R373" i="39" s="1"/>
  <c r="R74" i="39" a="1"/>
  <c r="R74" i="39" s="1"/>
  <c r="H83" i="40" a="1"/>
  <c r="H83" i="40" s="1"/>
  <c r="H84" i="40" a="1"/>
  <c r="H84" i="40" s="1"/>
  <c r="J83" i="40" a="1"/>
  <c r="J83" i="40" s="1"/>
  <c r="H23" i="40" a="1"/>
  <c r="H23" i="40" s="1"/>
  <c r="J294" i="39" a="1"/>
  <c r="J294" i="39" s="1"/>
  <c r="I294" i="39" a="1"/>
  <c r="I294" i="39" s="1"/>
  <c r="J84" i="40" a="1"/>
  <c r="J84" i="40" s="1"/>
  <c r="J23" i="40" a="1"/>
  <c r="J23" i="40" s="1"/>
  <c r="H16" i="40" a="1"/>
  <c r="H16" i="40" s="1"/>
  <c r="H10" i="40" a="1"/>
  <c r="H10" i="40" s="1"/>
  <c r="H9" i="40" a="1"/>
  <c r="H9" i="40" s="1"/>
  <c r="J9" i="40" a="1"/>
  <c r="J9" i="40" s="1"/>
  <c r="J10" i="40" a="1"/>
  <c r="J10" i="40" s="1"/>
  <c r="J16" i="40" a="1"/>
  <c r="J16" i="40" s="1"/>
  <c r="G16" i="40" a="1"/>
  <c r="G16" i="40" s="1"/>
  <c r="G10" i="40" a="1"/>
  <c r="G10" i="40" s="1"/>
  <c r="G9" i="40" a="1"/>
  <c r="G9" i="40" s="1"/>
  <c r="J38" i="38" a="1"/>
  <c r="I38" i="38" a="1"/>
  <c r="R429" i="39" a="1"/>
  <c r="R429" i="39" s="1"/>
  <c r="R6" i="39" a="1"/>
  <c r="R6" i="39" s="1"/>
  <c r="H38" i="38" a="1"/>
  <c r="S6" i="39" a="1"/>
  <c r="S6" i="39" s="1"/>
  <c r="S429" i="39" a="1"/>
  <c r="S429" i="39" s="1"/>
  <c r="K38" i="38" a="1"/>
  <c r="J11" i="33" a="1"/>
  <c r="J11" i="33" s="1"/>
  <c r="G43" i="34" a="1"/>
  <c r="G43" i="34" s="1"/>
  <c r="G82" i="33" a="1"/>
  <c r="G82" i="33" s="1"/>
  <c r="G11" i="33" a="1"/>
  <c r="G11" i="33" s="1"/>
  <c r="G82" i="34" a="1"/>
  <c r="G82" i="34" s="1"/>
  <c r="G44" i="34" a="1"/>
  <c r="G44" i="34" s="1"/>
  <c r="G83" i="33" a="1"/>
  <c r="G83" i="33" s="1"/>
  <c r="J24" i="34" a="1"/>
  <c r="J24" i="34" s="1"/>
  <c r="Q24" i="34" s="1"/>
  <c r="H18" i="34" a="1"/>
  <c r="H18" i="34" s="1"/>
  <c r="J73" i="34" a="1"/>
  <c r="J73" i="34" s="1"/>
  <c r="Q73" i="34" s="1"/>
  <c r="H82" i="33" a="1"/>
  <c r="H82" i="33" s="1"/>
  <c r="H11" i="33" a="1"/>
  <c r="H11" i="33" s="1"/>
  <c r="H83" i="33" a="1"/>
  <c r="H83" i="33" s="1"/>
  <c r="J64" i="33" a="1"/>
  <c r="J64" i="33" s="1"/>
  <c r="J38" i="34" a="1"/>
  <c r="J38" i="34" s="1"/>
  <c r="Q38" i="34" s="1"/>
  <c r="G8" i="34" a="1"/>
  <c r="G8" i="34" s="1"/>
  <c r="H45" i="34" a="1"/>
  <c r="H45" i="34" s="1"/>
  <c r="J49" i="34" a="1"/>
  <c r="J49" i="34" s="1"/>
  <c r="J106" i="34" a="1"/>
  <c r="J106" i="34" s="1"/>
  <c r="Q106" i="34" s="1"/>
  <c r="J75" i="34" a="1"/>
  <c r="J75" i="34" s="1"/>
  <c r="Q75" i="34" s="1"/>
  <c r="J90" i="34" a="1"/>
  <c r="J90" i="34" s="1"/>
  <c r="Q90" i="34" s="1"/>
  <c r="J29" i="34" a="1"/>
  <c r="J29" i="34" s="1"/>
  <c r="J31" i="34" a="1"/>
  <c r="J31" i="34" s="1"/>
  <c r="Q31" i="34" s="1"/>
  <c r="J15" i="34" a="1"/>
  <c r="J15" i="34" s="1"/>
  <c r="J28" i="34" a="1"/>
  <c r="J28" i="34" s="1"/>
  <c r="Q28" i="34" s="1"/>
  <c r="G45" i="34" a="1"/>
  <c r="G45" i="34" s="1"/>
  <c r="J16" i="34" a="1"/>
  <c r="J16" i="34" s="1"/>
  <c r="Q16" i="34" s="1"/>
  <c r="J37" i="34" a="1"/>
  <c r="J37" i="34" s="1"/>
  <c r="Q37" i="34" s="1"/>
  <c r="J40" i="33" a="1"/>
  <c r="J40" i="33" s="1"/>
  <c r="G40" i="33" a="1"/>
  <c r="G40" i="33" s="1"/>
  <c r="G64" i="33" a="1"/>
  <c r="G64" i="33" s="1"/>
  <c r="J82" i="33" a="1"/>
  <c r="J82" i="33" s="1"/>
  <c r="J83" i="33" a="1"/>
  <c r="J83" i="33" s="1"/>
  <c r="J16" i="33" a="1"/>
  <c r="J16" i="33" s="1"/>
  <c r="H53" i="33" a="1"/>
  <c r="H53" i="33" s="1"/>
  <c r="H16" i="33" a="1"/>
  <c r="H16" i="33" s="1"/>
  <c r="J85" i="34" a="1"/>
  <c r="J85" i="34" s="1"/>
  <c r="Q85" i="34" s="1"/>
  <c r="J58" i="34" a="1"/>
  <c r="J58" i="34" s="1"/>
  <c r="J45" i="34" a="1"/>
  <c r="J45" i="34" s="1"/>
  <c r="J25" i="34" a="1"/>
  <c r="J25" i="34" s="1"/>
  <c r="Q25" i="34" s="1"/>
  <c r="J23" i="34" a="1"/>
  <c r="J23" i="34" s="1"/>
  <c r="J39" i="34" a="1"/>
  <c r="J39" i="34" s="1"/>
  <c r="J30" i="34" a="1"/>
  <c r="J30" i="34" s="1"/>
  <c r="Q30" i="34" s="1"/>
  <c r="J50" i="34" a="1"/>
  <c r="J50" i="34" s="1"/>
  <c r="Q50" i="34" s="1"/>
  <c r="J42" i="34" a="1"/>
  <c r="J42" i="34" s="1"/>
  <c r="Q42" i="34" s="1"/>
  <c r="J52" i="34" a="1"/>
  <c r="J52" i="34" s="1"/>
  <c r="Q52" i="34" s="1"/>
  <c r="J2" i="34" a="1"/>
  <c r="J2" i="34" s="1"/>
  <c r="Q2" i="34" s="1"/>
  <c r="J27" i="34" a="1"/>
  <c r="J27" i="34" s="1"/>
  <c r="Q27" i="34" s="1"/>
  <c r="J18" i="34" a="1"/>
  <c r="J18" i="34" s="1"/>
  <c r="J7" i="34" a="1"/>
  <c r="J7" i="34" s="1"/>
  <c r="Q7" i="34" s="1"/>
  <c r="I18" i="34" a="1"/>
  <c r="I18" i="34" s="1"/>
  <c r="T62" i="3"/>
  <c r="T39" i="3"/>
  <c r="T66" i="3"/>
  <c r="T43" i="3"/>
  <c r="T50" i="3"/>
  <c r="T54" i="3"/>
  <c r="T51" i="3"/>
  <c r="T55" i="3"/>
  <c r="T46" i="3"/>
  <c r="T63" i="3"/>
  <c r="T67" i="3"/>
  <c r="T47" i="3"/>
  <c r="T40" i="3"/>
  <c r="T44" i="3"/>
  <c r="T59" i="3"/>
  <c r="T52" i="3"/>
  <c r="T56" i="3"/>
  <c r="T48" i="3"/>
  <c r="T64" i="3"/>
  <c r="T68" i="3"/>
  <c r="T60" i="3"/>
  <c r="T41" i="3"/>
  <c r="T45" i="3"/>
  <c r="T58" i="3"/>
  <c r="T53" i="3"/>
  <c r="T57" i="3"/>
  <c r="T49" i="3"/>
  <c r="T65" i="3"/>
  <c r="T69" i="3"/>
  <c r="T61" i="3"/>
  <c r="H48" i="36" a="1"/>
  <c r="H48" i="36" s="1"/>
  <c r="M48" i="36" s="1"/>
  <c r="G39" i="3"/>
  <c r="G51" i="3"/>
  <c r="G43" i="3"/>
  <c r="G55" i="3"/>
  <c r="G58" i="3"/>
  <c r="G61" i="3"/>
  <c r="G42" i="3"/>
  <c r="G57" i="3"/>
  <c r="G3" i="3"/>
  <c r="G50" i="3"/>
  <c r="G54" i="3"/>
  <c r="G69" i="3"/>
  <c r="G62" i="3"/>
  <c r="G66" i="3"/>
  <c r="G46" i="3"/>
  <c r="G63" i="3"/>
  <c r="G67" i="3"/>
  <c r="G40" i="3"/>
  <c r="G59" i="3"/>
  <c r="G52" i="3"/>
  <c r="G44" i="3"/>
  <c r="G64" i="3"/>
  <c r="G56" i="3"/>
  <c r="G29" i="34" a="1"/>
  <c r="G29" i="34" s="1"/>
  <c r="G38" i="3"/>
  <c r="G48" i="3"/>
  <c r="G68" i="3"/>
  <c r="G60" i="3"/>
  <c r="G53" i="3"/>
  <c r="G47" i="3"/>
  <c r="G49" i="3"/>
  <c r="G65" i="3"/>
  <c r="G45" i="3"/>
  <c r="X3" i="3" a="1"/>
  <c r="X38" i="3"/>
  <c r="T38" i="3" s="1"/>
  <c r="J59" i="34" a="1"/>
  <c r="J59" i="34" s="1"/>
  <c r="Q59" i="34" s="1"/>
  <c r="J99" i="34" a="1"/>
  <c r="J99" i="34" s="1"/>
  <c r="Q99" i="34" s="1"/>
  <c r="J89" i="34" a="1"/>
  <c r="J89" i="34" s="1"/>
  <c r="Q89" i="34" s="1"/>
  <c r="J104" i="34" a="1"/>
  <c r="J104" i="34" s="1"/>
  <c r="Q104" i="34" s="1"/>
  <c r="J93" i="34" a="1"/>
  <c r="J93" i="34" s="1"/>
  <c r="Q93" i="34" s="1"/>
  <c r="J62" i="34" a="1"/>
  <c r="J62" i="34" s="1"/>
  <c r="Q62" i="34" s="1"/>
  <c r="J77" i="34" a="1"/>
  <c r="J77" i="34" s="1"/>
  <c r="Q77" i="34" s="1"/>
  <c r="J41" i="34" a="1"/>
  <c r="J41" i="34" s="1"/>
  <c r="Q41" i="34" s="1"/>
  <c r="J109" i="34" a="1"/>
  <c r="J109" i="34" s="1"/>
  <c r="Q109" i="34" s="1"/>
  <c r="J95" i="34" a="1"/>
  <c r="J95" i="34" s="1"/>
  <c r="Q95" i="34" s="1"/>
  <c r="J121" i="34" a="1"/>
  <c r="J121" i="34" s="1"/>
  <c r="Q121" i="34" s="1"/>
  <c r="J5" i="34" a="1"/>
  <c r="J5" i="34" s="1"/>
  <c r="Q5" i="34" s="1"/>
  <c r="J10" i="34" a="1"/>
  <c r="J10" i="34" s="1"/>
  <c r="J92" i="34" a="1"/>
  <c r="J92" i="34" s="1"/>
  <c r="Q92" i="34" s="1"/>
  <c r="J83" i="34" a="1"/>
  <c r="J83" i="34" s="1"/>
  <c r="Q83" i="34" s="1"/>
  <c r="J56" i="34" a="1"/>
  <c r="J56" i="34" s="1"/>
  <c r="Q56" i="34" s="1"/>
  <c r="J26" i="34" a="1"/>
  <c r="J26" i="34" s="1"/>
  <c r="Q26" i="34" s="1"/>
  <c r="J124" i="34" a="1"/>
  <c r="J124" i="34" s="1"/>
  <c r="Q124" i="34" s="1"/>
  <c r="J65" i="34" a="1"/>
  <c r="J65" i="34" s="1"/>
  <c r="Q65" i="34" s="1"/>
  <c r="J91" i="34" a="1"/>
  <c r="J91" i="34" s="1"/>
  <c r="Q91" i="34" s="1"/>
  <c r="J11" i="34" a="1"/>
  <c r="J11" i="34" s="1"/>
  <c r="Q11" i="34" s="1"/>
  <c r="J35" i="34" a="1"/>
  <c r="J35" i="34" s="1"/>
  <c r="Q35" i="34" s="1"/>
  <c r="J64" i="34" a="1"/>
  <c r="J64" i="34" s="1"/>
  <c r="Q64" i="34" s="1"/>
  <c r="J122" i="34" a="1"/>
  <c r="J122" i="34" s="1"/>
  <c r="Q122" i="34" s="1"/>
  <c r="J21" i="34" a="1"/>
  <c r="J21" i="34" s="1"/>
  <c r="Q21" i="34" s="1"/>
  <c r="J80" i="34" a="1"/>
  <c r="J80" i="34" s="1"/>
  <c r="Q80" i="34" s="1"/>
  <c r="J76" i="34" a="1"/>
  <c r="J76" i="34" s="1"/>
  <c r="Q76" i="34" s="1"/>
  <c r="J60" i="34" a="1"/>
  <c r="J60" i="34" s="1"/>
  <c r="Q60" i="34" s="1"/>
  <c r="J47" i="34" a="1"/>
  <c r="J47" i="34" s="1"/>
  <c r="Q47" i="34" s="1"/>
  <c r="J57" i="34" a="1"/>
  <c r="J57" i="34" s="1"/>
  <c r="Q57" i="34" s="1"/>
  <c r="J17" i="34" a="1"/>
  <c r="J17" i="34" s="1"/>
  <c r="Q17" i="34" s="1"/>
  <c r="J125" i="34" a="1"/>
  <c r="J125" i="34" s="1"/>
  <c r="Q125" i="34" s="1"/>
  <c r="J34" i="34" a="1"/>
  <c r="J34" i="34" s="1"/>
  <c r="Q34" i="34" s="1"/>
  <c r="J86" i="34" a="1"/>
  <c r="J86" i="34" s="1"/>
  <c r="J88" i="34" a="1"/>
  <c r="J88" i="34" s="1"/>
  <c r="Q88" i="34" s="1"/>
  <c r="J36" i="34" a="1"/>
  <c r="J36" i="34" s="1"/>
  <c r="Q36" i="34" s="1"/>
  <c r="J94" i="34" a="1"/>
  <c r="J94" i="34" s="1"/>
  <c r="Q94" i="34" s="1"/>
  <c r="J63" i="34" a="1"/>
  <c r="J63" i="34" s="1"/>
  <c r="Q63" i="34" s="1"/>
  <c r="J81" i="34" a="1"/>
  <c r="J81" i="34" s="1"/>
  <c r="Q81" i="34" s="1"/>
  <c r="J120" i="34" a="1"/>
  <c r="J120" i="34" s="1"/>
  <c r="Q120" i="34" s="1"/>
  <c r="J110" i="34" a="1"/>
  <c r="J110" i="34" s="1"/>
  <c r="Q110" i="34" s="1"/>
  <c r="J105" i="34" a="1"/>
  <c r="J105" i="34" s="1"/>
  <c r="Q105" i="34" s="1"/>
  <c r="J116" i="34" a="1"/>
  <c r="J116" i="34" s="1"/>
  <c r="Q116" i="34" s="1"/>
  <c r="J13" i="34" a="1"/>
  <c r="J13" i="34" s="1"/>
  <c r="Q13" i="34" s="1"/>
  <c r="J32" i="34" a="1"/>
  <c r="J32" i="34" s="1"/>
  <c r="J72" i="34" a="1"/>
  <c r="J72" i="34" s="1"/>
  <c r="Q72" i="34" s="1"/>
  <c r="J20" i="34" a="1"/>
  <c r="J20" i="34" s="1"/>
  <c r="Q20" i="34" s="1"/>
  <c r="J87" i="34" a="1"/>
  <c r="J87" i="34" s="1"/>
  <c r="Q87" i="34" s="1"/>
  <c r="J100" i="34" a="1"/>
  <c r="J100" i="34" s="1"/>
  <c r="Q100" i="34" s="1"/>
  <c r="J4" i="34" a="1"/>
  <c r="J4" i="34" s="1"/>
  <c r="Q4" i="34" s="1"/>
  <c r="J14" i="34" a="1"/>
  <c r="J14" i="34" s="1"/>
  <c r="Q14" i="34" s="1"/>
  <c r="J101" i="34" a="1"/>
  <c r="J101" i="34" s="1"/>
  <c r="Q101" i="34" s="1"/>
  <c r="J8" i="34" a="1"/>
  <c r="J8" i="34" s="1"/>
  <c r="J123" i="34" a="1"/>
  <c r="J123" i="34" s="1"/>
  <c r="Q123" i="34" s="1"/>
  <c r="J96" i="34" a="1"/>
  <c r="J96" i="34" s="1"/>
  <c r="Q96" i="34" s="1"/>
  <c r="J19" i="34" a="1"/>
  <c r="J19" i="34" s="1"/>
  <c r="Q19" i="34" s="1"/>
  <c r="J3" i="34" a="1"/>
  <c r="J3" i="34" s="1"/>
  <c r="Q3" i="34" s="1"/>
  <c r="J40" i="34" a="1"/>
  <c r="J40" i="34" s="1"/>
  <c r="Q40" i="34" s="1"/>
  <c r="J118" i="34" a="1"/>
  <c r="J118" i="34" s="1"/>
  <c r="J9" i="34" a="1"/>
  <c r="J9" i="34" s="1"/>
  <c r="Q9" i="34" s="1"/>
  <c r="J78" i="34" a="1"/>
  <c r="J78" i="34" s="1"/>
  <c r="Q78" i="34" s="1"/>
  <c r="J6" i="34" a="1"/>
  <c r="J6" i="34" s="1"/>
  <c r="J22" i="34" a="1"/>
  <c r="J22" i="34" s="1"/>
  <c r="Q22" i="34" s="1"/>
  <c r="J84" i="34" a="1"/>
  <c r="J84" i="34" s="1"/>
  <c r="Q84" i="34" s="1"/>
  <c r="J48" i="34" a="1"/>
  <c r="J48" i="34" s="1"/>
  <c r="Q48" i="34" s="1"/>
  <c r="J107" i="34" a="1"/>
  <c r="J107" i="34" s="1"/>
  <c r="Q107" i="34" s="1"/>
  <c r="G111" i="34" a="1"/>
  <c r="G111" i="34" s="1"/>
  <c r="G67" i="34" a="1"/>
  <c r="G67" i="34" s="1"/>
  <c r="G68" i="34" a="1"/>
  <c r="G68" i="34" s="1"/>
  <c r="I69" i="33" a="1"/>
  <c r="I69" i="33" s="1"/>
  <c r="Q69" i="33" s="1"/>
  <c r="I84" i="33" a="1"/>
  <c r="I84" i="33" s="1"/>
  <c r="Q84" i="33" s="1"/>
  <c r="I71" i="33" a="1"/>
  <c r="I71" i="33" s="1"/>
  <c r="Q71" i="33" s="1"/>
  <c r="I70" i="33" a="1"/>
  <c r="I70" i="33" s="1"/>
  <c r="Q70" i="33" s="1"/>
  <c r="I36" i="33" a="1"/>
  <c r="I36" i="33" s="1"/>
  <c r="Q36" i="33" s="1"/>
  <c r="I27" i="33" a="1"/>
  <c r="I27" i="33" s="1"/>
  <c r="Q27" i="33" s="1"/>
  <c r="I5" i="33" a="1"/>
  <c r="I5" i="33" s="1"/>
  <c r="I6" i="33" a="1"/>
  <c r="I6" i="33" s="1"/>
  <c r="Q6" i="33" s="1"/>
  <c r="I24" i="33" a="1"/>
  <c r="I24" i="33" s="1"/>
  <c r="I10" i="33" a="1"/>
  <c r="I10" i="33" s="1"/>
  <c r="Q10" i="33" s="1"/>
  <c r="I54" i="33" a="1"/>
  <c r="I54" i="33" s="1"/>
  <c r="Q54" i="33" s="1"/>
  <c r="I82" i="33" a="1"/>
  <c r="I82" i="33" s="1"/>
  <c r="I11" i="33" a="1"/>
  <c r="I11" i="33" s="1"/>
  <c r="I83" i="33" a="1"/>
  <c r="I83" i="33" s="1"/>
  <c r="I50" i="33" a="1"/>
  <c r="I50" i="33" s="1"/>
  <c r="Q50" i="33" s="1"/>
  <c r="I42" i="33" a="1"/>
  <c r="I42" i="33" s="1"/>
  <c r="Q42" i="33" s="1"/>
  <c r="I49" i="33" a="1"/>
  <c r="I49" i="33" s="1"/>
  <c r="Q49" i="33" s="1"/>
  <c r="I18" i="33" a="1"/>
  <c r="I18" i="33" s="1"/>
  <c r="Q18" i="33" s="1"/>
  <c r="I17" i="33" a="1"/>
  <c r="I17" i="33" s="1"/>
  <c r="Q17" i="33" s="1"/>
  <c r="I37" i="33" a="1"/>
  <c r="I37" i="33" s="1"/>
  <c r="I63" i="33" a="1"/>
  <c r="I63" i="33" s="1"/>
  <c r="I86" i="33" a="1"/>
  <c r="I86" i="33" s="1"/>
  <c r="I85" i="33" a="1"/>
  <c r="I85" i="33" s="1"/>
  <c r="I28" i="33" a="1"/>
  <c r="I28" i="33" s="1"/>
  <c r="I56" i="33" a="1"/>
  <c r="I56" i="33" s="1"/>
  <c r="Q56" i="33" s="1"/>
  <c r="I55" i="33" a="1"/>
  <c r="I55" i="33" s="1"/>
  <c r="Q55" i="33" s="1"/>
  <c r="I68" i="33" a="1"/>
  <c r="I68" i="33" s="1"/>
  <c r="Q68" i="33" s="1"/>
  <c r="I48" i="33" a="1"/>
  <c r="I48" i="33" s="1"/>
  <c r="Q48" i="33" s="1"/>
  <c r="I8" i="33" a="1"/>
  <c r="I8" i="33" s="1"/>
  <c r="Q8" i="33" s="1"/>
  <c r="I39" i="33" a="1"/>
  <c r="I39" i="33" s="1"/>
  <c r="Q39" i="33" s="1"/>
  <c r="I30" i="33" a="1"/>
  <c r="I30" i="33" s="1"/>
  <c r="Q30" i="33" s="1"/>
  <c r="I45" i="33" a="1"/>
  <c r="I45" i="33" s="1"/>
  <c r="Q45" i="33" s="1"/>
  <c r="I3" i="33" a="1"/>
  <c r="I3" i="33" s="1"/>
  <c r="Q3" i="33" s="1"/>
  <c r="I79" i="33" a="1"/>
  <c r="I79" i="33" s="1"/>
  <c r="Q79" i="33" s="1"/>
  <c r="I41" i="33" a="1"/>
  <c r="I41" i="33" s="1"/>
  <c r="Q41" i="33" s="1"/>
  <c r="I15" i="33" a="1"/>
  <c r="I15" i="33" s="1"/>
  <c r="Q15" i="33" s="1"/>
  <c r="I72" i="33" a="1"/>
  <c r="I72" i="33" s="1"/>
  <c r="Q72" i="33" s="1"/>
  <c r="I14" i="33" a="1"/>
  <c r="I14" i="33" s="1"/>
  <c r="Q14" i="33" s="1"/>
  <c r="I75" i="33" a="1"/>
  <c r="I75" i="33" s="1"/>
  <c r="Q75" i="33" s="1"/>
  <c r="I12" i="33" a="1"/>
  <c r="I12" i="33" s="1"/>
  <c r="Q12" i="33" s="1"/>
  <c r="I9" i="33" a="1"/>
  <c r="I9" i="33" s="1"/>
  <c r="I23" i="33" a="1"/>
  <c r="I23" i="33" s="1"/>
  <c r="I38" i="33" a="1"/>
  <c r="I38" i="33" s="1"/>
  <c r="Q38" i="33" s="1"/>
  <c r="I25" i="33" a="1"/>
  <c r="I25" i="33" s="1"/>
  <c r="Q25" i="33" s="1"/>
  <c r="I7" i="33" a="1"/>
  <c r="I7" i="33" s="1"/>
  <c r="Q7" i="33" s="1"/>
  <c r="I61" i="33" a="1"/>
  <c r="I61" i="33" s="1"/>
  <c r="Q61" i="33" s="1"/>
  <c r="I62" i="33" a="1"/>
  <c r="I62" i="33" s="1"/>
  <c r="Q62" i="33" s="1"/>
  <c r="I66" i="33" a="1"/>
  <c r="I66" i="33" s="1"/>
  <c r="Q66" i="33" s="1"/>
  <c r="I81" i="33" a="1"/>
  <c r="I81" i="33" s="1"/>
  <c r="Q81" i="33" s="1"/>
  <c r="I67" i="33" a="1"/>
  <c r="I67" i="33" s="1"/>
  <c r="Q67" i="33" s="1"/>
  <c r="I34" i="33" a="1"/>
  <c r="I34" i="33" s="1"/>
  <c r="I26" i="33" a="1"/>
  <c r="I26" i="33" s="1"/>
  <c r="I35" i="33" a="1"/>
  <c r="I35" i="33" s="1"/>
  <c r="H74" i="33" a="1"/>
  <c r="H74" i="33" s="1"/>
  <c r="H60" i="33" a="1"/>
  <c r="H60" i="33" s="1"/>
  <c r="H73" i="33" a="1"/>
  <c r="H73" i="33" s="1"/>
  <c r="J60" i="33" a="1"/>
  <c r="J60" i="33" s="1"/>
  <c r="J74" i="33" a="1"/>
  <c r="J74" i="33" s="1"/>
  <c r="J73" i="33" a="1"/>
  <c r="J73" i="33" s="1"/>
  <c r="I29" i="33" a="1"/>
  <c r="I29" i="33" s="1"/>
  <c r="I57" i="33" a="1"/>
  <c r="I57" i="33" s="1"/>
  <c r="I4" i="33" a="1"/>
  <c r="I4" i="33" s="1"/>
  <c r="I44" i="33" a="1"/>
  <c r="I44" i="33" s="1"/>
  <c r="I43" i="33" a="1"/>
  <c r="I43" i="33" s="1"/>
  <c r="G60" i="33" a="1"/>
  <c r="G60" i="33" s="1"/>
  <c r="G73" i="33" a="1"/>
  <c r="G73" i="33" s="1"/>
  <c r="G74" i="33" a="1"/>
  <c r="G74" i="33" s="1"/>
  <c r="I2" i="33" a="1"/>
  <c r="I2" i="33" s="1"/>
  <c r="I80" i="33" a="1"/>
  <c r="I80" i="33" s="1"/>
  <c r="I52" i="33" a="1"/>
  <c r="I52" i="33" s="1"/>
  <c r="Q52" i="33" s="1"/>
  <c r="I53" i="33" a="1"/>
  <c r="I53" i="33" s="1"/>
  <c r="I16" i="33" a="1"/>
  <c r="I16" i="33" s="1"/>
  <c r="I65" i="33" a="1"/>
  <c r="I65" i="33" s="1"/>
  <c r="Q65" i="33" s="1"/>
  <c r="I31" i="33" a="1"/>
  <c r="I31" i="33" s="1"/>
  <c r="I32" i="33" a="1"/>
  <c r="I32" i="33" s="1"/>
  <c r="Q32" i="33" s="1"/>
  <c r="I74" i="33" a="1"/>
  <c r="I74" i="33" s="1"/>
  <c r="I73" i="33" a="1"/>
  <c r="I73" i="33" s="1"/>
  <c r="I60" i="33" a="1"/>
  <c r="I60" i="33" s="1"/>
  <c r="I21" i="33" a="1"/>
  <c r="I21" i="33" s="1"/>
  <c r="Q21" i="33" s="1"/>
  <c r="I22" i="33" a="1"/>
  <c r="I22" i="33" s="1"/>
  <c r="Q22" i="33" s="1"/>
  <c r="I20" i="33" a="1"/>
  <c r="I20" i="33" s="1"/>
  <c r="Q20" i="33" s="1"/>
  <c r="I13" i="33" a="1"/>
  <c r="I13" i="33" s="1"/>
  <c r="Q13" i="33" s="1"/>
  <c r="I40" i="33" a="1"/>
  <c r="I40" i="33" s="1"/>
  <c r="I64" i="33" a="1"/>
  <c r="I64" i="33" s="1"/>
  <c r="I76" i="33" a="1"/>
  <c r="I76" i="33" s="1"/>
  <c r="I78" i="33" a="1"/>
  <c r="I78" i="33" s="1"/>
  <c r="I77" i="33" a="1"/>
  <c r="I77" i="33" s="1"/>
  <c r="I51" i="33" a="1"/>
  <c r="I51" i="33" s="1"/>
  <c r="I19" i="33" a="1"/>
  <c r="I19" i="33" s="1"/>
  <c r="Q19" i="33" s="1"/>
  <c r="I59" i="33" a="1"/>
  <c r="I59" i="33" s="1"/>
  <c r="Q59" i="33" s="1"/>
  <c r="I58" i="33" a="1"/>
  <c r="I58" i="33" s="1"/>
  <c r="Q58" i="33" s="1"/>
  <c r="I47" i="33" a="1"/>
  <c r="I47" i="33" s="1"/>
  <c r="Q47" i="33" s="1"/>
  <c r="I46" i="33" a="1"/>
  <c r="I46" i="33" s="1"/>
  <c r="Q46" i="33" s="1"/>
  <c r="I33" i="33" a="1"/>
  <c r="I33" i="33" s="1"/>
  <c r="Q33" i="33" s="1"/>
  <c r="B45" i="19"/>
  <c r="B57" i="2"/>
  <c r="B41" i="2"/>
  <c r="B58" i="2"/>
  <c r="B62" i="2"/>
  <c r="B50" i="2"/>
  <c r="B66" i="2"/>
  <c r="B56" i="2"/>
  <c r="B68" i="2"/>
  <c r="B54" i="2"/>
  <c r="B38" i="2"/>
  <c r="B55" i="2"/>
  <c r="B61" i="2"/>
  <c r="B63" i="2"/>
  <c r="B51" i="2"/>
  <c r="B46" i="2"/>
  <c r="B67" i="2"/>
  <c r="B59" i="2"/>
  <c r="B42" i="2"/>
  <c r="B40" i="2"/>
  <c r="B45" i="2"/>
  <c r="B47" i="2"/>
  <c r="B48" i="2"/>
  <c r="B53" i="2"/>
  <c r="B52" i="2"/>
  <c r="B39" i="2"/>
  <c r="B43" i="2"/>
  <c r="B44" i="2"/>
  <c r="B60" i="2"/>
  <c r="B65" i="2"/>
  <c r="B37" i="2"/>
  <c r="B49" i="2"/>
  <c r="J21" i="40" l="1" a="1"/>
  <c r="J21" i="40" s="1"/>
  <c r="J19" i="40" a="1"/>
  <c r="J19" i="40" s="1"/>
  <c r="N25" i="39" a="1"/>
  <c r="N25" i="39" s="1"/>
  <c r="K29" i="41" a="1"/>
  <c r="K29" i="41" s="1"/>
  <c r="K74" i="41" a="1"/>
  <c r="K74" i="41" s="1"/>
  <c r="K75" i="41" a="1"/>
  <c r="K75" i="41" s="1"/>
  <c r="H20" i="40" a="1"/>
  <c r="H20" i="40" s="1"/>
  <c r="H21" i="40" a="1"/>
  <c r="H21" i="40" s="1"/>
  <c r="H19" i="40" a="1"/>
  <c r="H19" i="40" s="1"/>
  <c r="J282" i="39" a="1"/>
  <c r="J282" i="39" s="1"/>
  <c r="G20" i="40" a="1"/>
  <c r="G20" i="40" s="1"/>
  <c r="G21" i="40" a="1"/>
  <c r="G21" i="40" s="1"/>
  <c r="Q118" i="34"/>
  <c r="Q86" i="34"/>
  <c r="Q10" i="34"/>
  <c r="N242" i="39" a="1"/>
  <c r="N242" i="39" s="1"/>
  <c r="W242" i="39" s="1" a="1"/>
  <c r="W242" i="39" s="1"/>
  <c r="X242" i="39" s="1"/>
  <c r="N229" i="39" a="1"/>
  <c r="N229" i="39" s="1"/>
  <c r="W229" i="39" s="1" a="1"/>
  <c r="W229" i="39" s="1"/>
  <c r="X229" i="39" s="1"/>
  <c r="Q5" i="33"/>
  <c r="Q24" i="33"/>
  <c r="G57" i="40" a="1"/>
  <c r="G57" i="40" s="1"/>
  <c r="G58" i="40" a="1"/>
  <c r="G58" i="40" s="1"/>
  <c r="J58" i="40" a="1"/>
  <c r="J58" i="40" s="1"/>
  <c r="I313" i="39" a="1"/>
  <c r="I313" i="39" s="1"/>
  <c r="J26" i="40" a="1"/>
  <c r="J26" i="40" s="1"/>
  <c r="J57" i="40" a="1"/>
  <c r="J57" i="40" s="1"/>
  <c r="K25" i="41" a="1"/>
  <c r="K25" i="41" s="1"/>
  <c r="K81" i="41" a="1"/>
  <c r="K81" i="41" s="1"/>
  <c r="K82" i="41" a="1"/>
  <c r="K82" i="41" s="1"/>
  <c r="N520" i="39" a="1"/>
  <c r="N520" i="39" s="1"/>
  <c r="N359" i="39" a="1"/>
  <c r="N359" i="39" s="1"/>
  <c r="Q31" i="33"/>
  <c r="G72" i="40" a="1"/>
  <c r="G72" i="40" s="1"/>
  <c r="G29" i="40" a="1"/>
  <c r="G29" i="40" s="1"/>
  <c r="G82" i="40" a="1"/>
  <c r="G82" i="40" s="1"/>
  <c r="I191" i="39" a="1"/>
  <c r="I191" i="39" s="1"/>
  <c r="J30" i="40" a="1"/>
  <c r="J30" i="40" s="1"/>
  <c r="J82" i="40" a="1"/>
  <c r="J82" i="40" s="1"/>
  <c r="I528" i="39" a="1"/>
  <c r="I528" i="39" s="1"/>
  <c r="J477" i="39" a="1"/>
  <c r="J477" i="39" s="1"/>
  <c r="H29" i="40" a="1"/>
  <c r="H29" i="40" s="1"/>
  <c r="H30" i="40" a="1"/>
  <c r="H30" i="40" s="1"/>
  <c r="H82" i="40" a="1"/>
  <c r="H82" i="40" s="1"/>
  <c r="Q44" i="33"/>
  <c r="Q4" i="33"/>
  <c r="Q43" i="33"/>
  <c r="J51" i="34" a="1"/>
  <c r="J51" i="34" s="1"/>
  <c r="Q51" i="34" s="1"/>
  <c r="Q49" i="34"/>
  <c r="Q80" i="33"/>
  <c r="G50" i="40" a="1"/>
  <c r="G50" i="40" s="1"/>
  <c r="K12" i="41" a="1"/>
  <c r="K12" i="41" s="1"/>
  <c r="K13" i="41" a="1"/>
  <c r="K13" i="41" s="1"/>
  <c r="N351" i="39" a="1"/>
  <c r="N351" i="39" s="1"/>
  <c r="N304" i="39" a="1"/>
  <c r="N304" i="39" s="1"/>
  <c r="K80" i="41" a="1"/>
  <c r="K80" i="41" s="1"/>
  <c r="J112" i="34" a="1"/>
  <c r="J112" i="34" s="1"/>
  <c r="Q112" i="34" s="1"/>
  <c r="H24" i="40" a="1"/>
  <c r="H24" i="40" s="1"/>
  <c r="H50" i="40" a="1"/>
  <c r="H50" i="40" s="1"/>
  <c r="H25" i="40" a="1"/>
  <c r="H25" i="40" s="1"/>
  <c r="J25" i="40" a="1"/>
  <c r="J25" i="40" s="1"/>
  <c r="J50" i="40" a="1"/>
  <c r="J50" i="40" s="1"/>
  <c r="I460" i="39" a="1"/>
  <c r="I460" i="39" s="1"/>
  <c r="J24" i="40" a="1"/>
  <c r="J24" i="40" s="1"/>
  <c r="G25" i="40" a="1"/>
  <c r="G25" i="40" s="1"/>
  <c r="G24" i="40" a="1"/>
  <c r="G24" i="40" s="1"/>
  <c r="Q2" i="33"/>
  <c r="W496" i="39" a="1"/>
  <c r="W496" i="39" s="1"/>
  <c r="X496" i="39" s="1"/>
  <c r="W295" i="39" a="1"/>
  <c r="W295" i="39" s="1"/>
  <c r="X295" i="39" s="1"/>
  <c r="W536" i="39" a="1"/>
  <c r="W536" i="39" s="1"/>
  <c r="X536" i="39" s="1"/>
  <c r="W567" i="39" a="1"/>
  <c r="W567" i="39" s="1"/>
  <c r="X567" i="39" s="1"/>
  <c r="W299" i="39" a="1"/>
  <c r="W299" i="39" s="1"/>
  <c r="X299" i="39" s="1"/>
  <c r="W480" i="39" a="1"/>
  <c r="W480" i="39" s="1"/>
  <c r="X480" i="39" s="1"/>
  <c r="W254" i="39" a="1"/>
  <c r="W254" i="39" s="1"/>
  <c r="X254" i="39" s="1"/>
  <c r="W300" i="39" a="1"/>
  <c r="W300" i="39" s="1"/>
  <c r="X300" i="39" s="1"/>
  <c r="W328" i="39" a="1"/>
  <c r="W328" i="39" s="1"/>
  <c r="X328" i="39" s="1"/>
  <c r="W248" i="39" a="1"/>
  <c r="W248" i="39" s="1"/>
  <c r="X248" i="39" s="1"/>
  <c r="W187" i="39" a="1"/>
  <c r="W187" i="39" s="1"/>
  <c r="X187" i="39" s="1"/>
  <c r="W324" i="39" a="1"/>
  <c r="W324" i="39" s="1"/>
  <c r="X324" i="39" s="1"/>
  <c r="W311" i="39" a="1"/>
  <c r="W311" i="39" s="1"/>
  <c r="X311" i="39" s="1"/>
  <c r="W544" i="39" a="1"/>
  <c r="W544" i="39" s="1"/>
  <c r="X544" i="39" s="1"/>
  <c r="W306" i="39" a="1"/>
  <c r="W306" i="39" s="1"/>
  <c r="X306" i="39" s="1"/>
  <c r="W467" i="39" a="1"/>
  <c r="W467" i="39" s="1"/>
  <c r="X467" i="39" s="1"/>
  <c r="W136" i="39" a="1"/>
  <c r="W136" i="39" s="1"/>
  <c r="X136" i="39" s="1"/>
  <c r="W345" i="39" a="1"/>
  <c r="W345" i="39" s="1"/>
  <c r="X345" i="39" s="1"/>
  <c r="W169" i="39" a="1"/>
  <c r="W169" i="39" s="1"/>
  <c r="X169" i="39" s="1"/>
  <c r="W222" i="39" a="1"/>
  <c r="W222" i="39" s="1"/>
  <c r="X222" i="39" s="1"/>
  <c r="W561" i="39" a="1"/>
  <c r="W561" i="39" s="1"/>
  <c r="X561" i="39" s="1"/>
  <c r="W230" i="39" a="1"/>
  <c r="W230" i="39" s="1"/>
  <c r="X230" i="39" s="1"/>
  <c r="W504" i="39" a="1"/>
  <c r="W504" i="39" s="1"/>
  <c r="X504" i="39" s="1"/>
  <c r="W334" i="39" a="1"/>
  <c r="W334" i="39" s="1"/>
  <c r="X334" i="39" s="1"/>
  <c r="W529" i="39" a="1"/>
  <c r="W529" i="39" s="1"/>
  <c r="X529" i="39" s="1"/>
  <c r="Q6" i="34"/>
  <c r="J97" i="34" a="1"/>
  <c r="J97" i="34" s="1"/>
  <c r="Q97" i="34" s="1"/>
  <c r="J69" i="34" a="1"/>
  <c r="J69" i="34" s="1"/>
  <c r="Q69" i="34" s="1"/>
  <c r="J98" i="34" a="1"/>
  <c r="J98" i="34" s="1"/>
  <c r="Q98" i="34" s="1"/>
  <c r="J191" i="39" a="1"/>
  <c r="J191" i="39" s="1"/>
  <c r="H2" i="40" a="1"/>
  <c r="H2" i="40" s="1"/>
  <c r="H49" i="40" a="1"/>
  <c r="H49" i="40" s="1"/>
  <c r="J49" i="40" a="1"/>
  <c r="J49" i="40" s="1"/>
  <c r="J2" i="40" a="1"/>
  <c r="J2" i="40" s="1"/>
  <c r="K2" i="41" a="1"/>
  <c r="K2" i="41" s="1"/>
  <c r="K39" i="41" a="1"/>
  <c r="K39" i="41" s="1"/>
  <c r="K37" i="41" a="1"/>
  <c r="K37" i="41" s="1"/>
  <c r="K38" i="41" a="1"/>
  <c r="K38" i="41" s="1"/>
  <c r="N3" i="39" a="1"/>
  <c r="N3" i="39" s="1"/>
  <c r="G2" i="40" a="1"/>
  <c r="G2" i="40" s="1"/>
  <c r="G49" i="40" a="1"/>
  <c r="G49" i="40" s="1"/>
  <c r="Q63" i="33"/>
  <c r="Q37" i="33"/>
  <c r="N540" i="39" a="1"/>
  <c r="N540" i="39" s="1"/>
  <c r="N565" i="39" a="1"/>
  <c r="N565" i="39" s="1"/>
  <c r="N146" i="39" a="1"/>
  <c r="N146" i="39" s="1"/>
  <c r="K71" i="41" a="1"/>
  <c r="K71" i="41" s="1"/>
  <c r="G15" i="38"/>
  <c r="G29" i="38"/>
  <c r="G20" i="38"/>
  <c r="G7" i="38"/>
  <c r="G8" i="38"/>
  <c r="G6" i="38"/>
  <c r="G11" i="38"/>
  <c r="G17" i="38"/>
  <c r="I224" i="39" a="1"/>
  <c r="I224" i="39" s="1"/>
  <c r="G16" i="38"/>
  <c r="G33" i="38"/>
  <c r="G13" i="38"/>
  <c r="G4" i="38"/>
  <c r="G18" i="38"/>
  <c r="G30" i="38"/>
  <c r="J224" i="39" a="1"/>
  <c r="J224" i="39" s="1"/>
  <c r="H41" i="40" a="1"/>
  <c r="H41" i="40" s="1"/>
  <c r="G21" i="38"/>
  <c r="G26" i="38"/>
  <c r="G5" i="38"/>
  <c r="G14" i="38"/>
  <c r="G23" i="38"/>
  <c r="G10" i="38"/>
  <c r="G31" i="38"/>
  <c r="K70" i="41" a="1"/>
  <c r="K70" i="41" s="1"/>
  <c r="K83" i="41" a="1"/>
  <c r="K83" i="41" s="1"/>
  <c r="K72" i="41" a="1"/>
  <c r="K72" i="41" s="1"/>
  <c r="H72" i="40" a="1"/>
  <c r="H72" i="40" s="1"/>
  <c r="Q39" i="34"/>
  <c r="J54" i="34" a="1"/>
  <c r="J54" i="34" s="1"/>
  <c r="Q54" i="34" s="1"/>
  <c r="J108" i="34" a="1"/>
  <c r="J108" i="34" s="1"/>
  <c r="Q108" i="34" s="1"/>
  <c r="J53" i="34" a="1"/>
  <c r="J53" i="34" s="1"/>
  <c r="Q53" i="34" s="1"/>
  <c r="N252" i="39" a="1"/>
  <c r="N252" i="39" s="1"/>
  <c r="G41" i="40" a="1"/>
  <c r="G41" i="40" s="1"/>
  <c r="J72" i="40" a="1"/>
  <c r="J72" i="40" s="1"/>
  <c r="N352" i="39" a="1"/>
  <c r="N352" i="39" s="1"/>
  <c r="J41" i="40" a="1"/>
  <c r="J41" i="40" s="1"/>
  <c r="I477" i="39" a="1"/>
  <c r="I477" i="39" s="1"/>
  <c r="G12" i="40" a="1"/>
  <c r="G12" i="40" s="1"/>
  <c r="G3" i="38"/>
  <c r="Q58" i="34"/>
  <c r="Q76" i="33"/>
  <c r="I456" i="39" a="1"/>
  <c r="I456" i="39" s="1"/>
  <c r="J64" i="40" a="1"/>
  <c r="J64" i="40" s="1"/>
  <c r="J65" i="40" a="1"/>
  <c r="J65" i="40" s="1"/>
  <c r="Q77" i="33"/>
  <c r="Q51" i="33"/>
  <c r="Q78" i="33"/>
  <c r="G64" i="40" a="1"/>
  <c r="G64" i="40" s="1"/>
  <c r="H64" i="40" a="1"/>
  <c r="H64" i="40" s="1"/>
  <c r="H65" i="40" a="1"/>
  <c r="H65" i="40" s="1"/>
  <c r="G65" i="40" a="1"/>
  <c r="G65" i="40" s="1"/>
  <c r="K117" i="41" a="1"/>
  <c r="K117" i="41" s="1"/>
  <c r="H35" i="40" a="1"/>
  <c r="H35" i="40" s="1"/>
  <c r="H63" i="40" a="1"/>
  <c r="H63" i="40" s="1"/>
  <c r="J103" i="34" a="1"/>
  <c r="J103" i="34" s="1"/>
  <c r="Q103" i="34" s="1"/>
  <c r="J102" i="34" a="1"/>
  <c r="J102" i="34" s="1"/>
  <c r="Q102" i="34" s="1"/>
  <c r="G35" i="40" a="1"/>
  <c r="G35" i="40" s="1"/>
  <c r="K122" i="41" a="1"/>
  <c r="K122" i="41" s="1"/>
  <c r="J35" i="40" a="1"/>
  <c r="J35" i="40" s="1"/>
  <c r="J63" i="40" a="1"/>
  <c r="J63" i="40" s="1"/>
  <c r="G63" i="40" a="1"/>
  <c r="G63" i="40" s="1"/>
  <c r="J119" i="34" a="1"/>
  <c r="J119" i="34" s="1"/>
  <c r="Q119" i="34" s="1"/>
  <c r="N382" i="39" a="1"/>
  <c r="N382" i="39" s="1"/>
  <c r="J456" i="39" a="1"/>
  <c r="J456" i="39" s="1"/>
  <c r="K116" i="41" a="1"/>
  <c r="K116" i="41" s="1"/>
  <c r="N489" i="39" a="1"/>
  <c r="N489" i="39" s="1"/>
  <c r="K115" i="41" a="1"/>
  <c r="K115" i="41" s="1"/>
  <c r="N501" i="39" a="1"/>
  <c r="N501" i="39" s="1"/>
  <c r="Q9" i="33"/>
  <c r="I237" i="39" a="1"/>
  <c r="I237" i="39" s="1"/>
  <c r="H4" i="40" a="1"/>
  <c r="H4" i="40" s="1"/>
  <c r="J237" i="39" a="1"/>
  <c r="J237" i="39" s="1"/>
  <c r="Q15" i="34"/>
  <c r="N276" i="39" a="1"/>
  <c r="N276" i="39" s="1"/>
  <c r="H74" i="40" a="1"/>
  <c r="H74" i="40" s="1"/>
  <c r="J73" i="40" a="1"/>
  <c r="J73" i="40" s="1"/>
  <c r="G73" i="40" a="1"/>
  <c r="G73" i="40" s="1"/>
  <c r="K100" i="41" a="1"/>
  <c r="K100" i="41" s="1"/>
  <c r="K101" i="41" a="1"/>
  <c r="K101" i="41" s="1"/>
  <c r="K65" i="41" a="1"/>
  <c r="K65" i="41" s="1"/>
  <c r="K102" i="41" a="1"/>
  <c r="K102" i="41" s="1"/>
  <c r="N481" i="39" a="1"/>
  <c r="N481" i="39" s="1"/>
  <c r="N14" i="39" a="1"/>
  <c r="N14" i="39" s="1"/>
  <c r="H73" i="40" a="1"/>
  <c r="H73" i="40" s="1"/>
  <c r="J4" i="40" a="1"/>
  <c r="J4" i="40" s="1"/>
  <c r="J74" i="40" a="1"/>
  <c r="J74" i="40" s="1"/>
  <c r="G27" i="38"/>
  <c r="H204" i="39" a="1"/>
  <c r="H204" i="39" s="1"/>
  <c r="G4" i="40" a="1"/>
  <c r="G4" i="40" s="1"/>
  <c r="G74" i="40" a="1"/>
  <c r="G74" i="40" s="1"/>
  <c r="G32" i="40" a="1"/>
  <c r="G32" i="40" s="1"/>
  <c r="J74" i="34" a="1"/>
  <c r="J74" i="34" s="1"/>
  <c r="Q74" i="34" s="1"/>
  <c r="J70" i="34" a="1"/>
  <c r="J70" i="34" s="1"/>
  <c r="Q70" i="34" s="1"/>
  <c r="J71" i="34" a="1"/>
  <c r="J71" i="34" s="1"/>
  <c r="Q71" i="34" s="1"/>
  <c r="Q23" i="33"/>
  <c r="H32" i="40" a="1"/>
  <c r="H32" i="40" s="1"/>
  <c r="H217" i="39" a="1"/>
  <c r="H217" i="39" s="1"/>
  <c r="K123" i="41" a="1"/>
  <c r="K123" i="41" s="1"/>
  <c r="K21" i="41" a="1"/>
  <c r="K21" i="41" s="1"/>
  <c r="N175" i="39" a="1"/>
  <c r="N175" i="39" s="1"/>
  <c r="K10" i="39" a="1"/>
  <c r="K10" i="39" s="1"/>
  <c r="K356" i="39" a="1"/>
  <c r="K356" i="39" s="1"/>
  <c r="K124" i="41" a="1"/>
  <c r="K124" i="41" s="1"/>
  <c r="N16" i="39" a="1"/>
  <c r="N16" i="39" s="1"/>
  <c r="L10" i="39" a="1"/>
  <c r="L10" i="39" s="1"/>
  <c r="L356" i="39" a="1"/>
  <c r="L356" i="39" s="1"/>
  <c r="M356" i="39" a="1"/>
  <c r="M356" i="39" s="1"/>
  <c r="M10" i="39" a="1"/>
  <c r="M10" i="39" s="1"/>
  <c r="J10" i="39" a="1"/>
  <c r="J10" i="39" s="1"/>
  <c r="J356" i="39" a="1"/>
  <c r="J356" i="39" s="1"/>
  <c r="K125" i="41" a="1"/>
  <c r="K125" i="41" s="1"/>
  <c r="H8" i="40" a="1"/>
  <c r="H8" i="40" s="1"/>
  <c r="J32" i="40" a="1"/>
  <c r="J32" i="40" s="1"/>
  <c r="I53" i="40" a="1"/>
  <c r="I53" i="40" s="1"/>
  <c r="Q53" i="40" s="1"/>
  <c r="I161" i="39" a="1"/>
  <c r="I161" i="39" s="1"/>
  <c r="J8" i="40" a="1"/>
  <c r="J8" i="40" s="1"/>
  <c r="G8" i="40" a="1"/>
  <c r="G8" i="40" s="1"/>
  <c r="I9" i="40" a="1"/>
  <c r="I9" i="40" s="1"/>
  <c r="Q9" i="40" s="1"/>
  <c r="I54" i="40" a="1"/>
  <c r="I54" i="40" s="1"/>
  <c r="Q54" i="40" s="1"/>
  <c r="I22" i="40" a="1"/>
  <c r="I22" i="40" s="1"/>
  <c r="Q22" i="40" s="1"/>
  <c r="I48" i="40" a="1"/>
  <c r="I48" i="40" s="1"/>
  <c r="Q48" i="40" s="1"/>
  <c r="H201" i="39" a="1"/>
  <c r="H201" i="39" s="1"/>
  <c r="H464" i="39" a="1"/>
  <c r="H464" i="39" s="1"/>
  <c r="I7" i="40" a="1"/>
  <c r="I7" i="40" s="1"/>
  <c r="Q7" i="40" s="1"/>
  <c r="I18" i="40" a="1"/>
  <c r="I18" i="40" s="1"/>
  <c r="Q18" i="40" s="1"/>
  <c r="I79" i="40" a="1"/>
  <c r="I79" i="40" s="1"/>
  <c r="Q79" i="40" s="1"/>
  <c r="J104" i="41" a="1"/>
  <c r="J104" i="41" s="1"/>
  <c r="J105" i="41" a="1"/>
  <c r="J105" i="41" s="1"/>
  <c r="J76" i="41" a="1"/>
  <c r="J76" i="41" s="1"/>
  <c r="J10" i="41" a="1"/>
  <c r="J10" i="41" s="1"/>
  <c r="J9" i="41" a="1"/>
  <c r="J9" i="41" s="1"/>
  <c r="J7" i="41" a="1"/>
  <c r="J7" i="41" s="1"/>
  <c r="J103" i="41" a="1"/>
  <c r="J103" i="41" s="1"/>
  <c r="J8" i="41" a="1"/>
  <c r="J8" i="41" s="1"/>
  <c r="G104" i="41" a="1"/>
  <c r="G104" i="41" s="1"/>
  <c r="G10" i="41" a="1"/>
  <c r="G10" i="41" s="1"/>
  <c r="G105" i="41" a="1"/>
  <c r="G105" i="41" s="1"/>
  <c r="G76" i="41" a="1"/>
  <c r="G76" i="41" s="1"/>
  <c r="G103" i="41" a="1"/>
  <c r="G103" i="41" s="1"/>
  <c r="G8" i="41" a="1"/>
  <c r="G8" i="41" s="1"/>
  <c r="G7" i="41" a="1"/>
  <c r="G7" i="41" s="1"/>
  <c r="G9" i="41" a="1"/>
  <c r="G9" i="41" s="1"/>
  <c r="I105" i="41" a="1"/>
  <c r="I105" i="41" s="1"/>
  <c r="I103" i="41" a="1"/>
  <c r="I103" i="41" s="1"/>
  <c r="M50" i="39" a="1"/>
  <c r="M50" i="39" s="1"/>
  <c r="M364" i="39" a="1"/>
  <c r="M364" i="39" s="1"/>
  <c r="I104" i="41" a="1"/>
  <c r="I104" i="41" s="1"/>
  <c r="I7" i="41" a="1"/>
  <c r="I7" i="41" s="1"/>
  <c r="M59" i="39" a="1"/>
  <c r="M59" i="39" s="1"/>
  <c r="I76" i="41" a="1"/>
  <c r="I76" i="41" s="1"/>
  <c r="M41" i="39" a="1"/>
  <c r="M41" i="39" s="1"/>
  <c r="I9" i="41" a="1"/>
  <c r="I9" i="41" s="1"/>
  <c r="I10" i="41" a="1"/>
  <c r="I10" i="41" s="1"/>
  <c r="I8" i="41" a="1"/>
  <c r="I8" i="41" s="1"/>
  <c r="H103" i="41" a="1"/>
  <c r="H103" i="41" s="1"/>
  <c r="H105" i="41" a="1"/>
  <c r="H105" i="41" s="1"/>
  <c r="L50" i="39" a="1"/>
  <c r="L50" i="39" s="1"/>
  <c r="H104" i="41" a="1"/>
  <c r="H104" i="41" s="1"/>
  <c r="L41" i="39" a="1"/>
  <c r="L41" i="39" s="1"/>
  <c r="L364" i="39" a="1"/>
  <c r="L364" i="39" s="1"/>
  <c r="H10" i="41" a="1"/>
  <c r="H10" i="41" s="1"/>
  <c r="H76" i="41" a="1"/>
  <c r="H76" i="41" s="1"/>
  <c r="H9" i="41" a="1"/>
  <c r="H9" i="41" s="1"/>
  <c r="H8" i="41" a="1"/>
  <c r="H8" i="41" s="1"/>
  <c r="H7" i="41" a="1"/>
  <c r="H7" i="41" s="1"/>
  <c r="L59" i="39" a="1"/>
  <c r="L59" i="39" s="1"/>
  <c r="G66" i="40" a="1"/>
  <c r="G66" i="40" s="1"/>
  <c r="H474" i="39" a="1"/>
  <c r="H474" i="39" s="1"/>
  <c r="Q26" i="33"/>
  <c r="J12" i="40" a="1"/>
  <c r="J12" i="40" s="1"/>
  <c r="Q29" i="34"/>
  <c r="Q57" i="33"/>
  <c r="N362" i="39" a="1"/>
  <c r="N362" i="39" s="1"/>
  <c r="N194" i="39" a="1"/>
  <c r="N194" i="39" s="1"/>
  <c r="J66" i="40" a="1"/>
  <c r="J66" i="40" s="1"/>
  <c r="I476" i="39" a="1"/>
  <c r="I476" i="39" s="1"/>
  <c r="L373" i="39" a="1"/>
  <c r="L373" i="39" s="1"/>
  <c r="L33" i="39" a="1"/>
  <c r="L33" i="39" s="1"/>
  <c r="L267" i="39" a="1"/>
  <c r="L267" i="39" s="1"/>
  <c r="L374" i="39" a="1"/>
  <c r="L374" i="39" s="1"/>
  <c r="L410" i="39" a="1"/>
  <c r="L410" i="39" s="1"/>
  <c r="L6" i="39" a="1"/>
  <c r="L6" i="39" s="1"/>
  <c r="L355" i="39" a="1"/>
  <c r="L355" i="39" s="1"/>
  <c r="L465" i="39" a="1"/>
  <c r="L465" i="39" s="1"/>
  <c r="L38" i="39" a="1"/>
  <c r="L38" i="39" s="1"/>
  <c r="L49" i="39" a="1"/>
  <c r="L49" i="39" s="1"/>
  <c r="L21" i="39" a="1"/>
  <c r="L21" i="39" s="1"/>
  <c r="L234" i="39" a="1"/>
  <c r="L234" i="39" s="1"/>
  <c r="L447" i="39" a="1"/>
  <c r="L447" i="39" s="1"/>
  <c r="L15" i="39" a="1"/>
  <c r="L15" i="39" s="1"/>
  <c r="L558" i="39" a="1"/>
  <c r="L558" i="39" s="1"/>
  <c r="L40" i="39" a="1"/>
  <c r="L40" i="39" s="1"/>
  <c r="L321" i="39" a="1"/>
  <c r="L321" i="39" s="1"/>
  <c r="L429" i="39" a="1"/>
  <c r="L429" i="39" s="1"/>
  <c r="L7" i="39" a="1"/>
  <c r="L7" i="39" s="1"/>
  <c r="L111" i="39" a="1"/>
  <c r="L111" i="39" s="1"/>
  <c r="L178" i="39" a="1"/>
  <c r="L178" i="39" s="1"/>
  <c r="L359" i="39" a="1"/>
  <c r="L359" i="39" s="1"/>
  <c r="L370" i="39" a="1"/>
  <c r="L370" i="39" s="1"/>
  <c r="L4" i="39" a="1"/>
  <c r="L4" i="39" s="1"/>
  <c r="L162" i="39" a="1"/>
  <c r="L162" i="39" s="1"/>
  <c r="L541" i="39" a="1"/>
  <c r="L541" i="39" s="1"/>
  <c r="L45" i="39" a="1"/>
  <c r="L45" i="39" s="1"/>
  <c r="L213" i="39" a="1"/>
  <c r="L213" i="39" s="1"/>
  <c r="L363" i="39" a="1"/>
  <c r="L363" i="39" s="1"/>
  <c r="L34" i="39" a="1"/>
  <c r="L34" i="39" s="1"/>
  <c r="L94" i="39" a="1"/>
  <c r="L94" i="39" s="1"/>
  <c r="L128" i="39" a="1"/>
  <c r="L128" i="39" s="1"/>
  <c r="L147" i="39" a="1"/>
  <c r="L147" i="39" s="1"/>
  <c r="L286" i="39" a="1"/>
  <c r="L286" i="39" s="1"/>
  <c r="L32" i="39" a="1"/>
  <c r="L32" i="39" s="1"/>
  <c r="L411" i="39" a="1"/>
  <c r="L411" i="39" s="1"/>
  <c r="L20" i="39" a="1"/>
  <c r="L20" i="39" s="1"/>
  <c r="L24" i="39" a="1"/>
  <c r="L24" i="39" s="1"/>
  <c r="L369" i="39" a="1"/>
  <c r="L369" i="39" s="1"/>
  <c r="L391" i="39" a="1"/>
  <c r="L391" i="39" s="1"/>
  <c r="L365" i="39" a="1"/>
  <c r="L365" i="39" s="1"/>
  <c r="L74" i="39" a="1"/>
  <c r="L74" i="39" s="1"/>
  <c r="L357" i="39" a="1"/>
  <c r="L357" i="39" s="1"/>
  <c r="L338" i="39" a="1"/>
  <c r="L338" i="39" s="1"/>
  <c r="M357" i="39" a="1"/>
  <c r="M357" i="39" s="1"/>
  <c r="M465" i="39" a="1"/>
  <c r="M465" i="39" s="1"/>
  <c r="M373" i="39" a="1"/>
  <c r="M373" i="39" s="1"/>
  <c r="M33" i="39" a="1"/>
  <c r="M33" i="39" s="1"/>
  <c r="M267" i="39" a="1"/>
  <c r="M267" i="39" s="1"/>
  <c r="M45" i="39" a="1"/>
  <c r="M45" i="39" s="1"/>
  <c r="M338" i="39" a="1"/>
  <c r="M338" i="39" s="1"/>
  <c r="M374" i="39" a="1"/>
  <c r="M374" i="39" s="1"/>
  <c r="M355" i="39" a="1"/>
  <c r="M355" i="39" s="1"/>
  <c r="M38" i="39" a="1"/>
  <c r="M38" i="39" s="1"/>
  <c r="M410" i="39" a="1"/>
  <c r="M410" i="39" s="1"/>
  <c r="M6" i="39" a="1"/>
  <c r="M6" i="39" s="1"/>
  <c r="M49" i="39" a="1"/>
  <c r="M49" i="39" s="1"/>
  <c r="M27" i="39" a="1"/>
  <c r="M27" i="39" s="1"/>
  <c r="M21" i="39" a="1"/>
  <c r="M21" i="39" s="1"/>
  <c r="M234" i="39" a="1"/>
  <c r="M234" i="39" s="1"/>
  <c r="M40" i="39" a="1"/>
  <c r="M40" i="39" s="1"/>
  <c r="M321" i="39" a="1"/>
  <c r="M321" i="39" s="1"/>
  <c r="M429" i="39" a="1"/>
  <c r="M429" i="39" s="1"/>
  <c r="M447" i="39" a="1"/>
  <c r="M447" i="39" s="1"/>
  <c r="M15" i="39" a="1"/>
  <c r="M15" i="39" s="1"/>
  <c r="M558" i="39" a="1"/>
  <c r="M558" i="39" s="1"/>
  <c r="M7" i="39" a="1"/>
  <c r="M7" i="39" s="1"/>
  <c r="M111" i="39" a="1"/>
  <c r="M111" i="39" s="1"/>
  <c r="M178" i="39" a="1"/>
  <c r="M178" i="39" s="1"/>
  <c r="M25" i="39" a="1"/>
  <c r="M25" i="39" s="1"/>
  <c r="M370" i="39" a="1"/>
  <c r="M370" i="39" s="1"/>
  <c r="M4" i="39" a="1"/>
  <c r="M4" i="39" s="1"/>
  <c r="M162" i="39" a="1"/>
  <c r="M162" i="39" s="1"/>
  <c r="M363" i="39" a="1"/>
  <c r="M363" i="39" s="1"/>
  <c r="M541" i="39" a="1"/>
  <c r="M541" i="39" s="1"/>
  <c r="M94" i="39" a="1"/>
  <c r="M94" i="39" s="1"/>
  <c r="M128" i="39" a="1"/>
  <c r="M128" i="39" s="1"/>
  <c r="M147" i="39" a="1"/>
  <c r="M147" i="39" s="1"/>
  <c r="M34" i="39" a="1"/>
  <c r="M34" i="39" s="1"/>
  <c r="M286" i="39" a="1"/>
  <c r="M286" i="39" s="1"/>
  <c r="M32" i="39" a="1"/>
  <c r="M32" i="39" s="1"/>
  <c r="M20" i="39" a="1"/>
  <c r="M20" i="39" s="1"/>
  <c r="M24" i="39" a="1"/>
  <c r="M24" i="39" s="1"/>
  <c r="M369" i="39" a="1"/>
  <c r="M369" i="39" s="1"/>
  <c r="M391" i="39" a="1"/>
  <c r="M391" i="39" s="1"/>
  <c r="M411" i="39" a="1"/>
  <c r="M411" i="39" s="1"/>
  <c r="M365" i="39" a="1"/>
  <c r="M365" i="39" s="1"/>
  <c r="M74" i="39" a="1"/>
  <c r="M74" i="39" s="1"/>
  <c r="Q45" i="34"/>
  <c r="Q53" i="33"/>
  <c r="Q18" i="34"/>
  <c r="Q23" i="34"/>
  <c r="Q28" i="33"/>
  <c r="Q46" i="34"/>
  <c r="Q60" i="33"/>
  <c r="Q16" i="33"/>
  <c r="Q29" i="33"/>
  <c r="Q86" i="33"/>
  <c r="Q34" i="33"/>
  <c r="Q35" i="33"/>
  <c r="Q85" i="33"/>
  <c r="Q64" i="33"/>
  <c r="Q40" i="33"/>
  <c r="Q83" i="33"/>
  <c r="Q74" i="33"/>
  <c r="Q11" i="33"/>
  <c r="Q73" i="33"/>
  <c r="Q82" i="33"/>
  <c r="Q32" i="34"/>
  <c r="Q8" i="34"/>
  <c r="J35" i="41" a="1"/>
  <c r="J35" i="41" s="1"/>
  <c r="J85" i="41" a="1"/>
  <c r="J85" i="41" s="1"/>
  <c r="J22" i="41" a="1"/>
  <c r="J22" i="41" s="1"/>
  <c r="J67" i="41" a="1"/>
  <c r="J67" i="41" s="1"/>
  <c r="J79" i="41" a="1"/>
  <c r="J79" i="41" s="1"/>
  <c r="J55" i="41" a="1"/>
  <c r="J55" i="41" s="1"/>
  <c r="J77" i="41" a="1"/>
  <c r="J77" i="41" s="1"/>
  <c r="J51" i="41" a="1"/>
  <c r="J51" i="41" s="1"/>
  <c r="J111" i="41" a="1"/>
  <c r="J111" i="41" s="1"/>
  <c r="J93" i="41" a="1"/>
  <c r="J93" i="41" s="1"/>
  <c r="J78" i="41" a="1"/>
  <c r="J78" i="41" s="1"/>
  <c r="J36" i="41" a="1"/>
  <c r="J36" i="41" s="1"/>
  <c r="J6" i="41" a="1"/>
  <c r="J6" i="41" s="1"/>
  <c r="J28" i="41" a="1"/>
  <c r="J28" i="41" s="1"/>
  <c r="J73" i="41" a="1"/>
  <c r="J73" i="41" s="1"/>
  <c r="J34" i="41" a="1"/>
  <c r="J34" i="41" s="1"/>
  <c r="J108" i="41" a="1"/>
  <c r="J108" i="41" s="1"/>
  <c r="J59" i="41" a="1"/>
  <c r="J59" i="41" s="1"/>
  <c r="J106" i="41" a="1"/>
  <c r="J106" i="41" s="1"/>
  <c r="J5" i="41" a="1"/>
  <c r="J5" i="41" s="1"/>
  <c r="J40" i="41" a="1"/>
  <c r="J40" i="41" s="1"/>
  <c r="J60" i="41" a="1"/>
  <c r="J60" i="41" s="1"/>
  <c r="J41" i="41" a="1"/>
  <c r="J41" i="41" s="1"/>
  <c r="J57" i="41" a="1"/>
  <c r="J57" i="41" s="1"/>
  <c r="J84" i="41" a="1"/>
  <c r="J84" i="41" s="1"/>
  <c r="J88" i="41" a="1"/>
  <c r="J88" i="41" s="1"/>
  <c r="J53" i="41" a="1"/>
  <c r="J53" i="41" s="1"/>
  <c r="J14" i="41" a="1"/>
  <c r="J14" i="41" s="1"/>
  <c r="J18" i="41" a="1"/>
  <c r="J18" i="41" s="1"/>
  <c r="J56" i="41" a="1"/>
  <c r="J56" i="41" s="1"/>
  <c r="J107" i="41" a="1"/>
  <c r="J107" i="41" s="1"/>
  <c r="J4" i="41" a="1"/>
  <c r="J4" i="41" s="1"/>
  <c r="J26" i="41" a="1"/>
  <c r="J26" i="41" s="1"/>
  <c r="J58" i="41" a="1"/>
  <c r="J58" i="41" s="1"/>
  <c r="J64" i="41" a="1"/>
  <c r="J64" i="41" s="1"/>
  <c r="J66" i="41" a="1"/>
  <c r="J66" i="41" s="1"/>
  <c r="J27" i="41" a="1"/>
  <c r="J27" i="41" s="1"/>
  <c r="J32" i="41" a="1"/>
  <c r="J32" i="41" s="1"/>
  <c r="J23" i="41" a="1"/>
  <c r="J23" i="41" s="1"/>
  <c r="J16" i="41" a="1"/>
  <c r="J16" i="41" s="1"/>
  <c r="J17" i="41" a="1"/>
  <c r="J17" i="41" s="1"/>
  <c r="J94" i="41" a="1"/>
  <c r="J94" i="41" s="1"/>
  <c r="J42" i="41" a="1"/>
  <c r="J42" i="41" s="1"/>
  <c r="J63" i="41" a="1"/>
  <c r="J63" i="41" s="1"/>
  <c r="J49" i="41" a="1"/>
  <c r="J49" i="41" s="1"/>
  <c r="J50" i="41" a="1"/>
  <c r="J50" i="41" s="1"/>
  <c r="J11" i="41" a="1"/>
  <c r="J11" i="41" s="1"/>
  <c r="J69" i="41" a="1"/>
  <c r="J69" i="41" s="1"/>
  <c r="J15" i="41" a="1"/>
  <c r="J15" i="41" s="1"/>
  <c r="J33" i="41" a="1"/>
  <c r="J33" i="41" s="1"/>
  <c r="J52" i="41" a="1"/>
  <c r="J52" i="41" s="1"/>
  <c r="J113" i="41" a="1"/>
  <c r="J113" i="41" s="1"/>
  <c r="J90" i="41" a="1"/>
  <c r="J90" i="41" s="1"/>
  <c r="J19" i="41" a="1"/>
  <c r="J19" i="41" s="1"/>
  <c r="J118" i="41" a="1"/>
  <c r="J118" i="41" s="1"/>
  <c r="J20" i="41" a="1"/>
  <c r="J20" i="41" s="1"/>
  <c r="J54" i="41" a="1"/>
  <c r="J54" i="41" s="1"/>
  <c r="J97" i="41" a="1"/>
  <c r="J97" i="41" s="1"/>
  <c r="J87" i="41" a="1"/>
  <c r="J87" i="41" s="1"/>
  <c r="J114" i="41" a="1"/>
  <c r="J114" i="41" s="1"/>
  <c r="J31" i="41" a="1"/>
  <c r="J31" i="41" s="1"/>
  <c r="J24" i="41" a="1"/>
  <c r="J24" i="41" s="1"/>
  <c r="J99" i="41" a="1"/>
  <c r="J99" i="41" s="1"/>
  <c r="J109" i="41" a="1"/>
  <c r="J109" i="41" s="1"/>
  <c r="J98" i="41" a="1"/>
  <c r="J98" i="41" s="1"/>
  <c r="J96" i="41" a="1"/>
  <c r="J96" i="41" s="1"/>
  <c r="J61" i="41" a="1"/>
  <c r="J61" i="41" s="1"/>
  <c r="J44" i="41" a="1"/>
  <c r="J44" i="41" s="1"/>
  <c r="J89" i="41" a="1"/>
  <c r="J89" i="41" s="1"/>
  <c r="J30" i="41" a="1"/>
  <c r="J30" i="41" s="1"/>
  <c r="J112" i="41" a="1"/>
  <c r="J112" i="41" s="1"/>
  <c r="J3" i="41" a="1"/>
  <c r="J3" i="41" s="1"/>
  <c r="J68" i="41" a="1"/>
  <c r="J68" i="41" s="1"/>
  <c r="J62" i="41" a="1"/>
  <c r="J62" i="41" s="1"/>
  <c r="J110" i="41" a="1"/>
  <c r="J110" i="41" s="1"/>
  <c r="J86" i="41" a="1"/>
  <c r="J86" i="41" s="1"/>
  <c r="J92" i="41" a="1"/>
  <c r="J92" i="41" s="1"/>
  <c r="J43" i="41" a="1"/>
  <c r="J43" i="41" s="1"/>
  <c r="G68" i="41" a="1"/>
  <c r="G68" i="41" s="1"/>
  <c r="G85" i="41" a="1"/>
  <c r="G85" i="41" s="1"/>
  <c r="G22" i="41" a="1"/>
  <c r="G22" i="41" s="1"/>
  <c r="G60" i="41" a="1"/>
  <c r="G60" i="41" s="1"/>
  <c r="G3" i="41" a="1"/>
  <c r="G3" i="41" s="1"/>
  <c r="G4" i="41" a="1"/>
  <c r="G4" i="41" s="1"/>
  <c r="G26" i="41" a="1"/>
  <c r="G26" i="41" s="1"/>
  <c r="G90" i="41" a="1"/>
  <c r="G90" i="41" s="1"/>
  <c r="G49" i="41" a="1"/>
  <c r="G49" i="41" s="1"/>
  <c r="G97" i="41" a="1"/>
  <c r="G97" i="41" s="1"/>
  <c r="G20" i="41" a="1"/>
  <c r="G20" i="41" s="1"/>
  <c r="G78" i="41" a="1"/>
  <c r="G78" i="41" s="1"/>
  <c r="G27" i="41" a="1"/>
  <c r="G27" i="41" s="1"/>
  <c r="G79" i="41" a="1"/>
  <c r="G79" i="41" s="1"/>
  <c r="G106" i="41" a="1"/>
  <c r="G106" i="41" s="1"/>
  <c r="G50" i="41" a="1"/>
  <c r="G50" i="41" s="1"/>
  <c r="G15" i="41" a="1"/>
  <c r="G15" i="41" s="1"/>
  <c r="G84" i="41" a="1"/>
  <c r="G84" i="41" s="1"/>
  <c r="G62" i="41" a="1"/>
  <c r="G62" i="41" s="1"/>
  <c r="G17" i="41" a="1"/>
  <c r="G17" i="41" s="1"/>
  <c r="G41" i="41" a="1"/>
  <c r="G41" i="41" s="1"/>
  <c r="G61" i="41" a="1"/>
  <c r="G61" i="41" s="1"/>
  <c r="G54" i="41" a="1"/>
  <c r="G54" i="41" s="1"/>
  <c r="G56" i="41" a="1"/>
  <c r="G56" i="41" s="1"/>
  <c r="G32" i="41" a="1"/>
  <c r="G32" i="41" s="1"/>
  <c r="G18" i="41" a="1"/>
  <c r="G18" i="41" s="1"/>
  <c r="G98" i="41" a="1"/>
  <c r="G98" i="41" s="1"/>
  <c r="G58" i="41" a="1"/>
  <c r="G58" i="41" s="1"/>
  <c r="G66" i="41" a="1"/>
  <c r="G66" i="41" s="1"/>
  <c r="G108" i="41" a="1"/>
  <c r="G108" i="41" s="1"/>
  <c r="G86" i="41" a="1"/>
  <c r="G86" i="41" s="1"/>
  <c r="G92" i="41" a="1"/>
  <c r="G92" i="41" s="1"/>
  <c r="G16" i="41" a="1"/>
  <c r="G16" i="41" s="1"/>
  <c r="G43" i="41" a="1"/>
  <c r="G43" i="41" s="1"/>
  <c r="G64" i="41" a="1"/>
  <c r="G64" i="41" s="1"/>
  <c r="G33" i="41" a="1"/>
  <c r="G33" i="41" s="1"/>
  <c r="G77" i="41" a="1"/>
  <c r="G77" i="41" s="1"/>
  <c r="G14" i="41" a="1"/>
  <c r="G14" i="41" s="1"/>
  <c r="G23" i="41" a="1"/>
  <c r="G23" i="41" s="1"/>
  <c r="G93" i="41" a="1"/>
  <c r="G93" i="41" s="1"/>
  <c r="G67" i="41" a="1"/>
  <c r="G67" i="41" s="1"/>
  <c r="G113" i="41" a="1"/>
  <c r="G113" i="41" s="1"/>
  <c r="G63" i="41" a="1"/>
  <c r="G63" i="41" s="1"/>
  <c r="G89" i="41" a="1"/>
  <c r="G89" i="41" s="1"/>
  <c r="G24" i="41" a="1"/>
  <c r="G24" i="41" s="1"/>
  <c r="G11" i="41" a="1"/>
  <c r="G11" i="41" s="1"/>
  <c r="G19" i="41" a="1"/>
  <c r="G19" i="41" s="1"/>
  <c r="G51" i="41" a="1"/>
  <c r="G51" i="41" s="1"/>
  <c r="G87" i="41" a="1"/>
  <c r="G87" i="41" s="1"/>
  <c r="G88" i="41" a="1"/>
  <c r="G88" i="41" s="1"/>
  <c r="G34" i="41" a="1"/>
  <c r="G34" i="41" s="1"/>
  <c r="G107" i="41" a="1"/>
  <c r="G107" i="41" s="1"/>
  <c r="G59" i="41" a="1"/>
  <c r="G59" i="41" s="1"/>
  <c r="G28" i="41" a="1"/>
  <c r="G28" i="41" s="1"/>
  <c r="G30" i="41" a="1"/>
  <c r="G30" i="41" s="1"/>
  <c r="G109" i="41" a="1"/>
  <c r="G109" i="41" s="1"/>
  <c r="G5" i="41" a="1"/>
  <c r="G5" i="41" s="1"/>
  <c r="G31" i="41" a="1"/>
  <c r="G31" i="41" s="1"/>
  <c r="G112" i="41" a="1"/>
  <c r="G112" i="41" s="1"/>
  <c r="G99" i="41" a="1"/>
  <c r="G99" i="41" s="1"/>
  <c r="G52" i="41" a="1"/>
  <c r="G52" i="41" s="1"/>
  <c r="G44" i="41" a="1"/>
  <c r="G44" i="41" s="1"/>
  <c r="G36" i="41" a="1"/>
  <c r="G36" i="41" s="1"/>
  <c r="G110" i="41" a="1"/>
  <c r="G110" i="41" s="1"/>
  <c r="G73" i="41" a="1"/>
  <c r="G73" i="41" s="1"/>
  <c r="G35" i="41" a="1"/>
  <c r="G35" i="41" s="1"/>
  <c r="G118" i="41" a="1"/>
  <c r="G118" i="41" s="1"/>
  <c r="G40" i="41" a="1"/>
  <c r="G40" i="41" s="1"/>
  <c r="G69" i="41" a="1"/>
  <c r="G69" i="41" s="1"/>
  <c r="G96" i="41" a="1"/>
  <c r="G96" i="41" s="1"/>
  <c r="G42" i="41" a="1"/>
  <c r="G42" i="41" s="1"/>
  <c r="G57" i="41" a="1"/>
  <c r="G57" i="41" s="1"/>
  <c r="G55" i="41" a="1"/>
  <c r="G55" i="41" s="1"/>
  <c r="G114" i="41" a="1"/>
  <c r="G114" i="41" s="1"/>
  <c r="G111" i="41" a="1"/>
  <c r="G111" i="41" s="1"/>
  <c r="G53" i="41" a="1"/>
  <c r="G53" i="41" s="1"/>
  <c r="G6" i="41" a="1"/>
  <c r="G6" i="41" s="1"/>
  <c r="G94" i="41" a="1"/>
  <c r="G94" i="41" s="1"/>
  <c r="I38" i="38"/>
  <c r="H59" i="41" a="1"/>
  <c r="H59" i="41" s="1"/>
  <c r="H15" i="41" a="1"/>
  <c r="H15" i="41" s="1"/>
  <c r="H61" i="41" a="1"/>
  <c r="H61" i="41" s="1"/>
  <c r="H50" i="41" a="1"/>
  <c r="H50" i="41" s="1"/>
  <c r="H73" i="41" a="1"/>
  <c r="H73" i="41" s="1"/>
  <c r="H51" i="41" a="1"/>
  <c r="H51" i="41" s="1"/>
  <c r="H16" i="41" a="1"/>
  <c r="H16" i="41" s="1"/>
  <c r="H28" i="41" a="1"/>
  <c r="H28" i="41" s="1"/>
  <c r="H58" i="41" a="1"/>
  <c r="H58" i="41" s="1"/>
  <c r="H106" i="41" a="1"/>
  <c r="H106" i="41" s="1"/>
  <c r="H4" i="41" a="1"/>
  <c r="H4" i="41" s="1"/>
  <c r="H89" i="41" a="1"/>
  <c r="H89" i="41" s="1"/>
  <c r="H62" i="41" a="1"/>
  <c r="H62" i="41" s="1"/>
  <c r="H110" i="41" a="1"/>
  <c r="H110" i="41" s="1"/>
  <c r="H94" i="41" a="1"/>
  <c r="H94" i="41" s="1"/>
  <c r="H67" i="41" a="1"/>
  <c r="H67" i="41" s="1"/>
  <c r="H63" i="41" a="1"/>
  <c r="H63" i="41" s="1"/>
  <c r="H20" i="41" a="1"/>
  <c r="H20" i="41" s="1"/>
  <c r="H64" i="41" a="1"/>
  <c r="H64" i="41" s="1"/>
  <c r="H53" i="41" a="1"/>
  <c r="H53" i="41" s="1"/>
  <c r="H43" i="41" a="1"/>
  <c r="H43" i="41" s="1"/>
  <c r="H19" i="41" a="1"/>
  <c r="H19" i="41" s="1"/>
  <c r="H26" i="41" a="1"/>
  <c r="H26" i="41" s="1"/>
  <c r="H45" i="41" a="1"/>
  <c r="H45" i="41" s="1"/>
  <c r="H111" i="41" a="1"/>
  <c r="H111" i="41" s="1"/>
  <c r="H125" i="41" a="1"/>
  <c r="H125" i="41" s="1"/>
  <c r="H44" i="41" a="1"/>
  <c r="H44" i="41" s="1"/>
  <c r="H92" i="41" a="1"/>
  <c r="H92" i="41" s="1"/>
  <c r="H85" i="41" a="1"/>
  <c r="H85" i="41" s="1"/>
  <c r="H109" i="41" a="1"/>
  <c r="H109" i="41" s="1"/>
  <c r="H81" i="41" a="1"/>
  <c r="H81" i="41" s="1"/>
  <c r="H93" i="41" a="1"/>
  <c r="H93" i="41" s="1"/>
  <c r="H17" i="41" a="1"/>
  <c r="H17" i="41" s="1"/>
  <c r="H112" i="41" a="1"/>
  <c r="H112" i="41" s="1"/>
  <c r="H69" i="41" a="1"/>
  <c r="H69" i="41" s="1"/>
  <c r="H56" i="41" a="1"/>
  <c r="H56" i="41" s="1"/>
  <c r="H78" i="41" a="1"/>
  <c r="H78" i="41" s="1"/>
  <c r="H27" i="41" a="1"/>
  <c r="H27" i="41" s="1"/>
  <c r="H32" i="41" a="1"/>
  <c r="H32" i="41" s="1"/>
  <c r="H30" i="41" a="1"/>
  <c r="H30" i="41" s="1"/>
  <c r="H97" i="41" a="1"/>
  <c r="H97" i="41" s="1"/>
  <c r="H11" i="41" a="1"/>
  <c r="H11" i="41" s="1"/>
  <c r="H6" i="41" a="1"/>
  <c r="H6" i="41" s="1"/>
  <c r="H96" i="41" a="1"/>
  <c r="H96" i="41" s="1"/>
  <c r="H14" i="41" a="1"/>
  <c r="H14" i="41" s="1"/>
  <c r="H68" i="41" a="1"/>
  <c r="H68" i="41" s="1"/>
  <c r="H36" i="41" a="1"/>
  <c r="H36" i="41" s="1"/>
  <c r="H40" i="41" a="1"/>
  <c r="H40" i="41" s="1"/>
  <c r="H90" i="41" a="1"/>
  <c r="H90" i="41" s="1"/>
  <c r="H34" i="41" a="1"/>
  <c r="H34" i="41" s="1"/>
  <c r="H114" i="41" a="1"/>
  <c r="H114" i="41" s="1"/>
  <c r="H33" i="41" a="1"/>
  <c r="H33" i="41" s="1"/>
  <c r="H86" i="41" a="1"/>
  <c r="H86" i="41" s="1"/>
  <c r="H41" i="41" a="1"/>
  <c r="H41" i="41" s="1"/>
  <c r="H66" i="41" a="1"/>
  <c r="H66" i="41" s="1"/>
  <c r="H57" i="41" a="1"/>
  <c r="H57" i="41" s="1"/>
  <c r="H60" i="41" a="1"/>
  <c r="H60" i="41" s="1"/>
  <c r="H3" i="41" a="1"/>
  <c r="H3" i="41" s="1"/>
  <c r="H88" i="41" a="1"/>
  <c r="H88" i="41" s="1"/>
  <c r="H77" i="41" a="1"/>
  <c r="H77" i="41" s="1"/>
  <c r="H118" i="41" a="1"/>
  <c r="H118" i="41" s="1"/>
  <c r="H35" i="41" a="1"/>
  <c r="H35" i="41" s="1"/>
  <c r="H79" i="41" a="1"/>
  <c r="H79" i="41" s="1"/>
  <c r="H22" i="41" a="1"/>
  <c r="H22" i="41" s="1"/>
  <c r="H54" i="41" a="1"/>
  <c r="H54" i="41" s="1"/>
  <c r="H42" i="41" a="1"/>
  <c r="H42" i="41" s="1"/>
  <c r="H24" i="41" a="1"/>
  <c r="H24" i="41" s="1"/>
  <c r="H55" i="41" a="1"/>
  <c r="H55" i="41" s="1"/>
  <c r="H108" i="41" a="1"/>
  <c r="H108" i="41" s="1"/>
  <c r="H52" i="41" a="1"/>
  <c r="H52" i="41" s="1"/>
  <c r="H84" i="41" a="1"/>
  <c r="H84" i="41" s="1"/>
  <c r="H18" i="41" a="1"/>
  <c r="H18" i="41" s="1"/>
  <c r="H98" i="41" a="1"/>
  <c r="H98" i="41" s="1"/>
  <c r="H107" i="41" a="1"/>
  <c r="H107" i="41" s="1"/>
  <c r="H113" i="41" a="1"/>
  <c r="H113" i="41" s="1"/>
  <c r="H31" i="41" a="1"/>
  <c r="H31" i="41" s="1"/>
  <c r="H99" i="41" a="1"/>
  <c r="H99" i="41" s="1"/>
  <c r="H87" i="41" a="1"/>
  <c r="H87" i="41" s="1"/>
  <c r="H5" i="41" a="1"/>
  <c r="H5" i="41" s="1"/>
  <c r="H49" i="41" a="1"/>
  <c r="H49" i="41" s="1"/>
  <c r="H23" i="41" a="1"/>
  <c r="H23" i="41" s="1"/>
  <c r="K120" i="41" a="1"/>
  <c r="K120" i="41" s="1"/>
  <c r="K95" i="41" a="1"/>
  <c r="K95" i="41" s="1"/>
  <c r="K119" i="41" a="1"/>
  <c r="K119" i="41" s="1"/>
  <c r="K121" i="41" a="1"/>
  <c r="K121" i="41" s="1"/>
  <c r="J38" i="38"/>
  <c r="I79" i="41" a="1"/>
  <c r="I79" i="41" s="1"/>
  <c r="I4" i="41" a="1"/>
  <c r="I4" i="41" s="1"/>
  <c r="I22" i="41" a="1"/>
  <c r="I22" i="41" s="1"/>
  <c r="I40" i="41" a="1"/>
  <c r="I40" i="41" s="1"/>
  <c r="I57" i="41" a="1"/>
  <c r="I57" i="41" s="1"/>
  <c r="I97" i="41" a="1"/>
  <c r="I97" i="41" s="1"/>
  <c r="I61" i="41" a="1"/>
  <c r="I61" i="41" s="1"/>
  <c r="I24" i="41" a="1"/>
  <c r="I24" i="41" s="1"/>
  <c r="I27" i="41" a="1"/>
  <c r="I27" i="41" s="1"/>
  <c r="I81" i="41" a="1"/>
  <c r="I81" i="41" s="1"/>
  <c r="I106" i="41" a="1"/>
  <c r="I106" i="41" s="1"/>
  <c r="I112" i="41" a="1"/>
  <c r="I112" i="41" s="1"/>
  <c r="I3" i="41" a="1"/>
  <c r="I3" i="41" s="1"/>
  <c r="I30" i="41" a="1"/>
  <c r="I30" i="41" s="1"/>
  <c r="I60" i="41" a="1"/>
  <c r="I60" i="41" s="1"/>
  <c r="I51" i="41" a="1"/>
  <c r="I51" i="41" s="1"/>
  <c r="I46" i="41" a="1"/>
  <c r="I46" i="41" s="1"/>
  <c r="I6" i="41" a="1"/>
  <c r="I6" i="41" s="1"/>
  <c r="I28" i="41" a="1"/>
  <c r="I28" i="41" s="1"/>
  <c r="I98" i="41" a="1"/>
  <c r="I98" i="41" s="1"/>
  <c r="I18" i="41" a="1"/>
  <c r="I18" i="41" s="1"/>
  <c r="I107" i="41" a="1"/>
  <c r="I107" i="41" s="1"/>
  <c r="I110" i="41" a="1"/>
  <c r="I110" i="41" s="1"/>
  <c r="I55" i="41" a="1"/>
  <c r="I55" i="41" s="1"/>
  <c r="I94" i="41" a="1"/>
  <c r="I94" i="41" s="1"/>
  <c r="I73" i="41" a="1"/>
  <c r="I73" i="41" s="1"/>
  <c r="I50" i="41" a="1"/>
  <c r="I50" i="41" s="1"/>
  <c r="I21" i="41" a="1"/>
  <c r="I21" i="41" s="1"/>
  <c r="I23" i="41" a="1"/>
  <c r="I23" i="41" s="1"/>
  <c r="I108" i="41" a="1"/>
  <c r="I108" i="41" s="1"/>
  <c r="I64" i="41" a="1"/>
  <c r="I64" i="41" s="1"/>
  <c r="I19" i="41" a="1"/>
  <c r="I19" i="41" s="1"/>
  <c r="I109" i="41" a="1"/>
  <c r="I109" i="41" s="1"/>
  <c r="I78" i="41" a="1"/>
  <c r="I78" i="41" s="1"/>
  <c r="I91" i="41" a="1"/>
  <c r="I91" i="41" s="1"/>
  <c r="I63" i="41" a="1"/>
  <c r="I63" i="41" s="1"/>
  <c r="I69" i="41" a="1"/>
  <c r="I69" i="41" s="1"/>
  <c r="I85" i="41" a="1"/>
  <c r="I85" i="41" s="1"/>
  <c r="I68" i="41" a="1"/>
  <c r="I68" i="41" s="1"/>
  <c r="I31" i="41" a="1"/>
  <c r="I31" i="41" s="1"/>
  <c r="I93" i="41" a="1"/>
  <c r="I93" i="41" s="1"/>
  <c r="I5" i="41" a="1"/>
  <c r="I5" i="41" s="1"/>
  <c r="I84" i="41" a="1"/>
  <c r="I84" i="41" s="1"/>
  <c r="I90" i="41" a="1"/>
  <c r="I90" i="41" s="1"/>
  <c r="I99" i="41" a="1"/>
  <c r="I99" i="41" s="1"/>
  <c r="I113" i="41" a="1"/>
  <c r="I113" i="41" s="1"/>
  <c r="I15" i="41" a="1"/>
  <c r="I15" i="41" s="1"/>
  <c r="I49" i="41" a="1"/>
  <c r="I49" i="41" s="1"/>
  <c r="I96" i="41" a="1"/>
  <c r="I96" i="41" s="1"/>
  <c r="I53" i="41" a="1"/>
  <c r="I53" i="41" s="1"/>
  <c r="I67" i="41" a="1"/>
  <c r="I67" i="41" s="1"/>
  <c r="I16" i="41" a="1"/>
  <c r="I16" i="41" s="1"/>
  <c r="I36" i="41" a="1"/>
  <c r="I36" i="41" s="1"/>
  <c r="I114" i="41" a="1"/>
  <c r="I114" i="41" s="1"/>
  <c r="I86" i="41" a="1"/>
  <c r="I86" i="41" s="1"/>
  <c r="I20" i="41" a="1"/>
  <c r="I20" i="41" s="1"/>
  <c r="I32" i="41" a="1"/>
  <c r="I32" i="41" s="1"/>
  <c r="I44" i="41" a="1"/>
  <c r="I44" i="41" s="1"/>
  <c r="I34" i="41" a="1"/>
  <c r="I34" i="41" s="1"/>
  <c r="I88" i="41" a="1"/>
  <c r="I88" i="41" s="1"/>
  <c r="I77" i="41" a="1"/>
  <c r="I77" i="41" s="1"/>
  <c r="I89" i="41" a="1"/>
  <c r="I89" i="41" s="1"/>
  <c r="I17" i="41" a="1"/>
  <c r="I17" i="41" s="1"/>
  <c r="I26" i="41" a="1"/>
  <c r="I26" i="41" s="1"/>
  <c r="I92" i="41" a="1"/>
  <c r="I92" i="41" s="1"/>
  <c r="I87" i="41" a="1"/>
  <c r="I87" i="41" s="1"/>
  <c r="I35" i="41" a="1"/>
  <c r="I35" i="41" s="1"/>
  <c r="I42" i="41" a="1"/>
  <c r="I42" i="41" s="1"/>
  <c r="I58" i="41" a="1"/>
  <c r="I58" i="41" s="1"/>
  <c r="I43" i="41" a="1"/>
  <c r="I43" i="41" s="1"/>
  <c r="I52" i="41" a="1"/>
  <c r="I52" i="41" s="1"/>
  <c r="I41" i="41" a="1"/>
  <c r="I41" i="41" s="1"/>
  <c r="I14" i="41" a="1"/>
  <c r="I14" i="41" s="1"/>
  <c r="I56" i="41" a="1"/>
  <c r="I56" i="41" s="1"/>
  <c r="I11" i="41" a="1"/>
  <c r="I11" i="41" s="1"/>
  <c r="I62" i="41" a="1"/>
  <c r="I62" i="41" s="1"/>
  <c r="I66" i="41" a="1"/>
  <c r="I66" i="41" s="1"/>
  <c r="I118" i="41" a="1"/>
  <c r="I118" i="41" s="1"/>
  <c r="I111" i="41" a="1"/>
  <c r="I111" i="41" s="1"/>
  <c r="I54" i="41" a="1"/>
  <c r="I54" i="41" s="1"/>
  <c r="I59" i="41" a="1"/>
  <c r="I59" i="41" s="1"/>
  <c r="I33" i="41" a="1"/>
  <c r="I33" i="41" s="1"/>
  <c r="H66" i="40" a="1"/>
  <c r="H66" i="40" s="1"/>
  <c r="I35" i="40" a="1"/>
  <c r="I35" i="40" s="1"/>
  <c r="H294" i="39" a="1"/>
  <c r="H294" i="39" s="1"/>
  <c r="I69" i="40" a="1"/>
  <c r="I69" i="40" s="1"/>
  <c r="Q69" i="40" s="1"/>
  <c r="I32" i="40" a="1"/>
  <c r="I32" i="40" s="1"/>
  <c r="I39" i="40" a="1"/>
  <c r="I39" i="40" s="1"/>
  <c r="Q39" i="40" s="1"/>
  <c r="I8" i="40" a="1"/>
  <c r="I8" i="40" s="1"/>
  <c r="I38" i="40" a="1"/>
  <c r="I38" i="40" s="1"/>
  <c r="Q38" i="40" s="1"/>
  <c r="H137" i="39" a="1"/>
  <c r="H137" i="39" s="1"/>
  <c r="I51" i="40" a="1"/>
  <c r="I51" i="40" s="1"/>
  <c r="Q51" i="40" s="1"/>
  <c r="I23" i="40" a="1"/>
  <c r="I23" i="40" s="1"/>
  <c r="Q23" i="40" s="1"/>
  <c r="I25" i="40" a="1"/>
  <c r="I25" i="40" s="1"/>
  <c r="I64" i="40" a="1"/>
  <c r="I64" i="40" s="1"/>
  <c r="J114" i="34" a="1"/>
  <c r="J114" i="34" s="1"/>
  <c r="Q114" i="34" s="1"/>
  <c r="I72" i="40" a="1"/>
  <c r="I72" i="40" s="1"/>
  <c r="H12" i="40" a="1"/>
  <c r="H12" i="40" s="1"/>
  <c r="J476" i="39" a="1"/>
  <c r="J476" i="39" s="1"/>
  <c r="I65" i="40" a="1"/>
  <c r="I65" i="40" s="1"/>
  <c r="I63" i="40" a="1"/>
  <c r="I63" i="40" s="1"/>
  <c r="I71" i="40" a="1"/>
  <c r="I71" i="40" s="1"/>
  <c r="Q71" i="40" s="1"/>
  <c r="I28" i="40" a="1"/>
  <c r="I28" i="40" s="1"/>
  <c r="Q28" i="40" s="1"/>
  <c r="I70" i="40" a="1"/>
  <c r="I70" i="40" s="1"/>
  <c r="Q70" i="40" s="1"/>
  <c r="I83" i="40" a="1"/>
  <c r="I83" i="40" s="1"/>
  <c r="Q83" i="40" s="1"/>
  <c r="I84" i="40" a="1"/>
  <c r="I84" i="40" s="1"/>
  <c r="Q84" i="40" s="1"/>
  <c r="I36" i="40" a="1"/>
  <c r="I36" i="40" s="1"/>
  <c r="Q36" i="40" s="1"/>
  <c r="I41" i="40" a="1"/>
  <c r="I41" i="40" s="1"/>
  <c r="I6" i="40" a="1"/>
  <c r="I6" i="40" s="1"/>
  <c r="Q6" i="40" s="1"/>
  <c r="I68" i="40" a="1"/>
  <c r="I68" i="40" s="1"/>
  <c r="Q68" i="40" s="1"/>
  <c r="I67" i="40" a="1"/>
  <c r="I67" i="40" s="1"/>
  <c r="Q67" i="40" s="1"/>
  <c r="I75" i="40" a="1"/>
  <c r="I75" i="40" s="1"/>
  <c r="Q75" i="40" s="1"/>
  <c r="H477" i="39" a="1"/>
  <c r="H477" i="39" s="1"/>
  <c r="J113" i="34" a="1"/>
  <c r="J113" i="34" s="1"/>
  <c r="Q113" i="34" s="1"/>
  <c r="I24" i="40" a="1"/>
  <c r="I24" i="40" s="1"/>
  <c r="I43" i="40" a="1"/>
  <c r="I43" i="40" s="1"/>
  <c r="Q43" i="40" s="1"/>
  <c r="I50" i="40" a="1"/>
  <c r="I50" i="40" s="1"/>
  <c r="H274" i="39" a="1"/>
  <c r="H274" i="39" s="1"/>
  <c r="I44" i="40" a="1"/>
  <c r="I44" i="40" s="1"/>
  <c r="Q44" i="40" s="1"/>
  <c r="I81" i="40" a="1"/>
  <c r="I81" i="40" s="1"/>
  <c r="Q81" i="40" s="1"/>
  <c r="I80" i="40" a="1"/>
  <c r="I80" i="40" s="1"/>
  <c r="Q80" i="40" s="1"/>
  <c r="I31" i="40" a="1"/>
  <c r="I31" i="40" s="1"/>
  <c r="Q31" i="40" s="1"/>
  <c r="I52" i="40" a="1"/>
  <c r="I52" i="40" s="1"/>
  <c r="Q52" i="40" s="1"/>
  <c r="I45" i="40" a="1"/>
  <c r="I45" i="40" s="1"/>
  <c r="Q45" i="40" s="1"/>
  <c r="H317" i="39" a="1"/>
  <c r="H317" i="39" s="1"/>
  <c r="H490" i="39" a="1"/>
  <c r="H490" i="39" s="1"/>
  <c r="H58" i="39" a="1"/>
  <c r="H58" i="39" s="1"/>
  <c r="H456" i="39" a="1"/>
  <c r="H456" i="39" s="1"/>
  <c r="I15" i="40" a="1"/>
  <c r="I15" i="40" s="1"/>
  <c r="Q15" i="40" s="1"/>
  <c r="I30" i="40" a="1"/>
  <c r="I30" i="40" s="1"/>
  <c r="I20" i="40" a="1"/>
  <c r="I20" i="40" s="1"/>
  <c r="G24" i="38"/>
  <c r="H161" i="39" a="1"/>
  <c r="H161" i="39" s="1"/>
  <c r="I34" i="40" a="1"/>
  <c r="I34" i="40" s="1"/>
  <c r="Q34" i="40" s="1"/>
  <c r="I29" i="40" a="1"/>
  <c r="I29" i="40" s="1"/>
  <c r="H156" i="39" a="1"/>
  <c r="H156" i="39" s="1"/>
  <c r="I11" i="40" a="1"/>
  <c r="I11" i="40" s="1"/>
  <c r="Q11" i="40" s="1"/>
  <c r="I47" i="40" a="1"/>
  <c r="I47" i="40" s="1"/>
  <c r="Q47" i="40" s="1"/>
  <c r="I86" i="40" a="1"/>
  <c r="I86" i="40" s="1"/>
  <c r="Q86" i="40" s="1"/>
  <c r="I46" i="40" a="1"/>
  <c r="I46" i="40" s="1"/>
  <c r="Q46" i="40" s="1"/>
  <c r="I37" i="40" a="1"/>
  <c r="I37" i="40" s="1"/>
  <c r="Q37" i="40" s="1"/>
  <c r="G32" i="38"/>
  <c r="H282" i="39" a="1"/>
  <c r="H282" i="39" s="1"/>
  <c r="H528" i="39" a="1"/>
  <c r="H528" i="39" s="1"/>
  <c r="I13" i="40" a="1"/>
  <c r="I13" i="40" s="1"/>
  <c r="Q13" i="40" s="1"/>
  <c r="J115" i="34" a="1"/>
  <c r="J115" i="34" s="1"/>
  <c r="Q115" i="34" s="1"/>
  <c r="I19" i="40" a="1"/>
  <c r="I19" i="40" s="1"/>
  <c r="I12" i="40" a="1"/>
  <c r="I12" i="40" s="1"/>
  <c r="I21" i="40" a="1"/>
  <c r="I21" i="40" s="1"/>
  <c r="I77" i="40" a="1"/>
  <c r="I77" i="40" s="1"/>
  <c r="Q77" i="40" s="1"/>
  <c r="H460" i="39" a="1"/>
  <c r="H460" i="39" s="1"/>
  <c r="I27" i="40" a="1"/>
  <c r="I27" i="40" s="1"/>
  <c r="Q27" i="40" s="1"/>
  <c r="H203" i="39" a="1"/>
  <c r="H203" i="39" s="1"/>
  <c r="I56" i="40" a="1"/>
  <c r="I56" i="40" s="1"/>
  <c r="Q56" i="40" s="1"/>
  <c r="I42" i="40" a="1"/>
  <c r="I42" i="40" s="1"/>
  <c r="Q42" i="40" s="1"/>
  <c r="I3" i="40" a="1"/>
  <c r="I3" i="40" s="1"/>
  <c r="Q3" i="40" s="1"/>
  <c r="G109" i="39" a="1"/>
  <c r="G109" i="39" s="1"/>
  <c r="I82" i="40" a="1"/>
  <c r="I82" i="40" s="1"/>
  <c r="I33" i="40" a="1"/>
  <c r="I33" i="40" s="1"/>
  <c r="Q33" i="40" s="1"/>
  <c r="I5" i="40" a="1"/>
  <c r="I5" i="40" s="1"/>
  <c r="Q5" i="40" s="1"/>
  <c r="H159" i="39" a="1"/>
  <c r="H159" i="39" s="1"/>
  <c r="H259" i="39" a="1"/>
  <c r="H259" i="39" s="1"/>
  <c r="I66" i="40" a="1"/>
  <c r="I66" i="40" s="1"/>
  <c r="H500" i="39" a="1"/>
  <c r="H500" i="39" s="1"/>
  <c r="H191" i="39" a="1"/>
  <c r="H191" i="39" s="1"/>
  <c r="H223" i="39" a="1"/>
  <c r="H223" i="39" s="1"/>
  <c r="I59" i="40" a="1"/>
  <c r="I59" i="40" s="1"/>
  <c r="Q59" i="40" s="1"/>
  <c r="I85" i="40" a="1"/>
  <c r="I85" i="40" s="1"/>
  <c r="Q85" i="40" s="1"/>
  <c r="I49" i="40" a="1"/>
  <c r="I49" i="40" s="1"/>
  <c r="H212" i="39" a="1"/>
  <c r="H212" i="39" s="1"/>
  <c r="I17" i="40" a="1"/>
  <c r="I17" i="40" s="1"/>
  <c r="Q17" i="40" s="1"/>
  <c r="I14" i="40" a="1"/>
  <c r="I14" i="40" s="1"/>
  <c r="Q14" i="40" s="1"/>
  <c r="I2" i="40" a="1"/>
  <c r="I2" i="40" s="1"/>
  <c r="H537" i="39" a="1"/>
  <c r="H537" i="39" s="1"/>
  <c r="I61" i="40" a="1"/>
  <c r="I61" i="40" s="1"/>
  <c r="Q61" i="40" s="1"/>
  <c r="H476" i="39" a="1"/>
  <c r="H476" i="39" s="1"/>
  <c r="I60" i="40" a="1"/>
  <c r="I60" i="40" s="1"/>
  <c r="Q60" i="40" s="1"/>
  <c r="H109" i="39" a="1"/>
  <c r="H109" i="39" s="1"/>
  <c r="I40" i="40" a="1"/>
  <c r="I40" i="40" s="1"/>
  <c r="Q40" i="40" s="1"/>
  <c r="I74" i="40" a="1"/>
  <c r="I74" i="40" s="1"/>
  <c r="H313" i="39" a="1"/>
  <c r="H313" i="39" s="1"/>
  <c r="I73" i="40" a="1"/>
  <c r="I73" i="40" s="1"/>
  <c r="H491" i="39" a="1"/>
  <c r="H491" i="39" s="1"/>
  <c r="I57" i="40" a="1"/>
  <c r="I57" i="40" s="1"/>
  <c r="I78" i="40" a="1"/>
  <c r="I78" i="40" s="1"/>
  <c r="Q78" i="40" s="1"/>
  <c r="I26" i="40" a="1"/>
  <c r="I26" i="40" s="1"/>
  <c r="G9" i="38"/>
  <c r="I76" i="40" a="1"/>
  <c r="I76" i="40" s="1"/>
  <c r="Q76" i="40" s="1"/>
  <c r="I62" i="40" a="1"/>
  <c r="I62" i="40" s="1"/>
  <c r="Q62" i="40" s="1"/>
  <c r="H507" i="39" a="1"/>
  <c r="H507" i="39" s="1"/>
  <c r="H224" i="39" a="1"/>
  <c r="H224" i="39" s="1"/>
  <c r="I55" i="40" a="1"/>
  <c r="I55" i="40" s="1"/>
  <c r="Q55" i="40" s="1"/>
  <c r="H237" i="39" a="1"/>
  <c r="H237" i="39" s="1"/>
  <c r="G25" i="38"/>
  <c r="I16" i="40" a="1"/>
  <c r="I16" i="40" s="1"/>
  <c r="Q16" i="40" s="1"/>
  <c r="I10" i="40" a="1"/>
  <c r="I10" i="40" s="1"/>
  <c r="Q10" i="40" s="1"/>
  <c r="I4" i="40" a="1"/>
  <c r="I4" i="40" s="1"/>
  <c r="I58" i="40" a="1"/>
  <c r="I58" i="40" s="1"/>
  <c r="G28" i="38"/>
  <c r="J33" i="34" a="1"/>
  <c r="J33" i="34" s="1"/>
  <c r="Q33" i="34" s="1"/>
  <c r="J79" i="34" a="1"/>
  <c r="J79" i="34" s="1"/>
  <c r="Q79" i="34" s="1"/>
  <c r="K365" i="39" a="1"/>
  <c r="K365" i="39" s="1"/>
  <c r="K94" i="39" a="1"/>
  <c r="K94" i="39" s="1"/>
  <c r="K370" i="39" a="1"/>
  <c r="K370" i="39" s="1"/>
  <c r="K465" i="39" a="1"/>
  <c r="K465" i="39" s="1"/>
  <c r="J465" i="39" a="1"/>
  <c r="J465" i="39" s="1"/>
  <c r="J365" i="39" a="1"/>
  <c r="J365" i="39" s="1"/>
  <c r="J94" i="39" a="1"/>
  <c r="J94" i="39" s="1"/>
  <c r="J370" i="39" a="1"/>
  <c r="J370" i="39" s="1"/>
  <c r="K38" i="38"/>
  <c r="K74" i="39" a="1"/>
  <c r="K74" i="39" s="1"/>
  <c r="K162" i="39" a="1"/>
  <c r="K162" i="39" s="1"/>
  <c r="K111" i="39" a="1"/>
  <c r="K111" i="39" s="1"/>
  <c r="K147" i="39" a="1"/>
  <c r="K147" i="39" s="1"/>
  <c r="K267" i="39" a="1"/>
  <c r="K267" i="39" s="1"/>
  <c r="K373" i="39" a="1"/>
  <c r="K373" i="39" s="1"/>
  <c r="K355" i="39" a="1"/>
  <c r="K355" i="39" s="1"/>
  <c r="K558" i="39" a="1"/>
  <c r="K558" i="39" s="1"/>
  <c r="K369" i="39" a="1"/>
  <c r="K369" i="39" s="1"/>
  <c r="K321" i="39" a="1"/>
  <c r="K321" i="39" s="1"/>
  <c r="K50" i="39" a="1"/>
  <c r="K50" i="39" s="1"/>
  <c r="K363" i="39" a="1"/>
  <c r="K363" i="39" s="1"/>
  <c r="K338" i="39" a="1"/>
  <c r="K338" i="39" s="1"/>
  <c r="K20" i="39" a="1"/>
  <c r="K20" i="39" s="1"/>
  <c r="K41" i="39" a="1"/>
  <c r="K41" i="39" s="1"/>
  <c r="K4" i="39" a="1"/>
  <c r="K4" i="39" s="1"/>
  <c r="K411" i="39" a="1"/>
  <c r="K411" i="39" s="1"/>
  <c r="K357" i="39" a="1"/>
  <c r="K357" i="39" s="1"/>
  <c r="K429" i="39" a="1"/>
  <c r="K429" i="39" s="1"/>
  <c r="K213" i="39" a="1"/>
  <c r="K213" i="39" s="1"/>
  <c r="K359" i="39" a="1"/>
  <c r="K359" i="39" s="1"/>
  <c r="K40" i="39" a="1"/>
  <c r="K40" i="39" s="1"/>
  <c r="K34" i="39" a="1"/>
  <c r="K34" i="39" s="1"/>
  <c r="K38" i="39" a="1"/>
  <c r="K38" i="39" s="1"/>
  <c r="K364" i="39" a="1"/>
  <c r="K364" i="39" s="1"/>
  <c r="K178" i="39" a="1"/>
  <c r="K178" i="39" s="1"/>
  <c r="K6" i="39" a="1"/>
  <c r="K6" i="39" s="1"/>
  <c r="K27" i="39" a="1"/>
  <c r="K27" i="39" s="1"/>
  <c r="K447" i="39" a="1"/>
  <c r="K447" i="39" s="1"/>
  <c r="K374" i="39" a="1"/>
  <c r="K374" i="39" s="1"/>
  <c r="K7" i="39" a="1"/>
  <c r="K7" i="39" s="1"/>
  <c r="K32" i="39" a="1"/>
  <c r="K32" i="39" s="1"/>
  <c r="K24" i="39" a="1"/>
  <c r="K24" i="39" s="1"/>
  <c r="K49" i="39" a="1"/>
  <c r="K49" i="39" s="1"/>
  <c r="K128" i="39" a="1"/>
  <c r="K128" i="39" s="1"/>
  <c r="K45" i="39" a="1"/>
  <c r="K45" i="39" s="1"/>
  <c r="K59" i="39" a="1"/>
  <c r="K59" i="39" s="1"/>
  <c r="K21" i="39" a="1"/>
  <c r="K21" i="39" s="1"/>
  <c r="K391" i="39" a="1"/>
  <c r="K391" i="39" s="1"/>
  <c r="K286" i="39" a="1"/>
  <c r="K286" i="39" s="1"/>
  <c r="K410" i="39" a="1"/>
  <c r="K410" i="39" s="1"/>
  <c r="J32" i="39" a="1"/>
  <c r="J32" i="39" s="1"/>
  <c r="J391" i="39" a="1"/>
  <c r="J391" i="39" s="1"/>
  <c r="J162" i="39" a="1"/>
  <c r="J162" i="39" s="1"/>
  <c r="J286" i="39" a="1"/>
  <c r="J286" i="39" s="1"/>
  <c r="J50" i="39" a="1"/>
  <c r="J50" i="39" s="1"/>
  <c r="J74" i="39" a="1"/>
  <c r="J74" i="39" s="1"/>
  <c r="J447" i="39" a="1"/>
  <c r="J447" i="39" s="1"/>
  <c r="J357" i="39" a="1"/>
  <c r="J357" i="39" s="1"/>
  <c r="J267" i="39" a="1"/>
  <c r="J267" i="39" s="1"/>
  <c r="J373" i="39" a="1"/>
  <c r="J373" i="39" s="1"/>
  <c r="J355" i="39" a="1"/>
  <c r="J355" i="39" s="1"/>
  <c r="J558" i="39" a="1"/>
  <c r="J558" i="39" s="1"/>
  <c r="J34" i="39" a="1"/>
  <c r="J34" i="39" s="1"/>
  <c r="J369" i="39" a="1"/>
  <c r="J369" i="39" s="1"/>
  <c r="J363" i="39" a="1"/>
  <c r="J363" i="39" s="1"/>
  <c r="J321" i="39" a="1"/>
  <c r="J321" i="39" s="1"/>
  <c r="J4" i="39" a="1"/>
  <c r="J4" i="39" s="1"/>
  <c r="J338" i="39" a="1"/>
  <c r="J338" i="39" s="1"/>
  <c r="J20" i="39" a="1"/>
  <c r="J20" i="39" s="1"/>
  <c r="J41" i="39" a="1"/>
  <c r="J41" i="39" s="1"/>
  <c r="J429" i="39" a="1"/>
  <c r="J429" i="39" s="1"/>
  <c r="J40" i="39" a="1"/>
  <c r="J40" i="39" s="1"/>
  <c r="J45" i="39" a="1"/>
  <c r="J45" i="39" s="1"/>
  <c r="J364" i="39" a="1"/>
  <c r="J364" i="39" s="1"/>
  <c r="J411" i="39" a="1"/>
  <c r="J411" i="39" s="1"/>
  <c r="J59" i="39" a="1"/>
  <c r="J59" i="39" s="1"/>
  <c r="J38" i="39" a="1"/>
  <c r="J38" i="39" s="1"/>
  <c r="J178" i="39" a="1"/>
  <c r="J178" i="39" s="1"/>
  <c r="J49" i="39" a="1"/>
  <c r="J49" i="39" s="1"/>
  <c r="J21" i="39" a="1"/>
  <c r="J21" i="39" s="1"/>
  <c r="J6" i="39" a="1"/>
  <c r="J6" i="39" s="1"/>
  <c r="J128" i="39" a="1"/>
  <c r="J128" i="39" s="1"/>
  <c r="J374" i="39" a="1"/>
  <c r="J374" i="39" s="1"/>
  <c r="J410" i="39" a="1"/>
  <c r="J410" i="39" s="1"/>
  <c r="J7" i="39" a="1"/>
  <c r="J7" i="39" s="1"/>
  <c r="J24" i="39" a="1"/>
  <c r="J24" i="39" s="1"/>
  <c r="J147" i="39" a="1"/>
  <c r="J147" i="39" s="1"/>
  <c r="J43" i="34" a="1"/>
  <c r="J43" i="34" s="1"/>
  <c r="Q43" i="34" s="1"/>
  <c r="H38" i="38"/>
  <c r="G45" i="38"/>
  <c r="G47" i="38"/>
  <c r="G52" i="38"/>
  <c r="G62" i="38"/>
  <c r="G67" i="38"/>
  <c r="G50" i="38"/>
  <c r="G44" i="38"/>
  <c r="G68" i="38"/>
  <c r="G66" i="38"/>
  <c r="G54" i="38"/>
  <c r="G55" i="38"/>
  <c r="G63" i="38"/>
  <c r="G65" i="38"/>
  <c r="G57" i="38"/>
  <c r="G53" i="38"/>
  <c r="G56" i="38"/>
  <c r="G43" i="38"/>
  <c r="G41" i="38"/>
  <c r="G40" i="38"/>
  <c r="G64" i="38"/>
  <c r="G46" i="38"/>
  <c r="G61" i="38"/>
  <c r="G48" i="38"/>
  <c r="G58" i="38"/>
  <c r="G39" i="38"/>
  <c r="G60" i="38"/>
  <c r="G69" i="38"/>
  <c r="G49" i="38"/>
  <c r="G42" i="38"/>
  <c r="G59" i="38"/>
  <c r="G51" i="38"/>
  <c r="J44" i="34" a="1"/>
  <c r="J44" i="34" s="1"/>
  <c r="Q44" i="34" s="1"/>
  <c r="J117" i="34" a="1"/>
  <c r="J117" i="34" s="1"/>
  <c r="Q117" i="34" s="1"/>
  <c r="J82" i="34" a="1"/>
  <c r="J82" i="34" s="1"/>
  <c r="Q82" i="34" s="1"/>
  <c r="X3" i="3"/>
  <c r="T3" i="3" s="1"/>
  <c r="T31" i="3"/>
  <c r="T22" i="3"/>
  <c r="T30" i="3"/>
  <c r="T27" i="3"/>
  <c r="T10" i="3"/>
  <c r="T18" i="3"/>
  <c r="T15" i="3"/>
  <c r="T33" i="3"/>
  <c r="T6" i="3"/>
  <c r="T26" i="3"/>
  <c r="T21" i="3"/>
  <c r="T7" i="3"/>
  <c r="T14" i="3"/>
  <c r="T9" i="3"/>
  <c r="T29" i="3"/>
  <c r="T25" i="3"/>
  <c r="T32" i="3"/>
  <c r="T17" i="3"/>
  <c r="T13" i="3"/>
  <c r="T20" i="3"/>
  <c r="T5" i="3"/>
  <c r="T24" i="3"/>
  <c r="T8" i="3"/>
  <c r="T19" i="3"/>
  <c r="T12" i="3"/>
  <c r="T28" i="3"/>
  <c r="T23" i="3"/>
  <c r="T16" i="3"/>
  <c r="T11" i="3"/>
  <c r="T4" i="3"/>
  <c r="T34" i="3"/>
  <c r="J67" i="34" a="1"/>
  <c r="J67" i="34" s="1"/>
  <c r="Q67" i="34" s="1"/>
  <c r="J68" i="34" a="1"/>
  <c r="J68" i="34" s="1"/>
  <c r="Q68" i="34" s="1"/>
  <c r="J111" i="34" a="1"/>
  <c r="J111" i="34" s="1"/>
  <c r="Q111" i="34" s="1"/>
  <c r="H74" i="41" l="1" a="1"/>
  <c r="H74" i="41" s="1"/>
  <c r="L27" i="39" a="1"/>
  <c r="L27" i="39" s="1"/>
  <c r="Q19" i="40"/>
  <c r="Q21" i="40"/>
  <c r="Q20" i="40"/>
  <c r="H29" i="41" a="1"/>
  <c r="H29" i="41" s="1"/>
  <c r="H75" i="41" a="1"/>
  <c r="H75" i="41" s="1"/>
  <c r="I29" i="41" a="1"/>
  <c r="I29" i="41" s="1"/>
  <c r="I74" i="41" a="1"/>
  <c r="I74" i="41" s="1"/>
  <c r="I75" i="41" a="1"/>
  <c r="I75" i="41" s="1"/>
  <c r="J29" i="41" a="1"/>
  <c r="J29" i="41" s="1"/>
  <c r="J74" i="41" a="1"/>
  <c r="J74" i="41" s="1"/>
  <c r="J75" i="41" a="1"/>
  <c r="J75" i="41" s="1"/>
  <c r="G25" i="41" a="1"/>
  <c r="G25" i="41" s="1"/>
  <c r="G74" i="41" a="1"/>
  <c r="G74" i="41" s="1"/>
  <c r="G29" i="41" a="1"/>
  <c r="G29" i="41" s="1"/>
  <c r="G75" i="41" a="1"/>
  <c r="G75" i="41" s="1"/>
  <c r="J111" i="39" a="1"/>
  <c r="J111" i="39" s="1"/>
  <c r="W111" i="39" s="1" a="1"/>
  <c r="W111" i="39" s="1"/>
  <c r="X111" i="39" s="1"/>
  <c r="J27" i="39" a="1"/>
  <c r="J27" i="39" s="1"/>
  <c r="J82" i="41" a="1"/>
  <c r="J82" i="41" s="1"/>
  <c r="J25" i="41" a="1"/>
  <c r="J25" i="41" s="1"/>
  <c r="J81" i="41" a="1"/>
  <c r="J81" i="41" s="1"/>
  <c r="Q58" i="40"/>
  <c r="G159" i="39" a="1"/>
  <c r="G159" i="39" s="1"/>
  <c r="W159" i="39" s="1" a="1"/>
  <c r="W159" i="39" s="1"/>
  <c r="X159" i="39" s="1"/>
  <c r="H82" i="41" a="1"/>
  <c r="H82" i="41" s="1"/>
  <c r="L17" i="39" a="1"/>
  <c r="L17" i="39" s="1"/>
  <c r="L25" i="39" a="1"/>
  <c r="L25" i="39" s="1"/>
  <c r="Q57" i="40"/>
  <c r="Q26" i="40"/>
  <c r="H48" i="41" a="1"/>
  <c r="H48" i="41" s="1"/>
  <c r="H25" i="41" a="1"/>
  <c r="H25" i="41" s="1"/>
  <c r="M17" i="39" a="1"/>
  <c r="M17" i="39" s="1"/>
  <c r="I82" i="41" a="1"/>
  <c r="I82" i="41" s="1"/>
  <c r="I25" i="41" a="1"/>
  <c r="I25" i="41" s="1"/>
  <c r="J46" i="41" a="1"/>
  <c r="J46" i="41" s="1"/>
  <c r="K25" i="39" a="1"/>
  <c r="K25" i="39" s="1"/>
  <c r="K17" i="39" a="1"/>
  <c r="K17" i="39" s="1"/>
  <c r="G81" i="41" a="1"/>
  <c r="G81" i="41" s="1"/>
  <c r="G82" i="41" a="1"/>
  <c r="G82" i="41" s="1"/>
  <c r="J17" i="39" a="1"/>
  <c r="J17" i="39" s="1"/>
  <c r="J25" i="39" a="1"/>
  <c r="J25" i="39" s="1"/>
  <c r="J48" i="41" a="1"/>
  <c r="J48" i="41" s="1"/>
  <c r="J45" i="41" a="1"/>
  <c r="J45" i="41" s="1"/>
  <c r="J47" i="41" a="1"/>
  <c r="J47" i="41" s="1"/>
  <c r="G137" i="39" a="1"/>
  <c r="G137" i="39" s="1"/>
  <c r="W137" i="39" s="1" a="1"/>
  <c r="W137" i="39" s="1"/>
  <c r="X137" i="39" s="1"/>
  <c r="Q30" i="40"/>
  <c r="Q29" i="40"/>
  <c r="Q82" i="40"/>
  <c r="M359" i="39" a="1"/>
  <c r="M359" i="39" s="1"/>
  <c r="M213" i="39" a="1"/>
  <c r="M213" i="39" s="1"/>
  <c r="G474" i="39" a="1"/>
  <c r="G474" i="39" s="1"/>
  <c r="W474" i="39" s="1" a="1"/>
  <c r="W474" i="39" s="1"/>
  <c r="X474" i="39" s="1"/>
  <c r="G203" i="39" a="1"/>
  <c r="G203" i="39" s="1"/>
  <c r="W203" i="39" s="1" a="1"/>
  <c r="W203" i="39" s="1"/>
  <c r="X203" i="39" s="1"/>
  <c r="L520" i="39" a="1"/>
  <c r="L520" i="39" s="1"/>
  <c r="H91" i="41" a="1"/>
  <c r="H91" i="41" s="1"/>
  <c r="H47" i="41" a="1"/>
  <c r="H47" i="41" s="1"/>
  <c r="H46" i="41" a="1"/>
  <c r="H46" i="41" s="1"/>
  <c r="M3" i="39" a="1"/>
  <c r="M3" i="39" s="1"/>
  <c r="I48" i="41" a="1"/>
  <c r="I48" i="41" s="1"/>
  <c r="I47" i="41" a="1"/>
  <c r="I47" i="41" s="1"/>
  <c r="I45" i="41" a="1"/>
  <c r="I45" i="41" s="1"/>
  <c r="J39" i="41" a="1"/>
  <c r="J39" i="41" s="1"/>
  <c r="J91" i="41" a="1"/>
  <c r="J91" i="41" s="1"/>
  <c r="G39" i="41" a="1"/>
  <c r="G39" i="41" s="1"/>
  <c r="G45" i="41" a="1"/>
  <c r="G45" i="41" s="1"/>
  <c r="G46" i="41" a="1"/>
  <c r="G46" i="41" s="1"/>
  <c r="G47" i="41" a="1"/>
  <c r="G47" i="41" s="1"/>
  <c r="G48" i="41" a="1"/>
  <c r="G48" i="41" s="1"/>
  <c r="G91" i="41" a="1"/>
  <c r="G91" i="41" s="1"/>
  <c r="J213" i="39" a="1"/>
  <c r="J213" i="39" s="1"/>
  <c r="J359" i="39" a="1"/>
  <c r="J359" i="39" s="1"/>
  <c r="Q24" i="40"/>
  <c r="Q50" i="40"/>
  <c r="Q25" i="40"/>
  <c r="H12" i="41" a="1"/>
  <c r="H12" i="41" s="1"/>
  <c r="I80" i="41" a="1"/>
  <c r="I80" i="41" s="1"/>
  <c r="I12" i="41" a="1"/>
  <c r="I12" i="41" s="1"/>
  <c r="H80" i="41" a="1"/>
  <c r="H80" i="41" s="1"/>
  <c r="H13" i="41" a="1"/>
  <c r="H13" i="41" s="1"/>
  <c r="L304" i="39" a="1"/>
  <c r="L304" i="39" s="1"/>
  <c r="L351" i="39" a="1"/>
  <c r="L351" i="39" s="1"/>
  <c r="M304" i="39" a="1"/>
  <c r="M304" i="39" s="1"/>
  <c r="I13" i="41" a="1"/>
  <c r="I13" i="41" s="1"/>
  <c r="M351" i="39" a="1"/>
  <c r="M351" i="39" s="1"/>
  <c r="K351" i="39" a="1"/>
  <c r="K351" i="39" s="1"/>
  <c r="G80" i="41" a="1"/>
  <c r="G80" i="41" s="1"/>
  <c r="G12" i="41" a="1"/>
  <c r="G12" i="41" s="1"/>
  <c r="J12" i="41" a="1"/>
  <c r="J12" i="41" s="1"/>
  <c r="J304" i="39" a="1"/>
  <c r="J304" i="39" s="1"/>
  <c r="G13" i="41" a="1"/>
  <c r="G13" i="41" s="1"/>
  <c r="J13" i="41" a="1"/>
  <c r="J13" i="41" s="1"/>
  <c r="K304" i="39" a="1"/>
  <c r="K304" i="39" s="1"/>
  <c r="J80" i="41" a="1"/>
  <c r="J80" i="41" s="1"/>
  <c r="J351" i="39" a="1"/>
  <c r="J351" i="39" s="1"/>
  <c r="G317" i="39" a="1"/>
  <c r="G317" i="39" s="1"/>
  <c r="W317" i="39" s="1" a="1"/>
  <c r="W317" i="39" s="1"/>
  <c r="X317" i="39" s="1"/>
  <c r="G537" i="39" a="1"/>
  <c r="G537" i="39" s="1"/>
  <c r="W537" i="39" s="1" a="1"/>
  <c r="W537" i="39" s="1"/>
  <c r="X537" i="39" s="1"/>
  <c r="I38" i="41" a="1"/>
  <c r="I38" i="41" s="1"/>
  <c r="H38" i="41" a="1"/>
  <c r="H38" i="41" s="1"/>
  <c r="G156" i="39" a="1"/>
  <c r="G156" i="39" s="1"/>
  <c r="W156" i="39" s="1" a="1"/>
  <c r="W156" i="39" s="1"/>
  <c r="X156" i="39" s="1"/>
  <c r="Q2" i="40"/>
  <c r="Q49" i="40"/>
  <c r="W565" i="39" a="1"/>
  <c r="W565" i="39" s="1"/>
  <c r="X565" i="39" s="1"/>
  <c r="W540" i="39" a="1"/>
  <c r="W540" i="39" s="1"/>
  <c r="X540" i="39" s="1"/>
  <c r="W489" i="39" a="1"/>
  <c r="W489" i="39" s="1"/>
  <c r="X489" i="39" s="1"/>
  <c r="W175" i="39" a="1"/>
  <c r="W175" i="39" s="1"/>
  <c r="X175" i="39" s="1"/>
  <c r="W276" i="39" a="1"/>
  <c r="W276" i="39" s="1"/>
  <c r="X276" i="39" s="1"/>
  <c r="I37" i="41" a="1"/>
  <c r="I37" i="41" s="1"/>
  <c r="H2" i="41" a="1"/>
  <c r="H2" i="41" s="1"/>
  <c r="G2" i="41" a="1"/>
  <c r="G2" i="41" s="1"/>
  <c r="G37" i="41" a="1"/>
  <c r="G37" i="41" s="1"/>
  <c r="J3" i="39" a="1"/>
  <c r="J3" i="39" s="1"/>
  <c r="J520" i="39" a="1"/>
  <c r="J520" i="39" s="1"/>
  <c r="I39" i="41" a="1"/>
  <c r="I39" i="41" s="1"/>
  <c r="H39" i="41" a="1"/>
  <c r="H39" i="41" s="1"/>
  <c r="I2" i="41" a="1"/>
  <c r="I2" i="41" s="1"/>
  <c r="M520" i="39" a="1"/>
  <c r="M520" i="39" s="1"/>
  <c r="K520" i="39" a="1"/>
  <c r="K520" i="39" s="1"/>
  <c r="J38" i="41" a="1"/>
  <c r="J38" i="41" s="1"/>
  <c r="L3" i="39" a="1"/>
  <c r="L3" i="39" s="1"/>
  <c r="K3" i="39" a="1"/>
  <c r="K3" i="39" s="1"/>
  <c r="J2" i="41" a="1"/>
  <c r="J2" i="41" s="1"/>
  <c r="J37" i="41" a="1"/>
  <c r="J37" i="41" s="1"/>
  <c r="H37" i="41" a="1"/>
  <c r="H37" i="41" s="1"/>
  <c r="G38" i="41" a="1"/>
  <c r="G38" i="41" s="1"/>
  <c r="G201" i="39" a="1"/>
  <c r="G201" i="39" s="1"/>
  <c r="W201" i="39" s="1" a="1"/>
  <c r="W201" i="39" s="1"/>
  <c r="X201" i="39" s="1"/>
  <c r="G477" i="39" a="1"/>
  <c r="G477" i="39" s="1"/>
  <c r="W477" i="39" s="1" a="1"/>
  <c r="W477" i="39" s="1"/>
  <c r="X477" i="39" s="1"/>
  <c r="G294" i="39" a="1"/>
  <c r="G294" i="39" s="1"/>
  <c r="W294" i="39" s="1" a="1"/>
  <c r="W294" i="39" s="1"/>
  <c r="X294" i="39" s="1"/>
  <c r="G237" i="39" a="1"/>
  <c r="G237" i="39" s="1"/>
  <c r="W237" i="39" s="1" a="1"/>
  <c r="W237" i="39" s="1"/>
  <c r="X237" i="39" s="1"/>
  <c r="G259" i="39" a="1"/>
  <c r="G259" i="39" s="1"/>
  <c r="W259" i="39" s="1" a="1"/>
  <c r="W259" i="39" s="1"/>
  <c r="X259" i="39" s="1"/>
  <c r="G528" i="39" a="1"/>
  <c r="G528" i="39" s="1"/>
  <c r="W528" i="39" s="1" a="1"/>
  <c r="W528" i="39" s="1"/>
  <c r="X528" i="39" s="1"/>
  <c r="M146" i="39" a="1"/>
  <c r="M146" i="39" s="1"/>
  <c r="J146" i="39" a="1"/>
  <c r="J146" i="39" s="1"/>
  <c r="L146" i="39" a="1"/>
  <c r="L146" i="39" s="1"/>
  <c r="K146" i="39" a="1"/>
  <c r="K146" i="39" s="1"/>
  <c r="G274" i="39" a="1"/>
  <c r="G274" i="39" s="1"/>
  <c r="W274" i="39" s="1" a="1"/>
  <c r="W274" i="39" s="1"/>
  <c r="X274" i="39" s="1"/>
  <c r="G491" i="39" a="1"/>
  <c r="G491" i="39" s="1"/>
  <c r="W491" i="39" s="1" a="1"/>
  <c r="W491" i="39" s="1"/>
  <c r="X491" i="39" s="1"/>
  <c r="G204" i="39" a="1"/>
  <c r="G204" i="39" s="1"/>
  <c r="W204" i="39" s="1" a="1"/>
  <c r="W204" i="39" s="1"/>
  <c r="X204" i="39" s="1"/>
  <c r="Q72" i="40"/>
  <c r="Q41" i="40"/>
  <c r="I83" i="41" a="1"/>
  <c r="I83" i="41" s="1"/>
  <c r="G83" i="41" a="1"/>
  <c r="G83" i="41" s="1"/>
  <c r="J252" i="39" a="1"/>
  <c r="J252" i="39" s="1"/>
  <c r="J352" i="39" a="1"/>
  <c r="J352" i="39" s="1"/>
  <c r="K252" i="39" a="1"/>
  <c r="K252" i="39" s="1"/>
  <c r="I72" i="41" a="1"/>
  <c r="I72" i="41" s="1"/>
  <c r="I71" i="41" a="1"/>
  <c r="I71" i="41" s="1"/>
  <c r="J70" i="41" a="1"/>
  <c r="J70" i="41" s="1"/>
  <c r="M352" i="39" a="1"/>
  <c r="M352" i="39" s="1"/>
  <c r="K352" i="39" a="1"/>
  <c r="K352" i="39" s="1"/>
  <c r="H71" i="41" a="1"/>
  <c r="H71" i="41" s="1"/>
  <c r="J71" i="41" a="1"/>
  <c r="J71" i="41" s="1"/>
  <c r="G72" i="41" a="1"/>
  <c r="G72" i="41" s="1"/>
  <c r="I70" i="41" a="1"/>
  <c r="I70" i="41" s="1"/>
  <c r="J83" i="41" a="1"/>
  <c r="J83" i="41" s="1"/>
  <c r="L252" i="39" a="1"/>
  <c r="L252" i="39" s="1"/>
  <c r="G460" i="39" a="1"/>
  <c r="G460" i="39" s="1"/>
  <c r="W460" i="39" s="1" a="1"/>
  <c r="W460" i="39" s="1"/>
  <c r="X460" i="39" s="1"/>
  <c r="H83" i="41" a="1"/>
  <c r="H83" i="41" s="1"/>
  <c r="H70" i="41" a="1"/>
  <c r="H70" i="41" s="1"/>
  <c r="L352" i="39" a="1"/>
  <c r="L352" i="39" s="1"/>
  <c r="H72" i="41" a="1"/>
  <c r="H72" i="41" s="1"/>
  <c r="G71" i="41" a="1"/>
  <c r="G71" i="41" s="1"/>
  <c r="G70" i="41" a="1"/>
  <c r="G70" i="41" s="1"/>
  <c r="J72" i="41" a="1"/>
  <c r="J72" i="41" s="1"/>
  <c r="M252" i="39" a="1"/>
  <c r="M252" i="39" s="1"/>
  <c r="Q64" i="40"/>
  <c r="Q65" i="40"/>
  <c r="Q63" i="40"/>
  <c r="Q35" i="40"/>
  <c r="G456" i="39" a="1"/>
  <c r="G456" i="39" s="1"/>
  <c r="W456" i="39" s="1" a="1"/>
  <c r="W456" i="39" s="1"/>
  <c r="X456" i="39" s="1"/>
  <c r="G115" i="41" a="1"/>
  <c r="G115" i="41" s="1"/>
  <c r="J501" i="39" a="1"/>
  <c r="J501" i="39" s="1"/>
  <c r="I116" i="41" a="1"/>
  <c r="I116" i="41" s="1"/>
  <c r="K382" i="39" a="1"/>
  <c r="K382" i="39" s="1"/>
  <c r="I122" i="41" a="1"/>
  <c r="I122" i="41" s="1"/>
  <c r="H117" i="41" a="1"/>
  <c r="H117" i="41" s="1"/>
  <c r="H116" i="41" a="1"/>
  <c r="H116" i="41" s="1"/>
  <c r="K501" i="39" a="1"/>
  <c r="K501" i="39" s="1"/>
  <c r="M382" i="39" a="1"/>
  <c r="M382" i="39" s="1"/>
  <c r="H122" i="41" a="1"/>
  <c r="H122" i="41" s="1"/>
  <c r="H115" i="41" a="1"/>
  <c r="H115" i="41" s="1"/>
  <c r="G217" i="39" a="1"/>
  <c r="G217" i="39" s="1"/>
  <c r="W217" i="39" s="1" a="1"/>
  <c r="W217" i="39" s="1"/>
  <c r="X217" i="39" s="1"/>
  <c r="L382" i="39" a="1"/>
  <c r="L382" i="39" s="1"/>
  <c r="G122" i="41" a="1"/>
  <c r="G122" i="41" s="1"/>
  <c r="J117" i="41" a="1"/>
  <c r="J117" i="41" s="1"/>
  <c r="J115" i="41" a="1"/>
  <c r="J115" i="41" s="1"/>
  <c r="I115" i="41" a="1"/>
  <c r="I115" i="41" s="1"/>
  <c r="I117" i="41" a="1"/>
  <c r="I117" i="41" s="1"/>
  <c r="G117" i="41" a="1"/>
  <c r="G117" i="41" s="1"/>
  <c r="M501" i="39" a="1"/>
  <c r="M501" i="39" s="1"/>
  <c r="L501" i="39" a="1"/>
  <c r="L501" i="39" s="1"/>
  <c r="J382" i="39" a="1"/>
  <c r="J382" i="39" s="1"/>
  <c r="G116" i="41" a="1"/>
  <c r="G116" i="41" s="1"/>
  <c r="J122" i="41" a="1"/>
  <c r="J122" i="41" s="1"/>
  <c r="J116" i="41" a="1"/>
  <c r="J116" i="41" s="1"/>
  <c r="G464" i="39" a="1"/>
  <c r="G464" i="39" s="1"/>
  <c r="W464" i="39" s="1" a="1"/>
  <c r="W464" i="39" s="1"/>
  <c r="X464" i="39" s="1"/>
  <c r="Q73" i="40"/>
  <c r="Q4" i="40"/>
  <c r="I65" i="41" a="1"/>
  <c r="I65" i="41" s="1"/>
  <c r="I101" i="41" a="1"/>
  <c r="I101" i="41" s="1"/>
  <c r="I102" i="41" a="1"/>
  <c r="I102" i="41" s="1"/>
  <c r="Q74" i="40"/>
  <c r="I100" i="41" a="1"/>
  <c r="I100" i="41" s="1"/>
  <c r="H101" i="41" a="1"/>
  <c r="H101" i="41" s="1"/>
  <c r="H65" i="41" a="1"/>
  <c r="H65" i="41" s="1"/>
  <c r="H100" i="41" a="1"/>
  <c r="H100" i="41" s="1"/>
  <c r="M481" i="39" a="1"/>
  <c r="M481" i="39" s="1"/>
  <c r="M14" i="39" a="1"/>
  <c r="M14" i="39" s="1"/>
  <c r="L14" i="39" a="1"/>
  <c r="L14" i="39" s="1"/>
  <c r="H102" i="41" a="1"/>
  <c r="H102" i="41" s="1"/>
  <c r="L481" i="39" a="1"/>
  <c r="L481" i="39" s="1"/>
  <c r="J14" i="39" a="1"/>
  <c r="J14" i="39" s="1"/>
  <c r="G100" i="41" a="1"/>
  <c r="G100" i="41" s="1"/>
  <c r="J481" i="39" a="1"/>
  <c r="J481" i="39" s="1"/>
  <c r="K481" i="39" a="1"/>
  <c r="K481" i="39" s="1"/>
  <c r="G101" i="41" a="1"/>
  <c r="G101" i="41" s="1"/>
  <c r="K14" i="39" a="1"/>
  <c r="K14" i="39" s="1"/>
  <c r="G102" i="41" a="1"/>
  <c r="G102" i="41" s="1"/>
  <c r="J100" i="41" a="1"/>
  <c r="J100" i="41" s="1"/>
  <c r="J102" i="41" a="1"/>
  <c r="J102" i="41" s="1"/>
  <c r="J101" i="41" a="1"/>
  <c r="J101" i="41" s="1"/>
  <c r="J65" i="41" a="1"/>
  <c r="J65" i="41" s="1"/>
  <c r="G65" i="41" a="1"/>
  <c r="G65" i="41" s="1"/>
  <c r="G500" i="39" a="1"/>
  <c r="G500" i="39" s="1"/>
  <c r="W500" i="39" s="1" a="1"/>
  <c r="W500" i="39" s="1"/>
  <c r="X500" i="39" s="1"/>
  <c r="G490" i="39" a="1"/>
  <c r="G490" i="39" s="1"/>
  <c r="W490" i="39" s="1" a="1"/>
  <c r="W490" i="39" s="1"/>
  <c r="X490" i="39" s="1"/>
  <c r="G476" i="39" a="1"/>
  <c r="G476" i="39" s="1"/>
  <c r="W476" i="39" s="1" a="1"/>
  <c r="W476" i="39" s="1"/>
  <c r="X476" i="39" s="1"/>
  <c r="G313" i="39" a="1"/>
  <c r="G313" i="39" s="1"/>
  <c r="W313" i="39" s="1" a="1"/>
  <c r="W313" i="39" s="1"/>
  <c r="X313" i="39" s="1"/>
  <c r="Q8" i="40"/>
  <c r="Q32" i="40"/>
  <c r="I125" i="41" a="1"/>
  <c r="I125" i="41" s="1"/>
  <c r="I124" i="41" a="1"/>
  <c r="I124" i="41" s="1"/>
  <c r="I123" i="41" a="1"/>
  <c r="I123" i="41" s="1"/>
  <c r="K16" i="39" a="1"/>
  <c r="K16" i="39" s="1"/>
  <c r="G21" i="41" a="1"/>
  <c r="G21" i="41" s="1"/>
  <c r="H21" i="41" a="1"/>
  <c r="H21" i="41" s="1"/>
  <c r="W10" i="39" a="1"/>
  <c r="W10" i="39" s="1"/>
  <c r="X10" i="39" s="1"/>
  <c r="G125" i="41" a="1"/>
  <c r="G125" i="41" s="1"/>
  <c r="J125" i="41" a="1"/>
  <c r="J125" i="41" s="1"/>
  <c r="G123" i="41" a="1"/>
  <c r="G123" i="41" s="1"/>
  <c r="J124" i="41" a="1"/>
  <c r="J124" i="41" s="1"/>
  <c r="M16" i="39" a="1"/>
  <c r="M16" i="39" s="1"/>
  <c r="L16" i="39" a="1"/>
  <c r="L16" i="39" s="1"/>
  <c r="J16" i="39" a="1"/>
  <c r="J16" i="39" s="1"/>
  <c r="J123" i="41" a="1"/>
  <c r="J123" i="41" s="1"/>
  <c r="H123" i="41" a="1"/>
  <c r="H123" i="41" s="1"/>
  <c r="H124" i="41" a="1"/>
  <c r="H124" i="41" s="1"/>
  <c r="G124" i="41" a="1"/>
  <c r="G124" i="41" s="1"/>
  <c r="J21" i="41" a="1"/>
  <c r="J21" i="41" s="1"/>
  <c r="W356" i="39" a="1"/>
  <c r="W356" i="39" s="1"/>
  <c r="X356" i="39" s="1"/>
  <c r="G507" i="39" a="1"/>
  <c r="G507" i="39" s="1"/>
  <c r="W507" i="39" s="1" a="1"/>
  <c r="W507" i="39" s="1"/>
  <c r="X507" i="39" s="1"/>
  <c r="G161" i="39" a="1"/>
  <c r="G161" i="39" s="1"/>
  <c r="W161" i="39" s="1" a="1"/>
  <c r="W161" i="39" s="1"/>
  <c r="X161" i="39" s="1"/>
  <c r="G58" i="39" a="1"/>
  <c r="G58" i="39" s="1"/>
  <c r="W58" i="39" s="1" a="1"/>
  <c r="W58" i="39" s="1"/>
  <c r="X58" i="39" s="1"/>
  <c r="G223" i="39" a="1"/>
  <c r="G223" i="39" s="1"/>
  <c r="W223" i="39" s="1" a="1"/>
  <c r="W223" i="39" s="1"/>
  <c r="X223" i="39" s="1"/>
  <c r="Q105" i="41"/>
  <c r="G212" i="39" a="1"/>
  <c r="G212" i="39" s="1"/>
  <c r="W212" i="39" s="1" a="1"/>
  <c r="W212" i="39" s="1"/>
  <c r="X212" i="39" s="1"/>
  <c r="G191" i="39" a="1"/>
  <c r="G191" i="39" s="1"/>
  <c r="W191" i="39" s="1" a="1"/>
  <c r="W191" i="39" s="1"/>
  <c r="X191" i="39" s="1"/>
  <c r="G282" i="39" a="1"/>
  <c r="G282" i="39" s="1"/>
  <c r="W282" i="39" s="1" a="1"/>
  <c r="W282" i="39" s="1"/>
  <c r="X282" i="39" s="1"/>
  <c r="Q103" i="41"/>
  <c r="Q10" i="41"/>
  <c r="Q76" i="41"/>
  <c r="Q104" i="41"/>
  <c r="Q9" i="41"/>
  <c r="Q7" i="41"/>
  <c r="Q8" i="41"/>
  <c r="W364" i="39" a="1"/>
  <c r="W364" i="39" s="1"/>
  <c r="X364" i="39" s="1"/>
  <c r="W41" i="39" a="1"/>
  <c r="W41" i="39" s="1"/>
  <c r="X41" i="39" s="1"/>
  <c r="W59" i="39" a="1"/>
  <c r="W59" i="39" s="1"/>
  <c r="X59" i="39" s="1"/>
  <c r="W50" i="39" a="1"/>
  <c r="W50" i="39" s="1"/>
  <c r="X50" i="39" s="1"/>
  <c r="W374" i="39" a="1"/>
  <c r="W374" i="39" s="1"/>
  <c r="X374" i="39" s="1"/>
  <c r="W267" i="39" a="1"/>
  <c r="W267" i="39" s="1"/>
  <c r="X267" i="39" s="1"/>
  <c r="W147" i="39" a="1"/>
  <c r="W147" i="39" s="1"/>
  <c r="W178" i="39" a="1"/>
  <c r="W178" i="39" s="1"/>
  <c r="X178" i="39" s="1"/>
  <c r="W558" i="39" a="1"/>
  <c r="W558" i="39" s="1"/>
  <c r="X558" i="39" s="1"/>
  <c r="W286" i="39" a="1"/>
  <c r="W286" i="39" s="1"/>
  <c r="X286" i="39" s="1"/>
  <c r="W365" i="39" a="1"/>
  <c r="W365" i="39" s="1"/>
  <c r="X365" i="39" s="1"/>
  <c r="W4" i="39" a="1"/>
  <c r="W4" i="39" s="1"/>
  <c r="X4" i="39" s="1"/>
  <c r="W128" i="39" a="1"/>
  <c r="W128" i="39" s="1"/>
  <c r="X128" i="39" s="1"/>
  <c r="W321" i="39" a="1"/>
  <c r="W321" i="39" s="1"/>
  <c r="X321" i="39" s="1"/>
  <c r="W363" i="39" a="1"/>
  <c r="W363" i="39" s="1"/>
  <c r="X363" i="39" s="1"/>
  <c r="W74" i="39" a="1"/>
  <c r="W74" i="39" s="1"/>
  <c r="X74" i="39" s="1"/>
  <c r="W21" i="39" a="1"/>
  <c r="W21" i="39" s="1"/>
  <c r="X21" i="39" s="1"/>
  <c r="W370" i="39" a="1"/>
  <c r="W370" i="39" s="1"/>
  <c r="X370" i="39" s="1"/>
  <c r="W369" i="39" a="1"/>
  <c r="W369" i="39" s="1"/>
  <c r="X369" i="39" s="1"/>
  <c r="W94" i="39" a="1"/>
  <c r="W94" i="39" s="1"/>
  <c r="X94" i="39" s="1"/>
  <c r="W24" i="39" a="1"/>
  <c r="W24" i="39" s="1"/>
  <c r="X24" i="39" s="1"/>
  <c r="W355" i="39" a="1"/>
  <c r="W355" i="39" s="1"/>
  <c r="X355" i="39" s="1"/>
  <c r="W391" i="39" a="1"/>
  <c r="W391" i="39" s="1"/>
  <c r="X391" i="39" s="1"/>
  <c r="W7" i="39" a="1"/>
  <c r="W7" i="39" s="1"/>
  <c r="X7" i="39" s="1"/>
  <c r="W40" i="39" a="1"/>
  <c r="W40" i="39" s="1"/>
  <c r="X40" i="39" s="1"/>
  <c r="W429" i="39" a="1"/>
  <c r="W429" i="39" s="1"/>
  <c r="X429" i="39" s="1"/>
  <c r="W49" i="39" a="1"/>
  <c r="W49" i="39" s="1"/>
  <c r="X49" i="39" s="1"/>
  <c r="W34" i="39" a="1"/>
  <c r="W34" i="39" s="1"/>
  <c r="X34" i="39" s="1"/>
  <c r="W162" i="39" a="1"/>
  <c r="W162" i="39" s="1"/>
  <c r="X162" i="39" s="1"/>
  <c r="W465" i="39" a="1"/>
  <c r="W465" i="39" s="1"/>
  <c r="X465" i="39" s="1"/>
  <c r="W38" i="39" a="1"/>
  <c r="W38" i="39" s="1"/>
  <c r="X38" i="39" s="1"/>
  <c r="W20" i="39" a="1"/>
  <c r="W20" i="39" s="1"/>
  <c r="X20" i="39" s="1"/>
  <c r="W373" i="39" a="1"/>
  <c r="W373" i="39" s="1"/>
  <c r="X373" i="39" s="1"/>
  <c r="W109" i="39" a="1"/>
  <c r="W109" i="39" s="1"/>
  <c r="W410" i="39" a="1"/>
  <c r="W410" i="39" s="1"/>
  <c r="X410" i="39" s="1"/>
  <c r="W338" i="39" a="1"/>
  <c r="W338" i="39" s="1"/>
  <c r="X338" i="39" s="1"/>
  <c r="W32" i="39" a="1"/>
  <c r="W32" i="39" s="1"/>
  <c r="X32" i="39" s="1"/>
  <c r="W411" i="39" a="1"/>
  <c r="W411" i="39" s="1"/>
  <c r="W357" i="39" a="1"/>
  <c r="W357" i="39" s="1"/>
  <c r="W447" i="39" a="1"/>
  <c r="W447" i="39" s="1"/>
  <c r="X447" i="39" s="1"/>
  <c r="W6" i="39" a="1"/>
  <c r="W6" i="39" s="1"/>
  <c r="X6" i="39" s="1"/>
  <c r="W45" i="39" a="1"/>
  <c r="W45" i="39" s="1"/>
  <c r="X45" i="39" s="1"/>
  <c r="M362" i="39" a="1"/>
  <c r="M362" i="39" s="1"/>
  <c r="M194" i="39" a="1"/>
  <c r="M194" i="39" s="1"/>
  <c r="L194" i="39" a="1"/>
  <c r="L194" i="39" s="1"/>
  <c r="L362" i="39" a="1"/>
  <c r="L362" i="39" s="1"/>
  <c r="Q33" i="41"/>
  <c r="Q20" i="41"/>
  <c r="Q12" i="40"/>
  <c r="Q66" i="40"/>
  <c r="Q73" i="41"/>
  <c r="Q55" i="41"/>
  <c r="Q50" i="41"/>
  <c r="Q31" i="41"/>
  <c r="Q51" i="41"/>
  <c r="Q24" i="41"/>
  <c r="Q58" i="41"/>
  <c r="Q114" i="41"/>
  <c r="Q84" i="41"/>
  <c r="Q34" i="41"/>
  <c r="Q23" i="41"/>
  <c r="Q92" i="41"/>
  <c r="Q4" i="41"/>
  <c r="Q110" i="41"/>
  <c r="Q86" i="41"/>
  <c r="Q88" i="41"/>
  <c r="Q87" i="41"/>
  <c r="Q14" i="41"/>
  <c r="Q108" i="41"/>
  <c r="Q54" i="41"/>
  <c r="Q106" i="41"/>
  <c r="Q3" i="41"/>
  <c r="Q57" i="41"/>
  <c r="Q36" i="41"/>
  <c r="Q5" i="41"/>
  <c r="Q19" i="41"/>
  <c r="Q27" i="41"/>
  <c r="Q60" i="41"/>
  <c r="Q66" i="41"/>
  <c r="Q79" i="41"/>
  <c r="Q94" i="41"/>
  <c r="Q44" i="41"/>
  <c r="Q109" i="41"/>
  <c r="Q11" i="41"/>
  <c r="Q77" i="41"/>
  <c r="Q61" i="41"/>
  <c r="Q78" i="41"/>
  <c r="Q22" i="41"/>
  <c r="Q42" i="41"/>
  <c r="Q52" i="41"/>
  <c r="Q41" i="41"/>
  <c r="Q6" i="41"/>
  <c r="Q96" i="41"/>
  <c r="Q99" i="41"/>
  <c r="Q28" i="41"/>
  <c r="Q89" i="41"/>
  <c r="Q98" i="41"/>
  <c r="Q17" i="41"/>
  <c r="Q85" i="41"/>
  <c r="Q30" i="41"/>
  <c r="Q53" i="41"/>
  <c r="Q69" i="41"/>
  <c r="Q112" i="41"/>
  <c r="Q59" i="41"/>
  <c r="Q63" i="41"/>
  <c r="Q64" i="41"/>
  <c r="Q18" i="41"/>
  <c r="Q62" i="41"/>
  <c r="Q97" i="41"/>
  <c r="Q68" i="41"/>
  <c r="Q111" i="41"/>
  <c r="Q40" i="41"/>
  <c r="Q113" i="41"/>
  <c r="Q32" i="41"/>
  <c r="Q49" i="41"/>
  <c r="Q107" i="41"/>
  <c r="Q43" i="41"/>
  <c r="Q118" i="41"/>
  <c r="Q67" i="41"/>
  <c r="Q90" i="41"/>
  <c r="Q35" i="41"/>
  <c r="Q93" i="41"/>
  <c r="Q16" i="41"/>
  <c r="Q56" i="41"/>
  <c r="Q15" i="41"/>
  <c r="Q26" i="41"/>
  <c r="J33" i="39" a="1"/>
  <c r="J33" i="39" s="1"/>
  <c r="G95" i="41" a="1"/>
  <c r="G95" i="41" s="1"/>
  <c r="G38" i="38"/>
  <c r="G120" i="41" a="1"/>
  <c r="G120" i="41" s="1"/>
  <c r="G119" i="41" a="1"/>
  <c r="G119" i="41" s="1"/>
  <c r="G121" i="41" a="1"/>
  <c r="G121" i="41" s="1"/>
  <c r="K33" i="39" a="1"/>
  <c r="K33" i="39" s="1"/>
  <c r="J95" i="41" a="1"/>
  <c r="J95" i="41" s="1"/>
  <c r="J121" i="41" a="1"/>
  <c r="J121" i="41" s="1"/>
  <c r="J120" i="41" a="1"/>
  <c r="J120" i="41" s="1"/>
  <c r="J119" i="41" a="1"/>
  <c r="J119" i="41" s="1"/>
  <c r="H95" i="41" a="1"/>
  <c r="H95" i="41" s="1"/>
  <c r="H120" i="41" a="1"/>
  <c r="H120" i="41" s="1"/>
  <c r="H121" i="41" a="1"/>
  <c r="H121" i="41" s="1"/>
  <c r="H119" i="41" a="1"/>
  <c r="H119" i="41" s="1"/>
  <c r="I121" i="41" a="1"/>
  <c r="I121" i="41" s="1"/>
  <c r="I120" i="41" a="1"/>
  <c r="I120" i="41" s="1"/>
  <c r="I119" i="41" a="1"/>
  <c r="I119" i="41" s="1"/>
  <c r="I95" i="41" a="1"/>
  <c r="I95" i="41" s="1"/>
  <c r="G224" i="39" a="1"/>
  <c r="G224" i="39" s="1"/>
  <c r="W224" i="39" s="1" a="1"/>
  <c r="W224" i="39" s="1"/>
  <c r="X224" i="39" s="1"/>
  <c r="J362" i="39" a="1"/>
  <c r="J362" i="39" s="1"/>
  <c r="K194" i="39" a="1"/>
  <c r="K194" i="39" s="1"/>
  <c r="J194" i="39" a="1"/>
  <c r="J194" i="39" s="1"/>
  <c r="K362" i="39" a="1"/>
  <c r="K362" i="39" s="1"/>
  <c r="K234" i="39" a="1"/>
  <c r="K234" i="39" s="1"/>
  <c r="J234" i="39" a="1"/>
  <c r="J234" i="39" s="1"/>
  <c r="J15" i="39" a="1"/>
  <c r="J15" i="39" s="1"/>
  <c r="J541" i="39" a="1"/>
  <c r="J541" i="39" s="1"/>
  <c r="K15" i="39" a="1"/>
  <c r="K15" i="39" s="1"/>
  <c r="K541" i="39" a="1"/>
  <c r="K541" i="39" s="1"/>
  <c r="Q29" i="41" l="1"/>
  <c r="Q75" i="41"/>
  <c r="Q74" i="41"/>
  <c r="W27" i="39" a="1"/>
  <c r="W27" i="39" s="1"/>
  <c r="X27" i="39" s="1"/>
  <c r="Q81" i="41"/>
  <c r="Q82" i="41"/>
  <c r="Q25" i="41"/>
  <c r="W25" i="39" a="1"/>
  <c r="W25" i="39" s="1"/>
  <c r="X25" i="39" s="1"/>
  <c r="W17" i="39" a="1"/>
  <c r="W17" i="39" s="1"/>
  <c r="X17" i="39" s="1"/>
  <c r="Q45" i="41"/>
  <c r="Q48" i="41"/>
  <c r="Q47" i="41"/>
  <c r="W213" i="39" a="1"/>
  <c r="W213" i="39" s="1"/>
  <c r="X213" i="39" s="1"/>
  <c r="Q46" i="41"/>
  <c r="W359" i="39" a="1"/>
  <c r="W359" i="39" s="1"/>
  <c r="X359" i="39" s="1"/>
  <c r="Q91" i="41"/>
  <c r="Q12" i="41"/>
  <c r="Q80" i="41"/>
  <c r="W351" i="39" a="1"/>
  <c r="W351" i="39" s="1"/>
  <c r="X351" i="39" s="1"/>
  <c r="Q13" i="41"/>
  <c r="W304" i="39" a="1"/>
  <c r="W304" i="39" s="1"/>
  <c r="X304" i="39" s="1"/>
  <c r="Q39" i="41"/>
  <c r="Q37" i="41"/>
  <c r="Q2" i="41"/>
  <c r="W3" i="39" a="1"/>
  <c r="W3" i="39" s="1"/>
  <c r="X3" i="39" s="1"/>
  <c r="W520" i="39" a="1"/>
  <c r="W520" i="39" s="1"/>
  <c r="X520" i="39" s="1"/>
  <c r="Q38" i="41"/>
  <c r="Q83" i="41"/>
  <c r="W146" i="39" a="1"/>
  <c r="W146" i="39" s="1"/>
  <c r="X146" i="39" s="1"/>
  <c r="W252" i="39" a="1"/>
  <c r="W252" i="39" s="1"/>
  <c r="X252" i="39" s="1"/>
  <c r="Q71" i="41"/>
  <c r="Q70" i="41"/>
  <c r="Q72" i="41"/>
  <c r="W352" i="39" a="1"/>
  <c r="W352" i="39" s="1"/>
  <c r="X352" i="39" s="1"/>
  <c r="Q115" i="41"/>
  <c r="Q117" i="41"/>
  <c r="W382" i="39" a="1"/>
  <c r="W382" i="39" s="1"/>
  <c r="X382" i="39" s="1"/>
  <c r="W501" i="39" a="1"/>
  <c r="W501" i="39" s="1"/>
  <c r="X501" i="39" s="1"/>
  <c r="Q116" i="41"/>
  <c r="Q122" i="41"/>
  <c r="Q102" i="41"/>
  <c r="Q100" i="41"/>
  <c r="Q101" i="41"/>
  <c r="W481" i="39" a="1"/>
  <c r="W481" i="39" s="1"/>
  <c r="X481" i="39" s="1"/>
  <c r="Q65" i="41"/>
  <c r="W14" i="39" a="1"/>
  <c r="W14" i="39" s="1"/>
  <c r="X14" i="39" s="1"/>
  <c r="Q123" i="41"/>
  <c r="Q125" i="41"/>
  <c r="Q124" i="41"/>
  <c r="W16" i="39" a="1"/>
  <c r="W16" i="39" s="1"/>
  <c r="X16" i="39" s="1"/>
  <c r="Q21" i="41"/>
  <c r="W33" i="39" a="1"/>
  <c r="W33" i="39" s="1"/>
  <c r="X33" i="39" s="1"/>
  <c r="W234" i="39" a="1"/>
  <c r="W234" i="39" s="1"/>
  <c r="X234" i="39" s="1"/>
  <c r="W362" i="39" a="1"/>
  <c r="W362" i="39" s="1"/>
  <c r="X362" i="39" s="1"/>
  <c r="W194" i="39" a="1"/>
  <c r="W194" i="39" s="1"/>
  <c r="X194" i="39" s="1"/>
  <c r="W541" i="39" a="1"/>
  <c r="W541" i="39" s="1"/>
  <c r="X541" i="39" s="1"/>
  <c r="W15" i="39" a="1"/>
  <c r="W15" i="39" s="1"/>
  <c r="X15" i="39" s="1"/>
  <c r="Q121" i="41"/>
  <c r="Q120" i="41"/>
  <c r="Q95" i="41"/>
  <c r="Q119" i="4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<sst xmlns="http://schemas.openxmlformats.org/spreadsheetml/2006/main" count="17396" uniqueCount="1588">
  <si>
    <t>ARI</t>
  </si>
  <si>
    <t>Week</t>
  </si>
  <si>
    <t>WR1 Recep</t>
  </si>
  <si>
    <t>WR2 Recep</t>
  </si>
  <si>
    <t>WR3 Recep</t>
  </si>
  <si>
    <t>WR4+ Recep</t>
  </si>
  <si>
    <t>QB TD</t>
  </si>
  <si>
    <t>RB1 TD</t>
  </si>
  <si>
    <t>WR1 TD</t>
  </si>
  <si>
    <t>WR2 TD</t>
  </si>
  <si>
    <t>WR3 TD</t>
  </si>
  <si>
    <t>WR4+ TD</t>
  </si>
  <si>
    <t>D/ST TD</t>
  </si>
  <si>
    <t>RB R+R</t>
  </si>
  <si>
    <t>QB P+R</t>
  </si>
  <si>
    <t>ATL</t>
  </si>
  <si>
    <t>BAL</t>
  </si>
  <si>
    <t>BUF</t>
  </si>
  <si>
    <t>QB PY</t>
  </si>
  <si>
    <t>P TD</t>
  </si>
  <si>
    <t>QB RY</t>
  </si>
  <si>
    <t>RB1 RY</t>
  </si>
  <si>
    <t>RB2+ RY</t>
  </si>
  <si>
    <t>WR RY</t>
  </si>
  <si>
    <t>WR1 RecY</t>
  </si>
  <si>
    <t>WR2 RecY</t>
  </si>
  <si>
    <t>WR3 RecY</t>
  </si>
  <si>
    <t>WR4+ RecY</t>
  </si>
  <si>
    <t>Defense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</si>
  <si>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</si>
  <si>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</si>
  <si>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</si>
  <si>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</si>
  <si>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</si>
  <si>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</si>
  <si>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</si>
  <si>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</si>
  <si>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</si>
  <si>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</si>
  <si>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</si>
  <si>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</si>
  <si>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LAC</t>
  </si>
  <si>
    <t>LAR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</si>
  <si>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</si>
  <si>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</si>
  <si>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</si>
  <si>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</si>
  <si>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</si>
  <si>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</si>
  <si>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</si>
  <si>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</si>
  <si>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</si>
  <si>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</si>
  <si>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</si>
  <si>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</si>
  <si>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</si>
  <si>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</si>
  <si>
    <t>Average</t>
  </si>
  <si>
    <t>Team</t>
  </si>
  <si>
    <t>Touchdown</t>
  </si>
  <si>
    <t>Receiving</t>
  </si>
  <si>
    <t>Rushing</t>
  </si>
  <si>
    <t>Passing</t>
  </si>
  <si>
    <t>Opp</t>
  </si>
  <si>
    <t>RB</t>
  </si>
  <si>
    <t>QB</t>
  </si>
  <si>
    <t>WR1</t>
  </si>
  <si>
    <t>WR2</t>
  </si>
  <si>
    <t>WR3</t>
  </si>
  <si>
    <t>WR4+</t>
  </si>
  <si>
    <t>TE</t>
  </si>
  <si>
    <t>D/ST</t>
  </si>
  <si>
    <t>TD</t>
  </si>
  <si>
    <t>P</t>
  </si>
  <si>
    <t>R</t>
  </si>
  <si>
    <t>QBP</t>
  </si>
  <si>
    <t>PTD</t>
  </si>
  <si>
    <t>QBP+R</t>
  </si>
  <si>
    <t>QBR</t>
  </si>
  <si>
    <t>RBR</t>
  </si>
  <si>
    <t>RB1R</t>
  </si>
  <si>
    <t>RBR+R</t>
  </si>
  <si>
    <t>WRR</t>
  </si>
  <si>
    <t>RBC</t>
  </si>
  <si>
    <t>RBY</t>
  </si>
  <si>
    <t>WR1C</t>
  </si>
  <si>
    <t>WR1Y</t>
  </si>
  <si>
    <t>WR2C</t>
  </si>
  <si>
    <t>WR2Y</t>
  </si>
  <si>
    <t>WR3C</t>
  </si>
  <si>
    <t>WR3Y</t>
  </si>
  <si>
    <t>WR4+C</t>
  </si>
  <si>
    <t>WR4+Y</t>
  </si>
  <si>
    <t>TEC</t>
  </si>
  <si>
    <t>TEY</t>
  </si>
  <si>
    <t>R+R</t>
  </si>
  <si>
    <t>P+R</t>
  </si>
  <si>
    <t>RB2+</t>
  </si>
  <si>
    <t>REC</t>
  </si>
  <si>
    <t>vs WR</t>
  </si>
  <si>
    <t>vs TE</t>
  </si>
  <si>
    <t>vs D/ST</t>
  </si>
  <si>
    <t>vs QB</t>
  </si>
  <si>
    <t>vs RB</t>
  </si>
  <si>
    <t>Y</t>
  </si>
  <si>
    <t>DEF</t>
  </si>
  <si>
    <t>OPP</t>
  </si>
  <si>
    <t>Player</t>
  </si>
  <si>
    <t>K. Murray</t>
  </si>
  <si>
    <t>M. Penix Jr.</t>
  </si>
  <si>
    <t>L. Jackson</t>
  </si>
  <si>
    <t>J. Allen</t>
  </si>
  <si>
    <t>B. Young</t>
  </si>
  <si>
    <t>T. Benson</t>
  </si>
  <si>
    <t>K. Cousins</t>
  </si>
  <si>
    <t>D. Henry</t>
  </si>
  <si>
    <t>R. Davis</t>
  </si>
  <si>
    <t>C. Hubbard</t>
  </si>
  <si>
    <t>J. Conner</t>
  </si>
  <si>
    <t>B. Robinson</t>
  </si>
  <si>
    <t>J. Hill</t>
  </si>
  <si>
    <t>J. Cook</t>
  </si>
  <si>
    <t>R. Dowdle</t>
  </si>
  <si>
    <t>E. Demercado</t>
  </si>
  <si>
    <t>T. Allgeier</t>
  </si>
  <si>
    <t>K. Mitchell</t>
  </si>
  <si>
    <t>T. Johnson</t>
  </si>
  <si>
    <t>T. Etienne</t>
  </si>
  <si>
    <t>T. McBride</t>
  </si>
  <si>
    <t>M. Andrews</t>
  </si>
  <si>
    <t>D. Kincaid</t>
  </si>
  <si>
    <t>J. Sanders</t>
  </si>
  <si>
    <t>E. Higgins</t>
  </si>
  <si>
    <t>D. Mooney</t>
  </si>
  <si>
    <t>I. Likely</t>
  </si>
  <si>
    <t>D. Knox</t>
  </si>
  <si>
    <t>A. Thielen</t>
  </si>
  <si>
    <t>M. Harrison Jr.</t>
  </si>
  <si>
    <t>D. London</t>
  </si>
  <si>
    <t>R. Bateman</t>
  </si>
  <si>
    <t>K. Shakir</t>
  </si>
  <si>
    <t>T. McMillan</t>
  </si>
  <si>
    <t>M. Wilson</t>
  </si>
  <si>
    <t>Z. Flowers</t>
  </si>
  <si>
    <t>K. Coleman</t>
  </si>
  <si>
    <t>X. Legette</t>
  </si>
  <si>
    <t>G. Dortch</t>
  </si>
  <si>
    <t>D. Hopkins</t>
  </si>
  <si>
    <t>J. Palmer</t>
  </si>
  <si>
    <t>J. Coker</t>
  </si>
  <si>
    <t>C. Williams</t>
  </si>
  <si>
    <t>D. Swift</t>
  </si>
  <si>
    <t>R. Johnson</t>
  </si>
  <si>
    <t>K. Monangai</t>
  </si>
  <si>
    <t>C. Loveland</t>
  </si>
  <si>
    <t>C. Kmet</t>
  </si>
  <si>
    <t>D.J. Moore</t>
  </si>
  <si>
    <t>R. Odunze</t>
  </si>
  <si>
    <t>L. Burden III</t>
  </si>
  <si>
    <t>J. Burrow</t>
  </si>
  <si>
    <t>J. Browning</t>
  </si>
  <si>
    <t>C. Brown</t>
  </si>
  <si>
    <t>S. Perine</t>
  </si>
  <si>
    <t>T. Brooks</t>
  </si>
  <si>
    <t>M. Gesicki</t>
  </si>
  <si>
    <t>N. Fant</t>
  </si>
  <si>
    <t>T. Higgins</t>
  </si>
  <si>
    <t>J. Chase</t>
  </si>
  <si>
    <t>A. Iosivas</t>
  </si>
  <si>
    <t>S. Sanders</t>
  </si>
  <si>
    <t>J. Flacco</t>
  </si>
  <si>
    <t>D. Watson</t>
  </si>
  <si>
    <t>K. Pickett</t>
  </si>
  <si>
    <t>D. Gabriel</t>
  </si>
  <si>
    <t>Q. Judklins</t>
  </si>
  <si>
    <t>D. Sampson</t>
  </si>
  <si>
    <t>J. Ford</t>
  </si>
  <si>
    <t>D. Njoku</t>
  </si>
  <si>
    <t>H. Fannin Jr.</t>
  </si>
  <si>
    <t>J. Jeudy</t>
  </si>
  <si>
    <t>C. Tillman</t>
  </si>
  <si>
    <t>D. Prescott</t>
  </si>
  <si>
    <t>J. Milton III</t>
  </si>
  <si>
    <t>J. Blue</t>
  </si>
  <si>
    <t>J. Williams</t>
  </si>
  <si>
    <t>M. Sanders</t>
  </si>
  <si>
    <t>J. Ferguson</t>
  </si>
  <si>
    <t>G. Pickens</t>
  </si>
  <si>
    <t>C. Lamb</t>
  </si>
  <si>
    <t>J. Tolbert</t>
  </si>
  <si>
    <t>K. Turpin</t>
  </si>
  <si>
    <t>B. Nix</t>
  </si>
  <si>
    <t>R.J. Harvey</t>
  </si>
  <si>
    <t>J.K. Dobbins</t>
  </si>
  <si>
    <t>J. McLaughlin</t>
  </si>
  <si>
    <t>E. Engram</t>
  </si>
  <si>
    <t>C. Sutton</t>
  </si>
  <si>
    <t>M. Mims Jr.</t>
  </si>
  <si>
    <t>T. Franklin</t>
  </si>
  <si>
    <t>J. Goff</t>
  </si>
  <si>
    <t>J. Gibbs</t>
  </si>
  <si>
    <t>D. Montgomery</t>
  </si>
  <si>
    <t>S. LaPorta</t>
  </si>
  <si>
    <t>A. St. Brown</t>
  </si>
  <si>
    <t>J. Love</t>
  </si>
  <si>
    <t>M. Willis</t>
  </si>
  <si>
    <t>J. Jacobs</t>
  </si>
  <si>
    <t>E. Wilson</t>
  </si>
  <si>
    <t>M. Lloyd</t>
  </si>
  <si>
    <t>T. Kraft</t>
  </si>
  <si>
    <t>L. Musgrave</t>
  </si>
  <si>
    <t>M. Golden</t>
  </si>
  <si>
    <t>J. Reed</t>
  </si>
  <si>
    <t>R. Doubs</t>
  </si>
  <si>
    <t>D. Wicks</t>
  </si>
  <si>
    <t>C.J. Stroud</t>
  </si>
  <si>
    <t>J. Mixon</t>
  </si>
  <si>
    <t>W. Marks</t>
  </si>
  <si>
    <t>N. Chubb</t>
  </si>
  <si>
    <t>D. Pierce</t>
  </si>
  <si>
    <t>D. Ogunbowale</t>
  </si>
  <si>
    <t>D. Schultz</t>
  </si>
  <si>
    <t>C. Kirk</t>
  </si>
  <si>
    <t>J. Higgins</t>
  </si>
  <si>
    <t>N. Collins</t>
  </si>
  <si>
    <t>J. Noel</t>
  </si>
  <si>
    <t>D. Jones</t>
  </si>
  <si>
    <t>J. Taylor</t>
  </si>
  <si>
    <t>D.J. Giddens</t>
  </si>
  <si>
    <t>T. Goodson</t>
  </si>
  <si>
    <t>T. Warren</t>
  </si>
  <si>
    <t xml:space="preserve">M. Pittman Jr. </t>
  </si>
  <si>
    <t>J. Downs</t>
  </si>
  <si>
    <t>A. Pierce</t>
  </si>
  <si>
    <t>T. Lawrence</t>
  </si>
  <si>
    <t>N. Mullens</t>
  </si>
  <si>
    <t>T. Etienne Jr.</t>
  </si>
  <si>
    <t>B. Tuten</t>
  </si>
  <si>
    <t>T. Bigsby</t>
  </si>
  <si>
    <t>B. Strange</t>
  </si>
  <si>
    <t>B. Thomas Jr.</t>
  </si>
  <si>
    <t>T. Hunter</t>
  </si>
  <si>
    <t>D. Brown</t>
  </si>
  <si>
    <t>P. Mahomes</t>
  </si>
  <si>
    <t>G. Minshew</t>
  </si>
  <si>
    <t>I. Pacheco</t>
  </si>
  <si>
    <t>K. Hunt</t>
  </si>
  <si>
    <t>B. Smith</t>
  </si>
  <si>
    <t>E. Mitchell</t>
  </si>
  <si>
    <t>T. Kelce</t>
  </si>
  <si>
    <t>N. Gray</t>
  </si>
  <si>
    <t>H. Brown</t>
  </si>
  <si>
    <t>R. Rice</t>
  </si>
  <si>
    <t>X. Worthy</t>
  </si>
  <si>
    <t>J. Royals</t>
  </si>
  <si>
    <t>J. Herbert</t>
  </si>
  <si>
    <t>T. Lance</t>
  </si>
  <si>
    <t>N. Harris</t>
  </si>
  <si>
    <t>O. Hampton</t>
  </si>
  <si>
    <t>T. Conklin</t>
  </si>
  <si>
    <t>W. Dissly</t>
  </si>
  <si>
    <t>K. Allen</t>
  </si>
  <si>
    <t>L. McConkey</t>
  </si>
  <si>
    <t>T. Harris</t>
  </si>
  <si>
    <t>Q. Johnston</t>
  </si>
  <si>
    <t>M. Stafford</t>
  </si>
  <si>
    <t>K. Williams</t>
  </si>
  <si>
    <t>B. Corum</t>
  </si>
  <si>
    <t>J. Hunter</t>
  </si>
  <si>
    <t>T. Higbee</t>
  </si>
  <si>
    <t>T. Ferguson</t>
  </si>
  <si>
    <t>D. Adams</t>
  </si>
  <si>
    <t>P. Nacua</t>
  </si>
  <si>
    <t>T. Atwell</t>
  </si>
  <si>
    <t>J. Whittington</t>
  </si>
  <si>
    <t>G. Smith</t>
  </si>
  <si>
    <t>A. Jeanty</t>
  </si>
  <si>
    <t>R. Mostert</t>
  </si>
  <si>
    <t>B. Bowers</t>
  </si>
  <si>
    <t>M. Mayer</t>
  </si>
  <si>
    <t>A. Cooper</t>
  </si>
  <si>
    <t>J. Meyers</t>
  </si>
  <si>
    <t>J. Bech</t>
  </si>
  <si>
    <t>D. Thornton Jr.</t>
  </si>
  <si>
    <t>T. Tagovailoa</t>
  </si>
  <si>
    <t>O. Gordon II</t>
  </si>
  <si>
    <t>D. Achane</t>
  </si>
  <si>
    <t>A. Mattison</t>
  </si>
  <si>
    <t>J. Wright</t>
  </si>
  <si>
    <t>D. Waller</t>
  </si>
  <si>
    <t>T. Hill</t>
  </si>
  <si>
    <t>J. Waddle</t>
  </si>
  <si>
    <t>N. Westbrook-Ikhine</t>
  </si>
  <si>
    <t>J.J. McCarthy</t>
  </si>
  <si>
    <t>A. Jones Sr.</t>
  </si>
  <si>
    <t>J. Mason</t>
  </si>
  <si>
    <t>T. Chandler</t>
  </si>
  <si>
    <t>T.J. Hockenson</t>
  </si>
  <si>
    <t>J. Oliver</t>
  </si>
  <si>
    <t>J. Jefferson</t>
  </si>
  <si>
    <t>J. Addison</t>
  </si>
  <si>
    <t>J. Nailor</t>
  </si>
  <si>
    <t>D. Maye</t>
  </si>
  <si>
    <t>J. Dobbs</t>
  </si>
  <si>
    <t>T. Henderson</t>
  </si>
  <si>
    <t>R. Stevenson</t>
  </si>
  <si>
    <t>A. Gibson</t>
  </si>
  <si>
    <t>H. Henry</t>
  </si>
  <si>
    <t>A. Hooper</t>
  </si>
  <si>
    <t>S. Diggs</t>
  </si>
  <si>
    <t>D. Douglas</t>
  </si>
  <si>
    <t>K. Boutte</t>
  </si>
  <si>
    <t>T. Shough</t>
  </si>
  <si>
    <t>S. Rattler</t>
  </si>
  <si>
    <t>A. Kamara</t>
  </si>
  <si>
    <t>D. Neal</t>
  </si>
  <si>
    <t>K. Miller</t>
  </si>
  <si>
    <t>J. Johnson</t>
  </si>
  <si>
    <t>R. Shaheed</t>
  </si>
  <si>
    <t>C. Olave</t>
  </si>
  <si>
    <t>B. Cooks</t>
  </si>
  <si>
    <t>R. Wilson</t>
  </si>
  <si>
    <t>J. Winston</t>
  </si>
  <si>
    <t>J. Dart</t>
  </si>
  <si>
    <t>T. Tracy Jr.</t>
  </si>
  <si>
    <t>C. Skattebo</t>
  </si>
  <si>
    <t>D. Singletary</t>
  </si>
  <si>
    <t>M. Nabers</t>
  </si>
  <si>
    <t>W. Robinson</t>
  </si>
  <si>
    <t>D. Slayton</t>
  </si>
  <si>
    <t>J. Fields</t>
  </si>
  <si>
    <t>B. Allen</t>
  </si>
  <si>
    <t>B. Hall</t>
  </si>
  <si>
    <t>I. Davis</t>
  </si>
  <si>
    <t>M. Taylor</t>
  </si>
  <si>
    <t>G. Wilson</t>
  </si>
  <si>
    <t>J. Hurts</t>
  </si>
  <si>
    <t>S. Barkley</t>
  </si>
  <si>
    <t>W. Shipley</t>
  </si>
  <si>
    <t>D. Goedert</t>
  </si>
  <si>
    <t>A.J. Brown</t>
  </si>
  <si>
    <t>D. Smith</t>
  </si>
  <si>
    <t>A. Rodgers</t>
  </si>
  <si>
    <t>K. Johnson</t>
  </si>
  <si>
    <t>J. Warren</t>
  </si>
  <si>
    <t>K. Gainwell</t>
  </si>
  <si>
    <t>J. Smith</t>
  </si>
  <si>
    <t>P. Freiermuth</t>
  </si>
  <si>
    <t>D.K. Metcalf</t>
  </si>
  <si>
    <t>C. Austin III</t>
  </si>
  <si>
    <t>S. Darnold</t>
  </si>
  <si>
    <t>K. Walker III</t>
  </si>
  <si>
    <t>Z. Charbonnet</t>
  </si>
  <si>
    <t>E. Arroyo</t>
  </si>
  <si>
    <t>A.J. Barner</t>
  </si>
  <si>
    <t>J. Smith-Njigba</t>
  </si>
  <si>
    <t>C. Kupp</t>
  </si>
  <si>
    <t>B. Purdy</t>
  </si>
  <si>
    <t>K. Rourke</t>
  </si>
  <si>
    <t>B. Robinson Jr.</t>
  </si>
  <si>
    <t>C. McCaffrey</t>
  </si>
  <si>
    <t>I. Guerendo</t>
  </si>
  <si>
    <t>J. James</t>
  </si>
  <si>
    <t>G. Kittle</t>
  </si>
  <si>
    <t>J. Jennings</t>
  </si>
  <si>
    <t>R. Pearsall</t>
  </si>
  <si>
    <t>B. Aiyuk</t>
  </si>
  <si>
    <t>B. Mayfield</t>
  </si>
  <si>
    <t>R. White</t>
  </si>
  <si>
    <t>B. Irving</t>
  </si>
  <si>
    <t>S. Tucker</t>
  </si>
  <si>
    <t>C. Otton</t>
  </si>
  <si>
    <t>M. Evans</t>
  </si>
  <si>
    <t>E. Egbuka</t>
  </si>
  <si>
    <t>C. Godwin</t>
  </si>
  <si>
    <t>J. McMillan</t>
  </si>
  <si>
    <t>C. Ward</t>
  </si>
  <si>
    <t>W. Levis</t>
  </si>
  <si>
    <t>T. Pollard</t>
  </si>
  <si>
    <t>T. Spears</t>
  </si>
  <si>
    <t>K. Mullings</t>
  </si>
  <si>
    <t>C. Okonkwo</t>
  </si>
  <si>
    <t>E. Ayomanor</t>
  </si>
  <si>
    <t>C. Ridley</t>
  </si>
  <si>
    <t>T. Lockett</t>
  </si>
  <si>
    <t>J. Daniels</t>
  </si>
  <si>
    <t>J. Croskey-Merritt</t>
  </si>
  <si>
    <t>A. Ekeler</t>
  </si>
  <si>
    <t>Z. Ertz</t>
  </si>
  <si>
    <t>B. Sinnot</t>
  </si>
  <si>
    <t>T. McLaurin</t>
  </si>
  <si>
    <t>D. Samuel</t>
  </si>
  <si>
    <t>Pos.</t>
  </si>
  <si>
    <t>Inj?</t>
  </si>
  <si>
    <t>RB2</t>
  </si>
  <si>
    <t>RB1</t>
  </si>
  <si>
    <t>RB3</t>
  </si>
  <si>
    <t>TE1</t>
  </si>
  <si>
    <t>TE2</t>
  </si>
  <si>
    <t>QB1</t>
  </si>
  <si>
    <t>E. Moore</t>
  </si>
  <si>
    <t>WR4</t>
  </si>
  <si>
    <t>C. Samuel</t>
  </si>
  <si>
    <t>WR5</t>
  </si>
  <si>
    <t>M. Trubisky</t>
  </si>
  <si>
    <t>QB2</t>
  </si>
  <si>
    <t>Z. Wilson</t>
  </si>
  <si>
    <t>RB4</t>
  </si>
  <si>
    <t>M. Washington</t>
  </si>
  <si>
    <t>D. Eskridge</t>
  </si>
  <si>
    <t>T. Shavers</t>
  </si>
  <si>
    <t>WR6</t>
  </si>
  <si>
    <t>M. Hollins</t>
  </si>
  <si>
    <t>J. Polk</t>
  </si>
  <si>
    <t>T. Taylor</t>
  </si>
  <si>
    <t>J. Reynolds</t>
  </si>
  <si>
    <t>A. Lazard</t>
  </si>
  <si>
    <t>A. Smith</t>
  </si>
  <si>
    <t>J. Ruckert</t>
  </si>
  <si>
    <t>K. Nwangu</t>
  </si>
  <si>
    <t>I. Charles</t>
  </si>
  <si>
    <t>X. Gipson</t>
  </si>
  <si>
    <t>J. Mingo</t>
  </si>
  <si>
    <t>P. Mafah</t>
  </si>
  <si>
    <t>L. Schoonmaker</t>
  </si>
  <si>
    <t>QB3</t>
  </si>
  <si>
    <t xml:space="preserve">J. Hyatt </t>
  </si>
  <si>
    <t>D. Bellinger</t>
  </si>
  <si>
    <t>B. Collins</t>
  </si>
  <si>
    <t>J. Hawes</t>
  </si>
  <si>
    <t>TE3</t>
  </si>
  <si>
    <t>T. Washington</t>
  </si>
  <si>
    <t>T. Conner</t>
  </si>
  <si>
    <t>Q. Ewers</t>
  </si>
  <si>
    <t>J. Conyers</t>
  </si>
  <si>
    <t>TE4</t>
  </si>
  <si>
    <t>B. Spann-Ford</t>
  </si>
  <si>
    <t>J. Stephens Jr.</t>
  </si>
  <si>
    <t>E. Gray</t>
  </si>
  <si>
    <t>G. Olszewski</t>
  </si>
  <si>
    <t>B. Ford-Wheaton</t>
  </si>
  <si>
    <t>WR7</t>
  </si>
  <si>
    <t>D. Felton</t>
  </si>
  <si>
    <t>WR8</t>
  </si>
  <si>
    <t>C. Manhertz</t>
  </si>
  <si>
    <t>T. Fidone II</t>
  </si>
  <si>
    <t>S. Smartt</t>
  </si>
  <si>
    <t>J. Woods</t>
  </si>
  <si>
    <t>T. DeVito</t>
  </si>
  <si>
    <t>L. Larison</t>
  </si>
  <si>
    <t>E. Chism III</t>
  </si>
  <si>
    <t>T. McKee</t>
  </si>
  <si>
    <t>S. Howell</t>
  </si>
  <si>
    <t>A.J. Dillon</t>
  </si>
  <si>
    <t>J. Dotson</t>
  </si>
  <si>
    <t>J. Metchie III</t>
  </si>
  <si>
    <t>D. Cooper</t>
  </si>
  <si>
    <t>J. Wilson</t>
  </si>
  <si>
    <t>G. Calcaterra</t>
  </si>
  <si>
    <t>K. Granson</t>
  </si>
  <si>
    <t>M. Mariota</t>
  </si>
  <si>
    <t>J. McNichols</t>
  </si>
  <si>
    <t>C. Rodriguez Jr.</t>
  </si>
  <si>
    <t>N. Brown</t>
  </si>
  <si>
    <t>L. McCaffrey</t>
  </si>
  <si>
    <t>J. Lane</t>
  </si>
  <si>
    <t>J. Bates</t>
  </si>
  <si>
    <t>C. Yankoff</t>
  </si>
  <si>
    <t>C. Rush</t>
  </si>
  <si>
    <t>R. Ali</t>
  </si>
  <si>
    <t>T. Wallace</t>
  </si>
  <si>
    <t>D. Walker</t>
  </si>
  <si>
    <t>L. Wester</t>
  </si>
  <si>
    <t>D. Wade</t>
  </si>
  <si>
    <t>C. Kolar</t>
  </si>
  <si>
    <t>D. Sample</t>
  </si>
  <si>
    <t>T. Hudson</t>
  </si>
  <si>
    <t>J. Burton</t>
  </si>
  <si>
    <t>C. Jones</t>
  </si>
  <si>
    <t>M. Tinsley</t>
  </si>
  <si>
    <t>QB4</t>
  </si>
  <si>
    <t>R. Sanders</t>
  </si>
  <si>
    <t>J. Thrash</t>
  </si>
  <si>
    <t>i. Bond</t>
  </si>
  <si>
    <t>D. Carter</t>
  </si>
  <si>
    <t>G. Larvadain</t>
  </si>
  <si>
    <t>D. Bell</t>
  </si>
  <si>
    <t>C. McDonald</t>
  </si>
  <si>
    <t>B. Whiteheart</t>
  </si>
  <si>
    <t>M. Rudolph</t>
  </si>
  <si>
    <t>S. Thompson</t>
  </si>
  <si>
    <t>W. Howard</t>
  </si>
  <si>
    <t>S. Miller</t>
  </si>
  <si>
    <t>B. Skowronek</t>
  </si>
  <si>
    <t>D. Washington</t>
  </si>
  <si>
    <t>C. Heyward</t>
  </si>
  <si>
    <t>T. Bagent</t>
  </si>
  <si>
    <t>C. Keenum</t>
  </si>
  <si>
    <t>T. Homer</t>
  </si>
  <si>
    <t>O. Zaccheaus</t>
  </si>
  <si>
    <t>J. Walker</t>
  </si>
  <si>
    <t>D. Duvernay</t>
  </si>
  <si>
    <t>D. Smythe</t>
  </si>
  <si>
    <t>C. Reynolds</t>
  </si>
  <si>
    <t>S. Vaki</t>
  </si>
  <si>
    <t>K. Raymond</t>
  </si>
  <si>
    <t>I. TeSlaa</t>
  </si>
  <si>
    <t>D. Lovett</t>
  </si>
  <si>
    <t>B. Wright</t>
  </si>
  <si>
    <t>S. Zylstra</t>
  </si>
  <si>
    <t>K. Yeboah</t>
  </si>
  <si>
    <t>C. Brooks</t>
  </si>
  <si>
    <t>S, Williams</t>
  </si>
  <si>
    <t>M. Heath</t>
  </si>
  <si>
    <t>C. Watson</t>
  </si>
  <si>
    <t>B. Sims</t>
  </si>
  <si>
    <t>J. FitzPatrick</t>
  </si>
  <si>
    <t>C. Wentz</t>
  </si>
  <si>
    <t>M. Brosmer</t>
  </si>
  <si>
    <t>Z. Scott</t>
  </si>
  <si>
    <t>T. Felton</t>
  </si>
  <si>
    <t>M. Price</t>
  </si>
  <si>
    <t>R. Moore</t>
  </si>
  <si>
    <t>G. Bartholomew</t>
  </si>
  <si>
    <t>D. Lock</t>
  </si>
  <si>
    <t>J. Milroe</t>
  </si>
  <si>
    <t>G. Holani</t>
  </si>
  <si>
    <t>K. McIntosh</t>
  </si>
  <si>
    <t>T. Horton</t>
  </si>
  <si>
    <t>J. Bobo</t>
  </si>
  <si>
    <t>D. Young</t>
  </si>
  <si>
    <t>C. White</t>
  </si>
  <si>
    <t>J. Plumlee</t>
  </si>
  <si>
    <t>E. Saubert</t>
  </si>
  <si>
    <t>N. Kallerup</t>
  </si>
  <si>
    <t>l. Farrell</t>
  </si>
  <si>
    <t>RB5</t>
  </si>
  <si>
    <t>P. Ricard</t>
  </si>
  <si>
    <t>M. Jones</t>
  </si>
  <si>
    <t>C. Bradley</t>
  </si>
  <si>
    <t>J. Tonhes</t>
  </si>
  <si>
    <t>M. Valdez-Scantling</t>
  </si>
  <si>
    <t>S. Moore</t>
  </si>
  <si>
    <t>J. Watkins</t>
  </si>
  <si>
    <t>D. Robinson</t>
  </si>
  <si>
    <t>J. Cowing</t>
  </si>
  <si>
    <t>WR9</t>
  </si>
  <si>
    <t>J. Garoppolo</t>
  </si>
  <si>
    <t>S. Bennett IV</t>
  </si>
  <si>
    <t>K. Mumpfield</t>
  </si>
  <si>
    <t>X. Smith</t>
  </si>
  <si>
    <t>C. Parkinson</t>
  </si>
  <si>
    <t>D. Allen</t>
  </si>
  <si>
    <t>J. Brissett</t>
  </si>
  <si>
    <t>B. Knight</t>
  </si>
  <si>
    <t>Z. Jones</t>
  </si>
  <si>
    <t>X. Weaver</t>
  </si>
  <si>
    <t>T. Jackson</t>
  </si>
  <si>
    <t>T. Reiman</t>
  </si>
  <si>
    <t>T. Vokolek</t>
  </si>
  <si>
    <t>O. Gadsden II</t>
  </si>
  <si>
    <t>H. Haskins</t>
  </si>
  <si>
    <t>K. Lambert-Smith</t>
  </si>
  <si>
    <t>D. Davis</t>
  </si>
  <si>
    <t>T. Fisk</t>
  </si>
  <si>
    <t>A. O'Connell</t>
  </si>
  <si>
    <t>Z. White</t>
  </si>
  <si>
    <t>D. Laube</t>
  </si>
  <si>
    <t>T. Tucker</t>
  </si>
  <si>
    <t>I. Thomas</t>
  </si>
  <si>
    <t>J. Smith-Schuster</t>
  </si>
  <si>
    <t>T. Thornton</t>
  </si>
  <si>
    <t>J. Brownlee</t>
  </si>
  <si>
    <t>N. Remigio</t>
  </si>
  <si>
    <t>J. Wiley</t>
  </si>
  <si>
    <t>R. Tonyan</t>
  </si>
  <si>
    <t>J. Stidham</t>
  </si>
  <si>
    <t>T. Badie</t>
  </si>
  <si>
    <t>P. Bryant</t>
  </si>
  <si>
    <t>T. Sherfield Sr.</t>
  </si>
  <si>
    <t>A. Trautman</t>
  </si>
  <si>
    <t>N. Adkins</t>
  </si>
  <si>
    <t>L. Krull</t>
  </si>
  <si>
    <t>T. Bridgewater</t>
  </si>
  <si>
    <t>S. Shepard</t>
  </si>
  <si>
    <t>R. Miller</t>
  </si>
  <si>
    <t>P. Durham</t>
  </si>
  <si>
    <t>K. Kieft</t>
  </si>
  <si>
    <t>D. Culp</t>
  </si>
  <si>
    <t>J. Chestnut</t>
  </si>
  <si>
    <t>V. Jefferson</t>
  </si>
  <si>
    <t>C. Dike</t>
  </si>
  <si>
    <t>B. Oliver</t>
  </si>
  <si>
    <t>T. Burks</t>
  </si>
  <si>
    <t>G. Helm</t>
  </si>
  <si>
    <t>D. Martin-Robinson</t>
  </si>
  <si>
    <t>K. Pitts Sr.</t>
  </si>
  <si>
    <t>E. Jones</t>
  </si>
  <si>
    <t>N. Carter</t>
  </si>
  <si>
    <t>R. McCloud III</t>
  </si>
  <si>
    <t>K. Hodge</t>
  </si>
  <si>
    <t>C. Washington</t>
  </si>
  <si>
    <t>D. Sills V</t>
  </si>
  <si>
    <t>J. Agnew</t>
  </si>
  <si>
    <t>C. Woerner</t>
  </si>
  <si>
    <t>T. Quitoriano</t>
  </si>
  <si>
    <t>F. Franks</t>
  </si>
  <si>
    <t>A. Dalton</t>
  </si>
  <si>
    <t>J. Brooks</t>
  </si>
  <si>
    <t>D. Moore</t>
  </si>
  <si>
    <t>H. Renfrow</t>
  </si>
  <si>
    <t>J. Horn Jr.</t>
  </si>
  <si>
    <t>B. Tremayne</t>
  </si>
  <si>
    <t>D. Campbell</t>
  </si>
  <si>
    <t>T. Tremble</t>
  </si>
  <si>
    <t>J. Mitchell</t>
  </si>
  <si>
    <t>V. Jones Jr.</t>
  </si>
  <si>
    <t>J. Haener</t>
  </si>
  <si>
    <t>T. Palmer</t>
  </si>
  <si>
    <t>M. Tipton</t>
  </si>
  <si>
    <t>D. Vele</t>
  </si>
  <si>
    <t>B. Means</t>
  </si>
  <si>
    <t>M. Matavao</t>
  </si>
  <si>
    <t>F. Moreau</t>
  </si>
  <si>
    <t>L. Allen Jr.</t>
  </si>
  <si>
    <t>P. Washington</t>
  </si>
  <si>
    <t>T. Patrick</t>
  </si>
  <si>
    <t>J. Cephus</t>
  </si>
  <si>
    <t>H. Long</t>
  </si>
  <si>
    <t>J. Mundt</t>
  </si>
  <si>
    <t>D. Mills</t>
  </si>
  <si>
    <t>G. Mertz</t>
  </si>
  <si>
    <t>X. Hutchinson</t>
  </si>
  <si>
    <t>J. Watson</t>
  </si>
  <si>
    <t>B. Berrios</t>
  </si>
  <si>
    <t>T. Dell</t>
  </si>
  <si>
    <t>C. Stover</t>
  </si>
  <si>
    <t>B. Jordan</t>
  </si>
  <si>
    <t>I. Smith Jr.</t>
  </si>
  <si>
    <t>A. Richardson Sr.</t>
  </si>
  <si>
    <t>S. Ahmed</t>
  </si>
  <si>
    <t>R. Leoenard</t>
  </si>
  <si>
    <t>A. Mitchell</t>
  </si>
  <si>
    <t>A. Dulin</t>
  </si>
  <si>
    <t>A. Gould</t>
  </si>
  <si>
    <t>D.J. Montgomery</t>
  </si>
  <si>
    <t>M. Alie-Cox</t>
  </si>
  <si>
    <t>D. Ogletree</t>
  </si>
  <si>
    <t>W. Mallory</t>
  </si>
  <si>
    <t>*</t>
  </si>
  <si>
    <t>BYE</t>
  </si>
  <si>
    <t>Matchups</t>
  </si>
  <si>
    <t>*Y*</t>
  </si>
  <si>
    <t>*TD*</t>
  </si>
  <si>
    <t>I. Bond</t>
  </si>
  <si>
    <t>*R*</t>
  </si>
  <si>
    <t>C</t>
  </si>
  <si>
    <t>*C*</t>
  </si>
  <si>
    <t>*R+Y*</t>
  </si>
  <si>
    <t>*P*</t>
  </si>
  <si>
    <t>*P+R*</t>
  </si>
  <si>
    <t>*P TD*</t>
  </si>
  <si>
    <t>R+Y</t>
  </si>
  <si>
    <t>J. Shorter</t>
  </si>
  <si>
    <t>A. Bachman</t>
  </si>
  <si>
    <t>RB2 Recep</t>
  </si>
  <si>
    <t>RB2 RecY</t>
  </si>
  <si>
    <t>RB1 Recep</t>
  </si>
  <si>
    <t>RB1 RecY</t>
  </si>
  <si>
    <t>TE1 Recep</t>
  </si>
  <si>
    <t>TE1 RecY</t>
  </si>
  <si>
    <t>TE2 RecY</t>
  </si>
  <si>
    <t>TE2 TD</t>
  </si>
  <si>
    <t>TE1 TD</t>
  </si>
  <si>
    <t>RB2 TD</t>
  </si>
  <si>
    <t>TE2 Recep</t>
  </si>
  <si>
    <t>vs RB1</t>
  </si>
  <si>
    <t>vs RB2</t>
  </si>
  <si>
    <t>vs WR1</t>
  </si>
  <si>
    <t>vs WR2</t>
  </si>
  <si>
    <t>vs WR3</t>
  </si>
  <si>
    <t>vs TE1</t>
  </si>
  <si>
    <t>vs TE2</t>
  </si>
  <si>
    <t>vs WR4+</t>
  </si>
  <si>
    <t>RANK</t>
  </si>
  <si>
    <t>vs RB Total</t>
  </si>
  <si>
    <t>?</t>
  </si>
  <si>
    <t>R. Leonard</t>
  </si>
  <si>
    <t>M. Corley</t>
  </si>
  <si>
    <t>R. Flournoy</t>
  </si>
  <si>
    <t>I. Williams</t>
  </si>
  <si>
    <t>K. Bourne</t>
  </si>
  <si>
    <t>J. Tonges</t>
  </si>
  <si>
    <t>L. Farrell</t>
  </si>
  <si>
    <t xml:space="preserve">                           </t>
  </si>
  <si>
    <t>*R+R*</t>
  </si>
  <si>
    <t>M. Carter</t>
  </si>
  <si>
    <t>N/A</t>
  </si>
  <si>
    <t>K. Vidal</t>
  </si>
  <si>
    <t>L.J. Humphrey</t>
  </si>
  <si>
    <t>C. Moore</t>
  </si>
  <si>
    <t>PLAYER INFO</t>
  </si>
  <si>
    <t>PASS/RUSH RANKS</t>
  </si>
  <si>
    <t>REC RANKS</t>
  </si>
  <si>
    <t>PASS/RUSH ALLOWED</t>
  </si>
  <si>
    <t>REC ALLOWED</t>
  </si>
  <si>
    <t>Cardinals</t>
  </si>
  <si>
    <t>Falcons</t>
  </si>
  <si>
    <t>Ravens</t>
  </si>
  <si>
    <t>Bills</t>
  </si>
  <si>
    <t>Bears</t>
  </si>
  <si>
    <t>Panthers</t>
  </si>
  <si>
    <t>Bengals</t>
  </si>
  <si>
    <t>Browns</t>
  </si>
  <si>
    <t>Cowboys</t>
  </si>
  <si>
    <t>Broncos</t>
  </si>
  <si>
    <t>Lions</t>
  </si>
  <si>
    <t>Packers</t>
  </si>
  <si>
    <t>Texans</t>
  </si>
  <si>
    <t>Colts</t>
  </si>
  <si>
    <t>Jaguars</t>
  </si>
  <si>
    <t>Chiefs</t>
  </si>
  <si>
    <t>Chargers</t>
  </si>
  <si>
    <t>Rams</t>
  </si>
  <si>
    <t>Raiders</t>
  </si>
  <si>
    <t>Miami</t>
  </si>
  <si>
    <t>Vikings</t>
  </si>
  <si>
    <t>Patriots</t>
  </si>
  <si>
    <t>Saints</t>
  </si>
  <si>
    <t>Giants</t>
  </si>
  <si>
    <t>Jets</t>
  </si>
  <si>
    <t>Eagles</t>
  </si>
  <si>
    <t>Steelers</t>
  </si>
  <si>
    <t>Seahawks</t>
  </si>
  <si>
    <t>49ers</t>
  </si>
  <si>
    <t>Buccaneers</t>
  </si>
  <si>
    <t>Titans</t>
  </si>
  <si>
    <t>Commanders</t>
  </si>
  <si>
    <t>2024/2025</t>
  </si>
  <si>
    <t>Slate</t>
  </si>
  <si>
    <t>Column1</t>
  </si>
  <si>
    <t>`</t>
  </si>
  <si>
    <t>Position</t>
  </si>
  <si>
    <t>Birthday</t>
  </si>
  <si>
    <t>Calc</t>
  </si>
  <si>
    <t>Days +/-</t>
  </si>
  <si>
    <t>Jacoby Brissett</t>
  </si>
  <si>
    <t>Chris Brooks</t>
  </si>
  <si>
    <t>Emanuel Wilson</t>
  </si>
  <si>
    <t>Nico Collins</t>
  </si>
  <si>
    <t>WR</t>
  </si>
  <si>
    <t>Mike Gesicki</t>
  </si>
  <si>
    <t>Zack Moss</t>
  </si>
  <si>
    <t>FA</t>
  </si>
  <si>
    <t>Marvin Harrison Jr.</t>
  </si>
  <si>
    <t>Tory Horton</t>
  </si>
  <si>
    <t>Konata Mumpfield</t>
  </si>
  <si>
    <t>Jared Goff</t>
  </si>
  <si>
    <t>Tyler Bass</t>
  </si>
  <si>
    <t>K</t>
  </si>
  <si>
    <t>Cooper Kupp</t>
  </si>
  <si>
    <t>KeAndre Lambert-Smith</t>
  </si>
  <si>
    <t>Jahmyr Gibbs</t>
  </si>
  <si>
    <t>Christian Kirk</t>
  </si>
  <si>
    <t>Kalel Mullings</t>
  </si>
  <si>
    <t>Tee Higgins</t>
  </si>
  <si>
    <t>Tyler Loop</t>
  </si>
  <si>
    <t>Ja'Lynn Polk</t>
  </si>
  <si>
    <t>DJ Moore</t>
  </si>
  <si>
    <t>DJ Giddens</t>
  </si>
  <si>
    <t>Kyle McCord</t>
  </si>
  <si>
    <t>Bhayshul Tuten</t>
  </si>
  <si>
    <t>Tyler Badie</t>
  </si>
  <si>
    <t>Brian Robinson Jr.</t>
  </si>
  <si>
    <t>Chad Ryland</t>
  </si>
  <si>
    <t>Ladd McConkey</t>
  </si>
  <si>
    <t>Ka'imi Fairbairn</t>
  </si>
  <si>
    <t>Travis Hunter</t>
  </si>
  <si>
    <t>Deebo Samuel Sr.</t>
  </si>
  <si>
    <t>Sam LaPorta</t>
  </si>
  <si>
    <t>Jake Bobo</t>
  </si>
  <si>
    <t>Baker Mayfield</t>
  </si>
  <si>
    <t>Brandon McManus</t>
  </si>
  <si>
    <t>Adonai Mitchell</t>
  </si>
  <si>
    <t>Cairo Santos</t>
  </si>
  <si>
    <t>CeeDee Lamb</t>
  </si>
  <si>
    <t>Marquise Brown</t>
  </si>
  <si>
    <t>Jared Wiley</t>
  </si>
  <si>
    <t>Jameson Williams</t>
  </si>
  <si>
    <t>Kendrick Bourne</t>
  </si>
  <si>
    <t>Will Dissly</t>
  </si>
  <si>
    <t>Terry McLaurin</t>
  </si>
  <si>
    <t>Will Reichard</t>
  </si>
  <si>
    <t>Khalil Herbert</t>
  </si>
  <si>
    <t>Darius Slayton</t>
  </si>
  <si>
    <t>Trevor Etienne</t>
  </si>
  <si>
    <t>Sean Tucker</t>
  </si>
  <si>
    <t>Jaret Patterson</t>
  </si>
  <si>
    <t>Drake Maye</t>
  </si>
  <si>
    <t>Ray Davis</t>
  </si>
  <si>
    <t>Jonathon Brooks</t>
  </si>
  <si>
    <t>Aaron Jones Sr.</t>
  </si>
  <si>
    <t>Evan McPherson</t>
  </si>
  <si>
    <t>Dustin Hopkins</t>
  </si>
  <si>
    <t>Mark Andrews</t>
  </si>
  <si>
    <t>Isaiah Bond</t>
  </si>
  <si>
    <t>Tyler Huntley</t>
  </si>
  <si>
    <t>Hunter Henry</t>
  </si>
  <si>
    <t>Phil Mafah</t>
  </si>
  <si>
    <t>Mack Hollins</t>
  </si>
  <si>
    <t>Spencer Rattler</t>
  </si>
  <si>
    <t>Kyren Williams</t>
  </si>
  <si>
    <t>Brandon Aubrey</t>
  </si>
  <si>
    <t>Grant Calcaterra</t>
  </si>
  <si>
    <t>Omarion Hampton</t>
  </si>
  <si>
    <t>Isaac TeSlaa</t>
  </si>
  <si>
    <t>Luke Schoonmaker</t>
  </si>
  <si>
    <t>Jayden Higgins</t>
  </si>
  <si>
    <t>Xavier Hutchinson</t>
  </si>
  <si>
    <t>Tony Pollard</t>
  </si>
  <si>
    <t>LeQuint Allen Jr.</t>
  </si>
  <si>
    <t>Jonathan Taylor</t>
  </si>
  <si>
    <t>Marvin Mims Jr.</t>
  </si>
  <si>
    <t>Mitchell Evans</t>
  </si>
  <si>
    <t>Chris Olave</t>
  </si>
  <si>
    <t>Tyler Lockett</t>
  </si>
  <si>
    <t>Javon Baker</t>
  </si>
  <si>
    <t>Joe Burrow</t>
  </si>
  <si>
    <t>Terrance Ferguson</t>
  </si>
  <si>
    <t>Jonathan Mingo</t>
  </si>
  <si>
    <t>Harold Fannin Jr.</t>
  </si>
  <si>
    <t>Jarquez Hunter</t>
  </si>
  <si>
    <t>Cedric Tillman</t>
  </si>
  <si>
    <t>Jake Moody</t>
  </si>
  <si>
    <t>Saquon Barkley</t>
  </si>
  <si>
    <t>Dontayvion Wicks</t>
  </si>
  <si>
    <t>Tucker Kraft</t>
  </si>
  <si>
    <t>Khalil Shakir</t>
  </si>
  <si>
    <t>Dawson Knox</t>
  </si>
  <si>
    <t>Diontae Johnson</t>
  </si>
  <si>
    <t>Ryan Flournoy</t>
  </si>
  <si>
    <t>Devin Neal</t>
  </si>
  <si>
    <t>Davis Mills</t>
  </si>
  <si>
    <t>James Cook III</t>
  </si>
  <si>
    <t>Tank Bigsby</t>
  </si>
  <si>
    <t>Adam Trautman</t>
  </si>
  <si>
    <t>DK Metcalf</t>
  </si>
  <si>
    <t>Pat Bryant</t>
  </si>
  <si>
    <t>Xavier Restrepo</t>
  </si>
  <si>
    <t>Darnell Mooney</t>
  </si>
  <si>
    <t>Darnell Washington</t>
  </si>
  <si>
    <t>Zach Wilson</t>
  </si>
  <si>
    <t>Brenton Strange</t>
  </si>
  <si>
    <t>Isaac Guerendo</t>
  </si>
  <si>
    <t>Elic Ayomanor</t>
  </si>
  <si>
    <t>Julius Chestnut</t>
  </si>
  <si>
    <t>Jalen Hurts</t>
  </si>
  <si>
    <t>DeAndre Hopkins</t>
  </si>
  <si>
    <t>Kendre Miller</t>
  </si>
  <si>
    <t>Michael Wilson</t>
  </si>
  <si>
    <t>Gunnar Helm</t>
  </si>
  <si>
    <t>Anthony Richardson Sr.</t>
  </si>
  <si>
    <t>Jaxson Dart</t>
  </si>
  <si>
    <t>Michael Carter</t>
  </si>
  <si>
    <t>Riley Leonard</t>
  </si>
  <si>
    <t>Colston Loveland</t>
  </si>
  <si>
    <t>Joe Mixon</t>
  </si>
  <si>
    <t>Tyler Allgeier</t>
  </si>
  <si>
    <t>Colby Parkinson</t>
  </si>
  <si>
    <t>Rico Dowdle</t>
  </si>
  <si>
    <t>Joshua Palmer</t>
  </si>
  <si>
    <t>Dare Ogunbowale</t>
  </si>
  <si>
    <t>Dak Prescott</t>
  </si>
  <si>
    <t>Brandon Aiyuk</t>
  </si>
  <si>
    <t>Erick All Jr.</t>
  </si>
  <si>
    <t>Kayshon Boutte</t>
  </si>
  <si>
    <t>Dameon Pierce</t>
  </si>
  <si>
    <t>Zach Ertz</t>
  </si>
  <si>
    <t>De'Von Achane</t>
  </si>
  <si>
    <t>Zonovan Knight</t>
  </si>
  <si>
    <t>Tim Patrick</t>
  </si>
  <si>
    <t>Travis Etienne Jr.</t>
  </si>
  <si>
    <t>Elijah Arroyo</t>
  </si>
  <si>
    <t>Antonio Gibson</t>
  </si>
  <si>
    <t>Daniel Jones</t>
  </si>
  <si>
    <t>Tyler Higbee</t>
  </si>
  <si>
    <t>Alexander Mattison</t>
  </si>
  <si>
    <t>Juwan Johnson</t>
  </si>
  <si>
    <t>Hunter Renfrow</t>
  </si>
  <si>
    <t>Rachaad White</t>
  </si>
  <si>
    <t>Harrison Mevis</t>
  </si>
  <si>
    <t>Patrick Mahomes II</t>
  </si>
  <si>
    <t>Chris Boswell</t>
  </si>
  <si>
    <t>Cam Skattebo</t>
  </si>
  <si>
    <t>Alec Pierce</t>
  </si>
  <si>
    <t>Jalen Nailor</t>
  </si>
  <si>
    <t>Greg Zuerlein</t>
  </si>
  <si>
    <t>Kyle Pitts Sr.</t>
  </si>
  <si>
    <t>Eddy Pineiro</t>
  </si>
  <si>
    <t>David Njoku</t>
  </si>
  <si>
    <t>Mac Jones</t>
  </si>
  <si>
    <t>George Pickens</t>
  </si>
  <si>
    <t>Jaylin Noel</t>
  </si>
  <si>
    <t>Drew Sample</t>
  </si>
  <si>
    <t>Wan'Dale Robinson</t>
  </si>
  <si>
    <t>Harrison Butker</t>
  </si>
  <si>
    <t>Ricky White III</t>
  </si>
  <si>
    <t>Tyrone Tracy Jr.</t>
  </si>
  <si>
    <t>Braelon Allen</t>
  </si>
  <si>
    <t>Joshua Dobbs</t>
  </si>
  <si>
    <t>Tyler Conklin</t>
  </si>
  <si>
    <t>Blake Corum</t>
  </si>
  <si>
    <t>Jordan James</t>
  </si>
  <si>
    <t>Brock Bowers</t>
  </si>
  <si>
    <t>Devin Singletary</t>
  </si>
  <si>
    <t>Jackson Hawes</t>
  </si>
  <si>
    <t>TreVeyon Henderson</t>
  </si>
  <si>
    <t>Brashard Smith</t>
  </si>
  <si>
    <t>Jalen Milroe</t>
  </si>
  <si>
    <t>Quentin Johnston</t>
  </si>
  <si>
    <t>Jerome Ford</t>
  </si>
  <si>
    <t>Luke Lachey</t>
  </si>
  <si>
    <t>Dalton Kincaid</t>
  </si>
  <si>
    <t>Younghoe Koo</t>
  </si>
  <si>
    <t>Chuba Hubbard</t>
  </si>
  <si>
    <t>Max Brosmer</t>
  </si>
  <si>
    <t>Emeka Egbuka</t>
  </si>
  <si>
    <t>Cameron Dicker</t>
  </si>
  <si>
    <t>Zavier Scott</t>
  </si>
  <si>
    <t>D'Andre Swift</t>
  </si>
  <si>
    <t>Jeremy McNichols</t>
  </si>
  <si>
    <t>Will Howard</t>
  </si>
  <si>
    <t>Parker Washington</t>
  </si>
  <si>
    <t>Tahj Brooks</t>
  </si>
  <si>
    <t>Mason Taylor</t>
  </si>
  <si>
    <t>Jahan Dotson</t>
  </si>
  <si>
    <t>Ja'Marr Chase</t>
  </si>
  <si>
    <t>Alvin Kamara</t>
  </si>
  <si>
    <t>Russell Wilson</t>
  </si>
  <si>
    <t>Zay Flowers</t>
  </si>
  <si>
    <t>Tre Harris</t>
  </si>
  <si>
    <t>Austin Ekeler</t>
  </si>
  <si>
    <t>Travis Kelce</t>
  </si>
  <si>
    <t>Tyquan Thornton</t>
  </si>
  <si>
    <t>Kalif Raymond</t>
  </si>
  <si>
    <t>Kenneth Gainwell</t>
  </si>
  <si>
    <t>MarShawn Lloyd</t>
  </si>
  <si>
    <t>Evan Engram</t>
  </si>
  <si>
    <t>Ben Sinnott</t>
  </si>
  <si>
    <t>Chase McLaughlin</t>
  </si>
  <si>
    <t>Tyreek Hill</t>
  </si>
  <si>
    <t>Brian Thomas Jr.</t>
  </si>
  <si>
    <t>Dont'e Thornton Jr.</t>
  </si>
  <si>
    <t>Jelani Woods</t>
  </si>
  <si>
    <t>Tre Tucker</t>
  </si>
  <si>
    <t>Hassan Haskins</t>
  </si>
  <si>
    <t>Jordan Mason</t>
  </si>
  <si>
    <t>Nick Westbrook-Ikhine</t>
  </si>
  <si>
    <t>Davante Adams</t>
  </si>
  <si>
    <t>Darren Waller</t>
  </si>
  <si>
    <t>Curtis Samuel</t>
  </si>
  <si>
    <t>Courtland Sutton</t>
  </si>
  <si>
    <t>Kaleb Johnson</t>
  </si>
  <si>
    <t>Tyson Bagent</t>
  </si>
  <si>
    <t>Josh Downs</t>
  </si>
  <si>
    <t>Joe Flacco</t>
  </si>
  <si>
    <t>Marcus Yarns</t>
  </si>
  <si>
    <t>Kyle Monangai</t>
  </si>
  <si>
    <t>JuJu Smith-Schuster</t>
  </si>
  <si>
    <t>Brevin Jordan</t>
  </si>
  <si>
    <t>Rhamondre Stevenson</t>
  </si>
  <si>
    <t>Jason Sanders</t>
  </si>
  <si>
    <t>DeMario Douglas</t>
  </si>
  <si>
    <t>Josh Oliver</t>
  </si>
  <si>
    <t>Lamar Jackson</t>
  </si>
  <si>
    <t>Jalin Hyatt</t>
  </si>
  <si>
    <t>Christian Watson</t>
  </si>
  <si>
    <t>Shedeur Sanders</t>
  </si>
  <si>
    <t>Gardner Minshew II</t>
  </si>
  <si>
    <t>Trevor Lawrence</t>
  </si>
  <si>
    <t>Austin Hooper</t>
  </si>
  <si>
    <t>Marcus Mariota</t>
  </si>
  <si>
    <t>Tyler Johnson</t>
  </si>
  <si>
    <t>Trey McBride</t>
  </si>
  <si>
    <t>Andrei Iosivas</t>
  </si>
  <si>
    <t>Tyrell Shavers</t>
  </si>
  <si>
    <t>Matthew Stafford</t>
  </si>
  <si>
    <t>Devaughn Vele</t>
  </si>
  <si>
    <t>Jermaine Burton</t>
  </si>
  <si>
    <t>Zach Charbonnet</t>
  </si>
  <si>
    <t>Jaydon Blue</t>
  </si>
  <si>
    <t>Matthew Golden</t>
  </si>
  <si>
    <t>Elijah Moore</t>
  </si>
  <si>
    <t>Puka Nacua</t>
  </si>
  <si>
    <t>Keon Coleman</t>
  </si>
  <si>
    <t>Jake Tonges</t>
  </si>
  <si>
    <t>Michael Pittman Jr.</t>
  </si>
  <si>
    <t>Cam Little</t>
  </si>
  <si>
    <t>Efton Chism III</t>
  </si>
  <si>
    <t>Brock Purdy</t>
  </si>
  <si>
    <t>Calvin Ridley</t>
  </si>
  <si>
    <t>Jordan Watkins</t>
  </si>
  <si>
    <t>Dalton Schultz</t>
  </si>
  <si>
    <t>Jalen Tolbert</t>
  </si>
  <si>
    <t>Tyrod Taylor</t>
  </si>
  <si>
    <t>Luke McCaffrey</t>
  </si>
  <si>
    <t>Bucky Irving</t>
  </si>
  <si>
    <t>Jake Bates</t>
  </si>
  <si>
    <t>Michael Penix Jr.</t>
  </si>
  <si>
    <t>Woody Marks</t>
  </si>
  <si>
    <t>Emari Demercado</t>
  </si>
  <si>
    <t>Cam Akers</t>
  </si>
  <si>
    <t>Chris Godwin Jr.</t>
  </si>
  <si>
    <t>Hunter Long</t>
  </si>
  <si>
    <t>Chimere Dike</t>
  </si>
  <si>
    <t>Ray-Ray McCloud III</t>
  </si>
  <si>
    <t>Chase Brown</t>
  </si>
  <si>
    <t>Chig Okonkwo</t>
  </si>
  <si>
    <t>Zay Jones</t>
  </si>
  <si>
    <t>Kenneth Walker III</t>
  </si>
  <si>
    <t>Jaleel McLaughlin</t>
  </si>
  <si>
    <t>Deshaun Watson</t>
  </si>
  <si>
    <t>Caleb Williams</t>
  </si>
  <si>
    <t>Justice Hill</t>
  </si>
  <si>
    <t>Justin Tucker</t>
  </si>
  <si>
    <t>Trey Benson</t>
  </si>
  <si>
    <t>KaVontae Turpin</t>
  </si>
  <si>
    <t>Jaylen Wright</t>
  </si>
  <si>
    <t>Rashod Bateman</t>
  </si>
  <si>
    <t>Elijah Higgins</t>
  </si>
  <si>
    <t>Rome Odunze</t>
  </si>
  <si>
    <t>Noah Fant</t>
  </si>
  <si>
    <t>Tai Felton</t>
  </si>
  <si>
    <t>Jordan Addison</t>
  </si>
  <si>
    <t>Ty Johnson</t>
  </si>
  <si>
    <t>Charlie Kolar</t>
  </si>
  <si>
    <t>Tez Johnson</t>
  </si>
  <si>
    <t>Kyler Murray</t>
  </si>
  <si>
    <t>John Metchie III</t>
  </si>
  <si>
    <t>Zamir White</t>
  </si>
  <si>
    <t>Josh Allen</t>
  </si>
  <si>
    <t>Brock Wright</t>
  </si>
  <si>
    <t>Jake Browning</t>
  </si>
  <si>
    <t>Ricky Pearsall</t>
  </si>
  <si>
    <t>Cole Kmet</t>
  </si>
  <si>
    <t>Trey Lance</t>
  </si>
  <si>
    <t>Sam Darnold</t>
  </si>
  <si>
    <t>Savion Williams</t>
  </si>
  <si>
    <t>Tua Tagovailoa</t>
  </si>
  <si>
    <t>Chris Moore</t>
  </si>
  <si>
    <t>Bijan Robinson</t>
  </si>
  <si>
    <t>Malik Washington</t>
  </si>
  <si>
    <t>Andy Dalton</t>
  </si>
  <si>
    <t>George Kittle</t>
  </si>
  <si>
    <t>Roman Wilson</t>
  </si>
  <si>
    <t>Audric Estime</t>
  </si>
  <si>
    <t>Oronde Gadsden II</t>
  </si>
  <si>
    <t>Will Shipley</t>
  </si>
  <si>
    <t>Daniel Bellinger</t>
  </si>
  <si>
    <t>Jayden Daniels</t>
  </si>
  <si>
    <t>Roschon Johnson</t>
  </si>
  <si>
    <t>Jacory Croskey-Merritt</t>
  </si>
  <si>
    <t>Brandin Cooks</t>
  </si>
  <si>
    <t>Tetairoa McMillan</t>
  </si>
  <si>
    <t>Calvin Austin III</t>
  </si>
  <si>
    <t>James Conner</t>
  </si>
  <si>
    <t>Keenan Allen</t>
  </si>
  <si>
    <t>Sterling Shepard</t>
  </si>
  <si>
    <t>Quinn Ewers</t>
  </si>
  <si>
    <t>Jayden Reed</t>
  </si>
  <si>
    <t>Greg Dulcich</t>
  </si>
  <si>
    <t>Kimani Vidal</t>
  </si>
  <si>
    <t>Matthew Wright</t>
  </si>
  <si>
    <t>Javonte Williams</t>
  </si>
  <si>
    <t>Dylan Sampson</t>
  </si>
  <si>
    <t>Jamari Thrash</t>
  </si>
  <si>
    <t>RJ Harvey</t>
  </si>
  <si>
    <t>Olamide Zaccheaus</t>
  </si>
  <si>
    <t>Arian Smith</t>
  </si>
  <si>
    <t>Jaylen Warren</t>
  </si>
  <si>
    <t>Ja'Tavion Sanders</t>
  </si>
  <si>
    <t>Blake Grupe</t>
  </si>
  <si>
    <t>Bo Nix</t>
  </si>
  <si>
    <t>Michael Mayer</t>
  </si>
  <si>
    <t>Kareem Hunt</t>
  </si>
  <si>
    <t>Joshua Karty</t>
  </si>
  <si>
    <t>Christian McCaffrey</t>
  </si>
  <si>
    <t>Aaron Rodgers</t>
  </si>
  <si>
    <t>Elijah Mitchell</t>
  </si>
  <si>
    <t>Drake London</t>
  </si>
  <si>
    <t>Keaton Mitchell</t>
  </si>
  <si>
    <t>Malachi Corley</t>
  </si>
  <si>
    <t>Jakobi Meyers</t>
  </si>
  <si>
    <t>Matt Gay</t>
  </si>
  <si>
    <t>Sam Howell</t>
  </si>
  <si>
    <t>Isiah Pacheco</t>
  </si>
  <si>
    <t>Matt Prater</t>
  </si>
  <si>
    <t>Isaiah Likely</t>
  </si>
  <si>
    <t>Jeremy Ruckert</t>
  </si>
  <si>
    <t>Justin Jefferson</t>
  </si>
  <si>
    <t>Kyle Williams</t>
  </si>
  <si>
    <t>Malik Willis</t>
  </si>
  <si>
    <t>Jauan Jennings</t>
  </si>
  <si>
    <t>Jack Bech</t>
  </si>
  <si>
    <t>Will Levis</t>
  </si>
  <si>
    <t>Luther Burden III</t>
  </si>
  <si>
    <t>Tutu Atwell</t>
  </si>
  <si>
    <t>Chris Rodriguez Jr.</t>
  </si>
  <si>
    <t>Dillon Gabriel</t>
  </si>
  <si>
    <t>Amon-Ra St. Brown</t>
  </si>
  <si>
    <t>Luke Musgrave</t>
  </si>
  <si>
    <t>Cade Stover</t>
  </si>
  <si>
    <t>Breece Hall</t>
  </si>
  <si>
    <t>Kirk Cousins</t>
  </si>
  <si>
    <t>Joe Milton III</t>
  </si>
  <si>
    <t>David Montgomery</t>
  </si>
  <si>
    <t>Jaylin Lane</t>
  </si>
  <si>
    <t>Aidan O'Connell</t>
  </si>
  <si>
    <t>Cade Otton</t>
  </si>
  <si>
    <t>Josh Reynolds</t>
  </si>
  <si>
    <t>Geno Smith</t>
  </si>
  <si>
    <t>Justin Fields</t>
  </si>
  <si>
    <t>DeVonta Smith</t>
  </si>
  <si>
    <t>Wil Lutz</t>
  </si>
  <si>
    <t>Najee Harris</t>
  </si>
  <si>
    <t>Xavier Worthy</t>
  </si>
  <si>
    <t>Adam Thielen</t>
  </si>
  <si>
    <t>Thomas Fidone II</t>
  </si>
  <si>
    <t>Jerry Jeudy</t>
  </si>
  <si>
    <t>Michael Badgley</t>
  </si>
  <si>
    <t>Xavier Legette</t>
  </si>
  <si>
    <t>Tommy Tremble</t>
  </si>
  <si>
    <t>Derrick Henry</t>
  </si>
  <si>
    <t>Ollie Gordon II</t>
  </si>
  <si>
    <t>Raheem Mostert</t>
  </si>
  <si>
    <t>Jaylen Waddle</t>
  </si>
  <si>
    <t>Pat Freiermuth</t>
  </si>
  <si>
    <t>Demarcus Robinson</t>
  </si>
  <si>
    <t>Tyler Warren</t>
  </si>
  <si>
    <t>Tyler Shough</t>
  </si>
  <si>
    <t>Nick Nash</t>
  </si>
  <si>
    <t>Dallas Goedert</t>
  </si>
  <si>
    <t>Jalen Coker</t>
  </si>
  <si>
    <t>Jameis Winston</t>
  </si>
  <si>
    <t>Jaxon Smith-Njigba</t>
  </si>
  <si>
    <t>Jonnu Smith</t>
  </si>
  <si>
    <t>Noah Brown</t>
  </si>
  <si>
    <t>Ashton Jeanty</t>
  </si>
  <si>
    <t>Cam Ward</t>
  </si>
  <si>
    <t>Miles Sanders</t>
  </si>
  <si>
    <t>Justin Herbert</t>
  </si>
  <si>
    <t>Jordan Whittington</t>
  </si>
  <si>
    <t>Gabe Davis</t>
  </si>
  <si>
    <t>Theo Johnson</t>
  </si>
  <si>
    <t>Greg Dortch</t>
  </si>
  <si>
    <t>Tyjae Spears</t>
  </si>
  <si>
    <t>Daniel Carlson</t>
  </si>
  <si>
    <t>Josh Jacobs</t>
  </si>
  <si>
    <t>Isaiah Davis</t>
  </si>
  <si>
    <t>Malik Nabers</t>
  </si>
  <si>
    <t>Troy Franklin</t>
  </si>
  <si>
    <t>Dyami Brown</t>
  </si>
  <si>
    <t>Kenny Pickett</t>
  </si>
  <si>
    <t>Rashid Shaheed</t>
  </si>
  <si>
    <t>Jalen Royals</t>
  </si>
  <si>
    <t>AJ Barner</t>
  </si>
  <si>
    <t>Noah Gray</t>
  </si>
  <si>
    <t>Rashee Rice</t>
  </si>
  <si>
    <t>Nick Chubb</t>
  </si>
  <si>
    <t>Damien Martinez</t>
  </si>
  <si>
    <t>Quinshon Judkins</t>
  </si>
  <si>
    <t>Samaje Perine</t>
  </si>
  <si>
    <t>Jimmy Horn Jr.</t>
  </si>
  <si>
    <t>Jake Ferguson</t>
  </si>
  <si>
    <t>Jason Myers</t>
  </si>
  <si>
    <t>Ty Chandler</t>
  </si>
  <si>
    <t>Garrett Wilson</t>
  </si>
  <si>
    <t>Mason Rudolph</t>
  </si>
  <si>
    <t>Mike Evans</t>
  </si>
  <si>
    <t>George Holani</t>
  </si>
  <si>
    <t>Stefon Diggs</t>
  </si>
  <si>
    <t>Taysom Hill</t>
  </si>
  <si>
    <t>Tank Dell</t>
  </si>
  <si>
    <t>Romeo Doubs</t>
  </si>
  <si>
    <t>Jake Elliott</t>
  </si>
  <si>
    <t>Devontez Walker</t>
  </si>
  <si>
    <t>Jordan Love</t>
  </si>
  <si>
    <t>Jalen McMillan</t>
  </si>
  <si>
    <t>Bryce Young</t>
  </si>
  <si>
    <t>K. Pitts</t>
  </si>
  <si>
    <t>TDs</t>
  </si>
  <si>
    <t>Week 16</t>
  </si>
  <si>
    <t>Week 17</t>
  </si>
  <si>
    <t>Week 18</t>
  </si>
  <si>
    <t>O. Gadsden</t>
  </si>
  <si>
    <t>H. Fannin</t>
  </si>
  <si>
    <t>C. Oladokun</t>
  </si>
  <si>
    <t>Wildcard</t>
  </si>
  <si>
    <t>n/a</t>
  </si>
  <si>
    <t>Super Bowl Championships</t>
  </si>
  <si>
    <t>#</t>
  </si>
  <si>
    <t>Game</t>
  </si>
  <si>
    <t>Winning team</t>
  </si>
  <si>
    <t>W</t>
  </si>
  <si>
    <t>L</t>
  </si>
  <si>
    <t>Losing team</t>
  </si>
  <si>
    <t>Venue</t>
  </si>
  <si>
    <t>City</t>
  </si>
  <si>
    <t>Attendance</t>
  </si>
  <si>
    <t>MVP</t>
  </si>
  <si>
    <t>Referee</t>
  </si>
  <si>
    <t>I</t>
  </si>
  <si>
    <t>Green Bay Packers</t>
  </si>
  <si>
    <t>Kansas City Chiefs</t>
  </si>
  <si>
    <t>Los Angeles Memorial Coliseum</t>
  </si>
  <si>
    <t>Bart Starr</t>
  </si>
  <si>
    <t>Norm Schachter</t>
  </si>
  <si>
    <t>II</t>
  </si>
  <si>
    <t>Oakland Raiders</t>
  </si>
  <si>
    <t>Miami Orange Bowl</t>
  </si>
  <si>
    <t>Jack Vest</t>
  </si>
  <si>
    <t>III</t>
  </si>
  <si>
    <t>New York Jets</t>
  </si>
  <si>
    <t>Baltimore Colts</t>
  </si>
  <si>
    <t>Joe Namath</t>
  </si>
  <si>
    <t>Tom Bell</t>
  </si>
  <si>
    <t>IV</t>
  </si>
  <si>
    <t>Minnesota Vikings</t>
  </si>
  <si>
    <t>Tulane Stadium</t>
  </si>
  <si>
    <t>Len Dawson</t>
  </si>
  <si>
    <t>John McDonough</t>
  </si>
  <si>
    <t>V</t>
  </si>
  <si>
    <t>Dallas Cowboys</t>
  </si>
  <si>
    <t>Chuck Howley</t>
  </si>
  <si>
    <t>LB</t>
  </si>
  <si>
    <t>VI</t>
  </si>
  <si>
    <t>Miami Dolphins</t>
  </si>
  <si>
    <t>Roger Staubach</t>
  </si>
  <si>
    <t>Jim Tunney</t>
  </si>
  <si>
    <t>VII</t>
  </si>
  <si>
    <t>Washington Redskins</t>
  </si>
  <si>
    <t>Jake Scott</t>
  </si>
  <si>
    <t>S</t>
  </si>
  <si>
    <t>VIII</t>
  </si>
  <si>
    <t>Larry Csonka</t>
  </si>
  <si>
    <t>Ben Dreith</t>
  </si>
  <si>
    <t>IX</t>
  </si>
  <si>
    <t>Pittsburgh Steelers</t>
  </si>
  <si>
    <t>Franco Harris</t>
  </si>
  <si>
    <t>Bernie Ulman</t>
  </si>
  <si>
    <t>X</t>
  </si>
  <si>
    <t>Lynn Swann</t>
  </si>
  <si>
    <t>XI</t>
  </si>
  <si>
    <t>Fred Biletnikoff</t>
  </si>
  <si>
    <t>XII</t>
  </si>
  <si>
    <t>Denver Broncos</t>
  </si>
  <si>
    <t>Harvey Martin | Randy White</t>
  </si>
  <si>
    <t>DE | DT</t>
  </si>
  <si>
    <t>XIII</t>
  </si>
  <si>
    <t>Terry Bradshaw</t>
  </si>
  <si>
    <t>Pat Haggerty</t>
  </si>
  <si>
    <t>XIV</t>
  </si>
  <si>
    <t>Los Angeles Rams</t>
  </si>
  <si>
    <t>Fred Silva</t>
  </si>
  <si>
    <t>XV</t>
  </si>
  <si>
    <t>Philadelphia Eagles</t>
  </si>
  <si>
    <t>Jim Plunkett</t>
  </si>
  <si>
    <t>XVI</t>
  </si>
  <si>
    <t>San Francisco 49ers</t>
  </si>
  <si>
    <t>Cincinnati Bengals</t>
  </si>
  <si>
    <t>Pontiac Silverdome</t>
  </si>
  <si>
    <t>Joe Montana</t>
  </si>
  <si>
    <t>XVII</t>
  </si>
  <si>
    <t>John Riggins</t>
  </si>
  <si>
    <t>Jerry Markbreit</t>
  </si>
  <si>
    <t>XVIII</t>
  </si>
  <si>
    <t>Los Angeles Raiders</t>
  </si>
  <si>
    <t>Tampa Stadium</t>
  </si>
  <si>
    <t>Marcus Allen</t>
  </si>
  <si>
    <t>Gene Barth</t>
  </si>
  <si>
    <t>XIX</t>
  </si>
  <si>
    <t>XX</t>
  </si>
  <si>
    <t>Chicago Bears</t>
  </si>
  <si>
    <t>New England Patriots</t>
  </si>
  <si>
    <t>Richard Dent</t>
  </si>
  <si>
    <t>DE</t>
  </si>
  <si>
    <t>Red Cashion</t>
  </si>
  <si>
    <t>XXI</t>
  </si>
  <si>
    <t>New York Giants</t>
  </si>
  <si>
    <t>Phil Simms</t>
  </si>
  <si>
    <t>XXII</t>
  </si>
  <si>
    <t>Doug Williams</t>
  </si>
  <si>
    <t>Bob McElwee</t>
  </si>
  <si>
    <t>XXIII</t>
  </si>
  <si>
    <t>Jerry Rice</t>
  </si>
  <si>
    <t>Jerry Seeman</t>
  </si>
  <si>
    <t>XXIV</t>
  </si>
  <si>
    <t>Dick Jorgensen</t>
  </si>
  <si>
    <t>XXV</t>
  </si>
  <si>
    <t>Buffalo Bills</t>
  </si>
  <si>
    <t>Ottis Anderson</t>
  </si>
  <si>
    <t>XXVI</t>
  </si>
  <si>
    <t>Metrodome</t>
  </si>
  <si>
    <t>Mary Rypien</t>
  </si>
  <si>
    <t>XXVII</t>
  </si>
  <si>
    <t>Troy Aikman</t>
  </si>
  <si>
    <t>Dick Hantak</t>
  </si>
  <si>
    <t>XXVIII</t>
  </si>
  <si>
    <t>Emmit Smith</t>
  </si>
  <si>
    <t>XXIX</t>
  </si>
  <si>
    <t>San Diego Chargers</t>
  </si>
  <si>
    <t>Steve Young</t>
  </si>
  <si>
    <t>XXX</t>
  </si>
  <si>
    <t>Sun Devil Stadium</t>
  </si>
  <si>
    <t>Larry Brown</t>
  </si>
  <si>
    <t>CB</t>
  </si>
  <si>
    <t>XXXI</t>
  </si>
  <si>
    <t>Desmond Howard</t>
  </si>
  <si>
    <t>KR</t>
  </si>
  <si>
    <t>Gerry Austin</t>
  </si>
  <si>
    <t>XXXII</t>
  </si>
  <si>
    <t>Terrell Davis</t>
  </si>
  <si>
    <t>Ed Hochuli</t>
  </si>
  <si>
    <t>XXXIII</t>
  </si>
  <si>
    <t>Atlanta Falcons</t>
  </si>
  <si>
    <t>John Elway</t>
  </si>
  <si>
    <t>Bernie Kukar</t>
  </si>
  <si>
    <t>XXXIV</t>
  </si>
  <si>
    <t>St. Louis Rams</t>
  </si>
  <si>
    <t>Tennessee Titans</t>
  </si>
  <si>
    <t>Kurt Warner</t>
  </si>
  <si>
    <t>XXXV</t>
  </si>
  <si>
    <t>Baltimore Ravens</t>
  </si>
  <si>
    <t>Raymond James Stadium</t>
  </si>
  <si>
    <t>Ray Lewis</t>
  </si>
  <si>
    <t>XXXVI</t>
  </si>
  <si>
    <t>Tom Brady</t>
  </si>
  <si>
    <t>XXXVII</t>
  </si>
  <si>
    <t>Tampa Bay Buccaneers</t>
  </si>
  <si>
    <t>Dexter Jackson</t>
  </si>
  <si>
    <t>Bill Carollo</t>
  </si>
  <si>
    <t>XXXVIII</t>
  </si>
  <si>
    <t>Carolina Panthers</t>
  </si>
  <si>
    <t>XXXIX</t>
  </si>
  <si>
    <t>Alltel Stadium</t>
  </si>
  <si>
    <t>Deion Branch</t>
  </si>
  <si>
    <t>Terry McAulay</t>
  </si>
  <si>
    <t>XL</t>
  </si>
  <si>
    <t>Seattle Seahawks</t>
  </si>
  <si>
    <t>Ford Field</t>
  </si>
  <si>
    <t>Hines Ward</t>
  </si>
  <si>
    <t>Bill Leavy</t>
  </si>
  <si>
    <t>XLI</t>
  </si>
  <si>
    <t>Indianapolis Colts</t>
  </si>
  <si>
    <t>Peyton Manning</t>
  </si>
  <si>
    <t>Tony Corrente</t>
  </si>
  <si>
    <t>XLII</t>
  </si>
  <si>
    <t>Eli Manning</t>
  </si>
  <si>
    <t>Mike Carey</t>
  </si>
  <si>
    <t>XLIII</t>
  </si>
  <si>
    <t>Arizona Cardinals</t>
  </si>
  <si>
    <t>Santonio Holmes</t>
  </si>
  <si>
    <t>XLIV</t>
  </si>
  <si>
    <t>New Orleans Saints</t>
  </si>
  <si>
    <t>Drew Brees</t>
  </si>
  <si>
    <t>Scott Green</t>
  </si>
  <si>
    <t>XLV</t>
  </si>
  <si>
    <t>Cowboys Stadium</t>
  </si>
  <si>
    <t>Walt Anderson</t>
  </si>
  <si>
    <t>XLVI</t>
  </si>
  <si>
    <t>Lucas Oil Stadium</t>
  </si>
  <si>
    <t>John Parry</t>
  </si>
  <si>
    <t>XLVII</t>
  </si>
  <si>
    <t>Jerome Boger</t>
  </si>
  <si>
    <t>XLVIII</t>
  </si>
  <si>
    <t>MetLife Stadium</t>
  </si>
  <si>
    <t>Malcolm Smith</t>
  </si>
  <si>
    <t>XLIX</t>
  </si>
  <si>
    <t>Bill Vinovich</t>
  </si>
  <si>
    <t>Levi's Stadium</t>
  </si>
  <si>
    <t>Von Miller</t>
  </si>
  <si>
    <t>Clete Blakeman</t>
  </si>
  <si>
    <t>LI</t>
  </si>
  <si>
    <t>Carl Cheffers</t>
  </si>
  <si>
    <t>LII</t>
  </si>
  <si>
    <t>U.S. Bank Stadium</t>
  </si>
  <si>
    <t>Nick Foles</t>
  </si>
  <si>
    <t>Gene Steratore</t>
  </si>
  <si>
    <t>LIII</t>
  </si>
  <si>
    <t>Mercedes-Benz Stadium</t>
  </si>
  <si>
    <t>Julian Edelman</t>
  </si>
  <si>
    <t>LIV</t>
  </si>
  <si>
    <t>Patrick Mahomes</t>
  </si>
  <si>
    <t>LVI</t>
  </si>
  <si>
    <t>SoFi Stadium</t>
  </si>
  <si>
    <t>Ron Torbert</t>
  </si>
  <si>
    <t>LVII</t>
  </si>
  <si>
    <t>LVIII</t>
  </si>
  <si>
    <t>Allegiant Stadium</t>
  </si>
  <si>
    <t>LIX</t>
  </si>
  <si>
    <t>Grand Total</t>
  </si>
  <si>
    <t>SB Wins</t>
  </si>
  <si>
    <t>Franchise</t>
  </si>
  <si>
    <t>SB Losses</t>
  </si>
  <si>
    <t>San Diego–Jack Murphy Stadium</t>
  </si>
  <si>
    <t>Santa Clara, CA</t>
  </si>
  <si>
    <t>Inglewood, CA</t>
  </si>
  <si>
    <t>Atlanta, GA</t>
  </si>
  <si>
    <t>Mercedes-Benz Superdome</t>
  </si>
  <si>
    <t>Rose Bowl</t>
  </si>
  <si>
    <t>Qualcomm Stadium </t>
  </si>
  <si>
    <t>Los Angeles Memorial Coliseum </t>
  </si>
  <si>
    <t>Tampa Stadium </t>
  </si>
  <si>
    <t>Miami Orange Bowl </t>
  </si>
  <si>
    <t>Raymond James Stadium </t>
  </si>
  <si>
    <t xml:space="preserve">Joe Robbie Stadium </t>
  </si>
  <si>
    <t xml:space="preserve">Joe Robbie Stadium  </t>
  </si>
  <si>
    <t xml:space="preserve">Pro Player Stadium  </t>
  </si>
  <si>
    <t>Tulane Stadium </t>
  </si>
  <si>
    <t xml:space="preserve">Qualcomm Stadium  </t>
  </si>
  <si>
    <t xml:space="preserve">Dolphin Stadium  </t>
  </si>
  <si>
    <t xml:space="preserve">Rice Stadium </t>
  </si>
  <si>
    <t xml:space="preserve">Reliant Stadium </t>
  </si>
  <si>
    <t xml:space="preserve">NRG Stadium  </t>
  </si>
  <si>
    <t xml:space="preserve">State Farm Stadium  </t>
  </si>
  <si>
    <t xml:space="preserve">Rose Bowl </t>
  </si>
  <si>
    <t xml:space="preserve">University of Phoenix Stadium  </t>
  </si>
  <si>
    <t xml:space="preserve">Sun Life Stadium  </t>
  </si>
  <si>
    <t xml:space="preserve">Rose Bowl  </t>
  </si>
  <si>
    <t xml:space="preserve">University of Phoenix Stadium </t>
  </si>
  <si>
    <t>Stanford Stadium</t>
  </si>
  <si>
    <t xml:space="preserve">Hard Rock Stadium  </t>
  </si>
  <si>
    <t>Caesars Superdome </t>
  </si>
  <si>
    <t>New Orleans, LA </t>
  </si>
  <si>
    <t>LA Superdome</t>
  </si>
  <si>
    <t>LA Superdome </t>
  </si>
  <si>
    <t>New Orleans, LA</t>
  </si>
  <si>
    <t>Tampa, FL</t>
  </si>
  <si>
    <t xml:space="preserve">Miami, FL  </t>
  </si>
  <si>
    <t xml:space="preserve">Miami, FL </t>
  </si>
  <si>
    <t xml:space="preserve">Miami Gardens, FL  </t>
  </si>
  <si>
    <t>Jacksonville, FL</t>
  </si>
  <si>
    <t>Tampa, FL </t>
  </si>
  <si>
    <t xml:space="preserve">Pasadena, CA  </t>
  </si>
  <si>
    <t>San Diego, CA </t>
  </si>
  <si>
    <t xml:space="preserve">Santa Clara, CA  </t>
  </si>
  <si>
    <t xml:space="preserve">Los Angeles, CA </t>
  </si>
  <si>
    <t xml:space="preserve">Inglewood, CA  </t>
  </si>
  <si>
    <t xml:space="preserve">Los Angeles, CA  </t>
  </si>
  <si>
    <t xml:space="preserve">Stanford, CA </t>
  </si>
  <si>
    <t>San Diego, CA</t>
  </si>
  <si>
    <t>GA Dome</t>
  </si>
  <si>
    <t>GA Dome </t>
  </si>
  <si>
    <t>Atlanta, GA </t>
  </si>
  <si>
    <t xml:space="preserve">Tempe, AZ </t>
  </si>
  <si>
    <t xml:space="preserve">Glendale, AZ  </t>
  </si>
  <si>
    <t>Paradise, NV</t>
  </si>
  <si>
    <t>Detroit, MI </t>
  </si>
  <si>
    <t>Pontiac, MI</t>
  </si>
  <si>
    <t>East Rutherford, NJ</t>
  </si>
  <si>
    <t>Arlington, TX</t>
  </si>
  <si>
    <t>Houston, TX</t>
  </si>
  <si>
    <t>Houston, TX </t>
  </si>
  <si>
    <t>Minneapolis, MN </t>
  </si>
  <si>
    <t>Minneapolis, MN</t>
  </si>
  <si>
    <t>Season</t>
  </si>
  <si>
    <t>Date</t>
  </si>
  <si>
    <t>LX</t>
  </si>
  <si>
    <t>LXI</t>
  </si>
  <si>
    <t>LXII</t>
  </si>
  <si>
    <t>(blank)</t>
  </si>
  <si>
    <t>MLB</t>
  </si>
  <si>
    <t>NBA</t>
  </si>
  <si>
    <t>NHL</t>
  </si>
  <si>
    <t>NFL</t>
  </si>
  <si>
    <t>SBl</t>
  </si>
  <si>
    <t>SBc</t>
  </si>
  <si>
    <t>NFLl</t>
  </si>
  <si>
    <t>Los Angeles Dodgers</t>
  </si>
  <si>
    <t>Oklahoma City Thunder</t>
  </si>
  <si>
    <t>Florida Panthers</t>
  </si>
  <si>
    <t>Boston Celtics</t>
  </si>
  <si>
    <t>Texas Rangers</t>
  </si>
  <si>
    <t>Denver Nuggets</t>
  </si>
  <si>
    <t>Vegas Golden Knights</t>
  </si>
  <si>
    <t>Houston Astros</t>
  </si>
  <si>
    <t>Golden State Warriors</t>
  </si>
  <si>
    <t>Colorado Avalanche</t>
  </si>
  <si>
    <t>Atlanta Braves</t>
  </si>
  <si>
    <t>Milwaukee Bucks</t>
  </si>
  <si>
    <t>Tampa Bay Lightning</t>
  </si>
  <si>
    <t>Los Angeles Lakers</t>
  </si>
  <si>
    <t>Washington Nationals</t>
  </si>
  <si>
    <t>Toronto Raptors</t>
  </si>
  <si>
    <t>St. Louis Blues</t>
  </si>
  <si>
    <t>Boston Red Sox</t>
  </si>
  <si>
    <t>Washington Capitals</t>
  </si>
  <si>
    <t>Pittsburgh Penguins</t>
  </si>
  <si>
    <t>Chicago Cubs</t>
  </si>
  <si>
    <t>Cleveland Cavaliers</t>
  </si>
  <si>
    <t>Kansas City Royals</t>
  </si>
  <si>
    <t>Chicago Blackhawks</t>
  </si>
  <si>
    <t>San Francisco Giants</t>
  </si>
  <si>
    <t>San Antonio Spurs</t>
  </si>
  <si>
    <t>Los Angeles Kings</t>
  </si>
  <si>
    <t>Miami Heat</t>
  </si>
  <si>
    <t>Indianapolis, IN</t>
  </si>
  <si>
    <t>St. Louis Cardinals</t>
  </si>
  <si>
    <t>Dallas Mavericks</t>
  </si>
  <si>
    <t>Boston Bruins</t>
  </si>
  <si>
    <t>New York Yankees</t>
  </si>
  <si>
    <t>Philadelphia Phillies</t>
  </si>
  <si>
    <t>Detroit Red Wings</t>
  </si>
  <si>
    <t>Anaheim Ducks</t>
  </si>
  <si>
    <t>Carolina Hurricanes</t>
  </si>
  <si>
    <t>Chicago White Sox</t>
  </si>
  <si>
    <t>Detroit Pistons</t>
  </si>
  <si>
    <t>Florida Marlins</t>
  </si>
  <si>
    <t>New Jersey Devils</t>
  </si>
  <si>
    <t>Anaheim Angels</t>
  </si>
  <si>
    <t>Arizona Diamondbacks</t>
  </si>
  <si>
    <t>Dallas Stars</t>
  </si>
  <si>
    <t>Chicago Bulls</t>
  </si>
  <si>
    <t>Houston Rockets</t>
  </si>
  <si>
    <t>Toronto Blue Jays</t>
  </si>
  <si>
    <t>New York Rangers</t>
  </si>
  <si>
    <t>Montreal Canadiens</t>
  </si>
  <si>
    <t>Minnesota Twins</t>
  </si>
  <si>
    <t>Cincinnati Reds</t>
  </si>
  <si>
    <t>Oakland Athletics</t>
  </si>
  <si>
    <t>Edmonton Oilers</t>
  </si>
  <si>
    <t>Calgary Flames</t>
  </si>
  <si>
    <t>New York Mets</t>
  </si>
  <si>
    <t>Detroit Tigers</t>
  </si>
  <si>
    <t>Baltimore Orioles</t>
  </si>
  <si>
    <t>Philadelphia 76ers</t>
  </si>
  <si>
    <t>New York Islanders</t>
  </si>
  <si>
    <t>Pittsburgh Pirates</t>
  </si>
  <si>
    <t>Seattle SuperSonics</t>
  </si>
  <si>
    <t>Washington Bullets</t>
  </si>
  <si>
    <t>Portland Trail Blazers</t>
  </si>
  <si>
    <t>New York Nets</t>
  </si>
  <si>
    <t>Philadelphia Flyers</t>
  </si>
  <si>
    <t>Kentucky Colonels</t>
  </si>
  <si>
    <t>New York Knicks</t>
  </si>
  <si>
    <t>Indiana Pacers</t>
  </si>
  <si>
    <t>Toronto Maple Leafs</t>
  </si>
  <si>
    <t>Utah Stars</t>
  </si>
  <si>
    <t>Oakland Oaks</t>
  </si>
  <si>
    <t>Chicago Black Hawks</t>
  </si>
  <si>
    <t>Pittsburgh Pipers</t>
  </si>
  <si>
    <t>Milwaukee Braves</t>
  </si>
  <si>
    <t>Brooklyn Dodgers</t>
  </si>
  <si>
    <t>Cleveland Indians</t>
  </si>
  <si>
    <t>St. Louis Hawks</t>
  </si>
  <si>
    <t>Philadelphia Warriors</t>
  </si>
  <si>
    <t>Syracuse Nationals</t>
  </si>
  <si>
    <t>Minneapolis Lakers</t>
  </si>
  <si>
    <t>Rochester Royals</t>
  </si>
  <si>
    <t>Baltimore Bullets</t>
  </si>
  <si>
    <t>Montreal Maroons</t>
  </si>
  <si>
    <t>Philadelphia Athletics</t>
  </si>
  <si>
    <t>Ottawa Senators</t>
  </si>
  <si>
    <t>Washington Senators</t>
  </si>
  <si>
    <t>Victoria Cougars</t>
  </si>
  <si>
    <t>Toronto St. Pats</t>
  </si>
  <si>
    <t>Monteal vs Seattle; canceled because of influenza epidemic</t>
  </si>
  <si>
    <t>Toronto Arenas</t>
  </si>
  <si>
    <t>Seattle Metropolitans</t>
  </si>
  <si>
    <t>Boston Braves</t>
  </si>
  <si>
    <t>Vancouver Millionaires</t>
  </si>
  <si>
    <t>Toronto Blueshirts</t>
  </si>
  <si>
    <t>Quebec Bulldogs</t>
  </si>
  <si>
    <t>Montreal Wanderers</t>
  </si>
  <si>
    <t>Boston Americans</t>
  </si>
  <si>
    <t>Ottawa Silver Seven</t>
  </si>
  <si>
    <t>Montreal AAA</t>
  </si>
  <si>
    <t>Boycott</t>
  </si>
  <si>
    <t>Winnipeg Victorias</t>
  </si>
  <si>
    <t>Montreal Shamrocks</t>
  </si>
  <si>
    <t>Montreal Victorias</t>
  </si>
  <si>
    <t>Rams/Chargers</t>
  </si>
  <si>
    <t>SB LX</t>
  </si>
  <si>
    <t>OT</t>
  </si>
  <si>
    <t>No</t>
  </si>
  <si>
    <t>Yes</t>
  </si>
  <si>
    <t>PtsW</t>
  </si>
  <si>
    <t>PtsL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</si>
</sst>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m/d;@"/>
    <numFmt numFmtId="166" formatCode="[$-F800]dddd\,\ mmmm\ dd\,\ yyyy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20"/>
      <color theme="0"/>
      <name val="Aptos Narrow"/>
      <family val="2"/>
      <scheme val="minor"/>
    </font>
    <font>
      <b/>
      <i/>
      <u/>
      <sz val="14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1C5F"/>
        <bgColor theme="1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4D009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0" tint="-0.14999847407452621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5FF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38">
    <xf numFmtId="0" fontId="0" fillId="0" borderId="0" xfId="0"/>
    <xf numFmtId="0" fontId="4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20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20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0" xfId="0" applyFont="1"/>
    <xf numFmtId="0" fontId="4" fillId="19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9" fillId="21" borderId="3" xfId="0" applyFont="1" applyFill="1" applyBorder="1" applyAlignment="1">
      <alignment horizontal="center"/>
    </xf>
    <xf numFmtId="0" fontId="9" fillId="22" borderId="3" xfId="0" applyFont="1" applyFill="1" applyBorder="1" applyAlignment="1">
      <alignment horizontal="center"/>
    </xf>
    <xf numFmtId="0" fontId="9" fillId="23" borderId="3" xfId="0" applyFont="1" applyFill="1" applyBorder="1" applyAlignment="1">
      <alignment horizontal="center"/>
    </xf>
    <xf numFmtId="0" fontId="9" fillId="24" borderId="3" xfId="0" applyFont="1" applyFill="1" applyBorder="1" applyAlignment="1">
      <alignment horizontal="center"/>
    </xf>
    <xf numFmtId="0" fontId="9" fillId="25" borderId="3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quotePrefix="1" applyFont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17" xfId="0" quotePrefix="1" applyFon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0" fillId="0" borderId="3" xfId="0" quotePrefix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quotePrefix="1" applyFont="1" applyBorder="1" applyAlignment="1">
      <alignment horizontal="center"/>
    </xf>
    <xf numFmtId="0" fontId="9" fillId="23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10" fillId="26" borderId="22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1" fontId="2" fillId="0" borderId="2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" fontId="1" fillId="0" borderId="3" xfId="0" applyNumberFormat="1" applyFont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25" borderId="3" xfId="0" applyFont="1" applyFill="1" applyBorder="1" applyAlignment="1">
      <alignment horizontal="center"/>
    </xf>
    <xf numFmtId="0" fontId="2" fillId="0" borderId="0" xfId="0" applyFont="1"/>
    <xf numFmtId="0" fontId="6" fillId="3" borderId="3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/>
    </xf>
    <xf numFmtId="0" fontId="6" fillId="24" borderId="3" xfId="0" applyFont="1" applyFill="1" applyBorder="1" applyAlignment="1">
      <alignment horizontal="center"/>
    </xf>
    <xf numFmtId="0" fontId="15" fillId="26" borderId="4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22" borderId="1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6" fillId="27" borderId="0" xfId="0" applyFont="1" applyFill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" fillId="0" borderId="0" xfId="0" applyFont="1"/>
    <xf numFmtId="1" fontId="2" fillId="28" borderId="3" xfId="0" applyNumberFormat="1" applyFont="1" applyFill="1" applyBorder="1" applyAlignment="1">
      <alignment horizontal="center"/>
    </xf>
    <xf numFmtId="1" fontId="2" fillId="28" borderId="0" xfId="0" applyNumberFormat="1" applyFont="1" applyFill="1" applyAlignment="1">
      <alignment horizontal="center"/>
    </xf>
    <xf numFmtId="164" fontId="2" fillId="28" borderId="0" xfId="0" applyNumberFormat="1" applyFont="1" applyFill="1" applyAlignment="1">
      <alignment horizontal="center"/>
    </xf>
    <xf numFmtId="1" fontId="2" fillId="28" borderId="5" xfId="0" applyNumberFormat="1" applyFont="1" applyFill="1" applyBorder="1" applyAlignment="1">
      <alignment horizontal="center"/>
    </xf>
    <xf numFmtId="1" fontId="2" fillId="28" borderId="21" xfId="0" applyNumberFormat="1" applyFont="1" applyFill="1" applyBorder="1" applyAlignment="1">
      <alignment horizontal="center"/>
    </xf>
    <xf numFmtId="1" fontId="2" fillId="28" borderId="12" xfId="0" applyNumberFormat="1" applyFont="1" applyFill="1" applyBorder="1" applyAlignment="1">
      <alignment horizontal="center"/>
    </xf>
    <xf numFmtId="164" fontId="2" fillId="28" borderId="26" xfId="0" applyNumberFormat="1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28" borderId="0" xfId="0" applyFill="1"/>
    <xf numFmtId="1" fontId="14" fillId="28" borderId="3" xfId="0" applyNumberFormat="1" applyFont="1" applyFill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2" fontId="2" fillId="28" borderId="0" xfId="0" applyNumberFormat="1" applyFont="1" applyFill="1" applyAlignment="1">
      <alignment horizontal="center"/>
    </xf>
    <xf numFmtId="2" fontId="2" fillId="28" borderId="26" xfId="0" applyNumberFormat="1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4" fillId="30" borderId="3" xfId="0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14" fontId="0" fillId="30" borderId="0" xfId="0" applyNumberFormat="1" applyFill="1" applyAlignment="1">
      <alignment horizontal="center"/>
    </xf>
    <xf numFmtId="165" fontId="0" fillId="30" borderId="0" xfId="0" applyNumberFormat="1" applyFill="1" applyAlignment="1">
      <alignment horizontal="center"/>
    </xf>
    <xf numFmtId="2" fontId="0" fillId="30" borderId="0" xfId="0" applyNumberFormat="1" applyFill="1" applyAlignment="1">
      <alignment horizontal="center"/>
    </xf>
    <xf numFmtId="0" fontId="14" fillId="29" borderId="3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14" fontId="0" fillId="29" borderId="0" xfId="0" applyNumberFormat="1" applyFill="1" applyAlignment="1">
      <alignment horizontal="center"/>
    </xf>
    <xf numFmtId="165" fontId="0" fillId="29" borderId="0" xfId="0" applyNumberFormat="1" applyFill="1" applyAlignment="1">
      <alignment horizontal="center"/>
    </xf>
    <xf numFmtId="2" fontId="0" fillId="29" borderId="0" xfId="0" applyNumberFormat="1" applyFill="1" applyAlignment="1">
      <alignment horizontal="center"/>
    </xf>
    <xf numFmtId="0" fontId="2" fillId="33" borderId="3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4" borderId="10" xfId="0" applyFont="1" applyFill="1" applyBorder="1" applyAlignment="1">
      <alignment horizontal="center"/>
    </xf>
    <xf numFmtId="1" fontId="0" fillId="30" borderId="6" xfId="0" applyNumberFormat="1" applyFill="1" applyBorder="1" applyAlignment="1">
      <alignment horizontal="center"/>
    </xf>
    <xf numFmtId="0" fontId="0" fillId="30" borderId="6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35" borderId="6" xfId="0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0" fillId="36" borderId="9" xfId="0" applyFill="1" applyBorder="1" applyAlignment="1">
      <alignment horizontal="center"/>
    </xf>
    <xf numFmtId="0" fontId="20" fillId="0" borderId="6" xfId="0" applyFont="1" applyBorder="1" applyAlignment="1">
      <alignment horizontal="center" wrapText="1"/>
    </xf>
    <xf numFmtId="0" fontId="19" fillId="34" borderId="3" xfId="0" applyFont="1" applyFill="1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8" fillId="24" borderId="22" xfId="0" applyFont="1" applyFill="1" applyBorder="1" applyAlignment="1">
      <alignment horizontal="center"/>
    </xf>
    <xf numFmtId="0" fontId="8" fillId="24" borderId="29" xfId="0" applyFont="1" applyFill="1" applyBorder="1" applyAlignment="1">
      <alignment horizontal="center"/>
    </xf>
    <xf numFmtId="0" fontId="8" fillId="24" borderId="30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21" borderId="22" xfId="0" applyFont="1" applyFill="1" applyBorder="1" applyAlignment="1">
      <alignment horizontal="center"/>
    </xf>
    <xf numFmtId="0" fontId="8" fillId="21" borderId="29" xfId="0" applyFont="1" applyFill="1" applyBorder="1" applyAlignment="1">
      <alignment horizontal="center"/>
    </xf>
    <xf numFmtId="0" fontId="8" fillId="21" borderId="30" xfId="0" applyFont="1" applyFill="1" applyBorder="1" applyAlignment="1">
      <alignment horizontal="center"/>
    </xf>
    <xf numFmtId="0" fontId="8" fillId="25" borderId="22" xfId="0" applyFont="1" applyFill="1" applyBorder="1" applyAlignment="1">
      <alignment horizontal="center"/>
    </xf>
    <xf numFmtId="0" fontId="8" fillId="25" borderId="31" xfId="0" applyFont="1" applyFill="1" applyBorder="1" applyAlignment="1">
      <alignment horizontal="center"/>
    </xf>
    <xf numFmtId="0" fontId="8" fillId="3" borderId="2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23" borderId="12" xfId="0" applyFont="1" applyFill="1" applyBorder="1" applyAlignment="1">
      <alignment horizontal="center"/>
    </xf>
    <xf numFmtId="0" fontId="8" fillId="23" borderId="28" xfId="0" applyFont="1" applyFill="1" applyBorder="1" applyAlignment="1">
      <alignment horizontal="center"/>
    </xf>
    <xf numFmtId="0" fontId="8" fillId="23" borderId="23" xfId="0" applyFont="1" applyFill="1" applyBorder="1" applyAlignment="1">
      <alignment horizontal="center"/>
    </xf>
    <xf numFmtId="0" fontId="8" fillId="21" borderId="4" xfId="0" applyFont="1" applyFill="1" applyBorder="1" applyAlignment="1">
      <alignment horizontal="center"/>
    </xf>
    <xf numFmtId="0" fontId="8" fillId="22" borderId="12" xfId="0" applyFont="1" applyFill="1" applyBorder="1" applyAlignment="1">
      <alignment horizontal="center"/>
    </xf>
    <xf numFmtId="0" fontId="8" fillId="22" borderId="28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8" fillId="23" borderId="3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24" borderId="3" xfId="0" applyFont="1" applyFill="1" applyBorder="1" applyAlignment="1">
      <alignment horizontal="center"/>
    </xf>
    <xf numFmtId="0" fontId="8" fillId="25" borderId="3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290"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AA7412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1DFF1D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5"/>
      </font>
      <fill>
        <patternFill>
          <bgColor rgb="FF19E6E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rgb="FFAA7412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C00000"/>
      </font>
      <fill>
        <patternFill>
          <bgColor rgb="FFD69F4E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auto="1"/>
      </font>
      <fill>
        <patternFill>
          <bgColor rgb="FFAA7412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theme="5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BFBFBF"/>
      </font>
      <fill>
        <patternFill>
          <bgColor rgb="FF8E1A1A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1DFF1D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theme="5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auto="1"/>
      </font>
      <fill>
        <patternFill>
          <bgColor rgb="FFAA7412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BFBFBF"/>
      </font>
      <fill>
        <patternFill>
          <bgColor rgb="FF8E1A1A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00B0F0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ill>
        <patternFill>
          <bgColor rgb="FFE2CFF1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rgb="FFFFA7A7"/>
        </patternFill>
      </fill>
    </dxf>
    <dxf>
      <fill>
        <patternFill>
          <bgColor rgb="FFFFE1E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theme="7" tint="0.79998168889431442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48B935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A7A7"/>
        </patternFill>
      </fill>
    </dxf>
    <dxf>
      <fill>
        <patternFill>
          <bgColor rgb="FFFFE1E1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0070C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D5B8EA"/>
        </patternFill>
      </fill>
    </dxf>
    <dxf>
      <fill>
        <patternFill>
          <bgColor theme="0" tint="-0.14996795556505021"/>
        </patternFill>
      </fill>
    </dxf>
    <dxf>
      <fill>
        <patternFill>
          <bgColor rgb="FFFEE0B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C9A6E4"/>
        </patternFill>
      </fill>
    </dxf>
    <dxf>
      <fill>
        <patternFill>
          <bgColor theme="0" tint="-0.14996795556505021"/>
        </patternFill>
      </fill>
    </dxf>
    <dxf>
      <fill>
        <patternFill>
          <bgColor rgb="FFFEE0B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D6BBEB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theme="9" tint="0.79998168889431442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CDACE6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theme="9" tint="0.79998168889431442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BFBFBF"/>
      </font>
      <fill>
        <patternFill>
          <bgColor rgb="FF8E1A1A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DFC9EF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rgb="FFFEE0BE"/>
        </patternFill>
      </fill>
    </dxf>
    <dxf>
      <fill>
        <patternFill>
          <bgColor theme="0" tint="-0.14996795556505021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theme="3" tint="0.89996032593768116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D1B2E8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rgb="FFFEE0BE"/>
        </patternFill>
      </fill>
    </dxf>
    <dxf>
      <fill>
        <patternFill>
          <bgColor theme="0" tint="-0.14996795556505021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theme="3" tint="0.89996032593768116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ill>
        <patternFill>
          <bgColor theme="0" tint="-0.24994659260841701"/>
        </patternFill>
      </fill>
    </dxf>
    <dxf>
      <fill>
        <patternFill>
          <bgColor rgb="FFD5B8EA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theme="9" tint="0.79998168889431442"/>
        </patternFill>
      </fill>
    </dxf>
    <dxf>
      <fill>
        <patternFill>
          <bgColor rgb="FFFDFDCF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A7A7"/>
        </patternFill>
      </fill>
    </dxf>
    <dxf>
      <fill>
        <patternFill>
          <bgColor rgb="FFFFE1E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BFBFBF"/>
      </font>
      <fill>
        <patternFill>
          <bgColor rgb="FF8E1A1A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ill>
        <patternFill>
          <bgColor theme="0" tint="-0.24994659260841701"/>
        </patternFill>
      </fill>
    </dxf>
    <dxf>
      <fill>
        <patternFill>
          <bgColor rgb="FFDAC2EC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theme="9" tint="0.79998168889431442"/>
        </patternFill>
      </fill>
    </dxf>
    <dxf>
      <fill>
        <patternFill>
          <bgColor rgb="FFFDFDCF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rgb="FFFFA7A7"/>
        </patternFill>
      </fill>
    </dxf>
    <dxf>
      <fill>
        <patternFill>
          <bgColor rgb="FFFFE1E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ill>
        <patternFill>
          <bgColor theme="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C0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C00000"/>
      </font>
      <fill>
        <patternFill>
          <bgColor rgb="FFD69F4E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ill>
        <patternFill>
          <bgColor theme="7" tint="0.79998168889431442"/>
        </patternFill>
      </fill>
    </dxf>
    <dxf>
      <fill>
        <patternFill>
          <bgColor rgb="FFF4CCEB"/>
        </patternFill>
      </fill>
    </dxf>
    <dxf>
      <fill>
        <patternFill>
          <bgColor theme="0" tint="-0.24994659260841701"/>
        </patternFill>
      </fill>
    </dxf>
    <dxf>
      <fill>
        <patternFill>
          <bgColor rgb="FFE4D2F2"/>
        </patternFill>
      </fill>
    </dxf>
    <dxf>
      <fill>
        <patternFill>
          <bgColor rgb="FFFFFFD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rgb="FFF4CCEB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E4D2F2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7030A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theme="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206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C00000"/>
      </font>
      <fill>
        <patternFill>
          <bgColor rgb="FFD69F4E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C00000"/>
        </patternFill>
      </fill>
    </dxf>
    <dxf>
      <fill>
        <patternFill>
          <bgColor theme="0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rgb="FFF4CCEB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E4D2F2"/>
        </patternFill>
      </fill>
    </dxf>
    <dxf>
      <fill>
        <patternFill>
          <bgColor rgb="FFE4D2F2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rgb="FFF4CCEB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rgb="FFF3CDE9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D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E6D5F3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3FFFF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rgb="FFFD6B6B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0070C0"/>
        </patternFill>
      </fill>
    </dxf>
    <dxf>
      <fill>
        <patternFill>
          <bgColor theme="9" tint="0.79998168889431442"/>
        </patternFill>
      </fill>
    </dxf>
    <dxf>
      <fill>
        <patternFill>
          <bgColor rgb="FFE2CFF1"/>
        </patternFill>
      </fill>
    </dxf>
    <dxf>
      <font>
        <color auto="1"/>
      </font>
      <fill>
        <patternFill>
          <bgColor rgb="FFFD6B6B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rgb="FFFFA7A7"/>
        </patternFill>
      </fill>
    </dxf>
    <dxf>
      <fill>
        <patternFill>
          <bgColor rgb="FFFFE1E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theme="7" tint="0.79998168889431442"/>
        </patternFill>
      </fill>
    </dxf>
    <dxf>
      <fill>
        <patternFill>
          <bgColor rgb="FFF3FFF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C0000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auto="1"/>
      </font>
      <fill>
        <patternFill>
          <bgColor rgb="FFFD6B6B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89996032593768116"/>
        </patternFill>
      </fill>
    </dxf>
    <dxf>
      <fill>
        <patternFill>
          <bgColor rgb="FFFFA7A7"/>
        </patternFill>
      </fill>
    </dxf>
    <dxf>
      <fill>
        <patternFill>
          <bgColor rgb="FFFFE1E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3FFF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E2CFF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ill>
        <patternFill>
          <bgColor rgb="FFE2CFF1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ont>
        <color auto="1"/>
      </font>
      <fill>
        <patternFill>
          <bgColor rgb="FFFD6B6B"/>
        </patternFill>
      </fill>
    </dxf>
    <dxf>
      <fill>
        <patternFill>
          <bgColor theme="8" tint="0.79998168889431442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theme="7" tint="0.79998168889431442"/>
        </patternFill>
      </fill>
    </dxf>
    <dxf>
      <fill>
        <patternFill>
          <bgColor rgb="FFF3FFF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auto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rgb="FFBFBFBF"/>
      </font>
      <fill>
        <patternFill>
          <bgColor rgb="FF8E1A1A"/>
        </patternFill>
      </fill>
    </dxf>
    <dxf>
      <font>
        <color theme="0"/>
      </font>
      <fill>
        <patternFill>
          <bgColor rgb="FFBF571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1DFF1D"/>
      </font>
      <fill>
        <patternFill>
          <bgColor rgb="FF002060"/>
        </patternFill>
      </fill>
    </dxf>
    <dxf>
      <font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rgb="FF00A7E2"/>
      </font>
      <fill>
        <patternFill>
          <bgColor rgb="FFA46F18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002060"/>
        </patternFill>
      </fill>
    </dxf>
    <dxf>
      <font>
        <color rgb="FFFFFF00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D6B6B"/>
        </patternFill>
      </fill>
    </dxf>
    <dxf>
      <fill>
        <patternFill>
          <bgColor rgb="FFFFE1E1"/>
        </patternFill>
      </fill>
    </dxf>
    <dxf>
      <fill>
        <patternFill>
          <bgColor rgb="FFF3FFF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E2CFF1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theme="7" tint="0.79998168889431442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3FFFF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theme="9" tint="0.79998168889431442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DFDCF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D6B6B"/>
        </patternFill>
      </fill>
    </dxf>
    <dxf>
      <fill>
        <patternFill>
          <bgColor rgb="FFE2CFF1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ill>
        <patternFill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color rgb="FFFFFF0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theme="5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C00000"/>
      </font>
      <fill>
        <patternFill>
          <bgColor rgb="FFD69F4E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FF0000"/>
      </font>
      <fill>
        <patternFill>
          <bgColor rgb="FF00206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5"/>
      </font>
      <fill>
        <patternFill>
          <bgColor rgb="FF19E6E1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0000"/>
      </font>
      <fill>
        <patternFill>
          <bgColor rgb="FF0070C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theme="0"/>
      </font>
      <fill>
        <patternFill>
          <bgColor rgb="FF48B935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DFDCF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FEE0BE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E2CFF1"/>
        </patternFill>
      </fill>
    </dxf>
    <dxf>
      <fill>
        <patternFill>
          <bgColor rgb="FFFFE1E1"/>
        </patternFill>
      </fill>
    </dxf>
    <dxf>
      <fill>
        <patternFill>
          <bgColor rgb="FFFFA7A7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00B0F0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theme="1"/>
        </left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theme="1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/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numFmt numFmtId="164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numFmt numFmtId="164" formatCode="0.0"/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64" formatCode="0.0"/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top style="medium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m/d;@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b/>
      </font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alignment horizontal="center"/>
    </dxf>
    <dxf>
      <font>
        <color rgb="FF9C0006"/>
      </font>
      <fill>
        <patternFill>
          <bgColor rgb="FFFFF3FF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  <dxf>
      <font>
        <color rgb="FFFF0000"/>
      </font>
      <fill>
        <patternFill>
          <bgColor rgb="FF0070C0"/>
        </patternFill>
      </fill>
    </dxf>
    <dxf>
      <font>
        <color theme="0"/>
      </font>
      <fill>
        <patternFill>
          <bgColor rgb="FF48B93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theme="0" tint="-0.14996795556505021"/>
      </font>
      <fill>
        <patternFill>
          <bgColor rgb="FF002060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C00000"/>
      </font>
      <fill>
        <patternFill>
          <bgColor rgb="FFD69F4E"/>
        </patternFill>
      </fill>
    </dxf>
    <dxf>
      <font>
        <color theme="0" tint="-0.24994659260841701"/>
      </font>
      <fill>
        <patternFill>
          <bgColor rgb="FF0070C0"/>
        </patternFill>
      </fill>
    </dxf>
    <dxf>
      <font>
        <color theme="5"/>
      </font>
      <fill>
        <patternFill>
          <bgColor rgb="FF19E6E1"/>
        </patternFill>
      </fill>
    </dxf>
    <dxf>
      <font>
        <color theme="5"/>
      </font>
      <fill>
        <patternFill>
          <bgColor rgb="FF002060"/>
        </patternFill>
      </fill>
    </dxf>
    <dxf>
      <font>
        <color rgb="FF00A7E2"/>
      </font>
      <fill>
        <patternFill>
          <bgColor rgb="FFA46F18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FF00"/>
      </font>
      <fill>
        <patternFill>
          <bgColor rgb="FF0070C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1DFF1D"/>
      </font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BF5711"/>
        </patternFill>
      </fill>
    </dxf>
    <dxf>
      <font>
        <color rgb="FFBFBFBF"/>
      </font>
      <fill>
        <patternFill>
          <bgColor rgb="FF8E1A1A"/>
        </patternFill>
      </fill>
    </dxf>
    <dxf>
      <font>
        <color rgb="FFFF0000"/>
      </font>
      <fill>
        <patternFill>
          <bgColor theme="3" tint="0.499984740745262"/>
        </patternFill>
      </fill>
    </dxf>
    <dxf>
      <font>
        <color auto="1"/>
      </font>
      <fill>
        <patternFill>
          <bgColor rgb="FFAA7412"/>
        </patternFill>
      </fill>
    </dxf>
    <dxf>
      <font>
        <color rgb="FFFF0000"/>
      </font>
      <fill>
        <patternFill>
          <bgColor rgb="FF0070C0"/>
        </patternFill>
      </fill>
    </dxf>
    <dxf>
      <font>
        <color auto="1"/>
      </font>
      <fill>
        <patternFill>
          <bgColor rgb="FF00B0F0"/>
        </patternFill>
      </fill>
    </dxf>
    <dxf>
      <font>
        <color rgb="FF002060"/>
      </font>
      <fill>
        <patternFill>
          <bgColor theme="5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7030A0"/>
        </patternFill>
      </fill>
    </dxf>
    <dxf>
      <font>
        <color rgb="FFC00000"/>
      </font>
      <fill>
        <patternFill>
          <bgColor rgb="FF002060"/>
        </patternFill>
      </fill>
    </dxf>
    <dxf>
      <font>
        <color theme="0" tint="-0.24994659260841701"/>
      </font>
      <fill>
        <patternFill>
          <bgColor theme="1" tint="0.14996795556505021"/>
        </patternFill>
      </fill>
    </dxf>
  </dxfs>
  <tableStyles count="1" defaultTableStyle="TableStyleMedium2" defaultPivotStyle="PivotStyleLight16">
    <tableStyle name="Table Style 1" pivot="0" count="0" xr9:uid="{481717FC-07BC-4DDC-A7F1-F82B33938EC5}"/>
  </tableStyles>
  <colors>
    <mruColors>
      <color rgb="FFFFF3FF"/>
      <color rgb="FFFFFFCC"/>
      <color rgb="FFFFEFC1"/>
      <color rgb="FFFFD1D1"/>
      <color rgb="FFC9A6E4"/>
      <color rgb="FFCDACE6"/>
      <color rgb="FFD1B2E8"/>
      <color rgb="FFDAC2EC"/>
      <color rgb="FFD5B8EA"/>
      <color rgb="FFD6B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24488576898749E-3"/>
          <c:y val="2.6841878098571012E-2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dk1">
                    <a:tint val="885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DBF-4BF4-A3DC-C548BC06D3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DBF-4BF4-A3DC-C548BC06D3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DBF-4BF4-A3DC-C548BC06D3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4D13C63-F8B8-44BC-ABD3-37D49953D66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63F4604-1880-4A7D-8758-790028A4F29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DBF-4BF4-A3DC-C548BC06D3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DBF-4BF4-A3DC-C548BC06D3F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DBF-4BF4-A3DC-C548BC06D3F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DBF-4BF4-A3DC-C548BC06D3F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B8C-4779-8C8E-3A86FD317F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B8C-4779-8C8E-3A86FD317F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29071B5-2F48-48EA-AA05-128A93C301E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A4563F5-C486-4070-B2BB-B9DA04ACDC6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B8C-4779-8C8E-3A86FD317F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B8C-4779-8C8E-3A86FD317F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B8C-4779-8C8E-3A86FD317F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B89D62F-FB37-45FF-BB5C-54D705F907F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F6659B7-7462-4F66-9D35-A3EB9083C57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B8C-4779-8C8E-3A86FD317F9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B8C-4779-8C8E-3A86FD317F9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2F-4A47-9B51-4D0D8EEE0D2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2F-4A47-9B51-4D0D8EEE0D2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E84-412F-AFAE-60545BB0DC0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A0CDB1D-BDA6-4983-9F97-9F5620C7BA9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349B247-213B-4224-B1C4-2AB60732C77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E84-412F-AFAE-60545BB0DC0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E84-412F-AFAE-60545BB0DC0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E84-412F-AFAE-60545BB0DC0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E84-412F-AFAE-60545BB0DC0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E84-412F-AFAE-60545BB0DC0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E84-412F-AFAE-60545BB0DC0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E84-412F-AFAE-60545BB0DC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E84-412F-AFAE-60545BB0DC0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E84-412F-AFAE-60545BB0DC0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84-412F-AFAE-60545BB0DC0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84-412F-AFAE-60545BB0DC0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E84-412F-AFAE-60545BB0DC0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839E639-2F28-4C7D-94AF-336DF017B5E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24405FF-4B58-438A-B212-C270FFDECC1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84-412F-AFAE-60545BB0DC0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E84-412F-AFAE-60545BB0DC0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E84-412F-AFAE-60545BB0DC0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AAB110C-7A43-48BB-A41C-91DC2EF9A62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27E292E-9CB4-4E00-8F7A-3784CF873C8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E84-412F-AFAE-60545BB0DC0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E84-412F-AFAE-60545BB0DC0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E84-412F-AFAE-60545BB0DC0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E84-412F-AFAE-60545BB0DC0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E84-412F-AFAE-60545BB0DC0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E84-412F-AFAE-60545BB0DC0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E84-412F-AFAE-60545BB0DC0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E84-412F-AFAE-60545BB0DC0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E84-412F-AFAE-60545BB0DC0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9C6277A-7800-4409-92D6-578617EF880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96F0A5F-13CA-4EC6-BDBC-A01568DFF41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E84-412F-AFAE-60545BB0DC0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E84-412F-AFAE-60545BB0DC0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E84-412F-AFAE-60545BB0DC0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E84-412F-AFAE-60545BB0DC0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E84-412F-AFAE-60545BB0DC0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8D887E7-C0DC-4405-98C9-6D8ED6C661C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17BCF1E-32B1-4917-90C4-A05574D3250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E84-412F-AFAE-60545BB0DC0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E84-412F-AFAE-60545BB0DC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xVal>
            <c:numRef>
              <c:f>test!$N$3:$N$570</c:f>
              <c:numCache>
                <c:formatCode>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32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25</c:v>
                </c:pt>
                <c:pt idx="10">
                  <c:v>#N/A</c:v>
                </c:pt>
                <c:pt idx="11">
                  <c:v>#N/A</c:v>
                </c:pt>
                <c:pt idx="12">
                  <c:v>30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</c:v>
                </c:pt>
                <c:pt idx="30">
                  <c:v>#N/A</c:v>
                </c:pt>
                <c:pt idx="31">
                  <c:v>#N/A</c:v>
                </c:pt>
                <c:pt idx="32">
                  <c:v>20.5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11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17</c:v>
                </c:pt>
                <c:pt idx="47">
                  <c:v>#N/A</c:v>
                </c:pt>
              </c:numCache>
            </c:numRef>
          </c:xVal>
          <c:yVal>
            <c:numRef>
              <c:f>test!$W$3:$W$570</c:f>
              <c:numCache>
                <c:formatCode>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25.333333333333332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13.666666666666666</c:v>
                </c:pt>
                <c:pt idx="10">
                  <c:v>#N/A</c:v>
                </c:pt>
                <c:pt idx="11">
                  <c:v>#N/A</c:v>
                </c:pt>
                <c:pt idx="12">
                  <c:v>22.666666666666668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16.166666666666668</c:v>
                </c:pt>
                <c:pt idx="30">
                  <c:v>#N/A</c:v>
                </c:pt>
                <c:pt idx="31">
                  <c:v>#N/A</c:v>
                </c:pt>
                <c:pt idx="32">
                  <c:v>23.28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11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19.666666666666668</c:v>
                </c:pt>
                <c:pt idx="47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test!$B$3:$B$570</c15:f>
                <c15:dlblRangeCache>
                  <c:ptCount val="48"/>
                  <c:pt idx="0">
                    <c:v>K. Williams</c:v>
                  </c:pt>
                  <c:pt idx="1">
                    <c:v>N. Chubb</c:v>
                  </c:pt>
                  <c:pt idx="2">
                    <c:v>J. Cook</c:v>
                  </c:pt>
                  <c:pt idx="3">
                    <c:v>R. Stevenson</c:v>
                  </c:pt>
                  <c:pt idx="4">
                    <c:v>D. Swift</c:v>
                  </c:pt>
                  <c:pt idx="5">
                    <c:v>P. Nacua</c:v>
                  </c:pt>
                  <c:pt idx="6">
                    <c:v>D.J. Moore</c:v>
                  </c:pt>
                  <c:pt idx="7">
                    <c:v>C. McCaffrey</c:v>
                  </c:pt>
                  <c:pt idx="8">
                    <c:v>C. Loveland</c:v>
                  </c:pt>
                  <c:pt idx="9">
                    <c:v>H. Henry</c:v>
                  </c:pt>
                  <c:pt idx="10">
                    <c:v>N. Collins</c:v>
                  </c:pt>
                  <c:pt idx="11">
                    <c:v>J. Jennings</c:v>
                  </c:pt>
                  <c:pt idx="12">
                    <c:v>K. Boutte</c:v>
                  </c:pt>
                  <c:pt idx="13">
                    <c:v>C. Kirk</c:v>
                  </c:pt>
                  <c:pt idx="14">
                    <c:v>T. Higbee</c:v>
                  </c:pt>
                  <c:pt idx="15">
                    <c:v>D. Schultz</c:v>
                  </c:pt>
                  <c:pt idx="16">
                    <c:v>D. Kincaid</c:v>
                  </c:pt>
                  <c:pt idx="17">
                    <c:v>S. Diggs</c:v>
                  </c:pt>
                  <c:pt idx="18">
                    <c:v>R. Odunze</c:v>
                  </c:pt>
                  <c:pt idx="19">
                    <c:v>G. Kittle</c:v>
                  </c:pt>
                  <c:pt idx="20">
                    <c:v>K. Bourne</c:v>
                  </c:pt>
                  <c:pt idx="21">
                    <c:v>D. Adams</c:v>
                  </c:pt>
                  <c:pt idx="22">
                    <c:v>R. Pearsall</c:v>
                  </c:pt>
                  <c:pt idx="23">
                    <c:v>K. Shakir</c:v>
                  </c:pt>
                  <c:pt idx="24">
                    <c:v>B. Purdy</c:v>
                  </c:pt>
                  <c:pt idx="25">
                    <c:v>M. Stafford</c:v>
                  </c:pt>
                  <c:pt idx="26">
                    <c:v>J. Allen</c:v>
                  </c:pt>
                  <c:pt idx="27">
                    <c:v>Texans</c:v>
                  </c:pt>
                  <c:pt idx="28">
                    <c:v>K. Coleman</c:v>
                  </c:pt>
                  <c:pt idx="29">
                    <c:v>M. Hollins</c:v>
                  </c:pt>
                  <c:pt idx="30">
                    <c:v>T. Atwell</c:v>
                  </c:pt>
                  <c:pt idx="31">
                    <c:v>49ers</c:v>
                  </c:pt>
                  <c:pt idx="32">
                    <c:v>D. Maye</c:v>
                  </c:pt>
                  <c:pt idx="33">
                    <c:v>Bears</c:v>
                  </c:pt>
                  <c:pt idx="34">
                    <c:v>C. Williams</c:v>
                  </c:pt>
                  <c:pt idx="35">
                    <c:v>J. Palmer</c:v>
                  </c:pt>
                  <c:pt idx="36">
                    <c:v>L. Burden III</c:v>
                  </c:pt>
                  <c:pt idx="37">
                    <c:v>X. Hutchinson</c:v>
                  </c:pt>
                  <c:pt idx="38">
                    <c:v>O. Zaccheaus</c:v>
                  </c:pt>
                  <c:pt idx="39">
                    <c:v>C.J. Stroud</c:v>
                  </c:pt>
                  <c:pt idx="40">
                    <c:v>Rams</c:v>
                  </c:pt>
                  <c:pt idx="41">
                    <c:v>Patriots</c:v>
                  </c:pt>
                  <c:pt idx="42">
                    <c:v>J. Higgins</c:v>
                  </c:pt>
                  <c:pt idx="43">
                    <c:v>E. Moore</c:v>
                  </c:pt>
                  <c:pt idx="44">
                    <c:v>D. Robinson</c:v>
                  </c:pt>
                  <c:pt idx="45">
                    <c:v>J. Whittington</c:v>
                  </c:pt>
                  <c:pt idx="46">
                    <c:v>D. Douglas</c:v>
                  </c:pt>
                  <c:pt idx="47">
                    <c:v>Bills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D1-6D1E-48FC-A090-36F7CD5B70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13"/>
          <c:min val="0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t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 = TD Matchup</a:t>
                </a:r>
              </a:p>
            </c:rich>
          </c:tx>
          <c:layout>
            <c:manualLayout>
              <c:xMode val="edge"/>
              <c:yMode val="edge"/>
              <c:x val="4.0526240841699977E-3"/>
              <c:y val="7.407407407407407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crossAx val="383383304"/>
        <c:crosses val="autoZero"/>
        <c:crossBetween val="midCat"/>
        <c:majorUnit val="2"/>
        <c:minorUnit val="1"/>
      </c:valAx>
      <c:valAx>
        <c:axId val="383383304"/>
        <c:scaling>
          <c:orientation val="maxMin"/>
          <c:max val="18"/>
          <c:min val="0"/>
        </c:scaling>
        <c:delete val="1"/>
        <c:axPos val="r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>
                    <a:solidFill>
                      <a:sysClr val="windowText" lastClr="000000"/>
                    </a:solidFill>
                  </a:rPr>
                  <a:t>Y = Composite Matchup</a:t>
                </a:r>
              </a:p>
            </c:rich>
          </c:tx>
          <c:layout>
            <c:manualLayout>
              <c:xMode val="edge"/>
              <c:yMode val="edge"/>
              <c:x val="4.360829126005732E-3"/>
              <c:y val="3.3299970836978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crossAx val="383381144"/>
        <c:crosses val="autoZero"/>
        <c:crossBetween val="midCat"/>
        <c:majorUnit val="4"/>
        <c:minorUnit val="1"/>
      </c:valAx>
      <c:spPr>
        <a:gradFill flip="none" rotWithShape="1">
          <a:gsLst>
            <a:gs pos="0">
              <a:schemeClr val="accent6">
                <a:lumMod val="40000"/>
                <a:lumOff val="60000"/>
              </a:schemeClr>
            </a:gs>
            <a:gs pos="50000">
              <a:srgbClr val="FFFFCC"/>
            </a:gs>
            <a:gs pos="100000">
              <a:schemeClr val="accent2">
                <a:lumMod val="20000"/>
                <a:lumOff val="80000"/>
              </a:schemeClr>
            </a:gs>
          </a:gsLst>
          <a:path path="circle">
            <a:fillToRect l="100000" b="100000"/>
          </a:path>
          <a:tileRect t="-100000" r="-100000"/>
        </a:gradFill>
        <a:ln>
          <a:solidFill>
            <a:schemeClr val="tx1">
              <a:alpha val="97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24626264308523E-2"/>
          <c:y val="3.8789598476158406E-2"/>
          <c:w val="0.92852197681036963"/>
          <c:h val="0.954653024051440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F79-4230-9E75-268E9E385A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F79-4230-9E75-268E9E385A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BAC-47B7-9977-40B74F4B63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BAC-47B7-9977-40B74F4B63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D13AAF8-5CC5-4F3F-B01F-EE186BAEA1D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5904996-DD96-473A-84BF-7ACED97E620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BAC-47B7-9977-40B74F4B63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BAC-47B7-9977-40B74F4B63B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073D907-7AD7-49E9-B2F9-35D84B7A0CC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40C52BF-90CE-48F8-83A7-233C13487EC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BAC-47B7-9977-40B74F4B63B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BAC-47B7-9977-40B74F4B63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'2025QB'!$K$2:$K$86</c:f>
              <c:numCache>
                <c:formatCode>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28.5</c:v>
                </c:pt>
                <c:pt idx="5">
                  <c:v>#N/A</c:v>
                </c:pt>
                <c:pt idx="6">
                  <c:v>18</c:v>
                </c:pt>
                <c:pt idx="7">
                  <c:v>#N/A</c:v>
                </c:pt>
              </c:numCache>
            </c:numRef>
          </c:xVal>
          <c:yVal>
            <c:numRef>
              <c:f>'2025QB'!$Q$2:$Q$86</c:f>
              <c:numCache>
                <c:formatCode>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23.5</c:v>
                </c:pt>
                <c:pt idx="5">
                  <c:v>#N/A</c:v>
                </c:pt>
                <c:pt idx="6">
                  <c:v>20.8</c:v>
                </c:pt>
                <c:pt idx="7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'2025QB'!$B$2:$B$86</c15:f>
                <c15:dlblRangeCache>
                  <c:ptCount val="8"/>
                  <c:pt idx="0">
                    <c:v>M. Stafford</c:v>
                  </c:pt>
                  <c:pt idx="1">
                    <c:v>B. Nix</c:v>
                  </c:pt>
                  <c:pt idx="2">
                    <c:v>B. Purdy</c:v>
                  </c:pt>
                  <c:pt idx="3">
                    <c:v>J. Allen</c:v>
                  </c:pt>
                  <c:pt idx="4">
                    <c:v>S. Darnold</c:v>
                  </c:pt>
                  <c:pt idx="5">
                    <c:v>C.J. Stroud</c:v>
                  </c:pt>
                  <c:pt idx="6">
                    <c:v>D. Maye</c:v>
                  </c:pt>
                  <c:pt idx="7">
                    <c:v>C. Williams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BF79-4230-9E75-268E9E385A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543138541452959E-2"/>
          <c:y val="6.8240497094698344E-2"/>
          <c:w val="0.93157028987121937"/>
          <c:h val="0.9202234541723083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'2425QB'!$K$2:$K$86</c:f>
              <c:numCache>
                <c:formatCode>0</c:formatCode>
                <c:ptCount val="8"/>
                <c:pt idx="0">
                  <c:v>31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20.5</c:v>
                </c:pt>
                <c:pt idx="6">
                  <c:v>#N/A</c:v>
                </c:pt>
                <c:pt idx="7">
                  <c:v>#N/A</c:v>
                </c:pt>
              </c:numCache>
            </c:numRef>
          </c:xVal>
          <c:yVal>
            <c:numRef>
              <c:f>'2425QB'!$Q$2:$Q$86</c:f>
              <c:numCache>
                <c:formatCode>0</c:formatCode>
                <c:ptCount val="8"/>
                <c:pt idx="0">
                  <c:v>25.9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22.9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05-4B04-B478-87874034B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24626264308523E-2"/>
          <c:y val="3.8789598476158406E-2"/>
          <c:w val="0.92852197681036963"/>
          <c:h val="0.954653024051440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B4D-4AF9-9423-782E3C5391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AE30B0-EE51-4597-8B3C-7339FB548D3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5366A97-7DF4-4F2E-A0B7-67123A56E39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B4D-4AF9-9423-782E3C5391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B4D-4AF9-9423-782E3C5391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B4D-4AF9-9423-782E3C5391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33E0EED-C996-4A55-ABBA-87A0C44585F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09724FB-8A81-44EB-9575-03150893310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12-4270-ACC8-9F4D3F7BA1F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12-4270-ACC8-9F4D3F7BA1F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812-4270-ACC8-9F4D3F7BA1F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812-4270-ACC8-9F4D3F7BA1F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12-4270-ACC8-9F4D3F7BA1F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F28ED5-9F62-4E95-83DD-77EBFC49CB4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E083830-09D5-4B12-8458-58A6D126237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12-4270-ACC8-9F4D3F7BA1F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12-4270-ACC8-9F4D3F7BA1F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E504423-DA83-4D6D-8206-874EEEE1EC1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FABDE10-D565-4949-9225-B76AA6D1AA2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12-4270-ACC8-9F4D3F7BA1F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812-4270-ACC8-9F4D3F7BA1F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12-4270-ACC8-9F4D3F7BA1F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12-4270-ACC8-9F4D3F7BA1F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812-4270-ACC8-9F4D3F7BA1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'2025RB'!$K$2:$K$125</c:f>
              <c:numCache>
                <c:formatCode>0</c:formatCode>
                <c:ptCount val="16"/>
                <c:pt idx="0">
                  <c:v>#N/A</c:v>
                </c:pt>
                <c:pt idx="1">
                  <c:v>25</c:v>
                </c:pt>
                <c:pt idx="2">
                  <c:v>#N/A</c:v>
                </c:pt>
                <c:pt idx="3">
                  <c:v>#N/A</c:v>
                </c:pt>
                <c:pt idx="4">
                  <c:v>30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27.5</c:v>
                </c:pt>
                <c:pt idx="10">
                  <c:v>#N/A</c:v>
                </c:pt>
                <c:pt idx="11">
                  <c:v>31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xVal>
          <c:yVal>
            <c:numRef>
              <c:f>'2025RB'!$Q$2:$Q$125</c:f>
              <c:numCache>
                <c:formatCode>0</c:formatCode>
                <c:ptCount val="16"/>
                <c:pt idx="0">
                  <c:v>#N/A</c:v>
                </c:pt>
                <c:pt idx="1">
                  <c:v>17.2</c:v>
                </c:pt>
                <c:pt idx="2">
                  <c:v>#N/A</c:v>
                </c:pt>
                <c:pt idx="3">
                  <c:v>#N/A</c:v>
                </c:pt>
                <c:pt idx="4">
                  <c:v>19.100000000000001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19.2</c:v>
                </c:pt>
                <c:pt idx="10">
                  <c:v>#N/A</c:v>
                </c:pt>
                <c:pt idx="11">
                  <c:v>28.2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'2025RB'!$B$2:$B$125</c15:f>
                <c15:dlblRangeCache>
                  <c:ptCount val="16"/>
                  <c:pt idx="0">
                    <c:v>J.K. Dobbins</c:v>
                  </c:pt>
                  <c:pt idx="1">
                    <c:v>K. Walker III</c:v>
                  </c:pt>
                  <c:pt idx="2">
                    <c:v>J. Cook</c:v>
                  </c:pt>
                  <c:pt idx="3">
                    <c:v>K. Williams</c:v>
                  </c:pt>
                  <c:pt idx="4">
                    <c:v>R. Stevenson</c:v>
                  </c:pt>
                  <c:pt idx="5">
                    <c:v>N. Chubb</c:v>
                  </c:pt>
                  <c:pt idx="6">
                    <c:v>C. McCaffrey</c:v>
                  </c:pt>
                  <c:pt idx="7">
                    <c:v>D. Swift</c:v>
                  </c:pt>
                  <c:pt idx="8">
                    <c:v>K. Monangai</c:v>
                  </c:pt>
                  <c:pt idx="9">
                    <c:v>T. Henderson</c:v>
                  </c:pt>
                  <c:pt idx="10">
                    <c:v>R.J. Harvey</c:v>
                  </c:pt>
                  <c:pt idx="11">
                    <c:v>Z. Charbonnet</c:v>
                  </c:pt>
                  <c:pt idx="12">
                    <c:v>B. Corum</c:v>
                  </c:pt>
                  <c:pt idx="13">
                    <c:v>R. Davis</c:v>
                  </c:pt>
                  <c:pt idx="14">
                    <c:v>B. Robinson Jr.</c:v>
                  </c:pt>
                  <c:pt idx="15">
                    <c:v>W. Marks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62CF-4C6E-8062-B78472AFA4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24626264308523E-2"/>
          <c:y val="3.8789598476158406E-2"/>
          <c:w val="0.92852197681036963"/>
          <c:h val="0.954653024051440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DB1-4C9F-80C4-B6EBBAA896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2ADBE3-F892-44B9-A0C1-2EE3FA9F81E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3B7C9E0-2D96-4E0A-838E-08B5B7F989E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DB1-4C9F-80C4-B6EBBAA896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2C-4029-855C-DED3C35445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22C-4029-855C-DED3C35445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22C-4029-855C-DED3C35445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578F88-9868-458A-9F36-7849B39A42D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5AC651E-92C0-4C51-9C13-40710016F17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22C-4029-855C-DED3C35445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22C-4029-855C-DED3C35445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22C-4029-855C-DED3C35445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'2425RB'!$K$2:$K$125</c:f>
              <c:numCache>
                <c:formatCode>0</c:formatCode>
                <c:ptCount val="8"/>
                <c:pt idx="0">
                  <c:v>#N/A</c:v>
                </c:pt>
                <c:pt idx="1">
                  <c:v>16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32</c:v>
                </c:pt>
                <c:pt idx="6">
                  <c:v>#N/A</c:v>
                </c:pt>
                <c:pt idx="7">
                  <c:v>#N/A</c:v>
                </c:pt>
              </c:numCache>
            </c:numRef>
          </c:xVal>
          <c:yVal>
            <c:numRef>
              <c:f>'2425RB'!$Q$2:$Q$125</c:f>
              <c:numCache>
                <c:formatCode>0</c:formatCode>
                <c:ptCount val="8"/>
                <c:pt idx="0">
                  <c:v>#N/A</c:v>
                </c:pt>
                <c:pt idx="1">
                  <c:v>19.3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16.5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'2425RB'!$B$2:$B$125</c15:f>
                <c15:dlblRangeCache>
                  <c:ptCount val="8"/>
                  <c:pt idx="0">
                    <c:v>J.K. Dobbins</c:v>
                  </c:pt>
                  <c:pt idx="1">
                    <c:v>K. Walker III</c:v>
                  </c:pt>
                  <c:pt idx="2">
                    <c:v>K. Williams</c:v>
                  </c:pt>
                  <c:pt idx="3">
                    <c:v>N. Chubb</c:v>
                  </c:pt>
                  <c:pt idx="4">
                    <c:v>J. Cook</c:v>
                  </c:pt>
                  <c:pt idx="5">
                    <c:v>R. Stevenson</c:v>
                  </c:pt>
                  <c:pt idx="6">
                    <c:v>D. Swift</c:v>
                  </c:pt>
                  <c:pt idx="7">
                    <c:v>C. McCaffrey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4DB1-4C9F-80C4-B6EBBAA896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DA3-4139-9E4A-680339CD92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DA3-4139-9E4A-680339CD92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DA3-4139-9E4A-680339CD92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DA3-4139-9E4A-680339CD92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AC9BE3-DA19-4643-81F1-A746C6D66C8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64ACBC1-BBB0-42DB-9F84-45289632EF7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DA3-4139-9E4A-680339CD92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DA3-4139-9E4A-680339CD92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877C71-16BA-4C1E-9867-87B7E826D31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9B6D3CA-F0D8-4E1F-94C0-9F21B0051B0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DA3-4139-9E4A-680339CD92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DA3-4139-9E4A-680339CD92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EB3-4A25-BD43-22AC9E5B19B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EB3-4A25-BD43-22AC9E5B19B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7BD8875-580D-44EF-A392-3601D5FC12D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26D7807-46CA-4C9A-B882-47EB5BA0852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EB3-4A25-BD43-22AC9E5B19B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EB3-4A25-BD43-22AC9E5B19B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4AFE941-F439-454F-A362-E567701EC60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67BFEC9-CFE4-4259-A9F1-39A0B69B709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EB3-4A25-BD43-22AC9E5B19B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EB3-4A25-BD43-22AC9E5B19B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EB3-4A25-BD43-22AC9E5B19B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D5D56C1-81F0-4000-9117-0155A758B55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65E340B-CBE6-40BE-8410-F6B780CF56B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EB3-4A25-BD43-22AC9E5B19B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C2B0BB0-AA0A-43B9-8B22-B35A4AD0BCB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B5CFB48-9A72-4FD5-9205-BF8458DAF0A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EB3-4A25-BD43-22AC9E5B19B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EB3-4A25-BD43-22AC9E5B19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EB3-4A25-BD43-22AC9E5B19B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B3-4A25-BD43-22AC9E5B19B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B3-4A25-BD43-22AC9E5B19B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EB3-4A25-BD43-22AC9E5B19B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B3-4A25-BD43-22AC9E5B19B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EB3-4A25-BD43-22AC9E5B19B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EB3-4A25-BD43-22AC9E5B19B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EB3-4A25-BD43-22AC9E5B19B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BAC940A-BF74-40CD-9484-E74D61DB011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EB6B2F9-6FF0-450F-AB4C-ACAFAAF052E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EB3-4A25-BD43-22AC9E5B19B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EB3-4A25-BD43-22AC9E5B19B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EB3-4A25-BD43-22AC9E5B19B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F99C8A8-F6EB-490F-874B-7209FDA12D0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451770A-1CB7-4311-8B48-135A381648C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EB3-4A25-BD43-22AC9E5B19B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EB3-4A25-BD43-22AC9E5B19B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EB3-4A25-BD43-22AC9E5B1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'2025WR'!$I$2:$I$214</c:f>
              <c:numCache>
                <c:formatCode>0</c:formatCode>
                <c:ptCount val="3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5.5</c:v>
                </c:pt>
                <c:pt idx="5">
                  <c:v>#N/A</c:v>
                </c:pt>
                <c:pt idx="6">
                  <c:v>31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10.5</c:v>
                </c:pt>
                <c:pt idx="11">
                  <c:v>#N/A</c:v>
                </c:pt>
                <c:pt idx="12">
                  <c:v>10.5</c:v>
                </c:pt>
                <c:pt idx="13">
                  <c:v>#N/A</c:v>
                </c:pt>
                <c:pt idx="14">
                  <c:v>#N/A</c:v>
                </c:pt>
                <c:pt idx="15">
                  <c:v>16.5</c:v>
                </c:pt>
                <c:pt idx="16">
                  <c:v>17.5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17.5</c:v>
                </c:pt>
                <c:pt idx="27">
                  <c:v>#N/A</c:v>
                </c:pt>
                <c:pt idx="28">
                  <c:v>#N/A</c:v>
                </c:pt>
                <c:pt idx="29">
                  <c:v>11</c:v>
                </c:pt>
                <c:pt idx="30">
                  <c:v>#N/A</c:v>
                </c:pt>
                <c:pt idx="31">
                  <c:v>#N/A</c:v>
                </c:pt>
              </c:numCache>
            </c:numRef>
          </c:xVal>
          <c:yVal>
            <c:numRef>
              <c:f>'2025WR'!$M$2:$M$214</c:f>
              <c:numCache>
                <c:formatCode>0</c:formatCode>
                <c:ptCount val="3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19</c:v>
                </c:pt>
                <c:pt idx="5">
                  <c:v>#N/A</c:v>
                </c:pt>
                <c:pt idx="6">
                  <c:v>29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18</c:v>
                </c:pt>
                <c:pt idx="11">
                  <c:v>#N/A</c:v>
                </c:pt>
                <c:pt idx="12">
                  <c:v>16.833333333333332</c:v>
                </c:pt>
                <c:pt idx="13">
                  <c:v>#N/A</c:v>
                </c:pt>
                <c:pt idx="14">
                  <c:v>#N/A</c:v>
                </c:pt>
                <c:pt idx="15">
                  <c:v>15.833333333333334</c:v>
                </c:pt>
                <c:pt idx="16">
                  <c:v>25.5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19.5</c:v>
                </c:pt>
                <c:pt idx="27">
                  <c:v>#N/A</c:v>
                </c:pt>
                <c:pt idx="28">
                  <c:v>#N/A</c:v>
                </c:pt>
                <c:pt idx="29">
                  <c:v>21.333333333333332</c:v>
                </c:pt>
                <c:pt idx="30">
                  <c:v>#N/A</c:v>
                </c:pt>
                <c:pt idx="31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'2025WR'!$B$2:$B$214</c15:f>
                <c15:dlblRangeCache>
                  <c:ptCount val="32"/>
                  <c:pt idx="0">
                    <c:v>P. Nacua</c:v>
                  </c:pt>
                  <c:pt idx="1">
                    <c:v>D.J. Moore</c:v>
                  </c:pt>
                  <c:pt idx="2">
                    <c:v>N. Collins</c:v>
                  </c:pt>
                  <c:pt idx="3">
                    <c:v>J. Jennings</c:v>
                  </c:pt>
                  <c:pt idx="4">
                    <c:v>C. Kupp</c:v>
                  </c:pt>
                  <c:pt idx="5">
                    <c:v>X. Hutchinson</c:v>
                  </c:pt>
                  <c:pt idx="6">
                    <c:v>K. Boutte</c:v>
                  </c:pt>
                  <c:pt idx="7">
                    <c:v>C. Sutton</c:v>
                  </c:pt>
                  <c:pt idx="8">
                    <c:v>D. Adams</c:v>
                  </c:pt>
                  <c:pt idx="9">
                    <c:v>T. Franklin</c:v>
                  </c:pt>
                  <c:pt idx="10">
                    <c:v>J. Smith-Njigba</c:v>
                  </c:pt>
                  <c:pt idx="11">
                    <c:v>J. Palmer</c:v>
                  </c:pt>
                  <c:pt idx="12">
                    <c:v>S. Diggs</c:v>
                  </c:pt>
                  <c:pt idx="13">
                    <c:v>R. Odunze</c:v>
                  </c:pt>
                  <c:pt idx="14">
                    <c:v>K. Bourne</c:v>
                  </c:pt>
                  <c:pt idx="15">
                    <c:v>T. Horton</c:v>
                  </c:pt>
                  <c:pt idx="16">
                    <c:v>J. Bobo</c:v>
                  </c:pt>
                  <c:pt idx="17">
                    <c:v>J. Higgins</c:v>
                  </c:pt>
                  <c:pt idx="18">
                    <c:v>O. Zaccheaus</c:v>
                  </c:pt>
                  <c:pt idx="19">
                    <c:v>M. Mims Jr.</c:v>
                  </c:pt>
                  <c:pt idx="20">
                    <c:v>J. Whittington</c:v>
                  </c:pt>
                  <c:pt idx="21">
                    <c:v>K. Coleman</c:v>
                  </c:pt>
                  <c:pt idx="22">
                    <c:v>R. Pearsall</c:v>
                  </c:pt>
                  <c:pt idx="23">
                    <c:v>T. Atwell</c:v>
                  </c:pt>
                  <c:pt idx="24">
                    <c:v>J. Noel</c:v>
                  </c:pt>
                  <c:pt idx="25">
                    <c:v>E. Moore</c:v>
                  </c:pt>
                  <c:pt idx="26">
                    <c:v>M. Hollins</c:v>
                  </c:pt>
                  <c:pt idx="27">
                    <c:v>D. Robinson</c:v>
                  </c:pt>
                  <c:pt idx="28">
                    <c:v>K. Shakir</c:v>
                  </c:pt>
                  <c:pt idx="29">
                    <c:v>D. Douglas</c:v>
                  </c:pt>
                  <c:pt idx="30">
                    <c:v>L. Burden III</c:v>
                  </c:pt>
                  <c:pt idx="31">
                    <c:v>P. Bryant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1-2C9F-4990-9D35-EA8D770A69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7D-4004-B75C-B763E62CAF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7D-4004-B75C-B763E62CAF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11EBA7-64A1-4EC7-8AA5-842EE0C5D01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0B0127E-E761-4A1B-8F7F-702EEEA7BFD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27D-4004-B75C-B763E62CAF4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27D-4004-B75C-B763E62CAF4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27D-4004-B75C-B763E62CAF4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27D-4004-B75C-B763E62CAF4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91481B3-0F7A-4772-B987-1FDB8B12B0F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324AF34-87DC-4E53-A8E9-D660C43BA75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27D-4004-B75C-B763E62CAF4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27D-4004-B75C-B763E62CAF4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F2ECB0A-3F88-482E-BA70-B1DA52C872F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6FF3B77-CEBD-45CF-BEBE-E9F871632A3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C7B-4358-828C-04BEB8FC857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618227-1420-4596-ACD8-E09D3AFD787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4480CAC-5E4B-4284-8ACF-4588C69F43C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C7B-4358-828C-04BEB8FC857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C7B-4358-828C-04BEB8FC857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C7B-4358-828C-04BEB8FC857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C7B-4358-828C-04BEB8FC857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C7B-4358-828C-04BEB8FC857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C7B-4358-828C-04BEB8FC857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C7B-4358-828C-04BEB8FC857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C7B-4358-828C-04BEB8FC857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932FA70-FB28-47E1-A460-DED60C87AF6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569E1E7-4453-4DC8-B5C9-FCFA0FAF953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C7B-4358-828C-04BEB8FC857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C7B-4358-828C-04BEB8FC85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39D2CE-5B70-4523-AB56-6CA70BD06BB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C15AC43-2051-44D3-B54C-3687A96772C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C7B-4358-828C-04BEB8FC857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C7B-4358-828C-04BEB8FC857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C7B-4358-828C-04BEB8FC857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36DCAB5-B424-4D18-B0A6-7E0AC6A0FD1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B9E2F19-1534-4E91-A2CD-3699DDBD4F7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C7B-4358-828C-04BEB8FC857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C7B-4358-828C-04BEB8FC857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C7B-4358-828C-04BEB8FC857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C7B-4358-828C-04BEB8FC857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C7B-4358-828C-04BEB8FC857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C7B-4358-828C-04BEB8FC857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C7B-4358-828C-04BEB8FC857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C7B-4358-828C-04BEB8FC857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3EE8678-DA7D-4572-B15B-CADEE6E3AFF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AD15DC2-A9CC-431B-9743-2B5B749615C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C7B-4358-828C-04BEB8FC857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C7B-4358-828C-04BEB8FC85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'2425WR'!$I$2:$I$214</c:f>
              <c:numCache>
                <c:formatCode>0</c:formatCode>
                <c:ptCount val="32"/>
                <c:pt idx="0">
                  <c:v>#N/A</c:v>
                </c:pt>
                <c:pt idx="1">
                  <c:v>#N/A</c:v>
                </c:pt>
                <c:pt idx="2">
                  <c:v>8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30</c:v>
                </c:pt>
                <c:pt idx="7">
                  <c:v>#N/A</c:v>
                </c:pt>
                <c:pt idx="8">
                  <c:v>12</c:v>
                </c:pt>
                <c:pt idx="9">
                  <c:v>16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</c:v>
                </c:pt>
                <c:pt idx="18">
                  <c:v>#N/A</c:v>
                </c:pt>
                <c:pt idx="19">
                  <c:v>27.5</c:v>
                </c:pt>
                <c:pt idx="20">
                  <c:v>#N/A</c:v>
                </c:pt>
                <c:pt idx="21">
                  <c:v>#N/A</c:v>
                </c:pt>
                <c:pt idx="22">
                  <c:v>17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17</c:v>
                </c:pt>
                <c:pt idx="31">
                  <c:v>#N/A</c:v>
                </c:pt>
              </c:numCache>
            </c:numRef>
          </c:xVal>
          <c:yVal>
            <c:numRef>
              <c:f>'2425WR'!$M$2:$M$214</c:f>
              <c:numCache>
                <c:formatCode>0</c:formatCode>
                <c:ptCount val="32"/>
                <c:pt idx="0">
                  <c:v>#N/A</c:v>
                </c:pt>
                <c:pt idx="1">
                  <c:v>#N/A</c:v>
                </c:pt>
                <c:pt idx="2">
                  <c:v>8.6666666666666661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22.666666666666668</c:v>
                </c:pt>
                <c:pt idx="7">
                  <c:v>#N/A</c:v>
                </c:pt>
                <c:pt idx="8">
                  <c:v>21.833333333333332</c:v>
                </c:pt>
                <c:pt idx="9">
                  <c:v>22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16.166666666666668</c:v>
                </c:pt>
                <c:pt idx="18">
                  <c:v>#N/A</c:v>
                </c:pt>
                <c:pt idx="19">
                  <c:v>25.333333333333332</c:v>
                </c:pt>
                <c:pt idx="20">
                  <c:v>#N/A</c:v>
                </c:pt>
                <c:pt idx="21">
                  <c:v>#N/A</c:v>
                </c:pt>
                <c:pt idx="22">
                  <c:v>25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19.666666666666668</c:v>
                </c:pt>
                <c:pt idx="31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'2425WR'!$B$2:$B$214</c15:f>
                <c15:dlblRangeCache>
                  <c:ptCount val="32"/>
                  <c:pt idx="0">
                    <c:v>P. Nacua</c:v>
                  </c:pt>
                  <c:pt idx="1">
                    <c:v>D.J. Moore</c:v>
                  </c:pt>
                  <c:pt idx="2">
                    <c:v>C. Kupp</c:v>
                  </c:pt>
                  <c:pt idx="3">
                    <c:v>T. Franklin</c:v>
                  </c:pt>
                  <c:pt idx="4">
                    <c:v>N. Collins</c:v>
                  </c:pt>
                  <c:pt idx="5">
                    <c:v>J. Jennings</c:v>
                  </c:pt>
                  <c:pt idx="6">
                    <c:v>K. Boutte</c:v>
                  </c:pt>
                  <c:pt idx="7">
                    <c:v>X. Hutchinson</c:v>
                  </c:pt>
                  <c:pt idx="8">
                    <c:v>J. Smith-Njigba</c:v>
                  </c:pt>
                  <c:pt idx="9">
                    <c:v>S. Diggs</c:v>
                  </c:pt>
                  <c:pt idx="10">
                    <c:v>R. Odunze</c:v>
                  </c:pt>
                  <c:pt idx="11">
                    <c:v>C. Sutton</c:v>
                  </c:pt>
                  <c:pt idx="12">
                    <c:v>K. Bourne</c:v>
                  </c:pt>
                  <c:pt idx="13">
                    <c:v>D. Adams</c:v>
                  </c:pt>
                  <c:pt idx="14">
                    <c:v>R. Pearsall</c:v>
                  </c:pt>
                  <c:pt idx="15">
                    <c:v>K. Shakir</c:v>
                  </c:pt>
                  <c:pt idx="16">
                    <c:v>K. Coleman</c:v>
                  </c:pt>
                  <c:pt idx="17">
                    <c:v>D. Douglas</c:v>
                  </c:pt>
                  <c:pt idx="18">
                    <c:v>T. Atwell</c:v>
                  </c:pt>
                  <c:pt idx="19">
                    <c:v>T. Horton</c:v>
                  </c:pt>
                  <c:pt idx="20">
                    <c:v>J. Palmer</c:v>
                  </c:pt>
                  <c:pt idx="21">
                    <c:v>L. Burden III</c:v>
                  </c:pt>
                  <c:pt idx="22">
                    <c:v>J. Bobo</c:v>
                  </c:pt>
                  <c:pt idx="23">
                    <c:v>J. Higgins</c:v>
                  </c:pt>
                  <c:pt idx="24">
                    <c:v>O. Zaccheaus</c:v>
                  </c:pt>
                  <c:pt idx="25">
                    <c:v>M. Mims Jr.</c:v>
                  </c:pt>
                  <c:pt idx="26">
                    <c:v>J. Noel</c:v>
                  </c:pt>
                  <c:pt idx="27">
                    <c:v>D. Robinson</c:v>
                  </c:pt>
                  <c:pt idx="28">
                    <c:v>E. Moore</c:v>
                  </c:pt>
                  <c:pt idx="29">
                    <c:v>J. Whittington</c:v>
                  </c:pt>
                  <c:pt idx="30">
                    <c:v>M. Hollins</c:v>
                  </c:pt>
                  <c:pt idx="31">
                    <c:v>P. Bryant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C27D-4004-B75C-B763E62CAF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F2A10D2-5E46-4D2A-B897-B88D6EA9F86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C6D3709-C49F-425C-A163-50CFDB3CB26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FCB-442B-93E2-4AE1A015C4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B592E4-E83A-4CC7-A822-1375CBD48AC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3E5DF5B-3E5A-4D80-A944-0AD08F263B2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FCB-442B-93E2-4AE1A015C4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FCB-442B-93E2-4AE1A015C4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A05125-CB4F-4B47-93D6-CAB8EB750C5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F44C816-92E3-49B7-84A3-5227B3C925E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FCB-442B-93E2-4AE1A015C4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6AB-443F-9CB6-975318C4CFA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6AB-443F-9CB6-975318C4CFA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6AB-443F-9CB6-975318C4CFA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6AB-443F-9CB6-975318C4CFA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6AB-443F-9CB6-975318C4CFA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6AB-443F-9CB6-975318C4CFA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6AB-443F-9CB6-975318C4CFA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6AB-443F-9CB6-975318C4CFA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6AB-443F-9CB6-975318C4CFA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6AB-443F-9CB6-975318C4CFA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6AB-443F-9CB6-975318C4CFA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6653ECF-F91B-4FBB-AC1E-C7FFCA461B9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750194B-6B04-4921-867B-6F1A62004AF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6AB-443F-9CB6-975318C4C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'2025TE'!$I$2:$I$117</c:f>
              <c:numCache>
                <c:formatCode>0</c:formatCode>
                <c:ptCount val="16"/>
                <c:pt idx="0">
                  <c:v>30.5</c:v>
                </c:pt>
                <c:pt idx="1">
                  <c:v>10</c:v>
                </c:pt>
                <c:pt idx="2">
                  <c:v>#N/A</c:v>
                </c:pt>
                <c:pt idx="3">
                  <c:v>26.5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</c:v>
                </c:pt>
              </c:numCache>
            </c:numRef>
          </c:xVal>
          <c:yVal>
            <c:numRef>
              <c:f>'2025TE'!$M$2:$M$117</c:f>
              <c:numCache>
                <c:formatCode>0</c:formatCode>
                <c:ptCount val="16"/>
                <c:pt idx="0">
                  <c:v>12.666666666666666</c:v>
                </c:pt>
                <c:pt idx="1">
                  <c:v>9</c:v>
                </c:pt>
                <c:pt idx="2">
                  <c:v>#N/A</c:v>
                </c:pt>
                <c:pt idx="3">
                  <c:v>20.666666666666668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10.833333333333334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'2025TE'!$B$2:$B$117</c15:f>
                <c15:dlblRangeCache>
                  <c:ptCount val="16"/>
                  <c:pt idx="0">
                    <c:v>H. Henry</c:v>
                  </c:pt>
                  <c:pt idx="1">
                    <c:v>E. Arroyo</c:v>
                  </c:pt>
                  <c:pt idx="2">
                    <c:v>C. Kmet</c:v>
                  </c:pt>
                  <c:pt idx="3">
                    <c:v>A.J. Barner</c:v>
                  </c:pt>
                  <c:pt idx="4">
                    <c:v>D. Kincaid</c:v>
                  </c:pt>
                  <c:pt idx="5">
                    <c:v>E. Engram</c:v>
                  </c:pt>
                  <c:pt idx="6">
                    <c:v>L. Farrell</c:v>
                  </c:pt>
                  <c:pt idx="7">
                    <c:v>D. Schultz</c:v>
                  </c:pt>
                  <c:pt idx="8">
                    <c:v>T. Higbee</c:v>
                  </c:pt>
                  <c:pt idx="9">
                    <c:v>C. Stover</c:v>
                  </c:pt>
                  <c:pt idx="10">
                    <c:v>T. Ferguson</c:v>
                  </c:pt>
                  <c:pt idx="11">
                    <c:v>J. Tonges</c:v>
                  </c:pt>
                  <c:pt idx="12">
                    <c:v>C. Loveland</c:v>
                  </c:pt>
                  <c:pt idx="13">
                    <c:v>D. Knox</c:v>
                  </c:pt>
                  <c:pt idx="14">
                    <c:v>A. Trautman</c:v>
                  </c:pt>
                  <c:pt idx="15">
                    <c:v>A. Hooper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1465-4A28-95D6-4133359FC9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EBA2088-F6DE-416F-BE1C-BE3CBEA57A3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25865E5-023B-4817-9193-DAEBBE0389F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264-4629-9B1E-BA10C31FD8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264-4629-9B1E-BA10C31FD8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3EDCE3-B087-4D08-A1B0-6F3F2753043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8FAFF4C-3B98-4C0B-8863-FE0153880FA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4CE-4227-BB0D-5A00CE542F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4CE-4227-BB0D-5A00CE542F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4CE-4227-BB0D-5A00CE542F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4CE-4227-BB0D-5A00CE542F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4CE-4227-BB0D-5A00CE542F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4CE-4227-BB0D-5A00CE542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'2425TE'!$I$2:$I$117</c:f>
              <c:numCache>
                <c:formatCode>0</c:formatCode>
                <c:ptCount val="8"/>
                <c:pt idx="0">
                  <c:v>19.5</c:v>
                </c:pt>
                <c:pt idx="1">
                  <c:v>#N/A</c:v>
                </c:pt>
                <c:pt idx="2">
                  <c:v>25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xVal>
          <c:yVal>
            <c:numRef>
              <c:f>'2425TE'!$M$2:$M$117</c:f>
              <c:numCache>
                <c:formatCode>0</c:formatCode>
                <c:ptCount val="8"/>
                <c:pt idx="0">
                  <c:v>15.833333333333334</c:v>
                </c:pt>
                <c:pt idx="1">
                  <c:v>#N/A</c:v>
                </c:pt>
                <c:pt idx="2">
                  <c:v>13.666666666666666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'2425TE'!$B$2:$B$117</c15:f>
                <c15:dlblRangeCache>
                  <c:ptCount val="8"/>
                  <c:pt idx="0">
                    <c:v>A.J. Barner</c:v>
                  </c:pt>
                  <c:pt idx="1">
                    <c:v>C. Kmet</c:v>
                  </c:pt>
                  <c:pt idx="2">
                    <c:v>H. Henry</c:v>
                  </c:pt>
                  <c:pt idx="3">
                    <c:v>T. Higbee</c:v>
                  </c:pt>
                  <c:pt idx="4">
                    <c:v>D. Schultz</c:v>
                  </c:pt>
                  <c:pt idx="5">
                    <c:v>D. Kincaid</c:v>
                  </c:pt>
                  <c:pt idx="6">
                    <c:v>E. Engram</c:v>
                  </c:pt>
                  <c:pt idx="7">
                    <c:v>J. Tonges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5-8264-4629-9B1E-BA10C31FD8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435-4B07-BB84-178511E5F2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435-4B07-BB84-178511E5F2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002-4AC7-A42C-F59AF0377B4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002-4AC7-A42C-F59AF0377B4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5D8-4938-A5A4-B12D465E75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5D8-4938-A5A4-B12D465E75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5D8-4938-A5A4-B12D465E75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5D8-4938-A5A4-B12D465E75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5D8-4938-A5A4-B12D465E75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5D8-4938-A5A4-B12D465E75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5D8-4938-A5A4-B12D465E75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5D8-4938-A5A4-B12D465E75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5D8-4938-A5A4-B12D465E75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5D8-4938-A5A4-B12D465E75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5D8-4938-A5A4-B12D465E75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5D8-4938-A5A4-B12D465E75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5D8-4938-A5A4-B12D465E75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5D8-4938-A5A4-B12D465E75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5D8-4938-A5A4-B12D465E75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5D8-4938-A5A4-B12D465E75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5D8-4938-A5A4-B12D465E75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5D8-4938-A5A4-B12D465E75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5D8-4938-A5A4-B12D465E75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5D8-4938-A5A4-B12D465E75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5D8-4938-A5A4-B12D465E75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5D8-4938-A5A4-B12D465E75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5D8-4938-A5A4-B12D465E75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5D8-4938-A5A4-B12D465E75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5D8-4938-A5A4-B12D465E75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5D8-4938-A5A4-B12D465E75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5D8-4938-A5A4-B12D465E75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5D8-4938-A5A4-B12D465E754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59E-4ECB-8959-7D304E9D226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59E-4ECB-8959-7D304E9D226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59E-4ECB-8959-7D304E9D226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59E-4ECB-8959-7D304E9D226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59E-4ECB-8959-7D304E9D226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59E-4ECB-8959-7D304E9D226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59E-4ECB-8959-7D304E9D226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9E-4ECB-8959-7D304E9D226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59E-4ECB-8959-7D304E9D226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59E-4ECB-8959-7D304E9D226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59E-4ECB-8959-7D304E9D226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9E-4ECB-8959-7D304E9D226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59E-4ECB-8959-7D304E9D226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59E-4ECB-8959-7D304E9D226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59E-4ECB-8959-7D304E9D226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9E-4ECB-8959-7D304E9D226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59E-4ECB-8959-7D304E9D226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59E-4ECB-8959-7D304E9D226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59E-4ECB-8959-7D304E9D226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9E-4ECB-8959-7D304E9D226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0D030699-BC07-4E0F-AE1B-D544D93BEC3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A5C9AA9-61E2-49B1-99A7-DA5341385035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26B01B7-65FC-4486-84A0-743118B6904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59E-4ECB-8959-7D304E9D226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3E0BFCFB-4F28-4574-A3B8-966D8CFB854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7D15572-2552-4875-AC2D-8C502D9A9F8D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420E1E3D-7868-4915-87D3-8475BCCDD27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59E-4ECB-8959-7D304E9D226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953D73F-CA8C-44C6-BDF7-CB199FA1027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EE7C930-9872-46EE-B145-A571014113F3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AA1F6EBB-9CEE-4487-9505-6A1CEFB36B7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59E-4ECB-8959-7D304E9D226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9E-4ECB-8959-7D304E9D226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59E-4ECB-8959-7D304E9D226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59E-4ECB-8959-7D304E9D226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59E-4ECB-8959-7D304E9D226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59E-4ECB-8959-7D304E9D226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59E-4ECB-8959-7D304E9D226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59E-4ECB-8959-7D304E9D226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59E-4ECB-8959-7D304E9D226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59E-4ECB-8959-7D304E9D226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59E-4ECB-8959-7D304E9D226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59E-4ECB-8959-7D304E9D226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59E-4ECB-8959-7D304E9D226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59E-4ECB-8959-7D304E9D226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59E-4ECB-8959-7D304E9D226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59E-4ECB-8959-7D304E9D226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CFCC60A-21B8-4142-BC28-B77078868EB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F5B493F-46F9-49C5-A8DF-2DF2769BBDA9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C80BBBB8-E5D4-4FA6-A7AA-3DC733408B5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59E-4ECB-8959-7D304E9D226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62B2C564-29EE-43CD-B1B0-5AEBBD4E567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30C748-B0B5-41D7-89FF-C4D2831A32A9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6E4A7295-657E-4A43-B05B-20974D6462D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59E-4ECB-8959-7D304E9D226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0109BDE7-5FF6-4171-81BE-636D2C5470A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9FDB52B-80AE-47A2-9200-E64F99B19496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DCFBF528-3152-4F25-8C4A-CCE23206EFB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59E-4ECB-8959-7D304E9D226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59E-4ECB-8959-7D304E9D226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59E-4ECB-8959-7D304E9D226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59E-4ECB-8959-7D304E9D226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59E-4ECB-8959-7D304E9D226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59E-4ECB-8959-7D304E9D226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59E-4ECB-8959-7D304E9D226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59E-4ECB-8959-7D304E9D226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59E-4ECB-8959-7D304E9D226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59E-4ECB-8959-7D304E9D226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59E-4ECB-8959-7D304E9D226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59E-4ECB-8959-7D304E9D226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59E-4ECB-8959-7D304E9D226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QB!$K$2:$K$86</c:f>
              <c:numCache>
                <c:formatCode>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xVal>
          <c:yVal>
            <c:numRef>
              <c:f>QB!$Q$2:$Q$86</c:f>
              <c:numCache>
                <c:formatCode>0</c:formatCode>
                <c:ptCount val="8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21</c:v>
                </c:pt>
                <c:pt idx="53">
                  <c:v>20.399999999999999</c:v>
                </c:pt>
                <c:pt idx="54">
                  <c:v>20.399999999999999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23.625</c:v>
                </c:pt>
                <c:pt idx="71">
                  <c:v>24.7</c:v>
                </c:pt>
                <c:pt idx="72">
                  <c:v>24.7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QB!$B$2:$B$86</c15:f>
                <c15:dlblRangeCache>
                  <c:ptCount val="85"/>
                  <c:pt idx="0">
                    <c:v>K. Murray</c:v>
                  </c:pt>
                  <c:pt idx="1">
                    <c:v>J. Brissett</c:v>
                  </c:pt>
                  <c:pt idx="2">
                    <c:v>M. Penix Jr.</c:v>
                  </c:pt>
                  <c:pt idx="3">
                    <c:v>K. Cousins</c:v>
                  </c:pt>
                  <c:pt idx="4">
                    <c:v>E. Jones</c:v>
                  </c:pt>
                  <c:pt idx="5">
                    <c:v>L. Jackson</c:v>
                  </c:pt>
                  <c:pt idx="6">
                    <c:v>C. Rush</c:v>
                  </c:pt>
                  <c:pt idx="7">
                    <c:v>J. Allen</c:v>
                  </c:pt>
                  <c:pt idx="8">
                    <c:v>M. Trubisky</c:v>
                  </c:pt>
                  <c:pt idx="9">
                    <c:v>B. Young</c:v>
                  </c:pt>
                  <c:pt idx="10">
                    <c:v>A. Dalton</c:v>
                  </c:pt>
                  <c:pt idx="11">
                    <c:v>C. Williams</c:v>
                  </c:pt>
                  <c:pt idx="12">
                    <c:v>T. Bagent</c:v>
                  </c:pt>
                  <c:pt idx="13">
                    <c:v>C. Keenum</c:v>
                  </c:pt>
                  <c:pt idx="14">
                    <c:v>J. Burrow</c:v>
                  </c:pt>
                  <c:pt idx="15">
                    <c:v>J. Browning</c:v>
                  </c:pt>
                  <c:pt idx="16">
                    <c:v>J. Flacco</c:v>
                  </c:pt>
                  <c:pt idx="17">
                    <c:v>D. Gabriel</c:v>
                  </c:pt>
                  <c:pt idx="18">
                    <c:v>S. Sanders</c:v>
                  </c:pt>
                  <c:pt idx="19">
                    <c:v>D. Watson</c:v>
                  </c:pt>
                  <c:pt idx="20">
                    <c:v>D. Prescott</c:v>
                  </c:pt>
                  <c:pt idx="21">
                    <c:v>J. Milton III</c:v>
                  </c:pt>
                  <c:pt idx="22">
                    <c:v>B. Nix</c:v>
                  </c:pt>
                  <c:pt idx="23">
                    <c:v>J. Stidham</c:v>
                  </c:pt>
                  <c:pt idx="24">
                    <c:v>J. Goff</c:v>
                  </c:pt>
                  <c:pt idx="25">
                    <c:v>K. Allen</c:v>
                  </c:pt>
                  <c:pt idx="26">
                    <c:v>J. Love</c:v>
                  </c:pt>
                  <c:pt idx="27">
                    <c:v>M. Willis</c:v>
                  </c:pt>
                  <c:pt idx="28">
                    <c:v>C.J. Stroud</c:v>
                  </c:pt>
                  <c:pt idx="29">
                    <c:v>D. Mills</c:v>
                  </c:pt>
                  <c:pt idx="30">
                    <c:v>G. Mertz</c:v>
                  </c:pt>
                  <c:pt idx="31">
                    <c:v>D. Jones</c:v>
                  </c:pt>
                  <c:pt idx="32">
                    <c:v>A. Richardson Sr.</c:v>
                  </c:pt>
                  <c:pt idx="33">
                    <c:v>R. Leoenard</c:v>
                  </c:pt>
                  <c:pt idx="34">
                    <c:v>T. Lawrence</c:v>
                  </c:pt>
                  <c:pt idx="35">
                    <c:v>N. Mullens</c:v>
                  </c:pt>
                  <c:pt idx="36">
                    <c:v>P. Mahomes</c:v>
                  </c:pt>
                  <c:pt idx="37">
                    <c:v>G. Minshew</c:v>
                  </c:pt>
                  <c:pt idx="38">
                    <c:v>J. Herbert</c:v>
                  </c:pt>
                  <c:pt idx="39">
                    <c:v>T. Lance</c:v>
                  </c:pt>
                  <c:pt idx="40">
                    <c:v>M. Stafford</c:v>
                  </c:pt>
                  <c:pt idx="41">
                    <c:v>J. Garoppolo</c:v>
                  </c:pt>
                  <c:pt idx="42">
                    <c:v>S. Bennett IV</c:v>
                  </c:pt>
                  <c:pt idx="43">
                    <c:v>G. Smith</c:v>
                  </c:pt>
                  <c:pt idx="44">
                    <c:v>K. Pickett</c:v>
                  </c:pt>
                  <c:pt idx="45">
                    <c:v>A. O'Connell</c:v>
                  </c:pt>
                  <c:pt idx="46">
                    <c:v>T. Tagovailoa</c:v>
                  </c:pt>
                  <c:pt idx="47">
                    <c:v>Z. Wilson</c:v>
                  </c:pt>
                  <c:pt idx="48">
                    <c:v>Q. Ewers</c:v>
                  </c:pt>
                  <c:pt idx="49">
                    <c:v>J.J. McCarthy</c:v>
                  </c:pt>
                  <c:pt idx="50">
                    <c:v>C. Wentz</c:v>
                  </c:pt>
                  <c:pt idx="51">
                    <c:v>M. Brosmer</c:v>
                  </c:pt>
                  <c:pt idx="52">
                    <c:v>D. Maye</c:v>
                  </c:pt>
                  <c:pt idx="53">
                    <c:v>J. Dobbs</c:v>
                  </c:pt>
                  <c:pt idx="54">
                    <c:v>T. DeVito</c:v>
                  </c:pt>
                  <c:pt idx="55">
                    <c:v>S. Rattler</c:v>
                  </c:pt>
                  <c:pt idx="56">
                    <c:v>T. Shough</c:v>
                  </c:pt>
                  <c:pt idx="57">
                    <c:v>J. Haener</c:v>
                  </c:pt>
                  <c:pt idx="58">
                    <c:v>R. Wilson</c:v>
                  </c:pt>
                  <c:pt idx="59">
                    <c:v>J. Dart</c:v>
                  </c:pt>
                  <c:pt idx="60">
                    <c:v>J. Winston</c:v>
                  </c:pt>
                  <c:pt idx="61">
                    <c:v>J. Fields</c:v>
                  </c:pt>
                  <c:pt idx="62">
                    <c:v>T. Taylor</c:v>
                  </c:pt>
                  <c:pt idx="63">
                    <c:v>J. Hurts</c:v>
                  </c:pt>
                  <c:pt idx="64">
                    <c:v>T. McKee</c:v>
                  </c:pt>
                  <c:pt idx="65">
                    <c:v>S. Howell</c:v>
                  </c:pt>
                  <c:pt idx="66">
                    <c:v>A. Rodgers</c:v>
                  </c:pt>
                  <c:pt idx="67">
                    <c:v>M. Rudolph</c:v>
                  </c:pt>
                  <c:pt idx="68">
                    <c:v>S. Thompson</c:v>
                  </c:pt>
                  <c:pt idx="69">
                    <c:v>W. Howard</c:v>
                  </c:pt>
                  <c:pt idx="70">
                    <c:v>S. Darnold</c:v>
                  </c:pt>
                  <c:pt idx="71">
                    <c:v>D. Lock</c:v>
                  </c:pt>
                  <c:pt idx="72">
                    <c:v>J. Milroe</c:v>
                  </c:pt>
                  <c:pt idx="73">
                    <c:v>B. Purdy</c:v>
                  </c:pt>
                  <c:pt idx="74">
                    <c:v>M. Jones</c:v>
                  </c:pt>
                  <c:pt idx="75">
                    <c:v>K. Rourke</c:v>
                  </c:pt>
                  <c:pt idx="76">
                    <c:v>C. Bradley</c:v>
                  </c:pt>
                  <c:pt idx="77">
                    <c:v>B. Mayfield</c:v>
                  </c:pt>
                  <c:pt idx="78">
                    <c:v>T. Bridgewater</c:v>
                  </c:pt>
                  <c:pt idx="79">
                    <c:v>C. Ward</c:v>
                  </c:pt>
                  <c:pt idx="80">
                    <c:v>B. Allen</c:v>
                  </c:pt>
                  <c:pt idx="81">
                    <c:v>W. Levis</c:v>
                  </c:pt>
                  <c:pt idx="82">
                    <c:v>J. Daniels</c:v>
                  </c:pt>
                  <c:pt idx="83">
                    <c:v>M. Mariota</c:v>
                  </c:pt>
                  <c:pt idx="84">
                    <c:v>J. Johnson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A435-4B07-BB84-178511E5F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B08-4D3D-8131-C438A54AB6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B08-4D3D-8131-C438A54AB6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B08-4D3D-8131-C438A54AB64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B08-4D3D-8131-C438A54AB64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780-494D-BC88-843F241966A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780-494D-BC88-843F241966A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780-494D-BC88-843F241966A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780-494D-BC88-843F241966A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780-494D-BC88-843F241966A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780-494D-BC88-843F241966A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780-494D-BC88-843F241966A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780-494D-BC88-843F241966A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780-494D-BC88-843F241966A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780-494D-BC88-843F241966A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780-494D-BC88-843F241966A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780-494D-BC88-843F241966A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780-494D-BC88-843F241966A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780-494D-BC88-843F241966A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780-494D-BC88-843F241966A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780-494D-BC88-843F241966A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780-494D-BC88-843F241966A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780-494D-BC88-843F241966A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780-494D-BC88-843F241966A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780-494D-BC88-843F241966A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780-494D-BC88-843F241966A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780-494D-BC88-843F241966A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780-494D-BC88-843F241966A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780-494D-BC88-843F241966A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780-494D-BC88-843F241966A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780-494D-BC88-843F241966A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780-494D-BC88-843F241966A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780-494D-BC88-843F241966A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CEA-4AE1-B06F-C8BC5DE2D84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CEA-4AE1-B06F-C8BC5DE2D84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CEA-4AE1-B06F-C8BC5DE2D84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CEA-4AE1-B06F-C8BC5DE2D84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CEA-4AE1-B06F-C8BC5DE2D84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CEA-4AE1-B06F-C8BC5DE2D84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CEA-4AE1-B06F-C8BC5DE2D84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CEA-4AE1-B06F-C8BC5DE2D84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CEA-4AE1-B06F-C8BC5DE2D84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CEA-4AE1-B06F-C8BC5DE2D84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CEA-4AE1-B06F-C8BC5DE2D84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CEA-4AE1-B06F-C8BC5DE2D84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CEA-4AE1-B06F-C8BC5DE2D84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CEA-4AE1-B06F-C8BC5DE2D84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CEA-4AE1-B06F-C8BC5DE2D84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CEA-4AE1-B06F-C8BC5DE2D84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CEA-4AE1-B06F-C8BC5DE2D84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CEA-4AE1-B06F-C8BC5DE2D84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CEA-4AE1-B06F-C8BC5DE2D84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CEA-4AE1-B06F-C8BC5DE2D84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CEA-4AE1-B06F-C8BC5DE2D84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CEA-4AE1-B06F-C8BC5DE2D84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CEA-4AE1-B06F-C8BC5DE2D84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CEA-4AE1-B06F-C8BC5DE2D84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CEA-4AE1-B06F-C8BC5DE2D84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CEA-4AE1-B06F-C8BC5DE2D84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CEA-4AE1-B06F-C8BC5DE2D84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CEA-4AE1-B06F-C8BC5DE2D84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CEA-4AE1-B06F-C8BC5DE2D84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CEA-4AE1-B06F-C8BC5DE2D84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CEA-4AE1-B06F-C8BC5DE2D84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CEA-4AE1-B06F-C8BC5DE2D84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CEA-4AE1-B06F-C8BC5DE2D84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CEA-4AE1-B06F-C8BC5DE2D84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CEA-4AE1-B06F-C8BC5DE2D84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CEA-4AE1-B06F-C8BC5DE2D84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CEA-4AE1-B06F-C8BC5DE2D84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CEA-4AE1-B06F-C8BC5DE2D84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CEA-4AE1-B06F-C8BC5DE2D84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CEA-4AE1-B06F-C8BC5DE2D84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CEA-4AE1-B06F-C8BC5DE2D84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CEA-4AE1-B06F-C8BC5DE2D84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CEA-4AE1-B06F-C8BC5DE2D84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CEA-4AE1-B06F-C8BC5DE2D84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CEA-4AE1-B06F-C8BC5DE2D84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CEA-4AE1-B06F-C8BC5DE2D84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CEA-4AE1-B06F-C8BC5DE2D84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CEA-4AE1-B06F-C8BC5DE2D84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CEA-4AE1-B06F-C8BC5DE2D84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7235FFD-087B-45A4-850E-D75C4FB24C6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15B20DB-5FB6-4DE3-A45A-543B3FF61F90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32D4A20D-A0EB-4FB3-8084-3152FC484C6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CEA-4AE1-B06F-C8BC5DE2D84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E1F717BC-276F-41AB-817D-74F0D8A151C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362DCB9-5E67-4BAD-A3C4-953CAB3828EB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73B88165-E8D7-4383-ADBD-3936359D264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CEA-4AE1-B06F-C8BC5DE2D84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707BE0EB-A377-453A-866B-4594EB7EC65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80850DB-7909-4E0D-BE8D-D71ADD4D9BA3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D4280792-56C3-4581-809D-A26BAF235C3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CEA-4AE1-B06F-C8BC5DE2D84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36D64B6D-7900-48C1-A4D6-83CF0635DD6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C8D0DCE-442C-40D7-B677-0683C4988B3F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46FFCAEB-D05C-46ED-952E-9C793A02C26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CEA-4AE1-B06F-C8BC5DE2D84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CEA-4AE1-B06F-C8BC5DE2D84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CEA-4AE1-B06F-C8BC5DE2D84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CEA-4AE1-B06F-C8BC5DE2D84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CEA-4AE1-B06F-C8BC5DE2D84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CEA-4AE1-B06F-C8BC5DE2D84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CEA-4AE1-B06F-C8BC5DE2D84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CEA-4AE1-B06F-C8BC5DE2D84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CEA-4AE1-B06F-C8BC5DE2D84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CEA-4AE1-B06F-C8BC5DE2D84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CEA-4AE1-B06F-C8BC5DE2D84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CEA-4AE1-B06F-C8BC5DE2D84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CEA-4AE1-B06F-C8BC5DE2D84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CEA-4AE1-B06F-C8BC5DE2D84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CEA-4AE1-B06F-C8BC5DE2D84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CEA-4AE1-B06F-C8BC5DE2D849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CEA-4AE1-B06F-C8BC5DE2D84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CEA-4AE1-B06F-C8BC5DE2D849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CEA-4AE1-B06F-C8BC5DE2D849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DC8C3A83-3001-4D34-BC23-4E31ECBD99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980405F-3B80-4111-B735-3BE1508203A0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19D265C5-1E7E-472C-955B-1091974E729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CEA-4AE1-B06F-C8BC5DE2D849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6A69CAB0-8656-4A29-9682-DF291C96664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5A1B7F3-1B8F-4F2A-82FD-BBD5371118AA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6DFAB58-9AF0-43E7-BD38-62E0005D805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CEA-4AE1-B06F-C8BC5DE2D849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225203D7-DE90-4813-A791-2C0CB87DE64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6F5F9C1-465E-4C33-9AA6-4DAD812B48D6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C92E33F-799A-438E-A155-C90AA87DD1D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CEA-4AE1-B06F-C8BC5DE2D849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F5908BCB-485D-412E-A96B-04B244E7D28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9859AFD-F2BE-482E-A863-50D6AA0AA3F2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36B767E4-7165-4381-8D7E-FDA3BBB20B4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CEA-4AE1-B06F-C8BC5DE2D849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CEA-4AE1-B06F-C8BC5DE2D849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CEA-4AE1-B06F-C8BC5DE2D849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CEA-4AE1-B06F-C8BC5DE2D849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CEA-4AE1-B06F-C8BC5DE2D849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CEA-4AE1-B06F-C8BC5DE2D849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CEA-4AE1-B06F-C8BC5DE2D849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CEA-4AE1-B06F-C8BC5DE2D849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CEA-4AE1-B06F-C8BC5DE2D849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CEA-4AE1-B06F-C8BC5DE2D849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CEA-4AE1-B06F-C8BC5DE2D849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CEA-4AE1-B06F-C8BC5DE2D849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CEA-4AE1-B06F-C8BC5DE2D849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CEA-4AE1-B06F-C8BC5DE2D849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CEA-4AE1-B06F-C8BC5DE2D849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CEA-4AE1-B06F-C8BC5DE2D849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CEA-4AE1-B06F-C8BC5DE2D84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RB!$K$2:$K$124</c:f>
              <c:numCache>
                <c:formatCode>0</c:formatCode>
                <c:ptCount val="1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25.5</c:v>
                </c:pt>
                <c:pt idx="82">
                  <c:v>25.5</c:v>
                </c:pt>
                <c:pt idx="83">
                  <c:v>25.5</c:v>
                </c:pt>
                <c:pt idx="84">
                  <c:v>25.5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</c:numCache>
            </c:numRef>
          </c:xVal>
          <c:yVal>
            <c:numRef>
              <c:f>RB!$Q$2:$Q$124</c:f>
              <c:numCache>
                <c:formatCode>0</c:formatCode>
                <c:ptCount val="1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11.375</c:v>
                </c:pt>
                <c:pt idx="82">
                  <c:v>11.375</c:v>
                </c:pt>
                <c:pt idx="83">
                  <c:v>11.375</c:v>
                </c:pt>
                <c:pt idx="84">
                  <c:v>11.375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17.875</c:v>
                </c:pt>
                <c:pt idx="104">
                  <c:v>17.875</c:v>
                </c:pt>
                <c:pt idx="105">
                  <c:v>17.875</c:v>
                </c:pt>
                <c:pt idx="106">
                  <c:v>17.875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RB!$B$2:$B$124</c15:f>
                <c15:dlblRangeCache>
                  <c:ptCount val="123"/>
                  <c:pt idx="0">
                    <c:v>J. Conner</c:v>
                  </c:pt>
                  <c:pt idx="1">
                    <c:v>T. Benson</c:v>
                  </c:pt>
                  <c:pt idx="2">
                    <c:v>E. Demercado</c:v>
                  </c:pt>
                  <c:pt idx="3">
                    <c:v>B. Knight</c:v>
                  </c:pt>
                  <c:pt idx="4">
                    <c:v>B. Robinson</c:v>
                  </c:pt>
                  <c:pt idx="5">
                    <c:v>T. Allgeier</c:v>
                  </c:pt>
                  <c:pt idx="6">
                    <c:v>N. Carter</c:v>
                  </c:pt>
                  <c:pt idx="7">
                    <c:v>D. Henry</c:v>
                  </c:pt>
                  <c:pt idx="8">
                    <c:v>J. Hill</c:v>
                  </c:pt>
                  <c:pt idx="9">
                    <c:v>K. Mitchell</c:v>
                  </c:pt>
                  <c:pt idx="10">
                    <c:v>R. Ali</c:v>
                  </c:pt>
                  <c:pt idx="11">
                    <c:v>P. Ricard</c:v>
                  </c:pt>
                  <c:pt idx="12">
                    <c:v>J. Cook</c:v>
                  </c:pt>
                  <c:pt idx="13">
                    <c:v>R. Davis</c:v>
                  </c:pt>
                  <c:pt idx="14">
                    <c:v>T. Johnson</c:v>
                  </c:pt>
                  <c:pt idx="15">
                    <c:v>C. Hubbard</c:v>
                  </c:pt>
                  <c:pt idx="16">
                    <c:v>R. Dowdle</c:v>
                  </c:pt>
                  <c:pt idx="17">
                    <c:v>T. Etienne</c:v>
                  </c:pt>
                  <c:pt idx="18">
                    <c:v>J. Brooks</c:v>
                  </c:pt>
                  <c:pt idx="19">
                    <c:v>D. Swift</c:v>
                  </c:pt>
                  <c:pt idx="20">
                    <c:v>R. Johnson</c:v>
                  </c:pt>
                  <c:pt idx="21">
                    <c:v>K. Monangai</c:v>
                  </c:pt>
                  <c:pt idx="22">
                    <c:v>T. Homer</c:v>
                  </c:pt>
                  <c:pt idx="23">
                    <c:v>C. Brown</c:v>
                  </c:pt>
                  <c:pt idx="24">
                    <c:v>S. Perine</c:v>
                  </c:pt>
                  <c:pt idx="25">
                    <c:v>T. Brooks</c:v>
                  </c:pt>
                  <c:pt idx="26">
                    <c:v>J. Ford</c:v>
                  </c:pt>
                  <c:pt idx="27">
                    <c:v>Q. Judklins</c:v>
                  </c:pt>
                  <c:pt idx="28">
                    <c:v>D. Sampson</c:v>
                  </c:pt>
                  <c:pt idx="29">
                    <c:v>R. Sanders</c:v>
                  </c:pt>
                  <c:pt idx="30">
                    <c:v>J. Williams</c:v>
                  </c:pt>
                  <c:pt idx="31">
                    <c:v>M. Sanders</c:v>
                  </c:pt>
                  <c:pt idx="32">
                    <c:v>J. Blue</c:v>
                  </c:pt>
                  <c:pt idx="33">
                    <c:v>P. Mafah</c:v>
                  </c:pt>
                  <c:pt idx="34">
                    <c:v>J.K. Dobbins</c:v>
                  </c:pt>
                  <c:pt idx="35">
                    <c:v>R.J. Harvey</c:v>
                  </c:pt>
                  <c:pt idx="36">
                    <c:v>T. Badie</c:v>
                  </c:pt>
                  <c:pt idx="37">
                    <c:v>J. McLaughlin</c:v>
                  </c:pt>
                  <c:pt idx="38">
                    <c:v>J. Gibbs</c:v>
                  </c:pt>
                  <c:pt idx="39">
                    <c:v>D. Montgomery</c:v>
                  </c:pt>
                  <c:pt idx="40">
                    <c:v>C. Reynolds</c:v>
                  </c:pt>
                  <c:pt idx="41">
                    <c:v>S. Vaki</c:v>
                  </c:pt>
                  <c:pt idx="42">
                    <c:v>J. Jacobs</c:v>
                  </c:pt>
                  <c:pt idx="43">
                    <c:v>E. Wilson</c:v>
                  </c:pt>
                  <c:pt idx="44">
                    <c:v>C. Brooks</c:v>
                  </c:pt>
                  <c:pt idx="45">
                    <c:v>M. Lloyd</c:v>
                  </c:pt>
                  <c:pt idx="46">
                    <c:v>N. Chubb</c:v>
                  </c:pt>
                  <c:pt idx="47">
                    <c:v>D. Pierce</c:v>
                  </c:pt>
                  <c:pt idx="48">
                    <c:v>W. Marks</c:v>
                  </c:pt>
                  <c:pt idx="49">
                    <c:v>D. Ogunbowale</c:v>
                  </c:pt>
                  <c:pt idx="50">
                    <c:v>J. Mixon</c:v>
                  </c:pt>
                  <c:pt idx="51">
                    <c:v>J. Taylor</c:v>
                  </c:pt>
                  <c:pt idx="52">
                    <c:v>T. Goodson</c:v>
                  </c:pt>
                  <c:pt idx="53">
                    <c:v>D.J. Giddens</c:v>
                  </c:pt>
                  <c:pt idx="54">
                    <c:v>S. Ahmed</c:v>
                  </c:pt>
                  <c:pt idx="55">
                    <c:v>T. Etienne Jr.</c:v>
                  </c:pt>
                  <c:pt idx="56">
                    <c:v>T. Bigsby</c:v>
                  </c:pt>
                  <c:pt idx="57">
                    <c:v>B. Tuten</c:v>
                  </c:pt>
                  <c:pt idx="58">
                    <c:v>L. Allen Jr.</c:v>
                  </c:pt>
                  <c:pt idx="59">
                    <c:v>I. Pacheco</c:v>
                  </c:pt>
                  <c:pt idx="60">
                    <c:v>K. Hunt</c:v>
                  </c:pt>
                  <c:pt idx="61">
                    <c:v>E. Mitchell</c:v>
                  </c:pt>
                  <c:pt idx="62">
                    <c:v>B. Smith</c:v>
                  </c:pt>
                  <c:pt idx="63">
                    <c:v>O. Hampton</c:v>
                  </c:pt>
                  <c:pt idx="64">
                    <c:v>N. Harris</c:v>
                  </c:pt>
                  <c:pt idx="65">
                    <c:v>H. Haskins</c:v>
                  </c:pt>
                  <c:pt idx="66">
                    <c:v>K. Williams</c:v>
                  </c:pt>
                  <c:pt idx="67">
                    <c:v>B. Corum</c:v>
                  </c:pt>
                  <c:pt idx="68">
                    <c:v>J. Hunter</c:v>
                  </c:pt>
                  <c:pt idx="69">
                    <c:v>A. Jeanty</c:v>
                  </c:pt>
                  <c:pt idx="70">
                    <c:v>R. Mostert</c:v>
                  </c:pt>
                  <c:pt idx="71">
                    <c:v>Z. White</c:v>
                  </c:pt>
                  <c:pt idx="72">
                    <c:v>D. Laube</c:v>
                  </c:pt>
                  <c:pt idx="73">
                    <c:v>D. Achane</c:v>
                  </c:pt>
                  <c:pt idx="74">
                    <c:v>J. Wright</c:v>
                  </c:pt>
                  <c:pt idx="75">
                    <c:v>O. Gordon II</c:v>
                  </c:pt>
                  <c:pt idx="76">
                    <c:v>A. Mattison</c:v>
                  </c:pt>
                  <c:pt idx="77">
                    <c:v>A. Jones Sr.</c:v>
                  </c:pt>
                  <c:pt idx="78">
                    <c:v>J. Mason</c:v>
                  </c:pt>
                  <c:pt idx="79">
                    <c:v>T. Chandler</c:v>
                  </c:pt>
                  <c:pt idx="80">
                    <c:v>Z. Scott</c:v>
                  </c:pt>
                  <c:pt idx="81">
                    <c:v>R. Stevenson</c:v>
                  </c:pt>
                  <c:pt idx="82">
                    <c:v>T. Henderson</c:v>
                  </c:pt>
                  <c:pt idx="83">
                    <c:v>A. Gibson</c:v>
                  </c:pt>
                  <c:pt idx="84">
                    <c:v>L. Larison</c:v>
                  </c:pt>
                  <c:pt idx="85">
                    <c:v>A. Kamara</c:v>
                  </c:pt>
                  <c:pt idx="86">
                    <c:v>K. Miller</c:v>
                  </c:pt>
                  <c:pt idx="87">
                    <c:v>D. Neal</c:v>
                  </c:pt>
                  <c:pt idx="88">
                    <c:v>V. Jones Jr.</c:v>
                  </c:pt>
                  <c:pt idx="89">
                    <c:v>T. Tracy Jr.</c:v>
                  </c:pt>
                  <c:pt idx="90">
                    <c:v>D. Singletary</c:v>
                  </c:pt>
                  <c:pt idx="91">
                    <c:v>C. Skattebo</c:v>
                  </c:pt>
                  <c:pt idx="92">
                    <c:v>E. Gray</c:v>
                  </c:pt>
                  <c:pt idx="93">
                    <c:v>B. Hall</c:v>
                  </c:pt>
                  <c:pt idx="94">
                    <c:v>B. Allen</c:v>
                  </c:pt>
                  <c:pt idx="95">
                    <c:v>I. Davis</c:v>
                  </c:pt>
                  <c:pt idx="96">
                    <c:v>K. Nwangu</c:v>
                  </c:pt>
                  <c:pt idx="97">
                    <c:v>S. Barkley</c:v>
                  </c:pt>
                  <c:pt idx="98">
                    <c:v>W. Shipley</c:v>
                  </c:pt>
                  <c:pt idx="99">
                    <c:v>A.J. Dillon</c:v>
                  </c:pt>
                  <c:pt idx="100">
                    <c:v>J. Warren</c:v>
                  </c:pt>
                  <c:pt idx="101">
                    <c:v>K. Johnson</c:v>
                  </c:pt>
                  <c:pt idx="102">
                    <c:v>K. Gainwell</c:v>
                  </c:pt>
                  <c:pt idx="103">
                    <c:v>K. Walker III</c:v>
                  </c:pt>
                  <c:pt idx="104">
                    <c:v>Z. Charbonnet</c:v>
                  </c:pt>
                  <c:pt idx="105">
                    <c:v>G. Holani</c:v>
                  </c:pt>
                  <c:pt idx="106">
                    <c:v>K. McIntosh</c:v>
                  </c:pt>
                  <c:pt idx="107">
                    <c:v>C. McCaffrey</c:v>
                  </c:pt>
                  <c:pt idx="108">
                    <c:v>B. Robinson Jr.</c:v>
                  </c:pt>
                  <c:pt idx="109">
                    <c:v>I. Guerendo</c:v>
                  </c:pt>
                  <c:pt idx="110">
                    <c:v>J. James</c:v>
                  </c:pt>
                  <c:pt idx="111">
                    <c:v>B. Irving</c:v>
                  </c:pt>
                  <c:pt idx="112">
                    <c:v>R. White</c:v>
                  </c:pt>
                  <c:pt idx="113">
                    <c:v>S. Tucker</c:v>
                  </c:pt>
                  <c:pt idx="114">
                    <c:v>J. Williams</c:v>
                  </c:pt>
                  <c:pt idx="115">
                    <c:v>T. Pollard</c:v>
                  </c:pt>
                  <c:pt idx="116">
                    <c:v>J. Chestnut</c:v>
                  </c:pt>
                  <c:pt idx="117">
                    <c:v>K. Mullings</c:v>
                  </c:pt>
                  <c:pt idx="118">
                    <c:v>T. Spears</c:v>
                  </c:pt>
                  <c:pt idx="119">
                    <c:v>A. Ekeler</c:v>
                  </c:pt>
                  <c:pt idx="120">
                    <c:v>J. Croskey-Merritt</c:v>
                  </c:pt>
                  <c:pt idx="121">
                    <c:v>J. McNichols</c:v>
                  </c:pt>
                  <c:pt idx="122">
                    <c:v>C. Rodriguez Jr.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7B08-4D3D-8131-C438A54AB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FCF-4A95-A279-C2D34457A7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FCF-4A95-A279-C2D34457A7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FCF-4A95-A279-C2D34457A7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FCF-4A95-A279-C2D34457A7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FCF-4A95-A279-C2D34457A77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FCF-4A95-A279-C2D34457A77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FCF-4A95-A279-C2D34457A77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FCF-4A95-A279-C2D34457A77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AB1-41B5-B9D5-B3CD87FFF8B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AB1-41B5-B9D5-B3CD87FFF8B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AB1-41B5-B9D5-B3CD87FFF8B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AB1-41B5-B9D5-B3CD87FFF8B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AB1-41B5-B9D5-B3CD87FFF8B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B1-41B5-B9D5-B3CD87FFF8B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AB1-41B5-B9D5-B3CD87FFF8B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AB1-41B5-B9D5-B3CD87FFF8B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35A-44E9-A49B-2714BC6CE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5A-44E9-A49B-2714BC6CE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5A-44E9-A49B-2714BC6CE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5A-44E9-A49B-2714BC6CE98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5A-44E9-A49B-2714BC6CE98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5A-44E9-A49B-2714BC6CE98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5A-44E9-A49B-2714BC6CE98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5A-44E9-A49B-2714BC6CE98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5A-44E9-A49B-2714BC6CE98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5A-44E9-A49B-2714BC6CE98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5A-44E9-A49B-2714BC6CE98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5A-44E9-A49B-2714BC6CE98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5A-44E9-A49B-2714BC6CE98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5A-44E9-A49B-2714BC6CE98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5A-44E9-A49B-2714BC6CE98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35A-44E9-A49B-2714BC6CE98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35A-44E9-A49B-2714BC6CE98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35A-44E9-A49B-2714BC6CE98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35A-44E9-A49B-2714BC6CE98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35A-44E9-A49B-2714BC6CE98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35A-44E9-A49B-2714BC6CE98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35A-44E9-A49B-2714BC6CE98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35A-44E9-A49B-2714BC6CE98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35A-44E9-A49B-2714BC6CE98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35A-44E9-A49B-2714BC6CE98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35A-44E9-A49B-2714BC6CE98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35A-44E9-A49B-2714BC6CE98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35A-44E9-A49B-2714BC6CE98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35A-44E9-A49B-2714BC6CE98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35A-44E9-A49B-2714BC6CE98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35A-44E9-A49B-2714BC6CE98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35A-44E9-A49B-2714BC6CE98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35A-44E9-A49B-2714BC6CE98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35A-44E9-A49B-2714BC6CE98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35A-44E9-A49B-2714BC6CE98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35A-44E9-A49B-2714BC6CE98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35A-44E9-A49B-2714BC6CE98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35A-44E9-A49B-2714BC6CE98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35A-44E9-A49B-2714BC6CE98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35A-44E9-A49B-2714BC6CE98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35A-44E9-A49B-2714BC6CE98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35A-44E9-A49B-2714BC6CE98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35A-44E9-A49B-2714BC6CE98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35A-44E9-A49B-2714BC6CE98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35A-44E9-A49B-2714BC6CE98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35A-44E9-A49B-2714BC6CE98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35A-44E9-A49B-2714BC6CE98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35A-44E9-A49B-2714BC6CE98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35A-44E9-A49B-2714BC6CE98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35A-44E9-A49B-2714BC6CE98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35A-44E9-A49B-2714BC6CE98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35A-44E9-A49B-2714BC6CE98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35A-44E9-A49B-2714BC6CE98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35A-44E9-A49B-2714BC6CE98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35A-44E9-A49B-2714BC6CE98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35A-44E9-A49B-2714BC6CE98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35A-44E9-A49B-2714BC6CE98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35A-44E9-A49B-2714BC6CE98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35A-44E9-A49B-2714BC6CE98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35A-44E9-A49B-2714BC6CE98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35A-44E9-A49B-2714BC6CE98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935A-44E9-A49B-2714BC6CE98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35A-44E9-A49B-2714BC6CE98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35A-44E9-A49B-2714BC6CE98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35A-44E9-A49B-2714BC6CE98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35A-44E9-A49B-2714BC6CE98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35A-44E9-A49B-2714BC6CE98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35A-44E9-A49B-2714BC6CE98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35A-44E9-A49B-2714BC6CE98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35A-44E9-A49B-2714BC6CE98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35A-44E9-A49B-2714BC6CE98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35A-44E9-A49B-2714BC6CE98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35A-44E9-A49B-2714BC6CE98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35A-44E9-A49B-2714BC6CE98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35A-44E9-A49B-2714BC6CE98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35A-44E9-A49B-2714BC6CE98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35A-44E9-A49B-2714BC6CE98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35A-44E9-A49B-2714BC6CE98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35A-44E9-A49B-2714BC6CE98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35A-44E9-A49B-2714BC6CE98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35A-44E9-A49B-2714BC6CE98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35A-44E9-A49B-2714BC6CE98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35A-44E9-A49B-2714BC6CE98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35A-44E9-A49B-2714BC6CE98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35A-44E9-A49B-2714BC6CE98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35A-44E9-A49B-2714BC6CE98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35A-44E9-A49B-2714BC6CE98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35A-44E9-A49B-2714BC6CE98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35A-44E9-A49B-2714BC6CE98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35A-44E9-A49B-2714BC6CE98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35A-44E9-A49B-2714BC6CE98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35A-44E9-A49B-2714BC6CE98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35A-44E9-A49B-2714BC6CE98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35A-44E9-A49B-2714BC6CE98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35A-44E9-A49B-2714BC6CE98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35A-44E9-A49B-2714BC6CE98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35A-44E9-A49B-2714BC6CE98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35A-44E9-A49B-2714BC6CE98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35A-44E9-A49B-2714BC6CE98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35A-44E9-A49B-2714BC6CE98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35A-44E9-A49B-2714BC6CE98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35A-44E9-A49B-2714BC6CE98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35A-44E9-A49B-2714BC6CE98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35A-44E9-A49B-2714BC6CE98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35A-44E9-A49B-2714BC6CE98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35A-44E9-A49B-2714BC6CE98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35A-44E9-A49B-2714BC6CE98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35A-44E9-A49B-2714BC6CE98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35A-44E9-A49B-2714BC6CE98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35A-44E9-A49B-2714BC6CE98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35A-44E9-A49B-2714BC6CE98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35A-44E9-A49B-2714BC6CE98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0-4F62-9349-4EB7DDC4F08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0-4F62-9349-4EB7DDC4F08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0-4F62-9349-4EB7DDC4F08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0-4F62-9349-4EB7DDC4F08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0-4F62-9349-4EB7DDC4F08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0-4F62-9349-4EB7DDC4F08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0-4F62-9349-4EB7DDC4F08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0-4F62-9349-4EB7DDC4F08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DDD22A71-7450-4A94-A701-0A0E0ED3D6C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0504F45-DFC1-4E7A-8D64-61444010B200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CBB4F4C3-C4B4-4947-9F85-86553E934BC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0-4F62-9349-4EB7DDC4F08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670FA6E5-50B0-4450-AED1-BBEBB473982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7888039-EF59-4350-91E9-0E8984D4A755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92A1415-04EB-4419-9A3C-34C289724C4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2C0-4F62-9349-4EB7DDC4F08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11E40E79-8216-4AB8-97EB-94AA2F9A7A2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E5EEE68-B15D-4B77-AE5B-04F12B3426C2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5DAFD4EC-BD6D-4E48-AAC0-E6D10E30870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2C0-4F62-9349-4EB7DDC4F08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9859B0E0-D957-47BE-A247-8DB32CB5664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EE2B249-079E-436E-8B1A-57E92DD0688D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C12D4155-AAF7-42C6-A56F-1140C528963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2C0-4F62-9349-4EB7DDC4F08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CDF28B97-E05A-406C-8A58-144404B1DD4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B7A5DE9-54E8-4B24-94A6-C54BBD373774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C6AC1949-F18A-420E-93BC-A27E7299A6D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2C0-4F62-9349-4EB7DDC4F08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CA28A7D6-8123-4D13-8994-EC6B53CF10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8BB7703E-6671-49CD-8030-B5B41C4AF8B2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4ABBDD4C-7D3F-4059-9906-524B237EC63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2C0-4F62-9349-4EB7DDC4F08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11190E0-7FE3-4EFD-B2D7-A3E1FBFC0FB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9371DB4-322F-4A62-89BD-128A03D657F4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29AF4198-6932-4AB5-8C2D-5F13AEC3401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2C0-4F62-9349-4EB7DDC4F08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2C0-4F62-9349-4EB7DDC4F08A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2C0-4F62-9349-4EB7DDC4F08A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2C0-4F62-9349-4EB7DDC4F08A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2C0-4F62-9349-4EB7DDC4F08A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2C0-4F62-9349-4EB7DDC4F08A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2C0-4F62-9349-4EB7DDC4F08A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2C0-4F62-9349-4EB7DDC4F08A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2C0-4F62-9349-4EB7DDC4F08A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2C0-4F62-9349-4EB7DDC4F08A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2C0-4F62-9349-4EB7DDC4F08A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2C0-4F62-9349-4EB7DDC4F08A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2C0-4F62-9349-4EB7DDC4F08A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2C0-4F62-9349-4EB7DDC4F08A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2C0-4F62-9349-4EB7DDC4F08A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2C0-4F62-9349-4EB7DDC4F08A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2C0-4F62-9349-4EB7DDC4F08A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2C0-4F62-9349-4EB7DDC4F08A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2C0-4F62-9349-4EB7DDC4F08A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2C0-4F62-9349-4EB7DDC4F08A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2C0-4F62-9349-4EB7DDC4F08A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2C0-4F62-9349-4EB7DDC4F08A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2C0-4F62-9349-4EB7DDC4F08A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2C0-4F62-9349-4EB7DDC4F08A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2C0-4F62-9349-4EB7DDC4F08A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2C0-4F62-9349-4EB7DDC4F08A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2C0-4F62-9349-4EB7DDC4F08A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2C0-4F62-9349-4EB7DDC4F08A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2C0-4F62-9349-4EB7DDC4F08A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2C0-4F62-9349-4EB7DDC4F08A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2C0-4F62-9349-4EB7DDC4F08A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2C0-4F62-9349-4EB7DDC4F08A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2C0-4F62-9349-4EB7DDC4F08A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648E5D16-2658-43A2-91C1-66B361E7533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23A5DCC-4F8F-493F-A444-AF4CFCADA151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620721A3-4069-41B3-86B4-AF6C803F6F8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2C0-4F62-9349-4EB7DDC4F08A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39013C23-8C47-422D-AAB5-9DA1D781CF0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C57A46C-D9C0-4C8B-AA72-DB80703C4394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E6C9B9E8-5A23-49A0-A890-391407D7A1A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2C0-4F62-9349-4EB7DDC4F08A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24C79E2B-99BC-4BEA-B22E-69894F0A714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02E328F-CB95-4497-AC64-8848680BC667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5D07958E-76F9-41EE-A74D-12C01E2F711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2C0-4F62-9349-4EB7DDC4F08A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F9312508-08F3-40AB-BC81-B2574D25751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57FD718-ECBA-40FB-8F77-E2A5BE1F0197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AEDC44C7-E16F-4C44-BEED-A3B6E62DE67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2C0-4F62-9349-4EB7DDC4F08A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89233373-9882-4D89-976C-B1A86196B48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0A9940A-CC8C-457A-BC4C-CB082CBBADD0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34B5FF91-EF70-4E9E-B408-A562E47BB81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2C0-4F62-9349-4EB7DDC4F08A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9D633FFF-2C6F-4A91-BCEC-8557134CF81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AEA98E8-201E-46CC-8884-371FF5BB52F5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7B37D12-F40B-4C24-B465-AA5AE3FFB44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2C0-4F62-9349-4EB7DDC4F08A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CF6051B6-1B11-48C9-BAB3-60CA0AD3C8D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B4AFC41-C26A-477E-81AD-3764C412FBE8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EC38DB1-584A-4E8A-9F8A-D42829951F4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2C0-4F62-9349-4EB7DDC4F08A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2C0-4F62-9349-4EB7DDC4F08A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2C0-4F62-9349-4EB7DDC4F08A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2C0-4F62-9349-4EB7DDC4F08A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2C0-4F62-9349-4EB7DDC4F08A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2C0-4F62-9349-4EB7DDC4F08A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2C0-4F62-9349-4EB7DDC4F08A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2C0-4F62-9349-4EB7DDC4F08A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2C0-4F62-9349-4EB7DDC4F08A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2C0-4F62-9349-4EB7DDC4F08A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2C0-4F62-9349-4EB7DDC4F08A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2C0-4F62-9349-4EB7DDC4F08A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2C0-4F62-9349-4EB7DDC4F08A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2C0-4F62-9349-4EB7DDC4F08A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2C0-4F62-9349-4EB7DDC4F08A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2C0-4F62-9349-4EB7DDC4F08A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2C0-4F62-9349-4EB7DDC4F08A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2C0-4F62-9349-4EB7DDC4F08A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2C0-4F62-9349-4EB7DDC4F08A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2C0-4F62-9349-4EB7DDC4F08A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2C0-4F62-9349-4EB7DDC4F08A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2C0-4F62-9349-4EB7DDC4F08A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2C0-4F62-9349-4EB7DDC4F08A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2C0-4F62-9349-4EB7DDC4F08A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2C0-4F62-9349-4EB7DDC4F08A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2C0-4F62-9349-4EB7DDC4F08A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2C0-4F62-9349-4EB7DDC4F08A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2C0-4F62-9349-4EB7DDC4F08A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2C0-4F62-9349-4EB7DDC4F08A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2C0-4F62-9349-4EB7DDC4F08A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2C0-4F62-9349-4EB7DDC4F08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WR!$I$2:$I$213</c:f>
              <c:numCache>
                <c:formatCode>0</c:formatCode>
                <c:ptCount val="2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21</c:v>
                </c:pt>
                <c:pt idx="137">
                  <c:v>15</c:v>
                </c:pt>
                <c:pt idx="138">
                  <c:v>2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13</c:v>
                </c:pt>
                <c:pt idx="176">
                  <c:v>10</c:v>
                </c:pt>
                <c:pt idx="177">
                  <c:v>26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xVal>
          <c:yVal>
            <c:numRef>
              <c:f>WR!$M$2:$M$213</c:f>
              <c:numCache>
                <c:formatCode>0</c:formatCode>
                <c:ptCount val="2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27.5</c:v>
                </c:pt>
                <c:pt idx="137">
                  <c:v>6.5</c:v>
                </c:pt>
                <c:pt idx="138">
                  <c:v>12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27</c:v>
                </c:pt>
                <c:pt idx="176">
                  <c:v>2</c:v>
                </c:pt>
                <c:pt idx="177">
                  <c:v>25.5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WR!$B$2:$B$213</c15:f>
                <c15:dlblRangeCache>
                  <c:ptCount val="212"/>
                  <c:pt idx="0">
                    <c:v>M. Harrison Jr.</c:v>
                  </c:pt>
                  <c:pt idx="1">
                    <c:v>M. Wilson</c:v>
                  </c:pt>
                  <c:pt idx="2">
                    <c:v>Z. Jones</c:v>
                  </c:pt>
                  <c:pt idx="3">
                    <c:v>G. Dortch</c:v>
                  </c:pt>
                  <c:pt idx="4">
                    <c:v>X. Weaver</c:v>
                  </c:pt>
                  <c:pt idx="5">
                    <c:v>T. Jackson</c:v>
                  </c:pt>
                  <c:pt idx="6">
                    <c:v>D. London</c:v>
                  </c:pt>
                  <c:pt idx="7">
                    <c:v>D. Mooney</c:v>
                  </c:pt>
                  <c:pt idx="8">
                    <c:v>R. McCloud III</c:v>
                  </c:pt>
                  <c:pt idx="9">
                    <c:v>K. Hodge</c:v>
                  </c:pt>
                  <c:pt idx="10">
                    <c:v>C. Washington</c:v>
                  </c:pt>
                  <c:pt idx="11">
                    <c:v>D. Sills V</c:v>
                  </c:pt>
                  <c:pt idx="12">
                    <c:v>J. Agnew</c:v>
                  </c:pt>
                  <c:pt idx="13">
                    <c:v>Z. Flowers</c:v>
                  </c:pt>
                  <c:pt idx="14">
                    <c:v>R. Bateman</c:v>
                  </c:pt>
                  <c:pt idx="15">
                    <c:v>D. Hopkins</c:v>
                  </c:pt>
                  <c:pt idx="16">
                    <c:v>T. Wallace</c:v>
                  </c:pt>
                  <c:pt idx="17">
                    <c:v>D. Walker</c:v>
                  </c:pt>
                  <c:pt idx="18">
                    <c:v>L. Wester</c:v>
                  </c:pt>
                  <c:pt idx="19">
                    <c:v>D. Wade</c:v>
                  </c:pt>
                  <c:pt idx="20">
                    <c:v>K. Coleman</c:v>
                  </c:pt>
                  <c:pt idx="21">
                    <c:v>K. Shakir</c:v>
                  </c:pt>
                  <c:pt idx="22">
                    <c:v>J. Palmer</c:v>
                  </c:pt>
                  <c:pt idx="23">
                    <c:v>E. Moore</c:v>
                  </c:pt>
                  <c:pt idx="24">
                    <c:v>C. Samuel</c:v>
                  </c:pt>
                  <c:pt idx="25">
                    <c:v>T. Shavers</c:v>
                  </c:pt>
                  <c:pt idx="26">
                    <c:v>T. McMillan</c:v>
                  </c:pt>
                  <c:pt idx="27">
                    <c:v>X. Legette</c:v>
                  </c:pt>
                  <c:pt idx="28">
                    <c:v>D. Moore</c:v>
                  </c:pt>
                  <c:pt idx="29">
                    <c:v>H. Renfrow</c:v>
                  </c:pt>
                  <c:pt idx="30">
                    <c:v>J. Horn Jr.</c:v>
                  </c:pt>
                  <c:pt idx="31">
                    <c:v>B. Tremayne</c:v>
                  </c:pt>
                  <c:pt idx="32">
                    <c:v>D. Campbell</c:v>
                  </c:pt>
                  <c:pt idx="33">
                    <c:v>J. Coker</c:v>
                  </c:pt>
                  <c:pt idx="34">
                    <c:v>D.J. Moore</c:v>
                  </c:pt>
                  <c:pt idx="35">
                    <c:v>R. Odunze</c:v>
                  </c:pt>
                  <c:pt idx="36">
                    <c:v>L. Burden III</c:v>
                  </c:pt>
                  <c:pt idx="37">
                    <c:v>O. Zaccheaus</c:v>
                  </c:pt>
                  <c:pt idx="38">
                    <c:v>J. Walker</c:v>
                  </c:pt>
                  <c:pt idx="39">
                    <c:v>D. Duvernay</c:v>
                  </c:pt>
                  <c:pt idx="40">
                    <c:v>J. Chase</c:v>
                  </c:pt>
                  <c:pt idx="41">
                    <c:v>T. Higgins</c:v>
                  </c:pt>
                  <c:pt idx="42">
                    <c:v>A. Iosivas</c:v>
                  </c:pt>
                  <c:pt idx="43">
                    <c:v>J. Burton</c:v>
                  </c:pt>
                  <c:pt idx="44">
                    <c:v>C. Jones</c:v>
                  </c:pt>
                  <c:pt idx="45">
                    <c:v>M. Tinsley</c:v>
                  </c:pt>
                  <c:pt idx="46">
                    <c:v>J. Jeudy</c:v>
                  </c:pt>
                  <c:pt idx="47">
                    <c:v>C. Tillman</c:v>
                  </c:pt>
                  <c:pt idx="48">
                    <c:v>J. Thrash</c:v>
                  </c:pt>
                  <c:pt idx="49">
                    <c:v>I. Bond</c:v>
                  </c:pt>
                  <c:pt idx="50">
                    <c:v>D. Carter</c:v>
                  </c:pt>
                  <c:pt idx="51">
                    <c:v>G. Larvadain</c:v>
                  </c:pt>
                  <c:pt idx="52">
                    <c:v>D. Bell</c:v>
                  </c:pt>
                  <c:pt idx="53">
                    <c:v>C. McDonald</c:v>
                  </c:pt>
                  <c:pt idx="54">
                    <c:v>C. Lamb</c:v>
                  </c:pt>
                  <c:pt idx="55">
                    <c:v>G. Pickens</c:v>
                  </c:pt>
                  <c:pt idx="56">
                    <c:v>J. Tolbert</c:v>
                  </c:pt>
                  <c:pt idx="57">
                    <c:v>K. Turpin</c:v>
                  </c:pt>
                  <c:pt idx="58">
                    <c:v>J. Mingo</c:v>
                  </c:pt>
                  <c:pt idx="59">
                    <c:v>C. Sutton</c:v>
                  </c:pt>
                  <c:pt idx="60">
                    <c:v>M. Mims Jr.</c:v>
                  </c:pt>
                  <c:pt idx="61">
                    <c:v>T. Franklin</c:v>
                  </c:pt>
                  <c:pt idx="62">
                    <c:v>P. Bryant</c:v>
                  </c:pt>
                  <c:pt idx="63">
                    <c:v>T. Sherfield Sr.</c:v>
                  </c:pt>
                  <c:pt idx="64">
                    <c:v>A. St. Brown</c:v>
                  </c:pt>
                  <c:pt idx="65">
                    <c:v>J. Williams</c:v>
                  </c:pt>
                  <c:pt idx="66">
                    <c:v>K. Raymond</c:v>
                  </c:pt>
                  <c:pt idx="67">
                    <c:v>I. TeSlaa</c:v>
                  </c:pt>
                  <c:pt idx="68">
                    <c:v>D. Lovett</c:v>
                  </c:pt>
                  <c:pt idx="69">
                    <c:v>J. Reed</c:v>
                  </c:pt>
                  <c:pt idx="70">
                    <c:v>M. Golden</c:v>
                  </c:pt>
                  <c:pt idx="71">
                    <c:v>R. Doubs</c:v>
                  </c:pt>
                  <c:pt idx="72">
                    <c:v>D. Wicks</c:v>
                  </c:pt>
                  <c:pt idx="73">
                    <c:v>S, Williams</c:v>
                  </c:pt>
                  <c:pt idx="74">
                    <c:v>M. Heath</c:v>
                  </c:pt>
                  <c:pt idx="75">
                    <c:v>C. Watson</c:v>
                  </c:pt>
                  <c:pt idx="76">
                    <c:v>N. Collins</c:v>
                  </c:pt>
                  <c:pt idx="77">
                    <c:v>C. Kirk</c:v>
                  </c:pt>
                  <c:pt idx="78">
                    <c:v>J. Higgins</c:v>
                  </c:pt>
                  <c:pt idx="79">
                    <c:v>J. Noel</c:v>
                  </c:pt>
                  <c:pt idx="80">
                    <c:v>X. Hutchinson</c:v>
                  </c:pt>
                  <c:pt idx="81">
                    <c:v>J. Watson</c:v>
                  </c:pt>
                  <c:pt idx="82">
                    <c:v>B. Berrios</c:v>
                  </c:pt>
                  <c:pt idx="83">
                    <c:v>T. Dell</c:v>
                  </c:pt>
                  <c:pt idx="84">
                    <c:v>M. Pittman Jr. </c:v>
                  </c:pt>
                  <c:pt idx="85">
                    <c:v>J. Downs</c:v>
                  </c:pt>
                  <c:pt idx="86">
                    <c:v>A. Pierce</c:v>
                  </c:pt>
                  <c:pt idx="87">
                    <c:v>A. Mitchell</c:v>
                  </c:pt>
                  <c:pt idx="88">
                    <c:v>A. Dulin</c:v>
                  </c:pt>
                  <c:pt idx="89">
                    <c:v>A. Gould</c:v>
                  </c:pt>
                  <c:pt idx="90">
                    <c:v>D.J. Montgomery</c:v>
                  </c:pt>
                  <c:pt idx="91">
                    <c:v>B. Thomas Jr.</c:v>
                  </c:pt>
                  <c:pt idx="92">
                    <c:v>T. Hunter</c:v>
                  </c:pt>
                  <c:pt idx="93">
                    <c:v>D. Brown</c:v>
                  </c:pt>
                  <c:pt idx="94">
                    <c:v>P. Washington</c:v>
                  </c:pt>
                  <c:pt idx="95">
                    <c:v>T. Patrick</c:v>
                  </c:pt>
                  <c:pt idx="96">
                    <c:v>J. Cephus</c:v>
                  </c:pt>
                  <c:pt idx="97">
                    <c:v>X. Worthy</c:v>
                  </c:pt>
                  <c:pt idx="98">
                    <c:v>H. Brown</c:v>
                  </c:pt>
                  <c:pt idx="99">
                    <c:v>J. Smith-Schuster</c:v>
                  </c:pt>
                  <c:pt idx="100">
                    <c:v>J. Royals</c:v>
                  </c:pt>
                  <c:pt idx="101">
                    <c:v>T. Thornton</c:v>
                  </c:pt>
                  <c:pt idx="102">
                    <c:v>J. Brownlee</c:v>
                  </c:pt>
                  <c:pt idx="103">
                    <c:v>N. Remigio</c:v>
                  </c:pt>
                  <c:pt idx="104">
                    <c:v>R. Rice</c:v>
                  </c:pt>
                  <c:pt idx="105">
                    <c:v>L. McConkey</c:v>
                  </c:pt>
                  <c:pt idx="106">
                    <c:v>Q. Johnston</c:v>
                  </c:pt>
                  <c:pt idx="107">
                    <c:v>K. Allen</c:v>
                  </c:pt>
                  <c:pt idx="108">
                    <c:v>T. Harris</c:v>
                  </c:pt>
                  <c:pt idx="109">
                    <c:v>K. Lambert-Smith</c:v>
                  </c:pt>
                  <c:pt idx="110">
                    <c:v>D. Davis</c:v>
                  </c:pt>
                  <c:pt idx="111">
                    <c:v>P. Nacua</c:v>
                  </c:pt>
                  <c:pt idx="112">
                    <c:v>D. Adams</c:v>
                  </c:pt>
                  <c:pt idx="113">
                    <c:v>T. Atwell</c:v>
                  </c:pt>
                  <c:pt idx="114">
                    <c:v>J. Whittington</c:v>
                  </c:pt>
                  <c:pt idx="115">
                    <c:v>K. Mumpfield</c:v>
                  </c:pt>
                  <c:pt idx="116">
                    <c:v>X. Smith</c:v>
                  </c:pt>
                  <c:pt idx="117">
                    <c:v>J. Meyers</c:v>
                  </c:pt>
                  <c:pt idx="118">
                    <c:v>T. Tucker</c:v>
                  </c:pt>
                  <c:pt idx="119">
                    <c:v>D. Thornton Jr.</c:v>
                  </c:pt>
                  <c:pt idx="120">
                    <c:v>J. Bech</c:v>
                  </c:pt>
                  <c:pt idx="121">
                    <c:v>J. Shorter</c:v>
                  </c:pt>
                  <c:pt idx="122">
                    <c:v>A. Bachman</c:v>
                  </c:pt>
                  <c:pt idx="123">
                    <c:v>T. Hill</c:v>
                  </c:pt>
                  <c:pt idx="124">
                    <c:v>J. Waddle</c:v>
                  </c:pt>
                  <c:pt idx="125">
                    <c:v>M. Washington</c:v>
                  </c:pt>
                  <c:pt idx="126">
                    <c:v>N. Westbrook-Ikhine</c:v>
                  </c:pt>
                  <c:pt idx="127">
                    <c:v>D. Eskridge</c:v>
                  </c:pt>
                  <c:pt idx="128">
                    <c:v>T. Washington</c:v>
                  </c:pt>
                  <c:pt idx="129">
                    <c:v>J. Jefferson</c:v>
                  </c:pt>
                  <c:pt idx="130">
                    <c:v>J. Addison</c:v>
                  </c:pt>
                  <c:pt idx="131">
                    <c:v>A. Thielen</c:v>
                  </c:pt>
                  <c:pt idx="132">
                    <c:v>J. Nailor</c:v>
                  </c:pt>
                  <c:pt idx="133">
                    <c:v>T. Felton</c:v>
                  </c:pt>
                  <c:pt idx="134">
                    <c:v>M. Price</c:v>
                  </c:pt>
                  <c:pt idx="135">
                    <c:v>R. Moore</c:v>
                  </c:pt>
                  <c:pt idx="136">
                    <c:v>S. Diggs</c:v>
                  </c:pt>
                  <c:pt idx="137">
                    <c:v>D. Douglas</c:v>
                  </c:pt>
                  <c:pt idx="138">
                    <c:v>K. Boutte</c:v>
                  </c:pt>
                  <c:pt idx="139">
                    <c:v>M. Hollins</c:v>
                  </c:pt>
                  <c:pt idx="140">
                    <c:v>K. Williams</c:v>
                  </c:pt>
                  <c:pt idx="141">
                    <c:v>E. Chism III</c:v>
                  </c:pt>
                  <c:pt idx="142">
                    <c:v>J. Polk</c:v>
                  </c:pt>
                  <c:pt idx="143">
                    <c:v>C. Olave</c:v>
                  </c:pt>
                  <c:pt idx="144">
                    <c:v>R. Shaheed</c:v>
                  </c:pt>
                  <c:pt idx="145">
                    <c:v>B. Cooks</c:v>
                  </c:pt>
                  <c:pt idx="146">
                    <c:v>D. Vele</c:v>
                  </c:pt>
                  <c:pt idx="147">
                    <c:v>T. Palmer</c:v>
                  </c:pt>
                  <c:pt idx="148">
                    <c:v>M. Tipton</c:v>
                  </c:pt>
                  <c:pt idx="149">
                    <c:v>B. Means</c:v>
                  </c:pt>
                  <c:pt idx="150">
                    <c:v>M. Nabers</c:v>
                  </c:pt>
                  <c:pt idx="151">
                    <c:v>W. Robinson</c:v>
                  </c:pt>
                  <c:pt idx="152">
                    <c:v>D. Slayton</c:v>
                  </c:pt>
                  <c:pt idx="153">
                    <c:v>J. Hyatt </c:v>
                  </c:pt>
                  <c:pt idx="154">
                    <c:v>B. Collins</c:v>
                  </c:pt>
                  <c:pt idx="155">
                    <c:v>G. Olszewski</c:v>
                  </c:pt>
                  <c:pt idx="156">
                    <c:v>B. Ford-Wheaton</c:v>
                  </c:pt>
                  <c:pt idx="157">
                    <c:v>D. Felton</c:v>
                  </c:pt>
                  <c:pt idx="158">
                    <c:v>G. Wilson</c:v>
                  </c:pt>
                  <c:pt idx="159">
                    <c:v>J. Reynolds</c:v>
                  </c:pt>
                  <c:pt idx="160">
                    <c:v>A. Lazard</c:v>
                  </c:pt>
                  <c:pt idx="161">
                    <c:v>X. Gipson</c:v>
                  </c:pt>
                  <c:pt idx="162">
                    <c:v>A. Smith</c:v>
                  </c:pt>
                  <c:pt idx="163">
                    <c:v>I. Charles</c:v>
                  </c:pt>
                  <c:pt idx="164">
                    <c:v>A.J. Brown</c:v>
                  </c:pt>
                  <c:pt idx="165">
                    <c:v>D. Smith</c:v>
                  </c:pt>
                  <c:pt idx="166">
                    <c:v>J. Dotson</c:v>
                  </c:pt>
                  <c:pt idx="167">
                    <c:v>J. Metchie III</c:v>
                  </c:pt>
                  <c:pt idx="168">
                    <c:v>D. Cooper</c:v>
                  </c:pt>
                  <c:pt idx="169">
                    <c:v>J. Wilson</c:v>
                  </c:pt>
                  <c:pt idx="170">
                    <c:v>D.K. Metcalf</c:v>
                  </c:pt>
                  <c:pt idx="171">
                    <c:v>C. Austin III</c:v>
                  </c:pt>
                  <c:pt idx="172">
                    <c:v>R. Wilson</c:v>
                  </c:pt>
                  <c:pt idx="173">
                    <c:v>S. Miller</c:v>
                  </c:pt>
                  <c:pt idx="174">
                    <c:v>B. Skowronek</c:v>
                  </c:pt>
                  <c:pt idx="175">
                    <c:v>J. Smith-Njigba</c:v>
                  </c:pt>
                  <c:pt idx="176">
                    <c:v>C. Kupp</c:v>
                  </c:pt>
                  <c:pt idx="177">
                    <c:v>T. Horton</c:v>
                  </c:pt>
                  <c:pt idx="178">
                    <c:v>J. Bobo</c:v>
                  </c:pt>
                  <c:pt idx="179">
                    <c:v>D. Young</c:v>
                  </c:pt>
                  <c:pt idx="180">
                    <c:v>C. White</c:v>
                  </c:pt>
                  <c:pt idx="181">
                    <c:v>J. Plumlee</c:v>
                  </c:pt>
                  <c:pt idx="182">
                    <c:v>J. Jennings</c:v>
                  </c:pt>
                  <c:pt idx="183">
                    <c:v>R. Pearsall</c:v>
                  </c:pt>
                  <c:pt idx="184">
                    <c:v>M. Valdez-Scantling</c:v>
                  </c:pt>
                  <c:pt idx="185">
                    <c:v>S. Moore</c:v>
                  </c:pt>
                  <c:pt idx="186">
                    <c:v>J. Watkins</c:v>
                  </c:pt>
                  <c:pt idx="187">
                    <c:v>D. Robinson</c:v>
                  </c:pt>
                  <c:pt idx="188">
                    <c:v>B. Aiyuk</c:v>
                  </c:pt>
                  <c:pt idx="189">
                    <c:v>J. Cowing</c:v>
                  </c:pt>
                  <c:pt idx="190">
                    <c:v>T. Taylor</c:v>
                  </c:pt>
                  <c:pt idx="191">
                    <c:v>M. Evans</c:v>
                  </c:pt>
                  <c:pt idx="192">
                    <c:v>C. Godwin</c:v>
                  </c:pt>
                  <c:pt idx="193">
                    <c:v>E. Egbuka</c:v>
                  </c:pt>
                  <c:pt idx="194">
                    <c:v>T. Johnson</c:v>
                  </c:pt>
                  <c:pt idx="195">
                    <c:v>S. Shepard</c:v>
                  </c:pt>
                  <c:pt idx="196">
                    <c:v>K. Johnson</c:v>
                  </c:pt>
                  <c:pt idx="197">
                    <c:v>R. Miller</c:v>
                  </c:pt>
                  <c:pt idx="198">
                    <c:v>J. McMillan</c:v>
                  </c:pt>
                  <c:pt idx="199">
                    <c:v>J. Smith</c:v>
                  </c:pt>
                  <c:pt idx="200">
                    <c:v>C. Ridley</c:v>
                  </c:pt>
                  <c:pt idx="201">
                    <c:v>E. Ayomanor</c:v>
                  </c:pt>
                  <c:pt idx="202">
                    <c:v>T. Lockett</c:v>
                  </c:pt>
                  <c:pt idx="203">
                    <c:v>V. Jefferson</c:v>
                  </c:pt>
                  <c:pt idx="204">
                    <c:v>C. Dike</c:v>
                  </c:pt>
                  <c:pt idx="205">
                    <c:v>B. Oliver</c:v>
                  </c:pt>
                  <c:pt idx="206">
                    <c:v>T. Burks</c:v>
                  </c:pt>
                  <c:pt idx="207">
                    <c:v>T. McLaurin</c:v>
                  </c:pt>
                  <c:pt idx="208">
                    <c:v>D. Samuel</c:v>
                  </c:pt>
                  <c:pt idx="209">
                    <c:v>N. Brown</c:v>
                  </c:pt>
                  <c:pt idx="210">
                    <c:v>L. McCaffrey</c:v>
                  </c:pt>
                  <c:pt idx="211">
                    <c:v>J. Lane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FCF-4A95-A279-C2D34457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04-414F-B886-33DAFF8E75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904-414F-B886-33DAFF8E75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904-414F-B886-33DAFF8E75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904-414F-B886-33DAFF8E75C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7E0-4D72-862F-1861843381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7E0-4D72-862F-1861843381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E0-4D72-862F-1861843381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7E0-4D72-862F-1861843381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7E0-4D72-862F-1861843381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E0-4D72-862F-1861843381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7E0-4D72-862F-1861843381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7E0-4D72-862F-1861843381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7E0-4D72-862F-1861843381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E0-4D72-862F-1861843381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E0-4D72-862F-1861843381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7E0-4D72-862F-1861843381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7E0-4D72-862F-1861843381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7E0-4D72-862F-1861843381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7E0-4D72-862F-1861843381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E0-4D72-862F-1861843381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7E0-4D72-862F-1861843381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7E0-4D72-862F-1861843381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7E0-4D72-862F-1861843381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7E0-4D72-862F-18618433818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E0-4D72-862F-18618433818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7E0-4D72-862F-18618433818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7E0-4D72-862F-18618433818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7E0-4D72-862F-18618433818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7E0-4D72-862F-18618433818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7E0-4D72-862F-18618433818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7E0-4D72-862F-18618433818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7E0-4D72-862F-18618433818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D10-4B4F-B38C-CC3B8F113B0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D10-4B4F-B38C-CC3B8F113B0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D10-4B4F-B38C-CC3B8F113B0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D10-4B4F-B38C-CC3B8F113B0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D10-4B4F-B38C-CC3B8F113B0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D10-4B4F-B38C-CC3B8F113B0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D10-4B4F-B38C-CC3B8F113B0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D10-4B4F-B38C-CC3B8F113B0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D10-4B4F-B38C-CC3B8F113B0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D10-4B4F-B38C-CC3B8F113B0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D10-4B4F-B38C-CC3B8F113B0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D10-4B4F-B38C-CC3B8F113B0F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D10-4B4F-B38C-CC3B8F113B0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D10-4B4F-B38C-CC3B8F113B0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D10-4B4F-B38C-CC3B8F113B0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D10-4B4F-B38C-CC3B8F113B0F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D10-4B4F-B38C-CC3B8F113B0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D10-4B4F-B38C-CC3B8F113B0F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D10-4B4F-B38C-CC3B8F113B0F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D10-4B4F-B38C-CC3B8F113B0F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D10-4B4F-B38C-CC3B8F113B0F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D10-4B4F-B38C-CC3B8F113B0F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D10-4B4F-B38C-CC3B8F113B0F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D10-4B4F-B38C-CC3B8F113B0F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D10-4B4F-B38C-CC3B8F113B0F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D10-4B4F-B38C-CC3B8F113B0F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D10-4B4F-B38C-CC3B8F113B0F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D10-4B4F-B38C-CC3B8F113B0F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D10-4B4F-B38C-CC3B8F113B0F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D10-4B4F-B38C-CC3B8F113B0F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D10-4B4F-B38C-CC3B8F113B0F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D10-4B4F-B38C-CC3B8F113B0F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D10-4B4F-B38C-CC3B8F113B0F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D10-4B4F-B38C-CC3B8F113B0F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D10-4B4F-B38C-CC3B8F113B0F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D10-4B4F-B38C-CC3B8F113B0F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D10-4B4F-B38C-CC3B8F113B0F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D10-4B4F-B38C-CC3B8F113B0F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D10-4B4F-B38C-CC3B8F113B0F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D10-4B4F-B38C-CC3B8F113B0F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D10-4B4F-B38C-CC3B8F113B0F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D10-4B4F-B38C-CC3B8F113B0F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D10-4B4F-B38C-CC3B8F113B0F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D10-4B4F-B38C-CC3B8F113B0F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D10-4B4F-B38C-CC3B8F113B0F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B7E1795A-ED70-4EA6-81F9-9B79E644ECC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CCAEA86-47AC-4F79-AA45-EAE382AA21EE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265728C3-BFDC-4EC3-A15E-11C7ED2FB349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D10-4B4F-B38C-CC3B8F113B0F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00F14D39-8CA9-4B8F-AD83-BDB8D6D6943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89B46F2-9C64-4188-B7BD-16F0ED7A59B1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A43625A2-7B2B-4C19-B73A-FB88444CD73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D10-4B4F-B38C-CC3B8F113B0F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D10-4B4F-B38C-CC3B8F113B0F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D10-4B4F-B38C-CC3B8F113B0F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D10-4B4F-B38C-CC3B8F113B0F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D10-4B4F-B38C-CC3B8F113B0F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D10-4B4F-B38C-CC3B8F113B0F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D10-4B4F-B38C-CC3B8F113B0F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D10-4B4F-B38C-CC3B8F113B0F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D10-4B4F-B38C-CC3B8F113B0F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D10-4B4F-B38C-CC3B8F113B0F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D10-4B4F-B38C-CC3B8F113B0F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D10-4B4F-B38C-CC3B8F113B0F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D10-4B4F-B38C-CC3B8F113B0F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D10-4B4F-B38C-CC3B8F113B0F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D10-4B4F-B38C-CC3B8F113B0F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D10-4B4F-B38C-CC3B8F113B0F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D10-4B4F-B38C-CC3B8F113B0F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D10-4B4F-B38C-CC3B8F113B0F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D10-4B4F-B38C-CC3B8F113B0F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D10-4B4F-B38C-CC3B8F113B0F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88E8DC81-D547-4A8B-8F90-06EBF11CB2C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00AC02F-E740-4D33-9C22-2DF3FCDADCE6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09DABF7E-73C7-4205-8E71-CE35DF1AAF4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D10-4B4F-B38C-CC3B8F113B0F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D03EA027-9C28-491C-BE52-11C26740D99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352DE1A-F1AB-4102-93F7-505AE4C05F3B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3A4FF8B6-A6ED-4E11-A685-266054D0FB8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D10-4B4F-B38C-CC3B8F113B0F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0860646C-6370-4BDF-9710-CBCA738B495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D9C8389-9D52-45C4-9EDF-07010556D292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9EF8C045-D8AD-4BFE-838C-6D6D39C1987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D10-4B4F-B38C-CC3B8F113B0F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5605A14F-989A-412B-BF8B-A0A39464698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C4B0745-407A-467D-83E4-9BE921529189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B085ECA3-9D9F-460D-A445-850E31DA1B4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D10-4B4F-B38C-CC3B8F113B0F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D10-4B4F-B38C-CC3B8F113B0F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D10-4B4F-B38C-CC3B8F113B0F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D10-4B4F-B38C-CC3B8F113B0F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D10-4B4F-B38C-CC3B8F113B0F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D10-4B4F-B38C-CC3B8F113B0F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D10-4B4F-B38C-CC3B8F113B0F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D10-4B4F-B38C-CC3B8F113B0F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D10-4B4F-B38C-CC3B8F113B0F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D10-4B4F-B38C-CC3B8F113B0F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D10-4B4F-B38C-CC3B8F113B0F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D10-4B4F-B38C-CC3B8F113B0F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D10-4B4F-B38C-CC3B8F113B0F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D10-4B4F-B38C-CC3B8F113B0F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D10-4B4F-B38C-CC3B8F113B0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TE!$I$2:$I$117</c:f>
              <c:numCache>
                <c:formatCode>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26</c:v>
                </c:pt>
                <c:pt idx="78">
                  <c:v>26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</c:numCache>
            </c:numRef>
          </c:xVal>
          <c:yVal>
            <c:numRef>
              <c:f>TE!$M$2:$M$117</c:f>
              <c:numCache>
                <c:formatCode>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16</c:v>
                </c:pt>
                <c:pt idx="78">
                  <c:v>16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16.5</c:v>
                </c:pt>
                <c:pt idx="99">
                  <c:v>16.5</c:v>
                </c:pt>
                <c:pt idx="100">
                  <c:v>16.5</c:v>
                </c:pt>
                <c:pt idx="101">
                  <c:v>16.5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TE!$B$2:$B$117</c15:f>
                <c15:dlblRangeCache>
                  <c:ptCount val="116"/>
                  <c:pt idx="0">
                    <c:v>T. McBride</c:v>
                  </c:pt>
                  <c:pt idx="1">
                    <c:v>E. Higgins</c:v>
                  </c:pt>
                  <c:pt idx="2">
                    <c:v>T. Reiman</c:v>
                  </c:pt>
                  <c:pt idx="3">
                    <c:v>T. Vokolek</c:v>
                  </c:pt>
                  <c:pt idx="4">
                    <c:v>K. Pitts Sr.</c:v>
                  </c:pt>
                  <c:pt idx="5">
                    <c:v>C. Woerner</c:v>
                  </c:pt>
                  <c:pt idx="6">
                    <c:v>T. Quitoriano</c:v>
                  </c:pt>
                  <c:pt idx="7">
                    <c:v>F. Franks</c:v>
                  </c:pt>
                  <c:pt idx="8">
                    <c:v>M. Andrews</c:v>
                  </c:pt>
                  <c:pt idx="9">
                    <c:v>I. Likely</c:v>
                  </c:pt>
                  <c:pt idx="10">
                    <c:v>C. Kolar</c:v>
                  </c:pt>
                  <c:pt idx="11">
                    <c:v>D. Kincaid</c:v>
                  </c:pt>
                  <c:pt idx="12">
                    <c:v>D. Knox</c:v>
                  </c:pt>
                  <c:pt idx="13">
                    <c:v>J. Hawes</c:v>
                  </c:pt>
                  <c:pt idx="14">
                    <c:v>J. Sanders</c:v>
                  </c:pt>
                  <c:pt idx="15">
                    <c:v>T. Tremble</c:v>
                  </c:pt>
                  <c:pt idx="16">
                    <c:v>M. Evans</c:v>
                  </c:pt>
                  <c:pt idx="17">
                    <c:v>J. Mitchell</c:v>
                  </c:pt>
                  <c:pt idx="18">
                    <c:v>C. Loveland</c:v>
                  </c:pt>
                  <c:pt idx="19">
                    <c:v>C. Kmet</c:v>
                  </c:pt>
                  <c:pt idx="20">
                    <c:v>D. Smythe</c:v>
                  </c:pt>
                  <c:pt idx="21">
                    <c:v>N. Fant</c:v>
                  </c:pt>
                  <c:pt idx="22">
                    <c:v>M. Gesicki</c:v>
                  </c:pt>
                  <c:pt idx="23">
                    <c:v>D. Sample</c:v>
                  </c:pt>
                  <c:pt idx="24">
                    <c:v>T. Hudson</c:v>
                  </c:pt>
                  <c:pt idx="25">
                    <c:v>D. Njoku</c:v>
                  </c:pt>
                  <c:pt idx="26">
                    <c:v>H. Fannin Jr.</c:v>
                  </c:pt>
                  <c:pt idx="27">
                    <c:v>B. Whiteheart</c:v>
                  </c:pt>
                  <c:pt idx="28">
                    <c:v>J. Ferguson</c:v>
                  </c:pt>
                  <c:pt idx="29">
                    <c:v>L. Schoonmaker</c:v>
                  </c:pt>
                  <c:pt idx="30">
                    <c:v>B. Spann-Ford</c:v>
                  </c:pt>
                  <c:pt idx="31">
                    <c:v>J. Stephens Jr.</c:v>
                  </c:pt>
                  <c:pt idx="32">
                    <c:v>E. Engram</c:v>
                  </c:pt>
                  <c:pt idx="33">
                    <c:v>A. Trautman</c:v>
                  </c:pt>
                  <c:pt idx="34">
                    <c:v>N. Adkins</c:v>
                  </c:pt>
                  <c:pt idx="35">
                    <c:v>L. Krull</c:v>
                  </c:pt>
                  <c:pt idx="36">
                    <c:v>S. LaPorta</c:v>
                  </c:pt>
                  <c:pt idx="37">
                    <c:v>B. Wright</c:v>
                  </c:pt>
                  <c:pt idx="38">
                    <c:v>S. Zylstra</c:v>
                  </c:pt>
                  <c:pt idx="39">
                    <c:v>K. Yeboah</c:v>
                  </c:pt>
                  <c:pt idx="40">
                    <c:v>T. Kraft</c:v>
                  </c:pt>
                  <c:pt idx="41">
                    <c:v>L. Musgrave</c:v>
                  </c:pt>
                  <c:pt idx="42">
                    <c:v>B. Sims</c:v>
                  </c:pt>
                  <c:pt idx="43">
                    <c:v>J. FitzPatrick</c:v>
                  </c:pt>
                  <c:pt idx="44">
                    <c:v>D. Schultz</c:v>
                  </c:pt>
                  <c:pt idx="45">
                    <c:v>C. Stover</c:v>
                  </c:pt>
                  <c:pt idx="46">
                    <c:v>B. Jordan</c:v>
                  </c:pt>
                  <c:pt idx="47">
                    <c:v>I. Smith Jr.</c:v>
                  </c:pt>
                  <c:pt idx="48">
                    <c:v>T. Warren</c:v>
                  </c:pt>
                  <c:pt idx="49">
                    <c:v>M. Alie-Cox</c:v>
                  </c:pt>
                  <c:pt idx="50">
                    <c:v>D. Ogletree</c:v>
                  </c:pt>
                  <c:pt idx="51">
                    <c:v>W. Mallory</c:v>
                  </c:pt>
                  <c:pt idx="52">
                    <c:v>B. Strange</c:v>
                  </c:pt>
                  <c:pt idx="53">
                    <c:v>H. Long</c:v>
                  </c:pt>
                  <c:pt idx="54">
                    <c:v>J. Mundt</c:v>
                  </c:pt>
                  <c:pt idx="55">
                    <c:v>T. Kelce</c:v>
                  </c:pt>
                  <c:pt idx="56">
                    <c:v>N. Gray</c:v>
                  </c:pt>
                  <c:pt idx="57">
                    <c:v>J. Wiley</c:v>
                  </c:pt>
                  <c:pt idx="58">
                    <c:v>R. Tonyan</c:v>
                  </c:pt>
                  <c:pt idx="59">
                    <c:v>W. Dissly</c:v>
                  </c:pt>
                  <c:pt idx="60">
                    <c:v>T. Conklin</c:v>
                  </c:pt>
                  <c:pt idx="61">
                    <c:v>O. Gadsden II</c:v>
                  </c:pt>
                  <c:pt idx="62">
                    <c:v>T. Fisk</c:v>
                  </c:pt>
                  <c:pt idx="63">
                    <c:v>T. Higbee</c:v>
                  </c:pt>
                  <c:pt idx="64">
                    <c:v>T. Ferguson</c:v>
                  </c:pt>
                  <c:pt idx="65">
                    <c:v>C. Parkinson</c:v>
                  </c:pt>
                  <c:pt idx="66">
                    <c:v>D. Allen</c:v>
                  </c:pt>
                  <c:pt idx="67">
                    <c:v>B. Bowers</c:v>
                  </c:pt>
                  <c:pt idx="68">
                    <c:v>M. Mayer</c:v>
                  </c:pt>
                  <c:pt idx="69">
                    <c:v>I. Thomas</c:v>
                  </c:pt>
                  <c:pt idx="70">
                    <c:v>D. Waller</c:v>
                  </c:pt>
                  <c:pt idx="71">
                    <c:v>J. Hill</c:v>
                  </c:pt>
                  <c:pt idx="72">
                    <c:v>T. Conner</c:v>
                  </c:pt>
                  <c:pt idx="73">
                    <c:v>J. Conyers</c:v>
                  </c:pt>
                  <c:pt idx="74">
                    <c:v>T.J. Hockenson</c:v>
                  </c:pt>
                  <c:pt idx="75">
                    <c:v>J. Oliver</c:v>
                  </c:pt>
                  <c:pt idx="76">
                    <c:v>G. Bartholomew</c:v>
                  </c:pt>
                  <c:pt idx="77">
                    <c:v>H. Henry</c:v>
                  </c:pt>
                  <c:pt idx="78">
                    <c:v>A. Hooper</c:v>
                  </c:pt>
                  <c:pt idx="79">
                    <c:v>J. Johnson</c:v>
                  </c:pt>
                  <c:pt idx="80">
                    <c:v>M. Matavao</c:v>
                  </c:pt>
                  <c:pt idx="81">
                    <c:v>T. Hill</c:v>
                  </c:pt>
                  <c:pt idx="82">
                    <c:v>F. Moreau</c:v>
                  </c:pt>
                  <c:pt idx="83">
                    <c:v>T. Johnson</c:v>
                  </c:pt>
                  <c:pt idx="84">
                    <c:v>D. Bellinger</c:v>
                  </c:pt>
                  <c:pt idx="85">
                    <c:v>C. Manhertz</c:v>
                  </c:pt>
                  <c:pt idx="86">
                    <c:v>T. Fidone II</c:v>
                  </c:pt>
                  <c:pt idx="87">
                    <c:v>M. Taylor</c:v>
                  </c:pt>
                  <c:pt idx="88">
                    <c:v>J. Ruckert</c:v>
                  </c:pt>
                  <c:pt idx="89">
                    <c:v>S. Smartt</c:v>
                  </c:pt>
                  <c:pt idx="90">
                    <c:v>J. Woods</c:v>
                  </c:pt>
                  <c:pt idx="91">
                    <c:v>D. Goedert</c:v>
                  </c:pt>
                  <c:pt idx="92">
                    <c:v>G. Calcaterra</c:v>
                  </c:pt>
                  <c:pt idx="93">
                    <c:v>K. Granson</c:v>
                  </c:pt>
                  <c:pt idx="94">
                    <c:v>P. Freiermuth</c:v>
                  </c:pt>
                  <c:pt idx="95">
                    <c:v>J. Smith</c:v>
                  </c:pt>
                  <c:pt idx="96">
                    <c:v>D. Washington</c:v>
                  </c:pt>
                  <c:pt idx="97">
                    <c:v>C. Heyward</c:v>
                  </c:pt>
                  <c:pt idx="98">
                    <c:v>A.J. Barner</c:v>
                  </c:pt>
                  <c:pt idx="99">
                    <c:v>E. Arroyo</c:v>
                  </c:pt>
                  <c:pt idx="100">
                    <c:v>E. Saubert</c:v>
                  </c:pt>
                  <c:pt idx="101">
                    <c:v>N. Kallerup</c:v>
                  </c:pt>
                  <c:pt idx="102">
                    <c:v>G. Kittle</c:v>
                  </c:pt>
                  <c:pt idx="103">
                    <c:v>l. Farrell</c:v>
                  </c:pt>
                  <c:pt idx="104">
                    <c:v>J. Tonhes</c:v>
                  </c:pt>
                  <c:pt idx="105">
                    <c:v>C. Otton</c:v>
                  </c:pt>
                  <c:pt idx="106">
                    <c:v>P. Durham</c:v>
                  </c:pt>
                  <c:pt idx="107">
                    <c:v>K. Kieft</c:v>
                  </c:pt>
                  <c:pt idx="108">
                    <c:v>D. Culp</c:v>
                  </c:pt>
                  <c:pt idx="109">
                    <c:v>C. Okonkwo</c:v>
                  </c:pt>
                  <c:pt idx="110">
                    <c:v>G. Helm</c:v>
                  </c:pt>
                  <c:pt idx="111">
                    <c:v>D. Martin-Robinson</c:v>
                  </c:pt>
                  <c:pt idx="112">
                    <c:v>Z. Ertz</c:v>
                  </c:pt>
                  <c:pt idx="113">
                    <c:v>J. Bates</c:v>
                  </c:pt>
                  <c:pt idx="114">
                    <c:v>B. Sinnot</c:v>
                  </c:pt>
                  <c:pt idx="115">
                    <c:v>C. Yankoff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1904-414F-B886-33DAFF8E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81144"/>
        <c:axId val="383383304"/>
      </c:scatterChart>
      <c:valAx>
        <c:axId val="383381144"/>
        <c:scaling>
          <c:orientation val="maxMin"/>
          <c:max val="3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3304"/>
        <c:crosses val="autoZero"/>
        <c:crossBetween val="midCat"/>
        <c:majorUnit val="4"/>
        <c:minorUnit val="1"/>
      </c:valAx>
      <c:valAx>
        <c:axId val="383383304"/>
        <c:scaling>
          <c:orientation val="maxMin"/>
          <c:max val="32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Composite Matchup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81144"/>
        <c:crosses val="autoZero"/>
        <c:crossBetween val="midCat"/>
        <c:majorUnit val="4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A0EAF0-10D8-4CC4-B38E-E35586AC4C15}">
  <sheetPr/>
  <sheetViews>
    <sheetView zoomScale="110" workbookViewId="0"/>
  </sheetViews>
  <pageMargins left="0.7" right="0.7" top="0.75" bottom="0.75" header="0.3" footer="0.3"/>
  <pageSetup paperSize="3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43182" cy="857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CA99D-BEA3-3343-96F4-722948E05B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0.90449</cdr:x>
      <cdr:y>0.01481</cdr:y>
    </cdr:from>
    <cdr:to>
      <cdr:x>0.94122</cdr:x>
      <cdr:y>0.04377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091E249-E07C-BCB8-ECDE-F7CE5A8963D8}"/>
            </a:ext>
          </a:extLst>
        </cdr:cNvPr>
        <cdr:cNvCxnSpPr/>
      </cdr:nvCxnSpPr>
      <cdr:spPr>
        <a:xfrm xmlns:a="http://schemas.openxmlformats.org/drawingml/2006/main">
          <a:off x="12792364" y="127000"/>
          <a:ext cx="519545" cy="2482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0.94776</cdr:x>
      <cdr:y>0.09495</cdr:y>
    </cdr:from>
    <cdr:to>
      <cdr:x>0.96612</cdr:x>
      <cdr:y>0.13199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D12211D7-96DD-4A8B-B916-866F3647BF76}"/>
            </a:ext>
          </a:extLst>
        </cdr:cNvPr>
        <cdr:cNvCxnSpPr/>
      </cdr:nvCxnSpPr>
      <cdr:spPr>
        <a:xfrm xmlns:a="http://schemas.openxmlformats.org/drawingml/2006/main" flipH="1" flipV="1">
          <a:off x="13404273" y="813955"/>
          <a:ext cx="259772" cy="3175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336826</xdr:colOff>
      <xdr:row>0</xdr:row>
      <xdr:rowOff>110435</xdr:rowOff>
    </xdr:from>
    <xdr:to>
      <xdr:col>37</xdr:col>
      <xdr:colOff>82828</xdr:colOff>
      <xdr:row>111</xdr:row>
      <xdr:rowOff>176695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8EDB2-598E-480E-8743-1D9A78BCC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220869</xdr:colOff>
      <xdr:row>0</xdr:row>
      <xdr:rowOff>5518</xdr:rowOff>
    </xdr:from>
    <xdr:to>
      <xdr:col>36</xdr:col>
      <xdr:colOff>38653</xdr:colOff>
      <xdr:row>105</xdr:row>
      <xdr:rowOff>138042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BABD3-77DF-404D-B629-D7807AD8E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77302</xdr:colOff>
      <xdr:row>0</xdr:row>
      <xdr:rowOff>71784</xdr:rowOff>
    </xdr:from>
    <xdr:to>
      <xdr:col>36</xdr:col>
      <xdr:colOff>430695</xdr:colOff>
      <xdr:row>136</xdr:row>
      <xdr:rowOff>138044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AF9BF-999C-4BA2-9B9F-D0C971D3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77302</xdr:colOff>
      <xdr:row>0</xdr:row>
      <xdr:rowOff>71784</xdr:rowOff>
    </xdr:from>
    <xdr:to>
      <xdr:col>36</xdr:col>
      <xdr:colOff>430695</xdr:colOff>
      <xdr:row>136</xdr:row>
      <xdr:rowOff>138044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5F36B-B441-433E-BFBB-D7BC652D2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156816</xdr:colOff>
      <xdr:row>0</xdr:row>
      <xdr:rowOff>190224</xdr:rowOff>
    </xdr:from>
    <xdr:to>
      <xdr:col>40</xdr:col>
      <xdr:colOff>508000</xdr:colOff>
      <xdr:row>222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8A894-FB37-44A9-B613-4021653BC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156816</xdr:colOff>
      <xdr:row>0</xdr:row>
      <xdr:rowOff>190224</xdr:rowOff>
    </xdr:from>
    <xdr:to>
      <xdr:col>40</xdr:col>
      <xdr:colOff>508000</xdr:colOff>
      <xdr:row>222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F6D90-1C2A-473C-91AA-E718812F7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491433</xdr:colOff>
      <xdr:row>0</xdr:row>
      <xdr:rowOff>149088</xdr:rowOff>
    </xdr:from>
    <xdr:to>
      <xdr:col>35</xdr:col>
      <xdr:colOff>138043</xdr:colOff>
      <xdr:row>126</xdr:row>
      <xdr:rowOff>66261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633D0-D463-4EDB-BF00-A83E6C70E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491433</xdr:colOff>
      <xdr:row>0</xdr:row>
      <xdr:rowOff>149088</xdr:rowOff>
    </xdr:from>
    <xdr:to>
      <xdr:col>35</xdr:col>
      <xdr:colOff>138043</xdr:colOff>
      <xdr:row>126</xdr:row>
      <xdr:rowOff>66261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E43D5-27B7-427F-A96A-6FA616575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220870</xdr:colOff>
      <xdr:row>0</xdr:row>
      <xdr:rowOff>5521</xdr:rowOff>
    </xdr:from>
    <xdr:to>
      <xdr:col>33</xdr:col>
      <xdr:colOff>298174</xdr:colOff>
      <xdr:row>112</xdr:row>
      <xdr:rowOff>27608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A354BE-407A-40DC-8097-F9EF914A5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77303</xdr:colOff>
      <xdr:row>0</xdr:row>
      <xdr:rowOff>71783</xdr:rowOff>
    </xdr:from>
    <xdr:to>
      <xdr:col>34</xdr:col>
      <xdr:colOff>535609</xdr:colOff>
      <xdr:row>144</xdr:row>
      <xdr:rowOff>66260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FA2E5-410C-4F51-9F19-6E09915E3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144116</xdr:colOff>
      <xdr:row>0</xdr:row>
      <xdr:rowOff>31474</xdr:rowOff>
    </xdr:from>
    <xdr:to>
      <xdr:col>40</xdr:col>
      <xdr:colOff>63500</xdr:colOff>
      <xdr:row>243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5A7FA-DE8C-E439-DE96-A4F988D4E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491435</xdr:colOff>
      <xdr:row>0</xdr:row>
      <xdr:rowOff>149087</xdr:rowOff>
    </xdr:from>
    <xdr:to>
      <xdr:col>29</xdr:col>
      <xdr:colOff>392044</xdr:colOff>
      <xdr:row>134</xdr:row>
      <xdr:rowOff>11044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15B7A-840D-4F4C-937A-0548CC0E3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LaRue" refreshedDate="46061.976232407411" createdVersion="8" refreshedVersion="8" minRefreshableVersion="3" recordCount="62" xr:uid="{196D5D74-8FB2-45B4-9619-6FBAEAA0B3D8}">
  <cacheSource type="worksheet">
    <worksheetSource name="Table125"/>
  </cacheSource>
  <cacheFields count="17">
    <cacheField name="#" numFmtId="0">
      <sharedItems containsSemiMixedTypes="0" containsString="0" containsNumber="1" containsInteger="1" minValue="1" maxValue="62"/>
    </cacheField>
    <cacheField name="Game" numFmtId="0">
      <sharedItems/>
    </cacheField>
    <cacheField name="Date" numFmtId="166">
      <sharedItems containsSemiMixedTypes="0" containsNonDate="0" containsDate="1" containsString="0" minDate="1967-01-15T00:00:00" maxDate="2028-02-14T00:00:00"/>
    </cacheField>
    <cacheField name="Season" numFmtId="0">
      <sharedItems containsSemiMixedTypes="0" containsString="0" containsNumber="1" containsInteger="1" minValue="1966" maxValue="2027"/>
    </cacheField>
    <cacheField name="Winning team" numFmtId="0">
      <sharedItems containsBlank="1"/>
    </cacheField>
    <cacheField name="W" numFmtId="0">
      <sharedItems containsBlank="1" count="21">
        <m/>
        <s v="SEA"/>
        <s v="PHI"/>
        <s v="KC"/>
        <s v="LAR"/>
        <s v="TB"/>
        <s v="NE"/>
        <s v="DEN"/>
        <s v="BAL"/>
        <s v="NYG"/>
        <s v="GB"/>
        <s v="NO"/>
        <s v="PIT"/>
        <s v="IND"/>
        <s v="DAL"/>
        <s v="SF"/>
        <s v="WAS"/>
        <s v="CHI"/>
        <s v="LV"/>
        <s v="MIA"/>
        <s v="NYJ"/>
      </sharedItems>
    </cacheField>
    <cacheField name="PtsW" numFmtId="0">
      <sharedItems containsString="0" containsBlank="1" containsNumber="1" containsInteger="1" minValue="13" maxValue="55"/>
    </cacheField>
    <cacheField name="PtsL" numFmtId="0">
      <sharedItems containsString="0" containsBlank="1" containsNumber="1" containsInteger="1" minValue="3" maxValue="35"/>
    </cacheField>
    <cacheField name="L" numFmtId="0">
      <sharedItems containsBlank="1" count="25">
        <m/>
        <s v="NE"/>
        <s v="KC"/>
        <s v="SF"/>
        <s v="PHI"/>
        <s v="CIN"/>
        <s v="LAR"/>
        <s v="ATL"/>
        <s v="CAR"/>
        <s v="SEA"/>
        <s v="DEN"/>
        <s v="PIT"/>
        <s v="IND"/>
        <s v="ARI"/>
        <s v="CHI"/>
        <s v="LV"/>
        <s v="NYG"/>
        <s v="TEN"/>
        <s v="GB"/>
        <s v="LAC"/>
        <s v="BUF"/>
        <s v="MIA"/>
        <s v="WAS"/>
        <s v="DAL"/>
        <s v="MIN"/>
      </sharedItems>
    </cacheField>
    <cacheField name="Losing team" numFmtId="0">
      <sharedItems containsBlank="1"/>
    </cacheField>
    <cacheField name="OT" numFmtId="0">
      <sharedItems containsBlank="1"/>
    </cacheField>
    <cacheField name="Venue" numFmtId="0">
      <sharedItems/>
    </cacheField>
    <cacheField name="City" numFmtId="0">
      <sharedItems/>
    </cacheField>
    <cacheField name="Attendance" numFmtId="3">
      <sharedItems containsString="0" containsBlank="1" containsNumber="1" containsInteger="1" minValue="24835" maxValue="103985"/>
    </cacheField>
    <cacheField name="MVP" numFmtId="3">
      <sharedItems containsBlank="1"/>
    </cacheField>
    <cacheField name="Position" numFmtId="3">
      <sharedItems containsBlank="1"/>
    </cacheField>
    <cacheField name="Refere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62"/>
    <s v="LXII"/>
    <d v="2028-02-13T00:00:00"/>
    <n v="2027"/>
    <m/>
    <x v="0"/>
    <m/>
    <m/>
    <x v="0"/>
    <m/>
    <m/>
    <s v="Mercedes-Benz Stadium"/>
    <s v="Atlanta, GA"/>
    <m/>
    <m/>
    <m/>
    <m/>
  </r>
  <r>
    <n v="61"/>
    <s v="LXI"/>
    <d v="2027-02-14T00:00:00"/>
    <n v="2026"/>
    <m/>
    <x v="0"/>
    <m/>
    <m/>
    <x v="0"/>
    <m/>
    <m/>
    <s v="SoFi Stadium"/>
    <s v="Inglewood, CA"/>
    <m/>
    <m/>
    <m/>
    <m/>
  </r>
  <r>
    <n v="60"/>
    <s v="LX"/>
    <d v="2026-02-08T00:00:00"/>
    <n v="2025"/>
    <s v="Seattle Seahawks"/>
    <x v="1"/>
    <n v="29"/>
    <n v="13"/>
    <x v="1"/>
    <s v="New England Patriots"/>
    <s v="No"/>
    <s v="Levi's Stadium"/>
    <s v="Santa Clara, CA  "/>
    <m/>
    <s v="Kenneth Walker III"/>
    <s v="RB"/>
    <m/>
  </r>
  <r>
    <n v="59"/>
    <s v="LIX"/>
    <d v="2025-02-09T00:00:00"/>
    <n v="2024"/>
    <s v="Philadelphia Eagles"/>
    <x v="2"/>
    <n v="40"/>
    <n v="22"/>
    <x v="2"/>
    <s v="Kansas City Chiefs"/>
    <s v="No"/>
    <s v="Caesars Superdome "/>
    <s v="New Orleans, LA "/>
    <n v="65719"/>
    <s v="Jalen Hurts"/>
    <s v="QB"/>
    <s v="Ron Torbert"/>
  </r>
  <r>
    <n v="58"/>
    <s v="LVIII"/>
    <d v="2024-02-11T00:00:00"/>
    <n v="2023"/>
    <s v="Kansas City Chiefs"/>
    <x v="3"/>
    <n v="25"/>
    <n v="22"/>
    <x v="3"/>
    <s v="San Francisco 49ers"/>
    <s v="Yes"/>
    <s v="Allegiant Stadium"/>
    <s v="Paradise, NV"/>
    <n v="61629"/>
    <s v="Patrick Mahomes"/>
    <s v="QB"/>
    <s v="Bill Vinovich"/>
  </r>
  <r>
    <n v="57"/>
    <s v="LVII"/>
    <d v="2023-02-12T00:00:00"/>
    <n v="2022"/>
    <s v="Kansas City Chiefs"/>
    <x v="3"/>
    <n v="38"/>
    <n v="35"/>
    <x v="4"/>
    <s v="Philadelphia Eagles"/>
    <s v="No"/>
    <s v="State Farm Stadium  "/>
    <s v="Glendale, AZ  "/>
    <n v="67827"/>
    <s v="Patrick Mahomes"/>
    <s v="QB"/>
    <s v="Carl Cheffers"/>
  </r>
  <r>
    <n v="56"/>
    <s v="LVI"/>
    <d v="2022-02-13T00:00:00"/>
    <n v="2021"/>
    <s v="Los Angeles Rams"/>
    <x v="4"/>
    <n v="23"/>
    <n v="20"/>
    <x v="5"/>
    <s v="Cincinnati Bengals"/>
    <s v="No"/>
    <s v="SoFi Stadium"/>
    <s v="Inglewood, CA"/>
    <n v="70048"/>
    <s v="Cooper Kupp"/>
    <s v="WR"/>
    <s v="Ron Torbert"/>
  </r>
  <r>
    <n v="55"/>
    <s v="LV"/>
    <d v="2021-02-07T00:00:00"/>
    <n v="2020"/>
    <s v="Tampa Bay Buccaneers"/>
    <x v="5"/>
    <n v="31"/>
    <n v="9"/>
    <x v="2"/>
    <s v="Kansas City Chiefs"/>
    <s v="No"/>
    <s v="Raymond James Stadium"/>
    <s v="Tampa, FL "/>
    <n v="24835"/>
    <s v="Tom Brady"/>
    <s v="QB"/>
    <s v="Carl Cheffers"/>
  </r>
  <r>
    <n v="54"/>
    <s v="LIV"/>
    <d v="2020-02-02T00:00:00"/>
    <n v="2019"/>
    <s v="Kansas City Chiefs"/>
    <x v="3"/>
    <n v="31"/>
    <n v="20"/>
    <x v="3"/>
    <s v="San Francisco 49ers"/>
    <s v="No"/>
    <s v="Hard Rock Stadium  "/>
    <s v="Miami Gardens, FL  "/>
    <n v="62417"/>
    <s v="Patrick Mahomes"/>
    <s v="QB"/>
    <s v="Bill Vinovich"/>
  </r>
  <r>
    <n v="53"/>
    <s v="LIII"/>
    <d v="2019-02-03T00:00:00"/>
    <n v="2018"/>
    <s v="New England Patriots"/>
    <x v="6"/>
    <n v="13"/>
    <n v="3"/>
    <x v="6"/>
    <s v="Los Angeles Rams"/>
    <s v="No"/>
    <s v="Mercedes-Benz Stadium"/>
    <s v="Atlanta, GA "/>
    <n v="70081"/>
    <s v="Julian Edelman"/>
    <s v="WR"/>
    <s v="John Parry"/>
  </r>
  <r>
    <n v="52"/>
    <s v="LII"/>
    <d v="2018-02-04T00:00:00"/>
    <n v="2017"/>
    <s v="Philadelphia Eagles"/>
    <x v="2"/>
    <n v="41"/>
    <n v="33"/>
    <x v="1"/>
    <s v="New England Patriots"/>
    <s v="No"/>
    <s v="U.S. Bank Stadium"/>
    <s v="Minneapolis, MN "/>
    <n v="67612"/>
    <s v="Nick Foles"/>
    <s v="QB"/>
    <s v="Gene Steratore"/>
  </r>
  <r>
    <n v="51"/>
    <s v="LI"/>
    <d v="2017-02-05T00:00:00"/>
    <n v="2016"/>
    <s v="New England Patriots"/>
    <x v="6"/>
    <n v="34"/>
    <n v="28"/>
    <x v="7"/>
    <s v="Atlanta Falcons"/>
    <s v="Yes"/>
    <s v="NRG Stadium  "/>
    <s v="Houston, TX "/>
    <n v="70807"/>
    <s v="Tom Brady"/>
    <s v="QB"/>
    <s v="Carl Cheffers"/>
  </r>
  <r>
    <n v="50"/>
    <s v="L"/>
    <d v="2016-02-07T00:00:00"/>
    <n v="2015"/>
    <s v="Denver Broncos"/>
    <x v="7"/>
    <n v="24"/>
    <n v="10"/>
    <x v="8"/>
    <s v="Carolina Panthers"/>
    <s v="No"/>
    <s v="Levi's Stadium"/>
    <s v="Santa Clara, CA  "/>
    <n v="71088"/>
    <s v="Von Miller"/>
    <s v="LB"/>
    <s v="Clete Blakeman"/>
  </r>
  <r>
    <n v="49"/>
    <s v="XLIX"/>
    <d v="2015-02-01T00:00:00"/>
    <n v="2014"/>
    <s v="New England Patriots"/>
    <x v="6"/>
    <n v="28"/>
    <n v="24"/>
    <x v="9"/>
    <s v="Seattle Seahawks"/>
    <s v="No"/>
    <s v="University of Phoenix Stadium  "/>
    <s v="Glendale, AZ  "/>
    <n v="70288"/>
    <s v="Tom Brady"/>
    <s v="QB"/>
    <s v="Bill Vinovich"/>
  </r>
  <r>
    <n v="48"/>
    <s v="XLVIII"/>
    <d v="2014-02-02T00:00:00"/>
    <n v="2013"/>
    <s v="Seattle Seahawks"/>
    <x v="1"/>
    <n v="43"/>
    <n v="8"/>
    <x v="10"/>
    <s v="Denver Broncos"/>
    <s v="No"/>
    <s v="MetLife Stadium"/>
    <s v="East Rutherford, NJ"/>
    <n v="82529"/>
    <s v="Malcolm Smith"/>
    <s v="LB"/>
    <s v="Terry McAulay"/>
  </r>
  <r>
    <n v="47"/>
    <s v="XLVII"/>
    <d v="2013-02-03T00:00:00"/>
    <n v="2012"/>
    <s v="Baltimore Ravens"/>
    <x v="8"/>
    <n v="31"/>
    <n v="31"/>
    <x v="3"/>
    <s v="San Francisco 49ers"/>
    <s v="No"/>
    <s v="Mercedes-Benz Superdome"/>
    <s v="New Orleans, LA "/>
    <n v="71024"/>
    <s v="Joe Flacco"/>
    <s v="QB"/>
    <s v="Jerome Boger"/>
  </r>
  <r>
    <n v="46"/>
    <s v="XLVI"/>
    <d v="2012-02-05T00:00:00"/>
    <n v="2011"/>
    <s v="New York Giants"/>
    <x v="9"/>
    <n v="21"/>
    <n v="17"/>
    <x v="1"/>
    <s v="New England Patriots"/>
    <s v="No"/>
    <s v="Lucas Oil Stadium"/>
    <s v="Indianapolis, IN"/>
    <n v="68658"/>
    <s v="Eli Manning"/>
    <s v="QB"/>
    <s v="John Parry"/>
  </r>
  <r>
    <n v="45"/>
    <s v="XLV"/>
    <d v="2011-02-06T00:00:00"/>
    <n v="2010"/>
    <s v="Green Bay Packers"/>
    <x v="10"/>
    <n v="31"/>
    <n v="25"/>
    <x v="11"/>
    <s v="Pittsburgh Steelers"/>
    <s v="No"/>
    <s v="Cowboys Stadium"/>
    <s v="Arlington, TX"/>
    <n v="103219"/>
    <s v="Aaron Rodgers"/>
    <s v="QB"/>
    <s v="Walt Anderson"/>
  </r>
  <r>
    <n v="44"/>
    <s v="XLIV"/>
    <d v="2010-02-07T00:00:00"/>
    <n v="2009"/>
    <s v="New Orleans Saints"/>
    <x v="11"/>
    <n v="31"/>
    <n v="17"/>
    <x v="12"/>
    <s v="Indianapolis Colts"/>
    <s v="No"/>
    <s v="Sun Life Stadium  "/>
    <s v="Miami Gardens, FL  "/>
    <n v="74059"/>
    <s v="Drew Brees"/>
    <s v="QB"/>
    <s v="Scott Green"/>
  </r>
  <r>
    <n v="43"/>
    <s v="XLIII"/>
    <d v="2009-02-01T00:00:00"/>
    <n v="2008"/>
    <s v="Pittsburgh Steelers"/>
    <x v="12"/>
    <n v="27"/>
    <n v="23"/>
    <x v="13"/>
    <s v="Arizona Cardinals"/>
    <s v="No"/>
    <s v="Raymond James Stadium "/>
    <s v="Tampa, FL "/>
    <n v="70774"/>
    <s v="Santonio Holmes"/>
    <s v="WR"/>
    <s v="Terry McAulay"/>
  </r>
  <r>
    <n v="42"/>
    <s v="XLII"/>
    <d v="2008-02-03T00:00:00"/>
    <n v="2007"/>
    <s v="New York Giants"/>
    <x v="9"/>
    <n v="17"/>
    <n v="14"/>
    <x v="1"/>
    <s v="New England Patriots"/>
    <s v="No"/>
    <s v="University of Phoenix Stadium "/>
    <s v="Glendale, AZ  "/>
    <n v="71101"/>
    <s v="Eli Manning"/>
    <s v="QB"/>
    <s v="Mike Carey"/>
  </r>
  <r>
    <n v="41"/>
    <s v="XLI"/>
    <d v="2007-02-04T00:00:00"/>
    <n v="2006"/>
    <s v="Indianapolis Colts"/>
    <x v="13"/>
    <n v="29"/>
    <n v="17"/>
    <x v="14"/>
    <s v="Chicago Bears"/>
    <s v="No"/>
    <s v="Dolphin Stadium  "/>
    <s v="Miami Gardens, FL  "/>
    <n v="74512"/>
    <s v="Peyton Manning"/>
    <s v="QB"/>
    <s v="Tony Corrente"/>
  </r>
  <r>
    <n v="40"/>
    <s v="XL"/>
    <d v="2006-02-05T00:00:00"/>
    <n v="2005"/>
    <s v="Pittsburgh Steelers"/>
    <x v="12"/>
    <n v="21"/>
    <n v="10"/>
    <x v="9"/>
    <s v="Seattle Seahawks"/>
    <s v="No"/>
    <s v="Ford Field"/>
    <s v="Detroit, MI "/>
    <n v="68206"/>
    <s v="Hines Ward"/>
    <s v="WR"/>
    <s v="Bill Leavy"/>
  </r>
  <r>
    <n v="39"/>
    <s v="XXXIX"/>
    <d v="2005-02-06T00:00:00"/>
    <n v="2004"/>
    <s v="New England Patriots"/>
    <x v="6"/>
    <n v="24"/>
    <n v="21"/>
    <x v="4"/>
    <s v="Philadelphia Eagles"/>
    <s v="No"/>
    <s v="Alltel Stadium"/>
    <s v="Jacksonville, FL"/>
    <n v="78125"/>
    <s v="Deion Branch"/>
    <s v="WR"/>
    <s v="Terry McAulay"/>
  </r>
  <r>
    <n v="38"/>
    <s v="XXXVIII"/>
    <d v="2004-02-01T00:00:00"/>
    <n v="2003"/>
    <s v="New England Patriots"/>
    <x v="6"/>
    <n v="32"/>
    <n v="29"/>
    <x v="8"/>
    <s v="Carolina Panthers"/>
    <s v="No"/>
    <s v="Reliant Stadium "/>
    <s v="Houston, TX "/>
    <n v="71525"/>
    <s v="Tom Brady"/>
    <s v="QB"/>
    <s v="Ed Hochuli"/>
  </r>
  <r>
    <n v="37"/>
    <s v="XXXVII"/>
    <d v="2003-01-26T00:00:00"/>
    <n v="2002"/>
    <s v="Tampa Bay Buccaneers"/>
    <x v="5"/>
    <n v="48"/>
    <n v="21"/>
    <x v="15"/>
    <s v="Oakland Raiders"/>
    <s v="No"/>
    <s v="Qualcomm Stadium  "/>
    <s v="San Diego, CA "/>
    <n v="67603"/>
    <s v="Dexter Jackson"/>
    <s v="S"/>
    <s v="Bill Carollo"/>
  </r>
  <r>
    <n v="36"/>
    <s v="XXXVI"/>
    <d v="2002-02-03T00:00:00"/>
    <n v="2001"/>
    <s v="New England Patriots"/>
    <x v="6"/>
    <n v="20"/>
    <n v="17"/>
    <x v="6"/>
    <s v="St. Louis Rams"/>
    <s v="No"/>
    <s v="LA Superdome "/>
    <s v="New Orleans, LA "/>
    <n v="72922"/>
    <s v="Tom Brady"/>
    <s v="QB"/>
    <s v="Bernie Kukar"/>
  </r>
  <r>
    <n v="35"/>
    <s v="XXXV"/>
    <d v="2001-01-28T00:00:00"/>
    <n v="2000"/>
    <s v="Baltimore Ravens"/>
    <x v="8"/>
    <n v="34"/>
    <n v="7"/>
    <x v="16"/>
    <s v="New York Giants"/>
    <s v="No"/>
    <s v="Raymond James Stadium"/>
    <s v="Tampa, FL"/>
    <n v="71921"/>
    <s v="Ray Lewis"/>
    <s v="LB"/>
    <s v="Gerry Austin"/>
  </r>
  <r>
    <n v="34"/>
    <s v="XXXIV"/>
    <d v="2000-01-30T00:00:00"/>
    <n v="1999"/>
    <s v="St. Louis Rams"/>
    <x v="4"/>
    <n v="23"/>
    <n v="16"/>
    <x v="17"/>
    <s v="Tennessee Titans"/>
    <s v="No"/>
    <s v="GA Dome "/>
    <s v="Atlanta, GA "/>
    <n v="72625"/>
    <s v="Kurt Warner"/>
    <s v="QB"/>
    <s v="Bob McElwee"/>
  </r>
  <r>
    <n v="33"/>
    <s v="XXXIII"/>
    <d v="1999-01-31T00:00:00"/>
    <n v="1998"/>
    <s v="Denver Broncos"/>
    <x v="7"/>
    <n v="34"/>
    <n v="19"/>
    <x v="7"/>
    <s v="Atlanta Falcons"/>
    <s v="No"/>
    <s v="Pro Player Stadium  "/>
    <s v="Miami, FL  "/>
    <n v="74803"/>
    <s v="John Elway"/>
    <s v="QB"/>
    <s v="Bernie Kukar"/>
  </r>
  <r>
    <n v="32"/>
    <s v="XXXII"/>
    <d v="1998-01-25T00:00:00"/>
    <n v="1997"/>
    <s v="Denver Broncos"/>
    <x v="7"/>
    <n v="31"/>
    <n v="24"/>
    <x v="18"/>
    <s v="Green Bay Packers"/>
    <s v="No"/>
    <s v="Qualcomm Stadium "/>
    <s v="San Diego, CA "/>
    <n v="68912"/>
    <s v="Terrell Davis"/>
    <s v="RB"/>
    <s v="Ed Hochuli"/>
  </r>
  <r>
    <n v="31"/>
    <s v="XXXI"/>
    <d v="1997-01-26T00:00:00"/>
    <n v="1996"/>
    <s v="Green Bay Packers"/>
    <x v="10"/>
    <n v="35"/>
    <n v="21"/>
    <x v="1"/>
    <s v="New England Patriots"/>
    <s v="No"/>
    <s v="LA Superdome "/>
    <s v="New Orleans, LA "/>
    <n v="72301"/>
    <s v="Desmond Howard"/>
    <s v="KR"/>
    <s v="Gerry Austin"/>
  </r>
  <r>
    <n v="30"/>
    <s v="XXX"/>
    <d v="1996-01-28T00:00:00"/>
    <n v="1995"/>
    <s v="Dallas Cowboys"/>
    <x v="14"/>
    <n v="27"/>
    <n v="17"/>
    <x v="11"/>
    <s v="Pittsburgh Steelers"/>
    <s v="No"/>
    <s v="Sun Devil Stadium"/>
    <s v="Tempe, AZ "/>
    <n v="76347"/>
    <s v="Larry Brown"/>
    <s v="CB"/>
    <s v="Red Cashion"/>
  </r>
  <r>
    <n v="29"/>
    <s v="XXIX"/>
    <d v="1995-01-29T00:00:00"/>
    <n v="1994"/>
    <s v="San Francisco 49ers"/>
    <x v="15"/>
    <n v="49"/>
    <n v="26"/>
    <x v="19"/>
    <s v="San Diego Chargers"/>
    <s v="No"/>
    <s v="Joe Robbie Stadium  "/>
    <s v="Miami, FL  "/>
    <n v="74107"/>
    <s v="Steve Young"/>
    <s v="QB"/>
    <s v="Jerry Markbreit"/>
  </r>
  <r>
    <n v="28"/>
    <s v="XXVIII"/>
    <d v="1994-01-30T00:00:00"/>
    <n v="1993"/>
    <s v="Dallas Cowboys"/>
    <x v="14"/>
    <n v="30"/>
    <n v="13"/>
    <x v="20"/>
    <s v="Buffalo Bills"/>
    <s v="No"/>
    <s v="GA Dome"/>
    <s v="Atlanta, GA"/>
    <n v="72817"/>
    <s v="Emmit Smith"/>
    <s v="RB"/>
    <s v="Bob McElwee"/>
  </r>
  <r>
    <n v="27"/>
    <s v="XXVII"/>
    <d v="1993-01-31T00:00:00"/>
    <n v="1992"/>
    <s v="Dallas Cowboys"/>
    <x v="14"/>
    <n v="52"/>
    <n v="17"/>
    <x v="20"/>
    <s v="Buffalo Bills"/>
    <s v="No"/>
    <s v="Rose Bowl"/>
    <s v="Pasadena, CA  "/>
    <n v="98374"/>
    <s v="Troy Aikman"/>
    <s v="QB"/>
    <s v="Dick Hantak"/>
  </r>
  <r>
    <n v="26"/>
    <s v="XXVI"/>
    <d v="1992-01-26T00:00:00"/>
    <n v="1991"/>
    <s v="Washington Redskins"/>
    <x v="16"/>
    <n v="37"/>
    <n v="24"/>
    <x v="20"/>
    <s v="Buffalo Bills"/>
    <s v="No"/>
    <s v="Metrodome"/>
    <s v="Minneapolis, MN "/>
    <n v="63130"/>
    <s v="Mary Rypien"/>
    <s v="QB"/>
    <s v="Jerry Markbreit"/>
  </r>
  <r>
    <n v="25"/>
    <s v="XXV"/>
    <d v="1991-01-27T00:00:00"/>
    <n v="1990"/>
    <s v="New York Giants"/>
    <x v="9"/>
    <n v="20"/>
    <n v="19"/>
    <x v="20"/>
    <s v="Buffalo Bills"/>
    <s v="No"/>
    <s v="Tampa Stadium "/>
    <s v="Tampa, FL "/>
    <n v="73813"/>
    <s v="Ottis Anderson"/>
    <s v="RB"/>
    <s v="Jerry Seeman"/>
  </r>
  <r>
    <n v="24"/>
    <s v="XXIV"/>
    <d v="1990-01-28T00:00:00"/>
    <n v="1989"/>
    <s v="San Francisco 49ers"/>
    <x v="15"/>
    <n v="55"/>
    <n v="10"/>
    <x v="10"/>
    <s v="Denver Broncos"/>
    <s v="No"/>
    <s v="LA Superdome "/>
    <s v="New Orleans, LA "/>
    <n v="72919"/>
    <s v="Joe Montana"/>
    <s v="QB"/>
    <s v="Dick Jorgensen"/>
  </r>
  <r>
    <n v="23"/>
    <s v="XXIII"/>
    <d v="1989-01-22T00:00:00"/>
    <n v="1988"/>
    <s v="San Francisco 49ers"/>
    <x v="15"/>
    <n v="20"/>
    <n v="16"/>
    <x v="5"/>
    <s v="Cincinnati Bengals"/>
    <s v="No"/>
    <s v="Joe Robbie Stadium "/>
    <s v="Miami, FL  "/>
    <n v="75129"/>
    <s v="Jerry Rice"/>
    <s v="WR"/>
    <s v="Jerry Seeman"/>
  </r>
  <r>
    <n v="22"/>
    <s v="XXII"/>
    <d v="1988-01-31T00:00:00"/>
    <n v="1987"/>
    <s v="Washington Redskins"/>
    <x v="16"/>
    <n v="42"/>
    <n v="10"/>
    <x v="10"/>
    <s v="Denver Broncos"/>
    <s v="No"/>
    <s v="San Diego–Jack Murphy Stadium"/>
    <s v="San Diego, CA "/>
    <n v="73302"/>
    <s v="Doug Williams"/>
    <s v="QB"/>
    <s v="Bob McElwee"/>
  </r>
  <r>
    <n v="21"/>
    <s v="XXI"/>
    <d v="1987-01-25T00:00:00"/>
    <n v="1986"/>
    <s v="New York Giants"/>
    <x v="9"/>
    <n v="39"/>
    <n v="20"/>
    <x v="10"/>
    <s v="Denver Broncos"/>
    <s v="No"/>
    <s v="Rose Bowl  "/>
    <s v="Pasadena, CA  "/>
    <n v="101063"/>
    <s v="Phil Simms"/>
    <s v="QB"/>
    <s v="Jerry Markbreit"/>
  </r>
  <r>
    <n v="20"/>
    <s v="XX"/>
    <d v="1986-01-26T00:00:00"/>
    <n v="1985"/>
    <s v="Chicago Bears"/>
    <x v="17"/>
    <n v="46"/>
    <n v="10"/>
    <x v="1"/>
    <s v="New England Patriots"/>
    <s v="No"/>
    <s v="LA Superdome"/>
    <s v="New Orleans, LA "/>
    <n v="73818"/>
    <s v="Richard Dent"/>
    <s v="DE"/>
    <s v="Red Cashion"/>
  </r>
  <r>
    <n v="19"/>
    <s v="XIX"/>
    <d v="1985-01-20T00:00:00"/>
    <n v="1984"/>
    <s v="San Francisco 49ers"/>
    <x v="15"/>
    <n v="38"/>
    <n v="16"/>
    <x v="21"/>
    <s v="Miami Dolphins"/>
    <s v="No"/>
    <s v="Stanford Stadium"/>
    <s v="Stanford, CA "/>
    <n v="84059"/>
    <s v="Joe Montana"/>
    <s v="QB"/>
    <s v="Pat Haggerty"/>
  </r>
  <r>
    <n v="18"/>
    <s v="XVIII"/>
    <d v="1984-01-22T00:00:00"/>
    <n v="1983"/>
    <s v="Los Angeles Raiders"/>
    <x v="18"/>
    <n v="38"/>
    <n v="9"/>
    <x v="22"/>
    <s v="Washington Redskins"/>
    <s v="No"/>
    <s v="Tampa Stadium"/>
    <s v="Tampa, FL"/>
    <n v="72920"/>
    <s v="Marcus Allen"/>
    <s v="RB"/>
    <s v="Gene Barth"/>
  </r>
  <r>
    <n v="17"/>
    <s v="XVII"/>
    <d v="1983-01-30T00:00:00"/>
    <n v="1982"/>
    <s v="Washington Redskins"/>
    <x v="16"/>
    <n v="27"/>
    <n v="17"/>
    <x v="21"/>
    <s v="Miami Dolphins"/>
    <s v="No"/>
    <s v="Rose Bowl  "/>
    <s v="Pasadena, CA  "/>
    <n v="103667"/>
    <s v="John Riggins"/>
    <s v="RB"/>
    <s v="Jerry Markbreit"/>
  </r>
  <r>
    <n v="16"/>
    <s v="XVI"/>
    <d v="1982-01-24T00:00:00"/>
    <n v="1981"/>
    <s v="San Francisco 49ers"/>
    <x v="15"/>
    <n v="26"/>
    <n v="21"/>
    <x v="5"/>
    <s v="Cincinnati Bengals"/>
    <s v="No"/>
    <s v="Pontiac Silverdome"/>
    <s v="Pontiac, MI"/>
    <n v="81270"/>
    <s v="Joe Montana"/>
    <s v="QB"/>
    <s v="Pat Haggerty"/>
  </r>
  <r>
    <n v="15"/>
    <s v="XV"/>
    <d v="1981-01-25T00:00:00"/>
    <n v="1980"/>
    <s v="Oakland Raiders"/>
    <x v="18"/>
    <n v="27"/>
    <n v="10"/>
    <x v="4"/>
    <s v="Philadelphia Eagles"/>
    <s v="No"/>
    <s v="LA Superdome "/>
    <s v="New Orleans, LA "/>
    <n v="76135"/>
    <s v="Jim Plunkett"/>
    <s v="QB"/>
    <s v="Ben Dreith"/>
  </r>
  <r>
    <n v="14"/>
    <s v="XIV"/>
    <d v="1980-01-20T00:00:00"/>
    <n v="1979"/>
    <s v="Pittsburgh Steelers"/>
    <x v="12"/>
    <n v="31"/>
    <n v="19"/>
    <x v="6"/>
    <s v="Los Angeles Rams"/>
    <s v="No"/>
    <s v="Rose Bowl  "/>
    <s v="Pasadena, CA  "/>
    <n v="103985"/>
    <s v="Terry Bradshaw"/>
    <s v="QB"/>
    <s v="Fred Silva"/>
  </r>
  <r>
    <n v="13"/>
    <s v="XIII"/>
    <d v="1979-01-21T00:00:00"/>
    <n v="1978"/>
    <s v="Pittsburgh Steelers"/>
    <x v="12"/>
    <n v="35"/>
    <n v="31"/>
    <x v="23"/>
    <s v="Dallas Cowboys"/>
    <s v="No"/>
    <s v="Miami Orange Bowl "/>
    <s v="Miami, FL  "/>
    <n v="79484"/>
    <s v="Terry Bradshaw"/>
    <s v="QB"/>
    <s v="Pat Haggerty"/>
  </r>
  <r>
    <n v="12"/>
    <s v="XII"/>
    <d v="1978-01-15T00:00:00"/>
    <n v="1977"/>
    <s v="Dallas Cowboys"/>
    <x v="14"/>
    <n v="27"/>
    <n v="10"/>
    <x v="10"/>
    <s v="Denver Broncos"/>
    <s v="No"/>
    <s v="LA Superdome"/>
    <s v="New Orleans, LA "/>
    <n v="76400"/>
    <s v="Harvey Martin | Randy White"/>
    <s v="DE | DT"/>
    <s v="Jim Tunney"/>
  </r>
  <r>
    <n v="11"/>
    <s v="XI"/>
    <d v="1977-01-09T00:00:00"/>
    <n v="1976"/>
    <s v="Oakland Raiders"/>
    <x v="18"/>
    <n v="32"/>
    <n v="14"/>
    <x v="24"/>
    <s v="Minnesota Vikings"/>
    <s v="No"/>
    <s v="Rose Bowl "/>
    <s v="Pasadena, CA  "/>
    <n v="103438"/>
    <s v="Fred Biletnikoff"/>
    <s v="WR"/>
    <s v="Jim Tunney"/>
  </r>
  <r>
    <n v="10"/>
    <s v="X"/>
    <d v="1976-01-18T00:00:00"/>
    <n v="1975"/>
    <s v="Pittsburgh Steelers"/>
    <x v="12"/>
    <n v="21"/>
    <n v="17"/>
    <x v="23"/>
    <s v="Dallas Cowboys"/>
    <s v="No"/>
    <s v="Miami Orange Bowl "/>
    <s v="Miami, FL  "/>
    <n v="80187"/>
    <s v="Lynn Swann"/>
    <s v="WR"/>
    <s v="Norm Schachter"/>
  </r>
  <r>
    <n v="9"/>
    <s v="IX"/>
    <d v="1975-01-12T00:00:00"/>
    <n v="1974"/>
    <s v="Pittsburgh Steelers"/>
    <x v="12"/>
    <n v="16"/>
    <n v="6"/>
    <x v="24"/>
    <s v="Minnesota Vikings"/>
    <s v="No"/>
    <s v="Tulane Stadium "/>
    <s v="New Orleans, LA "/>
    <n v="80997"/>
    <s v="Franco Harris"/>
    <s v="RB"/>
    <s v="Bernie Ulman"/>
  </r>
  <r>
    <n v="8"/>
    <s v="VIII"/>
    <d v="1974-01-13T00:00:00"/>
    <n v="1973"/>
    <s v="Miami Dolphins"/>
    <x v="19"/>
    <n v="24"/>
    <n v="7"/>
    <x v="24"/>
    <s v="Minnesota Vikings"/>
    <s v="No"/>
    <s v="Rice Stadium "/>
    <s v="Houston, TX "/>
    <n v="71882"/>
    <s v="Larry Csonka"/>
    <s v="RB"/>
    <s v="Ben Dreith"/>
  </r>
  <r>
    <n v="7"/>
    <s v="VII"/>
    <d v="1973-01-14T00:00:00"/>
    <n v="1972"/>
    <s v="Miami Dolphins"/>
    <x v="19"/>
    <n v="14"/>
    <n v="7"/>
    <x v="22"/>
    <s v="Washington Redskins"/>
    <s v="No"/>
    <s v="Los Angeles Memorial Coliseum "/>
    <s v="Los Angeles, CA  "/>
    <n v="90182"/>
    <s v="Jake Scott"/>
    <s v="S"/>
    <s v="Tom Bell"/>
  </r>
  <r>
    <n v="6"/>
    <s v="VI"/>
    <d v="1972-01-16T00:00:00"/>
    <n v="1971"/>
    <s v="Dallas Cowboys"/>
    <x v="14"/>
    <n v="24"/>
    <n v="3"/>
    <x v="21"/>
    <s v="Miami Dolphins"/>
    <s v="No"/>
    <s v="Tulane Stadium"/>
    <s v="New Orleans, LA "/>
    <n v="81023"/>
    <s v="Roger Staubach"/>
    <s v="QB"/>
    <s v="Jim Tunney"/>
  </r>
  <r>
    <n v="5"/>
    <s v="V"/>
    <d v="1971-01-17T00:00:00"/>
    <n v="1970"/>
    <s v="Baltimore Colts"/>
    <x v="13"/>
    <n v="16"/>
    <n v="3"/>
    <x v="23"/>
    <s v="Dallas Cowboys"/>
    <s v="No"/>
    <s v="Miami Orange Bowl "/>
    <s v="Miami, FL  "/>
    <n v="79204"/>
    <s v="Chuck Howley"/>
    <s v="LB"/>
    <s v="Norm Schachter"/>
  </r>
  <r>
    <n v="4"/>
    <s v="IV"/>
    <d v="1970-01-11T00:00:00"/>
    <n v="1969"/>
    <s v="Kansas City Chiefs"/>
    <x v="3"/>
    <n v="23"/>
    <n v="7"/>
    <x v="24"/>
    <s v="Minnesota Vikings"/>
    <s v="No"/>
    <s v="Tulane Stadium"/>
    <s v="New Orleans, LA "/>
    <n v="80562"/>
    <s v="Len Dawson"/>
    <s v="QB"/>
    <s v="John McDonough"/>
  </r>
  <r>
    <n v="3"/>
    <s v="III"/>
    <d v="1969-01-12T00:00:00"/>
    <n v="1968"/>
    <s v="New York Jets"/>
    <x v="20"/>
    <n v="16"/>
    <n v="7"/>
    <x v="12"/>
    <s v="Baltimore Colts"/>
    <s v="No"/>
    <s v="Miami Orange Bowl "/>
    <s v="Miami, FL  "/>
    <n v="75389"/>
    <s v="Joe Namath"/>
    <s v="QB"/>
    <s v="Tom Bell"/>
  </r>
  <r>
    <n v="2"/>
    <s v="II"/>
    <d v="1968-01-14T00:00:00"/>
    <n v="1967"/>
    <s v="Green Bay Packers"/>
    <x v="10"/>
    <n v="33"/>
    <n v="14"/>
    <x v="15"/>
    <s v="Oakland Raiders"/>
    <s v="No"/>
    <s v="Miami Orange Bowl"/>
    <s v="Miami, FL  "/>
    <n v="75546"/>
    <s v="Bart Starr"/>
    <s v="QB"/>
    <s v="Jack Vest"/>
  </r>
  <r>
    <n v="1"/>
    <s v="I"/>
    <d v="1967-01-15T00:00:00"/>
    <n v="1966"/>
    <s v="Green Bay Packers"/>
    <x v="10"/>
    <n v="35"/>
    <n v="10"/>
    <x v="2"/>
    <s v="Kansas City Chiefs"/>
    <s v="No"/>
    <s v="Los Angeles Memorial Coliseum"/>
    <s v="Los Angeles, CA  "/>
    <n v="61946"/>
    <s v="Bart Starr"/>
    <s v="QB"/>
    <s v="Norm Schach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8C46B-87B6-4493-BB30-8287B7E432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ranchise">
  <location ref="W3:X29" firstHeaderRow="1" firstDataRow="1" firstDataCol="1"/>
  <pivotFields count="17">
    <pivotField showAll="0"/>
    <pivotField showAll="0"/>
    <pivotField numFmtId="166" showAll="0"/>
    <pivotField showAll="0"/>
    <pivotField showAll="0"/>
    <pivotField showAll="0"/>
    <pivotField showAll="0"/>
    <pivotField showAll="0"/>
    <pivotField axis="axisRow" dataField="1" showAll="0" sortType="descending">
      <items count="26">
        <item x="13"/>
        <item x="7"/>
        <item x="20"/>
        <item x="8"/>
        <item x="14"/>
        <item x="5"/>
        <item x="23"/>
        <item x="10"/>
        <item x="18"/>
        <item x="12"/>
        <item x="2"/>
        <item x="19"/>
        <item x="6"/>
        <item x="15"/>
        <item x="21"/>
        <item x="24"/>
        <item x="1"/>
        <item x="16"/>
        <item x="4"/>
        <item x="11"/>
        <item x="9"/>
        <item x="3"/>
        <item x="17"/>
        <item x="2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3" showAll="0"/>
    <pivotField showAll="0"/>
    <pivotField showAll="0"/>
    <pivotField showAll="0"/>
  </pivotFields>
  <rowFields count="1">
    <field x="8"/>
  </rowFields>
  <rowItems count="26">
    <i>
      <x v="16"/>
    </i>
    <i>
      <x v="7"/>
    </i>
    <i>
      <x v="15"/>
    </i>
    <i>
      <x v="2"/>
    </i>
    <i>
      <x v="6"/>
    </i>
    <i>
      <x v="14"/>
    </i>
    <i>
      <x v="18"/>
    </i>
    <i>
      <x v="21"/>
    </i>
    <i>
      <x v="5"/>
    </i>
    <i>
      <x v="10"/>
    </i>
    <i>
      <x v="12"/>
    </i>
    <i>
      <x v="9"/>
    </i>
    <i>
      <x v="20"/>
    </i>
    <i>
      <x v="19"/>
    </i>
    <i>
      <x v="13"/>
    </i>
    <i>
      <x v="1"/>
    </i>
    <i>
      <x v="3"/>
    </i>
    <i>
      <x v="23"/>
    </i>
    <i>
      <x v="11"/>
    </i>
    <i>
      <x v="22"/>
    </i>
    <i>
      <x/>
    </i>
    <i>
      <x v="4"/>
    </i>
    <i>
      <x v="8"/>
    </i>
    <i>
      <x v="17"/>
    </i>
    <i>
      <x v="24"/>
    </i>
    <i t="grand">
      <x/>
    </i>
  </rowItems>
  <colItems count="1">
    <i/>
  </colItems>
  <dataFields count="1">
    <dataField name="SB Losses" fld="8" subtotal="count" baseField="0" baseItem="0"/>
  </dataFields>
  <formats count="21">
    <format dxfId="9169">
      <pivotArea dataOnly="0" labelOnly="1" fieldPosition="0">
        <references count="1">
          <reference field="8" count="0"/>
        </references>
      </pivotArea>
    </format>
    <format dxfId="9168">
      <pivotArea grandRow="1" outline="0" collapsedLevelsAreSubtotals="1" fieldPosition="0"/>
    </format>
    <format dxfId="9167">
      <pivotArea dataOnly="0" labelOnly="1" grandRow="1" outline="0" fieldPosition="0"/>
    </format>
    <format dxfId="9166">
      <pivotArea field="8" type="button" dataOnly="0" labelOnly="1" outline="0" axis="axisRow" fieldPosition="0"/>
    </format>
    <format dxfId="9165">
      <pivotArea dataOnly="0" labelOnly="1" outline="0" axis="axisValues" fieldPosition="0"/>
    </format>
    <format dxfId="9164">
      <pivotArea grandRow="1" outline="0" collapsedLevelsAreSubtotals="1" fieldPosition="0"/>
    </format>
    <format dxfId="9163">
      <pivotArea dataOnly="0" labelOnly="1" grandRow="1" outline="0" fieldPosition="0"/>
    </format>
    <format dxfId="9162">
      <pivotArea field="8" type="button" dataOnly="0" labelOnly="1" outline="0" axis="axisRow" fieldPosition="0"/>
    </format>
    <format dxfId="9161">
      <pivotArea dataOnly="0" labelOnly="1" outline="0" axis="axisValues" fieldPosition="0"/>
    </format>
    <format dxfId="9160">
      <pivotArea type="all" dataOnly="0" outline="0" fieldPosition="0"/>
    </format>
    <format dxfId="9159">
      <pivotArea outline="0" collapsedLevelsAreSubtotals="1" fieldPosition="0"/>
    </format>
    <format dxfId="9158">
      <pivotArea field="8" type="button" dataOnly="0" labelOnly="1" outline="0" axis="axisRow" fieldPosition="0"/>
    </format>
    <format dxfId="9157">
      <pivotArea dataOnly="0" labelOnly="1" fieldPosition="0">
        <references count="1">
          <reference field="8" count="0"/>
        </references>
      </pivotArea>
    </format>
    <format dxfId="9156">
      <pivotArea dataOnly="0" labelOnly="1" grandRow="1" outline="0" fieldPosition="0"/>
    </format>
    <format dxfId="9155">
      <pivotArea dataOnly="0" labelOnly="1" outline="0" axis="axisValues" fieldPosition="0"/>
    </format>
    <format dxfId="9154">
      <pivotArea type="all" dataOnly="0" outline="0" fieldPosition="0"/>
    </format>
    <format dxfId="9153">
      <pivotArea outline="0" collapsedLevelsAreSubtotals="1" fieldPosition="0"/>
    </format>
    <format dxfId="9152">
      <pivotArea field="8" type="button" dataOnly="0" labelOnly="1" outline="0" axis="axisRow" fieldPosition="0"/>
    </format>
    <format dxfId="9151">
      <pivotArea dataOnly="0" labelOnly="1" fieldPosition="0">
        <references count="1">
          <reference field="8" count="0"/>
        </references>
      </pivotArea>
    </format>
    <format dxfId="9150">
      <pivotArea dataOnly="0" labelOnly="1" grandRow="1" outline="0" fieldPosition="0"/>
    </format>
    <format dxfId="9149">
      <pivotArea dataOnly="0" labelOnly="1" outline="0" axis="axisValues" fieldPosition="0"/>
    </format>
  </formats>
  <conditionalFormats count="1">
    <conditionalFormat priority="3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ADE54-B41E-415D-9EF2-209986416F8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ranchise">
  <location ref="T3:U25" firstHeaderRow="1" firstDataRow="1" firstDataCol="1"/>
  <pivotFields count="17">
    <pivotField showAll="0"/>
    <pivotField showAll="0"/>
    <pivotField numFmtId="166" showAll="0"/>
    <pivotField showAll="0"/>
    <pivotField showAll="0"/>
    <pivotField axis="axisRow" dataField="1" showAll="0" sortType="descending">
      <items count="22">
        <item x="8"/>
        <item x="17"/>
        <item x="14"/>
        <item x="7"/>
        <item x="10"/>
        <item x="13"/>
        <item x="3"/>
        <item x="4"/>
        <item x="18"/>
        <item x="19"/>
        <item x="6"/>
        <item x="11"/>
        <item x="9"/>
        <item x="20"/>
        <item x="2"/>
        <item x="12"/>
        <item x="1"/>
        <item x="15"/>
        <item x="5"/>
        <item x="1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</pivotFields>
  <rowFields count="1">
    <field x="5"/>
  </rowFields>
  <rowItems count="22">
    <i>
      <x v="15"/>
    </i>
    <i>
      <x v="10"/>
    </i>
    <i>
      <x v="2"/>
    </i>
    <i>
      <x v="17"/>
    </i>
    <i>
      <x v="12"/>
    </i>
    <i>
      <x v="4"/>
    </i>
    <i>
      <x v="6"/>
    </i>
    <i>
      <x v="19"/>
    </i>
    <i>
      <x v="3"/>
    </i>
    <i>
      <x v="8"/>
    </i>
    <i>
      <x v="14"/>
    </i>
    <i>
      <x v="9"/>
    </i>
    <i>
      <x v="16"/>
    </i>
    <i>
      <x v="7"/>
    </i>
    <i>
      <x v="5"/>
    </i>
    <i>
      <x v="18"/>
    </i>
    <i>
      <x/>
    </i>
    <i>
      <x v="13"/>
    </i>
    <i>
      <x v="1"/>
    </i>
    <i>
      <x v="11"/>
    </i>
    <i>
      <x v="20"/>
    </i>
    <i t="grand">
      <x/>
    </i>
  </rowItems>
  <colItems count="1">
    <i/>
  </colItems>
  <dataFields count="1">
    <dataField name="SB Wins" fld="5" subtotal="count" baseField="0" baseItem="0"/>
  </dataFields>
  <formats count="21">
    <format dxfId="9190">
      <pivotArea dataOnly="0" labelOnly="1" fieldPosition="0">
        <references count="1">
          <reference field="5" count="0"/>
        </references>
      </pivotArea>
    </format>
    <format dxfId="9189">
      <pivotArea grandRow="1" outline="0" collapsedLevelsAreSubtotals="1" fieldPosition="0"/>
    </format>
    <format dxfId="9188">
      <pivotArea dataOnly="0" labelOnly="1" grandRow="1" outline="0" fieldPosition="0"/>
    </format>
    <format dxfId="9187">
      <pivotArea field="5" type="button" dataOnly="0" labelOnly="1" outline="0" axis="axisRow" fieldPosition="0"/>
    </format>
    <format dxfId="9186">
      <pivotArea dataOnly="0" labelOnly="1" outline="0" axis="axisValues" fieldPosition="0"/>
    </format>
    <format dxfId="9185">
      <pivotArea grandRow="1" outline="0" collapsedLevelsAreSubtotals="1" fieldPosition="0"/>
    </format>
    <format dxfId="9184">
      <pivotArea dataOnly="0" labelOnly="1" grandRow="1" outline="0" fieldPosition="0"/>
    </format>
    <format dxfId="9183">
      <pivotArea field="5" type="button" dataOnly="0" labelOnly="1" outline="0" axis="axisRow" fieldPosition="0"/>
    </format>
    <format dxfId="9182">
      <pivotArea dataOnly="0" labelOnly="1" outline="0" axis="axisValues" fieldPosition="0"/>
    </format>
    <format dxfId="9181">
      <pivotArea grandRow="1" outline="0" collapsedLevelsAreSubtotals="1" fieldPosition="0"/>
    </format>
    <format dxfId="9180">
      <pivotArea dataOnly="0" labelOnly="1" grandRow="1" outline="0" fieldPosition="0"/>
    </format>
    <format dxfId="9179">
      <pivotArea field="5" type="button" dataOnly="0" labelOnly="1" outline="0" axis="axisRow" fieldPosition="0"/>
    </format>
    <format dxfId="9178">
      <pivotArea dataOnly="0" labelOnly="1" outline="0" axis="axisValues" fieldPosition="0"/>
    </format>
    <format dxfId="9177">
      <pivotArea dataOnly="0" outline="0" axis="axisValues" fieldPosition="0"/>
    </format>
    <format dxfId="9176">
      <pivotArea collapsedLevelsAreSubtotals="1" fieldPosition="0">
        <references count="1">
          <reference field="5" count="0"/>
        </references>
      </pivotArea>
    </format>
    <format dxfId="9175">
      <pivotArea collapsedLevelsAreSubtotals="1" fieldPosition="0">
        <references count="1">
          <reference field="5" count="0"/>
        </references>
      </pivotArea>
    </format>
    <format dxfId="9174">
      <pivotArea dataOnly="0" labelOnly="1" fieldPosition="0">
        <references count="1">
          <reference field="5" count="0"/>
        </references>
      </pivotArea>
    </format>
    <format dxfId="9173">
      <pivotArea field="5" type="button" dataOnly="0" labelOnly="1" outline="0" axis="axisRow" fieldPosition="0"/>
    </format>
    <format dxfId="9172">
      <pivotArea dataOnly="0" labelOnly="1" outline="0" axis="axisValues" fieldPosition="0"/>
    </format>
    <format dxfId="9171">
      <pivotArea grandRow="1" outline="0" collapsedLevelsAreSubtotals="1" fieldPosition="0"/>
    </format>
    <format dxfId="9170">
      <pivotArea dataOnly="0" labelOnly="1" grandRow="1" outline="0" fieldPosition="0"/>
    </format>
  </formats>
  <conditionalFormats count="1">
    <conditionalFormat priority="36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011229B-F17D-448F-A0DF-E09E9A6409B0}" name="Table23" displayName="Table23" ref="B2:G448" totalsRowShown="0" headerRowDxfId="9129" dataDxfId="9128">
  <autoFilter ref="B2:G448" xr:uid="{9011229B-F17D-448F-A0DF-E09E9A6409B0}">
    <filterColumn colId="2">
      <filters>
        <filter val="NE"/>
        <filter val="SEA"/>
      </filters>
    </filterColumn>
  </autoFilter>
  <sortState xmlns:xlrd2="http://schemas.microsoft.com/office/spreadsheetml/2017/richdata2" ref="B8:G410">
    <sortCondition ref="F2:F448"/>
  </sortState>
  <tableColumns count="6">
    <tableColumn id="1" xr3:uid="{6D5420C5-4C55-4BB1-90CE-36A28CAB3C43}" name="Player" dataDxfId="9127"/>
    <tableColumn id="2" xr3:uid="{91A7AD90-450D-4C37-A920-9B71A0FEEE73}" name="Position" dataDxfId="9126"/>
    <tableColumn id="3" xr3:uid="{E76A77FF-6959-4608-9769-CA071782A33F}" name="Team" dataDxfId="9125"/>
    <tableColumn id="4" xr3:uid="{16D41E6E-B0A7-4CDC-AAEA-6C62B0643827}" name="Birthday" dataDxfId="9124"/>
    <tableColumn id="5" xr3:uid="{F5BFB448-72E1-48C2-825A-4D709BD105B4}" name="Calc" dataDxfId="9123"/>
    <tableColumn id="6" xr3:uid="{483A8550-55A3-44F9-92B7-F9EFFB81023F}" name="Days +/-" dataDxfId="9122">
      <calculatedColumnFormula>TODAY()-F3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DD2B081-002B-4290-A651-DCEFB1F4A6A0}" name="Table125" displayName="Table125" ref="B3:R65" totalsRowShown="0" headerRowDxfId="9148" dataDxfId="9147">
  <autoFilter ref="B3:R65" xr:uid="{613420C0-DB00-4001-86AA-E0E141B2E75A}"/>
  <sortState xmlns:xlrd2="http://schemas.microsoft.com/office/spreadsheetml/2017/richdata2" ref="B4:R65">
    <sortCondition descending="1" ref="E3:E65"/>
  </sortState>
  <tableColumns count="17">
    <tableColumn id="1" xr3:uid="{8988B951-99CD-463A-905E-94EED939CAAA}" name="#" dataDxfId="9146"/>
    <tableColumn id="2" xr3:uid="{1C6D20E0-A3A5-4BFA-93B7-DCC329D63327}" name="Game" dataDxfId="9145"/>
    <tableColumn id="3" xr3:uid="{D063577E-2826-4177-821B-000374A420D7}" name="Date" dataDxfId="9144"/>
    <tableColumn id="15" xr3:uid="{0E6EC90C-97EB-413D-B413-4BF3334756A6}" name="Season" dataDxfId="9143"/>
    <tableColumn id="4" xr3:uid="{376DFA38-A37E-4A15-A1E6-C3604FA82C39}" name="Winning team" dataDxfId="9142"/>
    <tableColumn id="13" xr3:uid="{EF299129-E3AA-4756-B8BE-F4C74F01823E}" name="W" dataDxfId="9141"/>
    <tableColumn id="16" xr3:uid="{52256606-B904-45B3-828D-1B10D6BCDD7B}" name="PtsW" dataDxfId="9140"/>
    <tableColumn id="5" xr3:uid="{B9FC7343-41D7-4684-B1AD-F22FDEE8A03E}" name="PtsL" dataDxfId="9139"/>
    <tableColumn id="14" xr3:uid="{89A409E5-A44B-44D7-9C11-049EA6FF2550}" name="L" dataDxfId="9138"/>
    <tableColumn id="6" xr3:uid="{386AFCA6-2281-4BF5-956E-A2B680367D4E}" name="Losing team" dataDxfId="9137"/>
    <tableColumn id="17" xr3:uid="{615C898C-D53C-48A7-8B19-0503960EA778}" name="OT" dataDxfId="9136"/>
    <tableColumn id="7" xr3:uid="{D36A5C75-FD0D-4B5E-A5C5-51EA0AA2F087}" name="Venue" dataDxfId="9135"/>
    <tableColumn id="8" xr3:uid="{4260E646-9F2E-4A73-8479-AEBCBB2BB6DF}" name="City" dataDxfId="9134"/>
    <tableColumn id="9" xr3:uid="{F93AE184-39C8-482D-8860-A294516ABF26}" name="Attendance" dataDxfId="9133"/>
    <tableColumn id="10" xr3:uid="{4CB127FD-799A-4551-977D-E19529BE7FA7}" name="MVP" dataDxfId="9132"/>
    <tableColumn id="11" xr3:uid="{8C51A3D8-E93D-4412-AF2B-5192B4579473}" name="Position" dataDxfId="9131"/>
    <tableColumn id="12" xr3:uid="{E6603E5D-4455-41FF-BE2C-1C6199669124}" name="Referee" dataDxfId="913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4297892-2B9A-4112-8292-06BF055DEB46}" name="Table126" displayName="Table126" ref="B2:J138" totalsRowShown="0" headerRowDxfId="9121" dataDxfId="9119" headerRowBorderDxfId="9120" tableBorderDxfId="9118">
  <autoFilter ref="B2:J138" xr:uid="{032AD6E9-8640-499D-B501-42454C710E91}"/>
  <tableColumns count="9">
    <tableColumn id="3" xr3:uid="{83D6A792-5CB3-49B0-B022-2B66C5B8A602}" name="Date" dataDxfId="9117"/>
    <tableColumn id="4" xr3:uid="{CFF7E6D4-12F5-4A58-B08F-0C0DD9C514BB}" name="Season" dataDxfId="9116"/>
    <tableColumn id="22" xr3:uid="{006DB48E-13FA-43BD-AF05-445C48845AE9}" name="MLB" dataDxfId="9115"/>
    <tableColumn id="23" xr3:uid="{16B3C509-07FE-4BF5-8FC6-665EA333DCF2}" name="NBA" dataDxfId="9114"/>
    <tableColumn id="7" xr3:uid="{FA3AF6C7-A51D-41C9-9C89-EB418FC6F84D}" name="NHL" dataDxfId="9113"/>
    <tableColumn id="10" xr3:uid="{DDB93EA7-0FDA-4A9D-BF23-0DD906AAA5DF}" name="NFL" dataDxfId="9112"/>
    <tableColumn id="20" xr3:uid="{B734637A-5DF8-4FE3-AE10-50ACE07CF64F}" name="SBl" dataDxfId="9111"/>
    <tableColumn id="21" xr3:uid="{E9D9DC8B-7CF3-4C79-A42B-A4C9E9933496}" name="SBc" dataDxfId="9110"/>
    <tableColumn id="25" xr3:uid="{8CC7E4F9-0A07-4704-A7CF-1ABE5B6AFEC2}" name="NFLl" dataDxfId="9109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0F48EDC-A8B9-4E8E-9F0B-CDF9F69B6185}" name="Table117821341" displayName="Table117821341" ref="B2:X570" totalsRowShown="0" headerRowDxfId="9108" dataDxfId="9106" headerRowBorderDxfId="9107" tableBorderDxfId="9105">
  <autoFilter ref="B2:X570" xr:uid="{1A098BAD-ACEE-46DC-A93E-D379350A5D76}">
    <filterColumn colId="2">
      <filters>
        <filter val="D/ST"/>
        <filter val="QB1"/>
        <filter val="RB1"/>
        <filter val="TE1"/>
        <filter val="WR1"/>
        <filter val="WR2"/>
        <filter val="WR3"/>
        <filter val="WR4"/>
      </filters>
    </filterColumn>
    <filterColumn colId="3">
      <filters>
        <filter val="FRI"/>
        <filter val="PM"/>
        <filter val="SNF"/>
        <filter val="TNF"/>
      </filters>
    </filterColumn>
    <filterColumn colId="22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4"/>
        <filter val="6"/>
        <filter val="7"/>
        <filter val="8"/>
        <filter val="9"/>
      </filters>
    </filterColumn>
  </autoFilter>
  <sortState xmlns:xlrd2="http://schemas.microsoft.com/office/spreadsheetml/2017/richdata2" ref="B351:X567">
    <sortCondition descending="1" ref="V2:V570"/>
  </sortState>
  <tableColumns count="23">
    <tableColumn id="1" xr3:uid="{526FC97B-319C-4C9B-98BA-9A5F33D2E503}" name="Player" dataDxfId="9104"/>
    <tableColumn id="2" xr3:uid="{C94F1F91-6172-4819-8997-B4E1CC86F4D5}" name="Team" dataDxfId="9103"/>
    <tableColumn id="3" xr3:uid="{03F23A46-FCCC-4B06-9B87-F01F61403019}" name="Pos." dataDxfId="9102"/>
    <tableColumn id="4" xr3:uid="{0BAF8C6B-034B-4662-A799-D15E7E340968}" name="Slate" dataDxfId="9101">
      <calculatedColumnFormula array="1">_xlfn.XLOOKUP(Table117821341[[#This Row],[Team]],Table4334[Team],'2425'!$C$3:$C$34)</calculatedColumnFormula>
    </tableColumn>
    <tableColumn id="6" xr3:uid="{31FC4D30-D79A-43B4-BF66-FB60ABE57359}" name="Opp" dataDxfId="9100">
      <calculatedColumnFormula>_xlfn.XLOOKUP(Table117821341[[#This Row],[Team]],Table4334[Team],Table4334[OPP])</calculatedColumnFormula>
    </tableColumn>
    <tableColumn id="16" xr3:uid="{6479A313-2EF6-49F4-BE76-BD30E65B243C}" name="*P*" dataDxfId="9099">
      <calculatedColumnFormula array="1">IF(Table117821341[[#This Row],[Pos.]]="QB1",_xlfn.XLOOKUP(Table117821341[[#This Row],[Opp]],Table123[DEF],'2425'!$G$3:$G$34),"#N/A")</calculatedColumnFormula>
    </tableColumn>
    <tableColumn id="13" xr3:uid="{C1020031-CCB0-4319-B6FF-672A840809A3}" name="*P+R*" dataDxfId="9098">
      <calculatedColumnFormula array="1">IF(Table117821341[[#This Row],[Pos.]]="QB1",_xlfn.XLOOKUP(Table117821341[[#This Row],[Opp]],Table123[DEF],'2425'!$J$3:$J$34),"#N/A")</calculatedColumnFormula>
    </tableColumn>
    <tableColumn id="7" xr3:uid="{3B7B9EE2-7DA2-4053-9886-DEA528E9F416}" name="*P TD*" dataDxfId="9097">
      <calculatedColumnFormula array="1">IF(Table117821341[[#This Row],[Pos.]]="QB1",_xlfn.XLOOKUP(Table117821341[[#This Row],[Opp]],Table123[DEF],'2425'!$K$3:$K$34),"#N/A")</calculatedColumnFormula>
    </tableColumn>
    <tableColumn id="14" xr3:uid="{A37FB225-36F4-422A-AEEA-0481135366DF}" name="*R*" dataDxfId="9096">
      <calculatedColumnFormula array="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calculatedColumnFormula>
    </tableColumn>
    <tableColumn id="15" xr3:uid="{B55062AA-0CC1-47AE-8375-2EAC9F58C8C9}" name="*R+R*" dataDxfId="9095">
      <calculatedColumnFormula array="1">_xlfn.IFS(Table117821341[[#This Row],[Pos.]]="RB1",_xlfn.XLOOKUP(Table117821341[[#This Row],[Opp]],Table2040[DEF],'2425'!$K$38:$K$69),Table117821341[[#This Row],[Pos.]]="RB2",_xlfn.XLOOKUP(Table117821341[[#This Row],[Opp]],Table2040[DEF],'2425'!$K$38:$K$69))</calculatedColumnFormula>
    </tableColumn>
    <tableColumn id="12" xr3:uid="{A3677B9D-6BF8-4ECA-BED5-2C8A19BA350E}" name="*C*" dataDxfId="9094">
      <calculatedColumnFormula array="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calculatedColumnFormula>
    </tableColumn>
    <tableColumn id="19" xr3:uid="{19D26419-88AE-4FBA-9D42-DA1A66D40E7F}" name="*Y*" dataDxfId="9093">
      <calculatedColumnFormula array="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calculatedColumnFormula>
    </tableColumn>
    <tableColumn id="17" xr3:uid="{DAC66EB2-58A0-4774-BB8B-04B25D4A51C4}" name="*TD*" dataDxfId="9092">
      <calculatedColumnFormula array="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calculatedColumnFormula>
    </tableColumn>
    <tableColumn id="5" xr3:uid="{355AAC5A-73EF-4A38-BA44-5450C289E342}" name="P" dataDxfId="9091">
      <calculatedColumnFormula>IF(Table117821341[[#This Row],[Pos.]]="QB1",_xlfn.XLOOKUP(Table117821341[[#This Row],[Opp]],Table123[DEF],Table123[P]),"#N/A")</calculatedColumnFormula>
    </tableColumn>
    <tableColumn id="9" xr3:uid="{F8D9B386-1B69-4465-B355-CD4D4E5BCA4C}" name="P+R" dataDxfId="9090">
      <calculatedColumnFormula>IF(Table117821341[[#This Row],[Pos.]]="QB1",_xlfn.XLOOKUP(Table117821341[[#This Row],[Opp]],Table123[DEF],Table123[P+R]),"#N/A")</calculatedColumnFormula>
    </tableColumn>
    <tableColumn id="10" xr3:uid="{EBB16706-54A7-44BC-8A75-7A43EB37617F}" name="P TD" dataDxfId="9089">
      <calculatedColumnFormula>IF(Table117821341[[#This Row],[Pos.]]="QB1",_xlfn.XLOOKUP(Table117821341[[#This Row],[Opp]],Table123[DEF],Table123[P TD]),"#N/A")</calculatedColumnFormula>
    </tableColumn>
    <tableColumn id="24" xr3:uid="{B42F3435-FE7D-4F8B-AD18-8BAAE70F39B1}" name="R" dataDxfId="9088">
      <calculatedColumnFormula array="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calculatedColumnFormula>
    </tableColumn>
    <tableColumn id="23" xr3:uid="{8DF5147C-2121-4B8D-88B3-970B44392A7A}" name="R+R" dataDxfId="9087">
      <calculatedColumnFormula array="1">_xlfn.IFS(Table117821341[[#This Row],[Pos.]]="RB1",_xlfn.XLOOKUP(Table117821341[[#This Row],[Opp]],Table2040[DEF],Table2040[R+R]),Table117821341[[#This Row],[Pos.]]="RB2",_xlfn.XLOOKUP(Table117821341[[#This Row],[Opp]],Table2040[DEF],Table2040[R+R]))</calculatedColumnFormula>
    </tableColumn>
    <tableColumn id="20" xr3:uid="{F4D3EF7C-D686-4C74-AA66-AD02164E3425}" name="C" dataDxfId="9086">
      <calculatedColumnFormula array="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calculatedColumnFormula>
    </tableColumn>
    <tableColumn id="22" xr3:uid="{EF5F1C46-AAD1-4711-AC64-810BFD0DBD6B}" name="Y" dataDxfId="9085">
      <calculatedColumnFormula array="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calculatedColumnFormula>
    </tableColumn>
    <tableColumn id="11" xr3:uid="{54C1500F-C67C-47AC-BC63-C6EE957303A1}" name="TD" dataDxfId="9084">
      <calculatedColumnFormula array="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calculatedColumnFormula>
    </tableColumn>
    <tableColumn id="18" xr3:uid="{524BC9E0-5F0F-4EA8-8EC3-159EEE4BAD70}" name="*" dataDxfId="9083">
      <calculatedColumnFormula array="1">_xlfn.IFS(Table117821341[[#This Row],[Pos.]]="QB1",AVERAGE(G3,H3,I3,J3,N3),Table117821341[[#This Row],[Pos.]]="RB1",AVERAGE(J3,K3,N3),Table117821341[[#This Row],[Pos.]]="RB2",AVERAGE(J3,K3,N3),Table117821341[[#This Row],[Pos.]]="WR1",AVERAGE(L3,M3,N3),Table117821341[[#This Row],[Pos.]]="WR2",AVERAGE(L3,M3,N3),Table117821341[[#This Row],[Pos.]]="WR3",AVERAGE(L3,M3,N3),Table117821341[[#This Row],[Pos.]]="WR4",AVERAGE(L3,M3,N3),Table117821341[[#This Row],[Pos.]]="TE1",AVERAGE(L3,M3,N3),Table117821341[[#This Row],[Pos.]]="TE2",AVERAGE(L3,M3,N3),Table117821341[[#This Row],[Pos.]]="D/ST",AVERAGE(Table117821341[[#This Row],[*TD*]]))</calculatedColumnFormula>
    </tableColumn>
    <tableColumn id="8" xr3:uid="{F23B4EB3-737F-4021-99C0-D86E3B5E41EC}" name="Column1" dataDxfId="9082">
      <calculatedColumnFormula>AVERAGE(N3,W3)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09DAC4C-7913-4F96-A936-D3C68B838DFF}" name="Table123" displayName="Table123" ref="M2:R34" totalsRowShown="0" headerRowDxfId="9081" dataDxfId="9080">
  <autoFilter ref="M2:R34" xr:uid="{96A3B6A9-617A-4EE6-BA57-2D3A44C9EB28}"/>
  <sortState xmlns:xlrd2="http://schemas.microsoft.com/office/spreadsheetml/2017/richdata2" ref="M3:R34">
    <sortCondition ref="M2:M34"/>
  </sortState>
  <tableColumns count="6">
    <tableColumn id="1" xr3:uid="{1566952F-3C33-422E-B962-A10E4084BCEF}" name="DEF" dataDxfId="9079"/>
    <tableColumn id="2" xr3:uid="{F98E7E2B-AF6C-495A-A7A8-224979B94A1E}" name="P" dataDxfId="9078">
      <calculatedColumnFormula>(_xlfn.XLOOKUP(Table123[[#This Row],[DEF]],Table1[DEF],Table1[P])+_xlfn.XLOOKUP(Table123[[#This Row],[DEF]],Table14[DEF],Table14[P]))/2</calculatedColumnFormula>
    </tableColumn>
    <tableColumn id="3" xr3:uid="{98356D0E-D4FC-487C-A299-703FF63F8AE8}" name="R" dataDxfId="9077">
      <calculatedColumnFormula>(_xlfn.XLOOKUP(Table123[[#This Row],[DEF]],Table1[DEF],Table1[R])+_xlfn.XLOOKUP(Table123[[#This Row],[DEF]],Table14[DEF],Table14[R]))/2</calculatedColumnFormula>
    </tableColumn>
    <tableColumn id="4" xr3:uid="{275B626C-1147-4F79-8490-C27836FF0AE8}" name="P+R" dataDxfId="9076">
      <calculatedColumnFormula>(_xlfn.XLOOKUP(Table123[[#This Row],[DEF]],Table1[DEF],Table1[P+R])+_xlfn.XLOOKUP(Table123[[#This Row],[DEF]],Table14[DEF],Table14[P+R]))/2</calculatedColumnFormula>
    </tableColumn>
    <tableColumn id="5" xr3:uid="{CA289A67-3935-4DDD-B425-2B2C55E0029E}" name="P TD" dataDxfId="9075">
      <calculatedColumnFormula>(_xlfn.XLOOKUP(Table123[[#This Row],[DEF]],Table1[DEF],Table1[P TD])+_xlfn.XLOOKUP(Table123[[#This Row],[DEF]],Table14[DEF],Table14[P TD]))/2</calculatedColumnFormula>
    </tableColumn>
    <tableColumn id="18" xr3:uid="{98B10A56-32F5-4006-BDBF-0A7CEFC94F33}" name="TD" dataDxfId="9074">
      <calculatedColumnFormula>(_xlfn.XLOOKUP(Table123[[#This Row],[DEF]],Table1[DEF],Table1[TD])+_xlfn.XLOOKUP(Table123[[#This Row],[DEF]],Table14[DEF],Table14[TD]))/2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9D6751D-3AC7-41A9-B66D-28BBE7EFCE43}" name="Table731" displayName="Table731" ref="X2:AA34" totalsRowShown="0" headerRowDxfId="9073" dataDxfId="9072">
  <autoFilter ref="X2:AA34" xr:uid="{3794B4BC-42F3-4D1A-87D4-294A1620CC73}"/>
  <sortState xmlns:xlrd2="http://schemas.microsoft.com/office/spreadsheetml/2017/richdata2" ref="X3:AA34">
    <sortCondition ref="X2:X34"/>
  </sortState>
  <tableColumns count="4">
    <tableColumn id="1" xr3:uid="{AD6AC5F9-190F-44F7-B9EE-16F8615C91FC}" name="DEF" dataDxfId="9071"/>
    <tableColumn id="2" xr3:uid="{28D9833C-EE88-4521-94E6-C259A3A7A132}" name="REC" dataDxfId="9070">
      <calculatedColumnFormula>(_xlfn.XLOOKUP(Table731[[#This Row],[DEF]],Table7[DEF],Table7[REC])+_xlfn.XLOOKUP(Table731[[#This Row],[DEF]],Table948[Defense],Table948[WR1C]))/2</calculatedColumnFormula>
    </tableColumn>
    <tableColumn id="3" xr3:uid="{A4BBBFE5-5DDF-4C1D-A48B-6AEFF5D8FCEB}" name="Y" dataDxfId="9069">
      <calculatedColumnFormula>(_xlfn.XLOOKUP(Table731[[#This Row],[DEF]],Table7[DEF],Table7[Y])+_xlfn.XLOOKUP(Table731[[#This Row],[DEF]],Table948[Defense],Table948[WR1Y]))/2</calculatedColumnFormula>
    </tableColumn>
    <tableColumn id="4" xr3:uid="{B3F90BA0-63CF-47B9-850A-15895F33DBE3}" name="TD" dataDxfId="9068">
      <calculatedColumnFormula>(_xlfn.XLOOKUP(Table731[[#This Row],[DEF]],Table7[DEF],Table7[TD])+_xlfn.XLOOKUP(Table731[[#This Row],[DEF]],Table948[Defense],Table948[WR1]))/2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87760E0-F72D-4FA1-AA82-1A11FA24FC13}" name="Table832" displayName="Table832" ref="AP2:AS34" totalsRowShown="0" headerRowDxfId="9067" dataDxfId="9066">
  <autoFilter ref="AP2:AS34" xr:uid="{0970EA96-5A42-4AD6-91CD-F6B9E7C8C270}"/>
  <sortState xmlns:xlrd2="http://schemas.microsoft.com/office/spreadsheetml/2017/richdata2" ref="AP3:AS34">
    <sortCondition ref="AP2:AP34"/>
  </sortState>
  <tableColumns count="4">
    <tableColumn id="1" xr3:uid="{74080881-19BC-4E3F-8BB3-484E21963408}" name="DEF" dataDxfId="9065"/>
    <tableColumn id="2" xr3:uid="{0A33917C-C673-483A-9258-D905B329D2DD}" name="REC" dataDxfId="9064">
      <calculatedColumnFormula>(_xlfn.XLOOKUP(Table832[[#This Row],[DEF]],Table8[DEF],Table8[REC])+_xlfn.XLOOKUP(Table832[[#This Row],[DEF]],Table816[DEF],Table816[REC])+_xlfn.XLOOKUP(Table832[[#This Row],[DEF]],Table845[DEF],Table845[REC]))/2</calculatedColumnFormula>
    </tableColumn>
    <tableColumn id="3" xr3:uid="{11136BB8-CB58-435A-92DB-813999187D63}" name="Y" dataDxfId="9063">
      <calculatedColumnFormula>(_xlfn.XLOOKUP(Table832[[#This Row],[DEF]],Table8[DEF],Table8[Y])+_xlfn.XLOOKUP(Table832[[#This Row],[DEF]],Table816[DEF],Table816[Y])+_xlfn.XLOOKUP(Table832[[#This Row],[DEF]],Table845[DEF],Table845[Y]))/2</calculatedColumnFormula>
    </tableColumn>
    <tableColumn id="4" xr3:uid="{4C56FD0A-1E44-4E40-8496-DD03BE1E6F88}" name="TD" dataDxfId="9062">
      <calculatedColumnFormula>(_xlfn.XLOOKUP(Table832[[#This Row],[DEF]],Table8[DEF],Table8[TD])+_xlfn.XLOOKUP(Table832[[#This Row],[DEF]],Table816[DEF],Table816[TD])+_xlfn.XLOOKUP(Table832[[#This Row],[DEF]],Table845[DEF],Table845[TD]))/2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BFF8F05-391D-4CF2-ACE6-BB81726BD638}" name="Table1033" displayName="Table1033" ref="D37:E69" totalsRowShown="0" headerRowDxfId="9061">
  <autoFilter ref="D37:E69" xr:uid="{C2C02EE4-3D78-4033-A5D9-91D9A7945A17}"/>
  <sortState xmlns:xlrd2="http://schemas.microsoft.com/office/spreadsheetml/2017/richdata2" ref="D38:E69">
    <sortCondition ref="D37:D69"/>
  </sortState>
  <tableColumns count="2">
    <tableColumn id="1" xr3:uid="{6A59C400-2DFB-45B8-9EF5-54D73AA7A72D}" name="DEF" dataDxfId="9060"/>
    <tableColumn id="2" xr3:uid="{D596965E-4755-4D31-9064-D8D3AAA42ED5}" name="TD" dataDxfId="9059">
      <calculatedColumnFormula>(_xlfn.XLOOKUP(Table1033[[#This Row],[DEF]],Table10[DEF],Table10[TD])+_xlfn.XLOOKUP(Table1033[[#This Row],[DEF]],Table1046[DEF],Table1046[TD]))/2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B58BE12-F3CB-4769-BA72-DC44876C6512}" name="Table4334" displayName="Table4334" ref="D2:E34" totalsRowShown="0" headerRowDxfId="9058" tableBorderDxfId="9057">
  <autoFilter ref="D2:E34" xr:uid="{17E091BE-1BF1-4F95-ACBB-C114AB784CDF}"/>
  <sortState xmlns:xlrd2="http://schemas.microsoft.com/office/spreadsheetml/2017/richdata2" ref="D3:E34">
    <sortCondition ref="D2:D34"/>
  </sortState>
  <tableColumns count="2">
    <tableColumn id="1" xr3:uid="{D2513B07-D6A8-469B-BC24-5DA0100FE367}" name="Team" dataDxfId="9056"/>
    <tableColumn id="2" xr3:uid="{2367FB70-BC6F-483B-B4AB-0106E2BD05F2}" name="OPP" dataDxfId="9055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BEB8A36-3530-448C-AC00-34B6F2B1DBFA}" name="Table71236" displayName="Table71236" ref="AG2:AJ34" totalsRowShown="0" headerRowDxfId="9054" dataDxfId="9053">
  <autoFilter ref="AG2:AJ34" xr:uid="{9BCDEC80-7694-4B66-A062-11E2D1E316B1}"/>
  <sortState xmlns:xlrd2="http://schemas.microsoft.com/office/spreadsheetml/2017/richdata2" ref="AG3:AJ34">
    <sortCondition ref="AG2:AG34"/>
  </sortState>
  <tableColumns count="4">
    <tableColumn id="1" xr3:uid="{85BE2321-9E33-4AA0-8250-45B202EFA8DC}" name="DEF" dataDxfId="9052"/>
    <tableColumn id="2" xr3:uid="{F4718EFF-CA12-4FC4-B1A7-EEA36B17EB43}" name="REC" dataDxfId="9051">
      <calculatedColumnFormula>(_xlfn.XLOOKUP(Table71236[[#This Row],[DEF]],Table712[DEF],Table712[REC])+_xlfn.XLOOKUP(Table71236[[#This Row],[DEF]],Table948[Defense],Table948[WR2C]))/2</calculatedColumnFormula>
    </tableColumn>
    <tableColumn id="3" xr3:uid="{021CA5FA-2FB9-492A-976F-69AB97017F54}" name="Y" dataDxfId="9050">
      <calculatedColumnFormula>(_xlfn.XLOOKUP(Table71236[[#This Row],[DEF]],Table712[DEF],Table712[Y])+_xlfn.XLOOKUP(Table71236[[#This Row],[DEF]],Table948[Defense],Table948[WR2Y]))/2</calculatedColumnFormula>
    </tableColumn>
    <tableColumn id="4" xr3:uid="{4EB5B8B4-1D05-41AC-AE47-FCD5528EFA16}" name="TD" dataDxfId="9049">
      <calculatedColumnFormula>(_xlfn.XLOOKUP(Table71236[[#This Row],[DEF]],Table712[DEF],Table712[TD])+_xlfn.XLOOKUP(Table71236[[#This Row],[DEF]],Table948[Defense],Table948[WR2]))/2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194A0B9-B101-4826-85C9-4FA28229BEB1}" name="Table7121437" displayName="Table7121437" ref="X37:AA69" totalsRowShown="0" headerRowDxfId="9048" dataDxfId="9047">
  <autoFilter ref="X37:AA69" xr:uid="{BB690C25-23DD-46B0-A1BF-E0B0DD689AD0}"/>
  <sortState xmlns:xlrd2="http://schemas.microsoft.com/office/spreadsheetml/2017/richdata2" ref="X38:AA69">
    <sortCondition ref="X37:X69"/>
  </sortState>
  <tableColumns count="4">
    <tableColumn id="1" xr3:uid="{48F4AC30-EC31-4E02-8FE5-D25C309FD3B8}" name="DEF" dataDxfId="9046"/>
    <tableColumn id="2" xr3:uid="{AC292F4F-B12E-4C0F-8063-D8AA2B77417E}" name="REC" dataDxfId="9045">
      <calculatedColumnFormula>(_xlfn.XLOOKUP(Table7121437[[#This Row],[DEF]],Table71214[DEF],Table71214[REC])+_xlfn.XLOOKUP(Table7121437[[#This Row],[DEF]],Table948[Defense],Table948[WR3C]))/2</calculatedColumnFormula>
    </tableColumn>
    <tableColumn id="3" xr3:uid="{5537764A-2FCE-4621-8ECC-75553B591C5D}" name="Y" dataDxfId="9044">
      <calculatedColumnFormula>(_xlfn.XLOOKUP(Table7121437[[#This Row],[DEF]],Table71214[DEF],Table71214[Y])+_xlfn.XLOOKUP(Table7121437[[#This Row],[DEF]],Table948[Defense],Table948[WR3Y]))/2</calculatedColumnFormula>
    </tableColumn>
    <tableColumn id="4" xr3:uid="{0B6EE2F8-406F-4819-9158-2B4D811B5101}" name="TD" dataDxfId="9043">
      <calculatedColumnFormula>(_xlfn.XLOOKUP(Table7121437[[#This Row],[DEF]],Table71214[DEF],Table71214[TD])+_xlfn.XLOOKUP(Table7121437[[#This Row],[DEF]],Table948[Defense],Table948[WR3]))/2</calculatedColumnFormula>
    </tableColumn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BFF5A82-85B1-46C1-A5AC-1EED9248E80F}" name="Table712141538" displayName="Table712141538" ref="AG37:AJ69" totalsRowShown="0" headerRowDxfId="9042" dataDxfId="9041">
  <autoFilter ref="AG37:AJ69" xr:uid="{D41D01D5-B7DE-4F5F-9362-15B6BF1DF54E}"/>
  <sortState xmlns:xlrd2="http://schemas.microsoft.com/office/spreadsheetml/2017/richdata2" ref="AG38:AJ69">
    <sortCondition ref="AG37:AG69"/>
  </sortState>
  <tableColumns count="4">
    <tableColumn id="1" xr3:uid="{AE588212-1ADA-4BB3-B50F-B50F4C85B486}" name="DEF" dataDxfId="9040"/>
    <tableColumn id="2" xr3:uid="{424DC611-FB43-45AC-9781-58D68189CD01}" name="REC" dataDxfId="9039">
      <calculatedColumnFormula>(_xlfn.XLOOKUP(Table712141538[[#This Row],[DEF]],Table7121415[DEF],Table7121415[REC])+_xlfn.XLOOKUP(Table712141538[[#This Row],[DEF]],Table948[Defense],Table948[WR4+C]))/2</calculatedColumnFormula>
    </tableColumn>
    <tableColumn id="3" xr3:uid="{B09D8AE0-DAD6-4265-BCD6-A113533273F1}" name="Y" dataDxfId="9038">
      <calculatedColumnFormula>(_xlfn.XLOOKUP(Table712141538[[#This Row],[DEF]],Table7121415[DEF],Table7121415[Y])+_xlfn.XLOOKUP(Table712141538[[#This Row],[DEF]],Table948[Defense],Table948[WR4+Y]))/2</calculatedColumnFormula>
    </tableColumn>
    <tableColumn id="4" xr3:uid="{6A4BFACA-97CC-488F-B0CF-57CCE89AE184}" name="TD" dataDxfId="9037">
      <calculatedColumnFormula>(_xlfn.XLOOKUP(Table712141538[[#This Row],[DEF]],Table7121415[DEF],Table7121415[TD])+_xlfn.XLOOKUP(Table712141538[[#This Row],[DEF]],Table948[Defense],Table948[WR4+]))/2</calculatedColumnFormula>
    </tableColumn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C30C65-2725-4FD9-B0A5-43C6AF69F9F5}" name="Table2040" displayName="Table2040" ref="M37:R69" totalsRowShown="0" headerRowDxfId="9036">
  <autoFilter ref="M37:R69" xr:uid="{5A82A661-B17C-431E-BBD0-21E2854B9A8C}"/>
  <sortState xmlns:xlrd2="http://schemas.microsoft.com/office/spreadsheetml/2017/richdata2" ref="M38:R69">
    <sortCondition ref="M37:M69"/>
  </sortState>
  <tableColumns count="6">
    <tableColumn id="1" xr3:uid="{2CE82B97-69B0-44BC-B8AE-B91EF44BAE23}" name="DEF" dataDxfId="9035"/>
    <tableColumn id="2" xr3:uid="{F0EA52FA-89E9-4723-9B40-B3176BCFCF1E}" name="R" dataDxfId="9034">
      <calculatedColumnFormula>(_xlfn.XLOOKUP(Table2040[[#This Row],[DEF]],Table20[DEF],Table20[R])+_xlfn.XLOOKUP(Table2040[[#This Row],[DEF]],Table46[DEF],Table46[R]))/2</calculatedColumnFormula>
    </tableColumn>
    <tableColumn id="3" xr3:uid="{DB4319D7-57A6-4FCE-B597-ED814943FEE1}" name="REC" dataDxfId="9033">
      <calculatedColumnFormula>(_xlfn.XLOOKUP(Table2040[[#This Row],[DEF]],Table20[DEF],Table20[REC])+_xlfn.XLOOKUP(Table2040[[#This Row],[DEF]],Table46[DEF],Table46[REC]))/2</calculatedColumnFormula>
    </tableColumn>
    <tableColumn id="4" xr3:uid="{5FDADE1B-F3AD-4EFC-9E2C-BE6FC5483D4F}" name="Y" dataDxfId="9032">
      <calculatedColumnFormula>(_xlfn.XLOOKUP(Table2040[[#This Row],[DEF]],Table20[DEF],Table20[Y])+_xlfn.XLOOKUP(Table2040[[#This Row],[DEF]],Table46[DEF],Table46[Y]))/2</calculatedColumnFormula>
    </tableColumn>
    <tableColumn id="5" xr3:uid="{F7E11F33-E456-4D93-B1A7-F898A0740B92}" name="R+R" dataDxfId="9031">
      <calculatedColumnFormula>(_xlfn.XLOOKUP(Table2040[[#This Row],[DEF]],Table20[DEF],Table20[R+R])+_xlfn.XLOOKUP(Table2040[[#This Row],[DEF]],Table46[DEF],Table46[R+R]))/2</calculatedColumnFormula>
    </tableColumn>
    <tableColumn id="6" xr3:uid="{1C681EA6-75E3-416F-A8BB-4CCAB102F388}" name="TD" dataDxfId="9030">
      <calculatedColumnFormula>(_xlfn.XLOOKUP(Table2040[[#This Row],[DEF]],Table20[DEF],Table20[TD])+_xlfn.XLOOKUP(Table2040[[#This Row],[DEF]],Table46[DEF],Table46[TD]))/2</calculatedColumnFormula>
    </tableColumn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A4452B-567D-489F-8B3A-3D2738CD76D0}" name="Table82" displayName="Table82" ref="B2:C34" totalsRowShown="0" headerRowDxfId="9029" dataDxfId="9027" headerRowBorderDxfId="9028" tableBorderDxfId="9026" totalsRowBorderDxfId="9025">
  <autoFilter ref="B2:C34" xr:uid="{00A4452B-567D-489F-8B3A-3D2738CD76D0}"/>
  <tableColumns count="2">
    <tableColumn id="2" xr3:uid="{F8D8D177-D773-4FFE-91F0-86E52A1E6AFA}" name="?" dataDxfId="9024"/>
    <tableColumn id="1" xr3:uid="{94B5865F-F8B8-4909-8665-4EDEC93A4CA0}" name="Slate" dataDxfId="902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7DE1391C-EB70-49C8-AAE2-50B6603F26E1}" name="Table82122" displayName="Table82122" ref="B37:B69" totalsRowShown="0" headerRowDxfId="9022" dataDxfId="9020" headerRowBorderDxfId="9021" tableBorderDxfId="9019" totalsRowBorderDxfId="9018">
  <autoFilter ref="B37:B69" xr:uid="{7DE1391C-EB70-49C8-AAE2-50B6603F26E1}"/>
  <tableColumns count="1">
    <tableColumn id="1" xr3:uid="{DE702265-F465-403A-8B33-99BFE8D524FA}" name="Slate" dataDxfId="9017">
      <calculatedColumnFormula>C3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3B6A9-617A-4EE6-BA57-2D3A44C9EB28}" name="Table1" displayName="Table1" ref="M2:R34" totalsRowShown="0" headerRowDxfId="9016" dataDxfId="9015">
  <autoFilter ref="M2:R34" xr:uid="{96A3B6A9-617A-4EE6-BA57-2D3A44C9EB28}"/>
  <sortState xmlns:xlrd2="http://schemas.microsoft.com/office/spreadsheetml/2017/richdata2" ref="M3:R34">
    <sortCondition ref="M2:M34"/>
  </sortState>
  <tableColumns count="6">
    <tableColumn id="1" xr3:uid="{95AEA030-AFA3-4F98-9DC1-3CBD906046DD}" name="DEF" dataDxfId="9014"/>
    <tableColumn id="2" xr3:uid="{2DE41FE8-5B10-4C00-9BB8-74B808F8522E}" name="P" dataDxfId="9013"/>
    <tableColumn id="3" xr3:uid="{B8FCB948-121C-490F-B188-8F70E77E8FF9}" name="R" dataDxfId="9012"/>
    <tableColumn id="4" xr3:uid="{53269FC3-C419-46F5-B8F0-C340C89C039A}" name="P+R" dataDxfId="9011">
      <calculatedColumnFormula>Table1[[#This Row],[P]]+Table1[[#This Row],[R]]</calculatedColumnFormula>
    </tableColumn>
    <tableColumn id="5" xr3:uid="{FDC16EC3-29E4-4C12-924D-669162A94E5E}" name="P TD" dataDxfId="9010"/>
    <tableColumn id="18" xr3:uid="{F4EC2CA2-5125-4FF3-9EAE-730D42FFBC68}" name="TD" dataDxfId="9009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4434A9-AFD2-4E73-A1E8-71E55FDD6A22}" name="Table4" displayName="Table4" ref="M37:R69" totalsRowShown="0" headerRowDxfId="9008" dataDxfId="9007">
  <autoFilter ref="M37:R69" xr:uid="{5C4434A9-AFD2-4E73-A1E8-71E55FDD6A22}"/>
  <sortState xmlns:xlrd2="http://schemas.microsoft.com/office/spreadsheetml/2017/richdata2" ref="M38:R69">
    <sortCondition ref="M37:M69"/>
  </sortState>
  <tableColumns count="6">
    <tableColumn id="1" xr3:uid="{8B3204D5-B5C5-4A58-8AF2-EF507594BBFD}" name="DEF" dataDxfId="9006"/>
    <tableColumn id="2" xr3:uid="{FC2BA6AA-EBDF-4D14-A4E6-B92A78AC28BE}" name="R" dataDxfId="9005"/>
    <tableColumn id="3" xr3:uid="{1C169181-4CFE-4BD4-845A-0B398F8AC032}" name="REC" dataDxfId="9004"/>
    <tableColumn id="4" xr3:uid="{953AFD45-99AA-426C-A79F-4DC5885F69D6}" name="Y" dataDxfId="9003"/>
    <tableColumn id="5" xr3:uid="{D44E83FD-8990-481A-80A2-30B4C4241E09}" name="R+R" dataDxfId="9002">
      <calculatedColumnFormula>Table4[[#This Row],[R]]+Table4[[#This Row],[Y]]</calculatedColumnFormula>
    </tableColumn>
    <tableColumn id="6" xr3:uid="{FB9FC301-C537-4709-A7D7-5E51485813D7}" name="TD" dataDxfId="9001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94B4BC-42F3-4D1A-87D4-294A1620CC73}" name="Table7" displayName="Table7" ref="AK2:AN34" totalsRowShown="0" headerRowDxfId="9000" dataDxfId="8999">
  <autoFilter ref="AK2:AN34" xr:uid="{3794B4BC-42F3-4D1A-87D4-294A1620CC73}"/>
  <sortState xmlns:xlrd2="http://schemas.microsoft.com/office/spreadsheetml/2017/richdata2" ref="AK3:AN34">
    <sortCondition ref="AK2:AK34"/>
  </sortState>
  <tableColumns count="4">
    <tableColumn id="1" xr3:uid="{DBEBC4D0-29DF-4F0D-A167-AD5B09B8E556}" name="DEF" dataDxfId="8998"/>
    <tableColumn id="2" xr3:uid="{F600403B-506B-4C2E-8E62-8F143C29B581}" name="REC" dataDxfId="8997"/>
    <tableColumn id="3" xr3:uid="{FE48016C-41D1-494D-B1B8-0D491195A4D7}" name="Y" dataDxfId="8996"/>
    <tableColumn id="4" xr3:uid="{0D231836-FABC-40B0-B1FD-2C41B3198B77}" name="TD" dataDxfId="8995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70EA96-5A42-4AD6-91CD-F6B9E7C8C270}" name="Table8" displayName="Table8" ref="BC2:BF34" totalsRowShown="0" headerRowDxfId="8994" dataDxfId="8993">
  <autoFilter ref="BC2:BF34" xr:uid="{0970EA96-5A42-4AD6-91CD-F6B9E7C8C270}"/>
  <sortState xmlns:xlrd2="http://schemas.microsoft.com/office/spreadsheetml/2017/richdata2" ref="BC3:BF34">
    <sortCondition ref="BC2:BC34"/>
  </sortState>
  <tableColumns count="4">
    <tableColumn id="1" xr3:uid="{3E655665-EF69-46C5-B830-5CDFB3B7439C}" name="DEF" dataDxfId="8992"/>
    <tableColumn id="2" xr3:uid="{AB142772-A075-4A89-BC30-964EAB731BA1}" name="REC" dataDxfId="8991"/>
    <tableColumn id="3" xr3:uid="{55D28A7E-6A71-4227-B80D-2111F24F57E5}" name="Y" dataDxfId="8990"/>
    <tableColumn id="4" xr3:uid="{953F6D24-900B-4322-B7B7-769DF2029C42}" name="TD" dataDxfId="8989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C02EE4-3D78-4033-A5D9-91D9A7945A17}" name="Table10" displayName="Table10" ref="D37:E69" totalsRowShown="0" headerRowDxfId="8988">
  <autoFilter ref="D37:E69" xr:uid="{C2C02EE4-3D78-4033-A5D9-91D9A7945A17}"/>
  <sortState xmlns:xlrd2="http://schemas.microsoft.com/office/spreadsheetml/2017/richdata2" ref="D38:E69">
    <sortCondition ref="D37:D69"/>
  </sortState>
  <tableColumns count="2">
    <tableColumn id="1" xr3:uid="{4E612F6A-480F-4064-B379-E1014F8F551C}" name="DEF" dataDxfId="8987"/>
    <tableColumn id="2" xr3:uid="{9B1C690F-0583-4C04-AA8E-6BA7934E78EB}" name="TD" dataDxfId="8986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7E091BE-1BF1-4F95-ACBB-C114AB784CDF}" name="Table43" displayName="Table43" ref="D2:E34" totalsRowShown="0" headerRowDxfId="8985" tableBorderDxfId="8984">
  <autoFilter ref="D2:E34" xr:uid="{17E091BE-1BF1-4F95-ACBB-C114AB784CDF}"/>
  <sortState xmlns:xlrd2="http://schemas.microsoft.com/office/spreadsheetml/2017/richdata2" ref="D3:E34">
    <sortCondition ref="D2:D34"/>
  </sortState>
  <tableColumns count="2">
    <tableColumn id="1" xr3:uid="{16B1DDAA-4911-4702-9857-0ADE74147452}" name="Team" dataDxfId="8983"/>
    <tableColumn id="2" xr3:uid="{2DB92D44-3D83-4668-82F3-727F1324BA9F}" name="OPP" dataDxfId="8982">
      <calculatedColumnFormula>Table4334[[#This Row],[OPP]]</calculatedColumnFormula>
    </tableColumn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EEBB0-E613-449E-B236-D6935D16B151}" name="Table44" displayName="Table44" ref="Z37:AE69" totalsRowShown="0" headerRowDxfId="8981" dataDxfId="8980">
  <autoFilter ref="Z37:AE69" xr:uid="{70CEEBB0-E613-449E-B236-D6935D16B151}"/>
  <sortState xmlns:xlrd2="http://schemas.microsoft.com/office/spreadsheetml/2017/richdata2" ref="Z38:AE69">
    <sortCondition ref="Z37:Z69"/>
  </sortState>
  <tableColumns count="6">
    <tableColumn id="1" xr3:uid="{CBA787E0-F409-4BD4-981D-1E7E464ED5FE}" name="DEF" dataDxfId="8979"/>
    <tableColumn id="2" xr3:uid="{4BEB10DF-C900-41DB-95CB-2434732EBC2B}" name="R" dataDxfId="8978"/>
    <tableColumn id="3" xr3:uid="{74BC221C-1B87-44C4-BA29-2AED044D3A7C}" name="REC" dataDxfId="8977"/>
    <tableColumn id="4" xr3:uid="{F46C275C-088B-4911-B350-102750AA0CB9}" name="Y" dataDxfId="8976"/>
    <tableColumn id="5" xr3:uid="{9A097E1B-86E7-4730-AF4A-15E6D20B9A0D}" name="R+R" dataDxfId="8975">
      <calculatedColumnFormula>Table44[[#This Row],[R]]+Table44[[#This Row],[Y]]</calculatedColumnFormula>
    </tableColumn>
    <tableColumn id="6" xr3:uid="{6E3DBF1F-38B8-4241-A8ED-5FB5BDC0ADE4}" name="TD" dataDxfId="8974"/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CDEC80-7694-4B66-A062-11E2D1E316B1}" name="Table712" displayName="Table712" ref="AT2:AW34" totalsRowShown="0" headerRowDxfId="8973" dataDxfId="8972">
  <autoFilter ref="AT2:AW34" xr:uid="{9BCDEC80-7694-4B66-A062-11E2D1E316B1}"/>
  <sortState xmlns:xlrd2="http://schemas.microsoft.com/office/spreadsheetml/2017/richdata2" ref="AT3:AW34">
    <sortCondition ref="AT2:AT34"/>
  </sortState>
  <tableColumns count="4">
    <tableColumn id="1" xr3:uid="{930424DF-92A6-4889-8E78-2EF20F80F818}" name="DEF" dataDxfId="8971"/>
    <tableColumn id="2" xr3:uid="{C6C043D1-1F79-4639-9887-B4A697266DFA}" name="REC" dataDxfId="8970"/>
    <tableColumn id="3" xr3:uid="{9B1788ED-0F7B-4429-98DB-AF3BBF886D00}" name="Y" dataDxfId="8969"/>
    <tableColumn id="4" xr3:uid="{26F2DBB1-4072-42B3-A84E-959AF48EBAA9}" name="TD" dataDxfId="8968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690C25-23DD-46B0-A1BF-E0B0DD689AD0}" name="Table71214" displayName="Table71214" ref="AK37:AN69" totalsRowShown="0" headerRowDxfId="8967" dataDxfId="8966">
  <autoFilter ref="AK37:AN69" xr:uid="{BB690C25-23DD-46B0-A1BF-E0B0DD689AD0}"/>
  <sortState xmlns:xlrd2="http://schemas.microsoft.com/office/spreadsheetml/2017/richdata2" ref="AK38:AN69">
    <sortCondition ref="AK37:AK69"/>
  </sortState>
  <tableColumns count="4">
    <tableColumn id="1" xr3:uid="{0689DCEA-E300-45DB-AE6C-C3DE034D475E}" name="DEF" dataDxfId="8965"/>
    <tableColumn id="2" xr3:uid="{5C70237F-FEC1-4B16-A8CD-87D11E6DC410}" name="REC" dataDxfId="8964"/>
    <tableColumn id="3" xr3:uid="{808364B9-954E-4884-B9A4-E47C4435F8F8}" name="Y" dataDxfId="8963"/>
    <tableColumn id="4" xr3:uid="{DC15C287-D37A-4A63-9F7D-0BB2B3380BAC}" name="TD" dataDxfId="8962"/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1D01D5-B7DE-4F5F-9362-15B6BF1DF54E}" name="Table7121415" displayName="Table7121415" ref="AT37:AW69" totalsRowShown="0" headerRowDxfId="8961" dataDxfId="8960">
  <autoFilter ref="AT37:AW69" xr:uid="{D41D01D5-B7DE-4F5F-9362-15B6BF1DF54E}"/>
  <sortState xmlns:xlrd2="http://schemas.microsoft.com/office/spreadsheetml/2017/richdata2" ref="AT38:AW69">
    <sortCondition ref="AT37:AT69"/>
  </sortState>
  <tableColumns count="4">
    <tableColumn id="1" xr3:uid="{799EA79A-6125-49FE-9D37-8B3446C0AC65}" name="DEF" dataDxfId="8959"/>
    <tableColumn id="2" xr3:uid="{F5013BED-649D-4274-B4EF-7F140522181E}" name="REC" dataDxfId="8958"/>
    <tableColumn id="3" xr3:uid="{BD2292C0-778A-487E-AFE7-EBC0DA85035E}" name="Y" dataDxfId="8957"/>
    <tableColumn id="4" xr3:uid="{5C0669DA-0FBB-485B-95DD-8412100D5BA7}" name="TD" dataDxfId="8956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B7A1B0-0E4A-46ED-8C78-0CAB85BF1D86}" name="Table816" displayName="Table816" ref="BC37:BF69" totalsRowShown="0" headerRowDxfId="8955" dataDxfId="8954">
  <autoFilter ref="BC37:BF69" xr:uid="{7AB7A1B0-0E4A-46ED-8C78-0CAB85BF1D86}"/>
  <sortState xmlns:xlrd2="http://schemas.microsoft.com/office/spreadsheetml/2017/richdata2" ref="BC38:BF69">
    <sortCondition ref="BC37:BC69"/>
  </sortState>
  <tableColumns count="4">
    <tableColumn id="1" xr3:uid="{D8B640E5-FE01-463A-8D3C-8C35BA243E04}" name="DEF" dataDxfId="8953"/>
    <tableColumn id="2" xr3:uid="{5B70FB3D-A84E-4A1A-8310-4ECFD8EE0E06}" name="REC" dataDxfId="8952"/>
    <tableColumn id="3" xr3:uid="{1B94515D-798E-4FFE-97B4-86479DFDDF04}" name="Y" dataDxfId="8951"/>
    <tableColumn id="4" xr3:uid="{3D340F60-8B83-4669-922F-22A0D7A9342A}" name="TD" dataDxfId="8950"/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A82A661-B17C-431E-BBD0-21E2854B9A8C}" name="Table20" displayName="Table20" ref="Z2:AE34" totalsRowShown="0" headerRowDxfId="8949">
  <autoFilter ref="Z2:AE34" xr:uid="{5A82A661-B17C-431E-BBD0-21E2854B9A8C}"/>
  <sortState xmlns:xlrd2="http://schemas.microsoft.com/office/spreadsheetml/2017/richdata2" ref="Z3:AE34">
    <sortCondition ref="Z2:Z34"/>
  </sortState>
  <tableColumns count="6">
    <tableColumn id="1" xr3:uid="{21EAD3DC-712C-4844-B7A9-9A9FEC5B547D}" name="DEF" dataDxfId="8948"/>
    <tableColumn id="2" xr3:uid="{48C0B57A-751F-4F4B-86FA-A5DAA5959C69}" name="R" dataDxfId="8947">
      <calculatedColumnFormula>_xlfn.XLOOKUP(Table20[[#This Row],[DEF]],Table4[DEF],Table4[R])+_xlfn.XLOOKUP(Table20[[#This Row],[DEF]],Table44[DEF],Table44[R])</calculatedColumnFormula>
    </tableColumn>
    <tableColumn id="3" xr3:uid="{7BDC8673-9F87-421A-A521-C0C36A761521}" name="REC" dataDxfId="8946">
      <calculatedColumnFormula>_xlfn.XLOOKUP(Table20[[#This Row],[DEF]],Table4[DEF],Table4[REC])+_xlfn.XLOOKUP(Table20[[#This Row],[DEF]],Table44[DEF],Table44[REC])</calculatedColumnFormula>
    </tableColumn>
    <tableColumn id="4" xr3:uid="{BFD73D34-BE26-4982-9269-31F98347EE78}" name="Y" dataDxfId="8945">
      <calculatedColumnFormula>_xlfn.XLOOKUP(Table20[[#This Row],[DEF]],Table4[DEF],Table4[Y])+_xlfn.XLOOKUP(Table20[[#This Row],[DEF]],Table44[DEF],Table44[Y])</calculatedColumnFormula>
    </tableColumn>
    <tableColumn id="5" xr3:uid="{1C01B579-31AC-4E25-8BCC-D5B215E8B4C5}" name="R+R" dataDxfId="8944">
      <calculatedColumnFormula>_xlfn.XLOOKUP(Table20[[#This Row],[DEF]],Table4[DEF],Table4[R+R])+_xlfn.XLOOKUP(Table20[[#This Row],[DEF]],Table44[DEF],Table44[R+R])</calculatedColumnFormula>
    </tableColumn>
    <tableColumn id="6" xr3:uid="{A5E495EB-6A24-43E8-91EC-0DFD3F8ACCD3}" name="TD" dataDxfId="8943">
      <calculatedColumnFormula>_xlfn.XLOOKUP(Table20[[#This Row],[DEF]],Table4[DEF],Table4[TD])+_xlfn.XLOOKUP(Table20[[#This Row],[DEF]],Table44[DEF],Table44[TD])</calculatedColumnFormula>
    </tableColumn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C1E19BBB-4A77-4962-92ED-09579260ABF8}" name="Table82123" displayName="Table82123" ref="C2:C34" totalsRowShown="0" headerRowDxfId="8942" dataDxfId="8940" headerRowBorderDxfId="8941" tableBorderDxfId="8939" totalsRowBorderDxfId="8938">
  <autoFilter ref="C2:C34" xr:uid="{C1E19BBB-4A77-4962-92ED-09579260ABF8}">
    <filterColumn colId="0">
      <filters>
        <filter val="SB LX"/>
      </filters>
    </filterColumn>
  </autoFilter>
  <tableColumns count="1">
    <tableColumn id="1" xr3:uid="{A8887B15-872C-4525-8A6D-8DA76624284B}" name="Slate" dataDxfId="8937">
      <calculatedColumnFormula>Table82[[#This Row],[Slate]]</calculatedColumnFormula>
    </tableColumn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679ACB96-6CDF-415A-9355-CDFF8AFFEBB2}" name="Table82124" displayName="Table82124" ref="B37:B69" totalsRowShown="0" headerRowDxfId="8936" dataDxfId="8934" headerRowBorderDxfId="8935" tableBorderDxfId="8933" totalsRowBorderDxfId="8932">
  <autoFilter ref="B37:B69" xr:uid="{679ACB96-6CDF-415A-9355-CDFF8AFFEBB2}"/>
  <tableColumns count="1">
    <tableColumn id="1" xr3:uid="{FDA5F9B5-3BF1-4773-8425-40D88AFC0198}" name="Slate" dataDxfId="8931">
      <calculatedColumnFormula>C3</calculatedColumnFormula>
    </tableColumn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5244E7-4C1F-4ECE-AE7D-571D663D7642}" name="Table14" displayName="Table14" ref="J2:O34" totalsRowShown="0" headerRowDxfId="8930" dataDxfId="8929">
  <autoFilter ref="J2:O34" xr:uid="{96A3B6A9-617A-4EE6-BA57-2D3A44C9EB28}"/>
  <sortState xmlns:xlrd2="http://schemas.microsoft.com/office/spreadsheetml/2017/richdata2" ref="J3:O34">
    <sortCondition ref="J2:J34"/>
  </sortState>
  <tableColumns count="6">
    <tableColumn id="1" xr3:uid="{CE9E4F8F-48A8-4FAA-B931-514D383E17CE}" name="DEF" dataDxfId="8928"/>
    <tableColumn id="2" xr3:uid="{BAC2F6BB-6DF1-4C14-B514-05A9F4A62A28}" name="P" dataDxfId="8927"/>
    <tableColumn id="3" xr3:uid="{0E29A3EE-F607-4FAC-92B9-BA3C3E62686A}" name="R" dataDxfId="8926"/>
    <tableColumn id="4" xr3:uid="{AD0036EC-93FA-42F0-90BE-4B34CD60CAAF}" name="P+R" dataDxfId="8925"/>
    <tableColumn id="5" xr3:uid="{E629FB8D-1BA3-4A00-AC60-48D5AAD12700}" name="P TD" dataDxfId="8924"/>
    <tableColumn id="18" xr3:uid="{66AD9209-6E52-43E0-AB4A-4B542F277C57}" name="TD" dataDxfId="8923"/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9A917C-A5E0-4F81-9953-0BC17643715C}" name="Table46" displayName="Table46" ref="P2:U34" totalsRowShown="0" headerRowDxfId="8922" dataDxfId="8921">
  <autoFilter ref="P2:U34" xr:uid="{5C4434A9-AFD2-4E73-A1E8-71E55FDD6A22}"/>
  <sortState xmlns:xlrd2="http://schemas.microsoft.com/office/spreadsheetml/2017/richdata2" ref="P3:U34">
    <sortCondition ref="P2:P34"/>
  </sortState>
  <tableColumns count="6">
    <tableColumn id="1" xr3:uid="{A7D4268C-658C-4826-9566-2E5902B072F1}" name="DEF" dataDxfId="8920"/>
    <tableColumn id="2" xr3:uid="{2BFA50FE-7573-404A-A990-B4E0D8FB7782}" name="R" dataDxfId="8919"/>
    <tableColumn id="3" xr3:uid="{414FB636-8B4F-420E-9641-B9AB88304DA4}" name="REC" dataDxfId="8918"/>
    <tableColumn id="4" xr3:uid="{89C1E1AD-5E63-488A-A896-E735822F9FD9}" name="Y" dataDxfId="8917"/>
    <tableColumn id="5" xr3:uid="{3C8A7A6B-4B20-4904-B6DD-4AE2BD29EA45}" name="R+R" dataDxfId="8916"/>
    <tableColumn id="6" xr3:uid="{24BBCB92-1C7D-4568-8D0A-BE26F237BCFD}" name="TD" dataDxfId="8915"/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6C0566-76CB-4669-A09F-21583BC3380F}" name="Table77" displayName="Table77" ref="J36:M68" totalsRowShown="0" headerRowDxfId="8914" dataDxfId="8913">
  <autoFilter ref="J36:M68" xr:uid="{3794B4BC-42F3-4D1A-87D4-294A1620CC73}"/>
  <sortState xmlns:xlrd2="http://schemas.microsoft.com/office/spreadsheetml/2017/richdata2" ref="J37:M68">
    <sortCondition ref="J36:J68"/>
  </sortState>
  <tableColumns count="4">
    <tableColumn id="1" xr3:uid="{DC40CF63-3792-4A61-A3FF-9859D6FBEC37}" name="DEF" dataDxfId="8912"/>
    <tableColumn id="2" xr3:uid="{5F9572EA-80CA-458C-AAC6-F14F7B6271BA}" name="REC" dataDxfId="8911"/>
    <tableColumn id="3" xr3:uid="{B1EBEC5B-1408-4D5E-97C3-BC4AE6D3FAAF}" name="Y" dataDxfId="8910"/>
    <tableColumn id="4" xr3:uid="{5B4ED926-20CC-4FB7-87EE-6C8A9EEA9CB2}" name="TD" dataDxfId="8909"/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108E54A-B9A7-46D0-8C6B-05E67DA037CF}" name="Table845" displayName="Table845" ref="N36:Q68" totalsRowShown="0" headerRowDxfId="8908" dataDxfId="8907">
  <autoFilter ref="N36:Q68" xr:uid="{0970EA96-5A42-4AD6-91CD-F6B9E7C8C270}"/>
  <sortState xmlns:xlrd2="http://schemas.microsoft.com/office/spreadsheetml/2017/richdata2" ref="N37:Q68">
    <sortCondition ref="N36:N68"/>
  </sortState>
  <tableColumns count="4">
    <tableColumn id="1" xr3:uid="{7001B604-BFDE-4A51-B71E-55D5E9851238}" name="DEF" dataDxfId="8906"/>
    <tableColumn id="2" xr3:uid="{B2CF0DE2-3916-4752-ACE7-D72EDDF7EE32}" name="REC" dataDxfId="8905"/>
    <tableColumn id="3" xr3:uid="{7408C59C-6D0D-4824-A10F-72FE0635CE74}" name="Y" dataDxfId="8904"/>
    <tableColumn id="4" xr3:uid="{44EB37B7-E18A-4345-8C8E-43686F46F398}" name="TD" dataDxfId="8903"/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48206AB-8D7D-4FAE-9C88-913D4A93AFC4}" name="Table1046" displayName="Table1046" ref="R36:S68" totalsRowShown="0">
  <autoFilter ref="R36:S68" xr:uid="{C2C02EE4-3D78-4033-A5D9-91D9A7945A17}"/>
  <sortState xmlns:xlrd2="http://schemas.microsoft.com/office/spreadsheetml/2017/richdata2" ref="R37:S68">
    <sortCondition ref="R36:R68"/>
  </sortState>
  <tableColumns count="2">
    <tableColumn id="1" xr3:uid="{3A98D2F2-0C9F-4726-B0F0-93E6FEAF85C9}" name="DEF" dataDxfId="8902"/>
    <tableColumn id="2" xr3:uid="{32DF1804-80C1-4C13-B1F7-6257F1621BF8}" name="TD" dataDxfId="8901"/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A2711ED-2F09-4634-82F4-0788B6CD372D}" name="Table4347" displayName="Table4347" ref="T36:U68" totalsRowShown="0" tableBorderDxfId="8900">
  <autoFilter ref="T36:U68" xr:uid="{17E091BE-1BF1-4F95-ACBB-C114AB784CDF}"/>
  <sortState xmlns:xlrd2="http://schemas.microsoft.com/office/spreadsheetml/2017/richdata2" ref="T37:U68">
    <sortCondition ref="T36:T68"/>
  </sortState>
  <tableColumns count="2">
    <tableColumn id="1" xr3:uid="{3C5EE3A1-E14F-4681-98E6-CB902A0377D5}" name="Team" dataDxfId="8899"/>
    <tableColumn id="2" xr3:uid="{E2076EBA-DFB0-4164-AB02-1DBE24DA4E0F}" name="OPP" dataDxfId="8898"/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3A7FD1-5CAC-4FC1-BA8A-C5AB0BEDDC7B}" name="Table1178213" displayName="Table1178213" ref="B1:Q86" totalsRowShown="0" headerRowDxfId="8897" dataDxfId="8895" headerRowBorderDxfId="8896" tableBorderDxfId="8894">
  <autoFilter ref="B1:Q86" xr:uid="{1A098BAD-ACEE-46DC-A93E-D379350A5D76}">
    <filterColumn colId="2">
      <filters>
        <filter val="QB1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4:Q72">
    <sortCondition descending="1" ref="P1:P86"/>
  </sortState>
  <tableColumns count="16">
    <tableColumn id="1" xr3:uid="{66EECF54-ECF9-437A-AE83-12576E5B0333}" name="Player" dataDxfId="8893"/>
    <tableColumn id="2" xr3:uid="{95DC7942-C6A6-49D1-BAF0-00C6DD88F7BC}" name="Team" dataDxfId="8892"/>
    <tableColumn id="3" xr3:uid="{57CCBF2A-A0B8-407F-81D7-BB2C0C7D24A2}" name="Pos." dataDxfId="8891"/>
    <tableColumn id="4" xr3:uid="{3B5B40FF-F123-4ED7-9CF6-66E1E1AADE21}" name="Slate" dataDxfId="8890">
      <calculatedColumnFormula array="1">_xlfn.XLOOKUP(Table1178213[[#This Row],[Team]],Table4334[Team],'2425'!$C$3:$C$34)</calculatedColumnFormula>
    </tableColumn>
    <tableColumn id="6" xr3:uid="{B3AEFCFD-EA8E-411C-96CE-40331C39DBE7}" name="Opp" dataDxfId="8889"/>
    <tableColumn id="16" xr3:uid="{68F175A4-4CAD-42D9-8825-B4326CD253D6}" name="*P*" dataDxfId="8888">
      <calculatedColumnFormula array="1">_xlfn.XLOOKUP(Table1178213[[#This Row],[Opp]],Table1[DEF],'2025'!$H$3:$H$34)</calculatedColumnFormula>
    </tableColumn>
    <tableColumn id="13" xr3:uid="{2C86F732-A6B8-4B5B-B914-CB9028E1647A}" name="*R*" dataDxfId="8887">
      <calculatedColumnFormula array="1">_xlfn.XLOOKUP(Table1178213[[#This Row],[Opp]],Table1[DEF],'2025'!$I$3:$I$34)</calculatedColumnFormula>
    </tableColumn>
    <tableColumn id="7" xr3:uid="{B3F0A4CF-C5E8-4B78-BFB8-27569BFC6F8C}" name="*P+R*" dataDxfId="8886">
      <calculatedColumnFormula array="1">_xlfn.XLOOKUP(Table1178213[[#This Row],[Opp]],Table1[DEF],'2025'!$J$3:$J$34)</calculatedColumnFormula>
    </tableColumn>
    <tableColumn id="14" xr3:uid="{1539C74B-1F93-488A-A850-948031F4934A}" name="*P TD*" dataDxfId="8885">
      <calculatedColumnFormula array="1">_xlfn.XLOOKUP(Table1178213[[#This Row],[Opp]],Table1[DEF],'2025'!$K$3:$K$34)</calculatedColumnFormula>
    </tableColumn>
    <tableColumn id="17" xr3:uid="{2C7026A7-FB34-442B-BB2F-8A2D30F6CA8A}" name="*TD*" dataDxfId="8884">
      <calculatedColumnFormula array="1">_xlfn.XLOOKUP(Table1178213[[#This Row],[Opp]],Table1[DEF],'2025'!$L$3:$L$34)</calculatedColumnFormula>
    </tableColumn>
    <tableColumn id="5" xr3:uid="{555BEBA7-683C-4DEF-B6A7-017E2F592CD5}" name="P" dataDxfId="8883">
      <calculatedColumnFormula>_xlfn.XLOOKUP(Table1178213[[#This Row],[Opp]],Table1[DEF],Table1[P])</calculatedColumnFormula>
    </tableColumn>
    <tableColumn id="8" xr3:uid="{849CE483-9F76-4C27-94C2-7AC6402A3A84}" name="R" dataDxfId="8882">
      <calculatedColumnFormula>_xlfn.XLOOKUP(Table1178213[[#This Row],[Opp]],Table1[DEF],Table1[R])</calculatedColumnFormula>
    </tableColumn>
    <tableColumn id="9" xr3:uid="{DCD2BF55-63F5-4EFF-9A09-D998A8415647}" name="P+R" dataDxfId="8881">
      <calculatedColumnFormula>_xlfn.XLOOKUP(Table1178213[[#This Row],[Opp]],Table1[DEF],Table1[P+R])</calculatedColumnFormula>
    </tableColumn>
    <tableColumn id="10" xr3:uid="{6CCCF185-1644-4842-B086-06E5E11B8F0A}" name="P TD" dataDxfId="8880">
      <calculatedColumnFormula>_xlfn.XLOOKUP(Table1178213[[#This Row],[Opp]],Table1[DEF],Table1[P TD])</calculatedColumnFormula>
    </tableColumn>
    <tableColumn id="11" xr3:uid="{A36CCB9F-BDD7-4DF0-87A2-A4B8431CF30A}" name="TD" dataDxfId="8879">
      <calculatedColumnFormula>_xlfn.XLOOKUP(Table1178213[[#This Row],[Opp]],Table1[DEF],Table1[TD])</calculatedColumnFormula>
    </tableColumn>
    <tableColumn id="18" xr3:uid="{7D8781C5-F363-4DED-A8D9-D1230635D8C5}" name="*" dataDxfId="8878">
      <calculatedColumnFormula>AVERAGE(Table1178213[[#This Row],[*P*]:[*TD*]])</calculatedColumnFormula>
    </tableColumn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B370091-60E6-4B71-AE02-C9E6FA43A745}" name="Table117821342" displayName="Table117821342" ref="B1:Q86" totalsRowShown="0" headerRowDxfId="8877" dataDxfId="8875" headerRowBorderDxfId="8876" tableBorderDxfId="8874">
  <autoFilter ref="B1:Q86" xr:uid="{1A098BAD-ACEE-46DC-A93E-D379350A5D76}">
    <filterColumn colId="2">
      <filters>
        <filter val="QB1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4:Q82">
    <sortCondition descending="1" ref="P1:P86"/>
  </sortState>
  <tableColumns count="16">
    <tableColumn id="1" xr3:uid="{9B32E8A1-DA26-4ED6-BBBE-7255CAAED6F1}" name="Player" dataDxfId="8873"/>
    <tableColumn id="2" xr3:uid="{8C368817-E55C-4390-A1B1-9DC6C5F61D29}" name="Team" dataDxfId="8872"/>
    <tableColumn id="3" xr3:uid="{4AD87B0D-5640-48DA-AE36-40E9C7345889}" name="Pos." dataDxfId="8871"/>
    <tableColumn id="4" xr3:uid="{EA4F8793-4018-4E35-94FD-FCCBEE9B0A00}" name="Slate" dataDxfId="8870">
      <calculatedColumnFormula array="1">_xlfn.XLOOKUP(Table117821342[[#This Row],[Team]],Table4334[Team],'2425'!$C$3:$C$34)</calculatedColumnFormula>
    </tableColumn>
    <tableColumn id="6" xr3:uid="{9A9E21A8-5FAD-4B9E-8204-937CA0936E6F}" name="Opp" dataDxfId="8869"/>
    <tableColumn id="16" xr3:uid="{00E18897-0F95-4730-B218-08DEA4022DA2}" name="*P*" dataDxfId="8868">
      <calculatedColumnFormula array="1">_xlfn.XLOOKUP(Table117821342[[#This Row],[Opp]],Table123[DEF],'2425'!$H$3:$H$34)</calculatedColumnFormula>
    </tableColumn>
    <tableColumn id="13" xr3:uid="{0FC23EEF-D5A6-44CD-947F-8286C8F73CEA}" name="*R*" dataDxfId="8867">
      <calculatedColumnFormula array="1">_xlfn.XLOOKUP(Table117821342[[#This Row],[Opp]],Table123[DEF],'2425'!$I$3:$I$34)</calculatedColumnFormula>
    </tableColumn>
    <tableColumn id="7" xr3:uid="{D7063238-8088-47C3-BF88-E458E790216F}" name="*P+R*" dataDxfId="8866">
      <calculatedColumnFormula array="1">_xlfn.XLOOKUP(Table117821342[[#This Row],[Opp]],Table123[DEF],'2425'!$J$3:$J$34)</calculatedColumnFormula>
    </tableColumn>
    <tableColumn id="14" xr3:uid="{5E6E4B1A-197F-49AA-9F35-64676AE96315}" name="*P TD*" dataDxfId="8865">
      <calculatedColumnFormula array="1">_xlfn.XLOOKUP(Table117821342[[#This Row],[Opp]],Table123[DEF],'2425'!$K$3:$K$34)</calculatedColumnFormula>
    </tableColumn>
    <tableColumn id="17" xr3:uid="{8B831DA0-71E0-4AB6-86A5-4FBED64D2434}" name="*TD*" dataDxfId="8864">
      <calculatedColumnFormula array="1">_xlfn.XLOOKUP(Table117821342[[#This Row],[Opp]],Table123[DEF],'2425'!$L$3:$L$34)</calculatedColumnFormula>
    </tableColumn>
    <tableColumn id="5" xr3:uid="{57AE0017-AEEC-4EF9-B39C-4D24657234A4}" name="P" dataDxfId="8863">
      <calculatedColumnFormula>_xlfn.XLOOKUP(Table117821342[[#This Row],[Opp]],Table123[DEF],Table123[P])</calculatedColumnFormula>
    </tableColumn>
    <tableColumn id="8" xr3:uid="{C43620DD-51CA-4509-8A9D-16365D4F9534}" name="R" dataDxfId="8862">
      <calculatedColumnFormula>_xlfn.XLOOKUP(Table117821342[[#This Row],[Opp]],Table123[DEF],Table123[R])</calculatedColumnFormula>
    </tableColumn>
    <tableColumn id="9" xr3:uid="{9364BD0E-5AC0-46EC-8935-7D171B1A568B}" name="P+R" dataDxfId="8861">
      <calculatedColumnFormula>_xlfn.XLOOKUP(Table117821342[[#This Row],[Opp]],Table123[DEF],Table123[P+R])</calculatedColumnFormula>
    </tableColumn>
    <tableColumn id="10" xr3:uid="{F80F03DF-D6B5-4050-B662-11FA8FB731F7}" name="P TD" dataDxfId="8860">
      <calculatedColumnFormula>_xlfn.XLOOKUP(Table117821342[[#This Row],[Opp]],Table123[DEF],Table123[P TD])</calculatedColumnFormula>
    </tableColumn>
    <tableColumn id="11" xr3:uid="{8C70D4B7-334C-4440-ADDF-074F074C91A4}" name="TD" dataDxfId="8859">
      <calculatedColumnFormula>_xlfn.XLOOKUP(Table117821342[[#This Row],[Opp]],Table123[DEF],Table123[TD])</calculatedColumnFormula>
    </tableColumn>
    <tableColumn id="18" xr3:uid="{64D79977-105D-4477-BE97-63ABD31E4A94}" name="*" dataDxfId="8858">
      <calculatedColumnFormula>AVERAGE(Table117821342[[#This Row],[*P*]:[*TD*]])</calculatedColumnFormula>
    </tableColumn>
  </tableColumns>
  <tableStyleInfo name="TableStyleMedium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1E4DC6-B705-4EE9-93FE-5CDFAFD1D293}" name="Table1188717" displayName="Table1188717" ref="B1:Q125" totalsRowShown="0" headerRowDxfId="8857" dataDxfId="8855" headerRowBorderDxfId="8856" tableBorderDxfId="8854">
  <autoFilter ref="B1:Q125" xr:uid="{32258A05-D632-45C6-B7E3-336790DDFFAB}">
    <filterColumn colId="2">
      <filters>
        <filter val="RB1"/>
        <filter val="RB2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2:Q123">
    <sortCondition descending="1" ref="P1:P125"/>
  </sortState>
  <tableColumns count="16">
    <tableColumn id="1" xr3:uid="{70B63EBF-7027-4786-9C02-91E4AB5EB6A8}" name="Player" dataDxfId="8853"/>
    <tableColumn id="2" xr3:uid="{22B67854-671A-40F2-9860-8ED27616DBAD}" name="Team" dataDxfId="8852"/>
    <tableColumn id="3" xr3:uid="{20E78041-C704-47A6-BC38-4D93252311A4}" name="Pos." dataDxfId="8851"/>
    <tableColumn id="4" xr3:uid="{239434EB-5E5A-4C5E-AE53-3E6A07F383AA}" name="Slate" dataDxfId="8850">
      <calculatedColumnFormula array="1">_xlfn.XLOOKUP(Table1188717[[#This Row],[Team]],Table4334[Team],'2425'!$C$3:$C$34)</calculatedColumnFormula>
    </tableColumn>
    <tableColumn id="5" xr3:uid="{93C8C00E-9237-45D7-A9C1-93435C699768}" name="Opp" dataDxfId="8849"/>
    <tableColumn id="12" xr3:uid="{E1174082-3AF4-4B9F-BD12-536B7B362BE0}" name="*R*" dataDxfId="8848">
      <calculatedColumnFormula array="1">IF(Table1188717[[#This Row],[Pos.]]="RB1",_xlfn.XLOOKUP(Table1188717[[#This Row],[Opp]],Table4[DEF],'2025'!$H$38:$H$69),_xlfn.XLOOKUP(Table1188717[[#This Row],[Opp]],Table44[DEF],'2025'!$U$38:$U$69))</calculatedColumnFormula>
    </tableColumn>
    <tableColumn id="13" xr3:uid="{0C8F6105-05AA-49F5-824F-CBCF8B1ABA0B}" name="*C*" dataDxfId="8847">
      <calculatedColumnFormula array="1">IF(Table1188717[[#This Row],[Pos.]]="RB1",_xlfn.XLOOKUP(Table1188717[[#This Row],[Opp]],Table4[DEF],'2025'!$I$38:$I$69),_xlfn.XLOOKUP(Table1188717[[#This Row],[Opp]],Table4[DEF],'2025'!$V$38:$V$69))</calculatedColumnFormula>
    </tableColumn>
    <tableColumn id="15" xr3:uid="{1EC7BBA1-F493-43B7-B8D8-4A3E170780B4}" name="*Y*" dataDxfId="8846">
      <calculatedColumnFormula array="1">IF(Table1188717[[#This Row],[Pos.]]="RB1",_xlfn.XLOOKUP(Table1188717[[#This Row],[Opp]],Table4[DEF],'2025'!$J$38:$J$69),_xlfn.XLOOKUP(Table1188717[[#This Row],[Opp]],Table4[DEF],'2025'!$W$38:$W$69))</calculatedColumnFormula>
    </tableColumn>
    <tableColumn id="6" xr3:uid="{AD4A780A-36DA-46FE-8C17-3F6CBC561D49}" name="*R+Y*" dataDxfId="8845">
      <calculatedColumnFormula array="1">IF(Table1188717[[#This Row],[Pos.]]="RB1",_xlfn.XLOOKUP(Table1188717[[#This Row],[Opp]],Table4[DEF],'2025'!$K$38:$K$69),_xlfn.XLOOKUP(Table1188717[[#This Row],[Opp]],Table4[DEF],'2025'!$X$38:$X$69))</calculatedColumnFormula>
    </tableColumn>
    <tableColumn id="14" xr3:uid="{DF65FB88-BF42-44E3-8ECC-F5DC01076C1E}" name="*TD*" dataDxfId="8844">
      <calculatedColumnFormula array="1">IF(Table1188717[[#This Row],[Pos.]]="RB1",_xlfn.XLOOKUP(Table1188717[[#This Row],[Opp]],Table4[DEF],'2025'!$L$38:$L$69),_xlfn.XLOOKUP(Table1188717[[#This Row],[Opp]],Table4[DEF],'2025'!$Y$38:$Y$69))</calculatedColumnFormula>
    </tableColumn>
    <tableColumn id="7" xr3:uid="{9F99087F-D955-4471-82F7-6EA6C783B514}" name="R" dataDxfId="8843">
      <calculatedColumnFormula>IF(Table1188717[[#This Row],[Pos.]]="RB1",_xlfn.XLOOKUP(Table1188717[[#This Row],[Opp]],Table4[DEF],Table4[R]),_xlfn.XLOOKUP(Table1188717[[#This Row],[Opp]],Table44[DEF],Table44[R]))</calculatedColumnFormula>
    </tableColumn>
    <tableColumn id="8" xr3:uid="{8ADE531D-916D-44D4-8219-FDA474E35768}" name="C" dataDxfId="8842">
      <calculatedColumnFormula>IF(Table1188717[[#This Row],[Pos.]]="RB1",_xlfn.XLOOKUP(Table1188717[[#This Row],[Opp]],Table4[DEF],Table4[REC]),_xlfn.XLOOKUP(Table1188717[[#This Row],[Opp]],Table44[DEF],Table44[REC]))</calculatedColumnFormula>
    </tableColumn>
    <tableColumn id="9" xr3:uid="{C99B1197-B979-4038-9A99-E6F3CAE40D3B}" name="Y" dataDxfId="8841">
      <calculatedColumnFormula>IF(Table1188717[[#This Row],[Pos.]]="RB1",_xlfn.XLOOKUP(Table1188717[[#This Row],[Opp]],Table4[DEF],Table4[Y]),_xlfn.XLOOKUP(Table1188717[[#This Row],[Opp]],Table44[DEF],Table44[Y]))</calculatedColumnFormula>
    </tableColumn>
    <tableColumn id="10" xr3:uid="{A4270EE0-A23E-4609-AF7D-E65428059A67}" name="R+Y" dataDxfId="8840">
      <calculatedColumnFormula>IF(Table1188717[[#This Row],[Pos.]]="RB1",_xlfn.XLOOKUP(Table1188717[[#This Row],[Opp]],Table4[DEF],Table4[R+R]),_xlfn.XLOOKUP(Table1188717[[#This Row],[Opp]],Table44[DEF],Table44[R+R]))</calculatedColumnFormula>
    </tableColumn>
    <tableColumn id="11" xr3:uid="{409FC6B5-6A81-40F1-8499-7F2AC7F1D425}" name="TD" dataDxfId="8839">
      <calculatedColumnFormula>IF(Table1188717[[#This Row],[Pos.]]="RB1",_xlfn.XLOOKUP(Table1188717[[#This Row],[Opp]],Table4[DEF],Table4[TD]),_xlfn.XLOOKUP(Table1188717[[#This Row],[Opp]],Table44[DEF],Table44[TD]))</calculatedColumnFormula>
    </tableColumn>
    <tableColumn id="16" xr3:uid="{459CA2B7-C497-476D-90DF-5AF1F26F0B9B}" name="*" dataDxfId="8838">
      <calculatedColumnFormula>AVERAGE(Table1188717[[#This Row],[*R*]:[*TD*]])</calculatedColumnFormula>
    </tableColumn>
  </tableColumns>
  <tableStyleInfo name="TableStyleMedium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250957-36CD-4824-98BC-B5CC23212FB0}" name="Table118871730" displayName="Table118871730" ref="B1:Q125" totalsRowShown="0" headerRowDxfId="8837" dataDxfId="8835" headerRowBorderDxfId="8836" tableBorderDxfId="8834">
  <autoFilter ref="B1:Q125" xr:uid="{32258A05-D632-45C6-B7E3-336790DDFFAB}">
    <filterColumn colId="2">
      <filters>
        <filter val="RB1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6:Q122">
    <sortCondition descending="1" ref="P1:P125"/>
  </sortState>
  <tableColumns count="16">
    <tableColumn id="1" xr3:uid="{460A5D94-A611-43FA-A89B-BC6094475728}" name="Player" dataDxfId="8833"/>
    <tableColumn id="2" xr3:uid="{A5791080-D7F3-4A75-8556-7F5C1CD1F8CB}" name="Team" dataDxfId="8832"/>
    <tableColumn id="3" xr3:uid="{FAB410CA-A21A-4253-80A6-0BBE6D92EFB4}" name="Pos." dataDxfId="8831"/>
    <tableColumn id="4" xr3:uid="{54BEF493-AF5A-4D01-8809-A9485FA7A8FB}" name="Slate" dataDxfId="8830"/>
    <tableColumn id="5" xr3:uid="{3111DB84-EEC9-4FEF-B643-CA9A37BB5474}" name="Opp" dataDxfId="8829"/>
    <tableColumn id="12" xr3:uid="{864AA2F2-FE84-4F78-8656-2A266CF48048}" name="*R*" dataDxfId="8828">
      <calculatedColumnFormula array="1">_xlfn.XLOOKUP(Table118871730[[#This Row],[Opp]],Table2040[DEF],'2425'!$H$38:$H$69)</calculatedColumnFormula>
    </tableColumn>
    <tableColumn id="13" xr3:uid="{3D5330F5-625B-4F82-AB8A-8D643AE43C3A}" name="*C*" dataDxfId="8827">
      <calculatedColumnFormula array="1">_xlfn.XLOOKUP(Table118871730[[#This Row],[Opp]],Table2040[DEF],'2425'!$I$38:$I$69)</calculatedColumnFormula>
    </tableColumn>
    <tableColumn id="15" xr3:uid="{3639BD7B-3ECB-426C-AD94-5D74A9AB2BB0}" name="*Y*" dataDxfId="8826">
      <calculatedColumnFormula array="1">_xlfn.XLOOKUP(Table118871730[[#This Row],[Opp]],Table2040[DEF],'2425'!$J$38:$J$69)</calculatedColumnFormula>
    </tableColumn>
    <tableColumn id="6" xr3:uid="{D907D511-94AF-42CB-B188-E8EFA684784D}" name="*R+Y*" dataDxfId="8825">
      <calculatedColumnFormula array="1">_xlfn.XLOOKUP(Table118871730[[#This Row],[Opp]],Table2040[DEF],'2425'!$K$38:$K$69)</calculatedColumnFormula>
    </tableColumn>
    <tableColumn id="14" xr3:uid="{5F949D8E-91EF-4D05-ACEB-81BB90143637}" name="*TD*" dataDxfId="8824">
      <calculatedColumnFormula array="1">_xlfn.XLOOKUP(Table118871730[[#This Row],[Opp]],Table2040[DEF],'2425'!$L$38:$L$69)</calculatedColumnFormula>
    </tableColumn>
    <tableColumn id="7" xr3:uid="{05DC950F-5F65-4B17-AA16-8C5A250EA155}" name="R" dataDxfId="8823">
      <calculatedColumnFormula>_xlfn.XLOOKUP(Table118871730[[#This Row],[Opp]],Table2040[DEF],Table2040[R])</calculatedColumnFormula>
    </tableColumn>
    <tableColumn id="8" xr3:uid="{DCD47921-216D-4E50-8D08-4228F7322404}" name="C" dataDxfId="8822">
      <calculatedColumnFormula>_xlfn.XLOOKUP(Table118871730[[#This Row],[Opp]],Table2040[DEF],Table2040[REC])</calculatedColumnFormula>
    </tableColumn>
    <tableColumn id="9" xr3:uid="{AE21430F-0343-4DB7-901F-A37941B58A54}" name="Y" dataDxfId="8821">
      <calculatedColumnFormula>_xlfn.XLOOKUP(Table118871730[[#This Row],[Opp]],Table2040[DEF],Table2040[Y])</calculatedColumnFormula>
    </tableColumn>
    <tableColumn id="10" xr3:uid="{42A6977A-D933-426E-80BB-F9D9835084F8}" name="R+Y" dataDxfId="8820">
      <calculatedColumnFormula>_xlfn.XLOOKUP(Table118871730[[#This Row],[Opp]],Table2040[DEF],Table2040[R+R])</calculatedColumnFormula>
    </tableColumn>
    <tableColumn id="11" xr3:uid="{04419916-9DE9-4D63-B431-381D50B6BBDD}" name="TD" dataDxfId="8819">
      <calculatedColumnFormula>_xlfn.XLOOKUP(Table118871730[[#This Row],[Opp]],Table2040[DEF],Table2040[TD])</calculatedColumnFormula>
    </tableColumn>
    <tableColumn id="16" xr3:uid="{892CC01D-17D5-483A-B9F6-0F27871CF252}" name="*" dataDxfId="8818">
      <calculatedColumnFormula>AVERAGE(Table118871730[[#This Row],[*R*]:[*TD*]])</calculatedColumnFormula>
    </tableColumn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637762-A2AF-4EF5-9BCD-598B675933F5}" name="Table11918" displayName="Table11918" ref="B1:M214" totalsRowShown="0" headerRowDxfId="8817" dataDxfId="8815" headerRowBorderDxfId="8816" tableBorderDxfId="8814">
  <autoFilter ref="B1:M214" xr:uid="{660BE14B-C37F-4F17-8FF2-0FCF54D6E730}">
    <filterColumn colId="2">
      <filters>
        <filter val="WR1"/>
        <filter val="WR2"/>
        <filter val="WR3"/>
        <filter val="WR4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5:M209">
    <sortCondition descending="1" ref="L1:L214"/>
  </sortState>
  <tableColumns count="12">
    <tableColumn id="1" xr3:uid="{00C2E796-7F5D-40D9-A1BC-1CF10BDD75C4}" name="Player" dataDxfId="8813"/>
    <tableColumn id="2" xr3:uid="{40E48F06-BD14-47FE-862B-F1D0CB9945F6}" name="Team" dataDxfId="8812"/>
    <tableColumn id="3" xr3:uid="{3A7DAE10-66D5-419B-A694-62B5EAD2B48D}" name="Pos." dataDxfId="8811"/>
    <tableColumn id="4" xr3:uid="{C0A4300E-5C1D-4753-B47C-8AF592EE920A}" name="Slate" dataDxfId="8810">
      <calculatedColumnFormula array="1">_xlfn.XLOOKUP(Table11918[[#This Row],[Team]],Table4334[Team],'2425'!$C$3:$C$34)</calculatedColumnFormula>
    </tableColumn>
    <tableColumn id="5" xr3:uid="{AD2CA97D-6589-4CAF-A2DC-A3F28AD5A03C}" name="Opp" dataDxfId="8809"/>
    <tableColumn id="9" xr3:uid="{473A0F69-0E25-4757-875B-D06DB4EA5145}" name="*C*" dataDxfId="8808">
      <calculatedColumnFormula array="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calculatedColumnFormula>
    </tableColumn>
    <tableColumn id="6" xr3:uid="{F74EB1D7-6A1E-46AD-8EBE-FF1AB6C29A7D}" name="*Y*" dataDxfId="8807">
      <calculatedColumnFormula array="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calculatedColumnFormula>
    </tableColumn>
    <tableColumn id="8" xr3:uid="{B235B88E-A72D-479F-887F-993E6CBF5BD4}" name="*TD*" dataDxfId="8806">
      <calculatedColumnFormula array="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calculatedColumnFormula>
    </tableColumn>
    <tableColumn id="10" xr3:uid="{3DF28005-9F3E-4A14-B9A2-97210A868316}" name="C" dataDxfId="8805">
      <calculatedColumnFormula array="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calculatedColumnFormula>
    </tableColumn>
    <tableColumn id="11" xr3:uid="{4532347A-8965-4645-9C6B-014568E36DEB}" name="Y" dataDxfId="8804">
      <calculatedColumnFormula array="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calculatedColumnFormula>
    </tableColumn>
    <tableColumn id="12" xr3:uid="{20FEC63C-E7BD-47FE-A1E7-89B85983A9F4}" name="TD" dataDxfId="8803">
      <calculatedColumnFormula array="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calculatedColumnFormula>
    </tableColumn>
    <tableColumn id="13" xr3:uid="{05DA4C21-29B5-48B2-8B32-AF04844B7ECE}" name="*" dataDxfId="8802">
      <calculatedColumnFormula>AVERAGE(Table11918[[#This Row],[*C*]:[*TD*]])</calculatedColumnFormula>
    </tableColumn>
  </tableColumns>
  <tableStyleInfo name="TableStyleMedium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DDBE8E6-7F6A-44F8-BEBF-1E69DDD4B081}" name="Table1191835" displayName="Table1191835" ref="B1:M214" totalsRowShown="0" headerRowDxfId="8801" dataDxfId="8799" headerRowBorderDxfId="8800" tableBorderDxfId="8798">
  <autoFilter ref="B1:M214" xr:uid="{660BE14B-C37F-4F17-8FF2-0FCF54D6E730}">
    <filterColumn colId="2">
      <filters>
        <filter val="WR1"/>
        <filter val="WR2"/>
        <filter val="WR3"/>
        <filter val="WR4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5:M206">
    <sortCondition descending="1" ref="L1:L214"/>
  </sortState>
  <tableColumns count="12">
    <tableColumn id="1" xr3:uid="{CACFD5C0-A814-465D-9F61-4BBEC8C46AE5}" name="Player" dataDxfId="8797"/>
    <tableColumn id="2" xr3:uid="{F876DF4C-0CBE-4EED-A1BC-ECEED77647C0}" name="Team" dataDxfId="8796"/>
    <tableColumn id="3" xr3:uid="{B7D2D29E-A3D4-464B-ABCD-EF92D9F030A7}" name="Pos." dataDxfId="8795"/>
    <tableColumn id="4" xr3:uid="{84581671-BF56-4CC2-AA3B-EEEDB5CC8D76}" name="Slate" dataDxfId="8794">
      <calculatedColumnFormula array="1">_xlfn.XLOOKUP(Table1191835[[#This Row],[Team]],Table4334[Team],'2425'!$C$3:$C$34)</calculatedColumnFormula>
    </tableColumn>
    <tableColumn id="5" xr3:uid="{3E926923-BC00-4E39-8299-0BC09635AB9F}" name="Opp" dataDxfId="8793"/>
    <tableColumn id="9" xr3:uid="{C0EDC88F-DBDC-41C7-A5CB-BF565458A64E}" name="*C*" dataDxfId="8792">
      <calculatedColumnFormula array="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calculatedColumnFormula>
    </tableColumn>
    <tableColumn id="6" xr3:uid="{5EF5355B-DB16-4387-95CE-C23C05D220A6}" name="*Y*" dataDxfId="8791">
      <calculatedColumnFormula array="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calculatedColumnFormula>
    </tableColumn>
    <tableColumn id="8" xr3:uid="{C32398BB-2AFA-4C6A-962C-73915C194506}" name="*TD*" dataDxfId="8790">
      <calculatedColumnFormula array="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calculatedColumnFormula>
    </tableColumn>
    <tableColumn id="10" xr3:uid="{5EA24A61-6716-4728-8B35-3BFE3474AA48}" name="C" dataDxfId="8789">
      <calculatedColumnFormula array="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calculatedColumnFormula>
    </tableColumn>
    <tableColumn id="11" xr3:uid="{9CA79E5E-594F-4773-8D3D-A8FF02A74DAB}" name="Y" dataDxfId="8788">
      <calculatedColumnFormula array="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calculatedColumnFormula>
    </tableColumn>
    <tableColumn id="12" xr3:uid="{51370063-B762-4030-A715-CAA4E9CAAAB2}" name="TD" dataDxfId="8787">
      <calculatedColumnFormula array="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calculatedColumnFormula>
    </tableColumn>
    <tableColumn id="13" xr3:uid="{C036C3C4-1784-45AA-ADFE-B5A2920530DD}" name="*" dataDxfId="8786">
      <calculatedColumnFormula>AVERAGE(Table1191835[[#This Row],[*C*]:[*TD*]])</calculatedColumnFormula>
    </tableColumn>
  </tableColumns>
  <tableStyleInfo name="TableStyleMedium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0737C47-398D-4573-8BD1-8FDFE23CE452}" name="Table1209120" displayName="Table1209120" ref="B1:M117" totalsRowShown="0" headerRowDxfId="8785" dataDxfId="8783" headerRowBorderDxfId="8784" tableBorderDxfId="8782">
  <autoFilter ref="B1:M117" xr:uid="{6A28EDD9-4E46-4894-9F75-CFCEE8A957DB}">
    <filterColumn colId="2">
      <filters>
        <filter val="TE1"/>
        <filter val="TE2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2:M115">
    <sortCondition descending="1" ref="L1:L117"/>
  </sortState>
  <tableColumns count="12">
    <tableColumn id="1" xr3:uid="{E8934D6B-B132-4840-B549-AC25A97EB3C9}" name="Player" dataDxfId="8781"/>
    <tableColumn id="2" xr3:uid="{01D9A23A-F1CB-4A09-9BAA-9C36C5BF4D66}" name="Team" dataDxfId="8780"/>
    <tableColumn id="3" xr3:uid="{9D327D2E-D731-4F57-84E9-A05577B8A039}" name="Pos." dataDxfId="8779"/>
    <tableColumn id="4" xr3:uid="{572CD39C-BE64-4A22-B5C9-B502FD47E2F2}" name="Slate" dataDxfId="8778">
      <calculatedColumnFormula array="1">_xlfn.XLOOKUP(Table1209120[[#This Row],[Team]],Table4334[Team],'2425'!$C$3:$C$34)</calculatedColumnFormula>
    </tableColumn>
    <tableColumn id="5" xr3:uid="{5FA39E9B-F1BE-4BC6-83C2-254A085E0F71}" name="Opp" dataDxfId="8777"/>
    <tableColumn id="11" xr3:uid="{767FD3FC-FB24-4FA0-A085-9BB0D7931CAA}" name="*C*" dataDxfId="8776">
      <calculatedColumnFormula array="1">IF(Table1209120[[#This Row],[Pos.]]="TE1",_xlfn.XLOOKUP(Table1209120[[#This Row],[Opp]],Table8[DEF],'2025'!$AZ$3:$AZ$34),_xlfn.XLOOKUP(Table1209120[[#This Row],[Opp]],Table8[DEF],'2025'!$AZ$38:$AZ$69))</calculatedColumnFormula>
    </tableColumn>
    <tableColumn id="6" xr3:uid="{C85A083F-9F7E-4C31-B8F2-849649F6B557}" name="*Y*" dataDxfId="8775">
      <calculatedColumnFormula array="1">IF(Table1209120[[#This Row],[Pos.]]="TE1",_xlfn.XLOOKUP(Table1209120[[#This Row],[Opp]],Table8[DEF],'2025'!$BA$3:$BA$34),_xlfn.XLOOKUP(Table1209120[[#This Row],[Opp]],Table8[DEF],'2025'!$BA$38:$BA$69))</calculatedColumnFormula>
    </tableColumn>
    <tableColumn id="10" xr3:uid="{5AF2D0F3-C84A-4BB2-8119-E2D4D752A65D}" name="*TD*" dataDxfId="8774">
      <calculatedColumnFormula array="1">IF(Table1209120[[#This Row],[Pos.]]="TE1",_xlfn.XLOOKUP(Table1209120[[#This Row],[Opp]],Table8[DEF],'2025'!$BB$3:$BB$34),_xlfn.XLOOKUP(Table1209120[[#This Row],[Opp]],Table8[DEF],'2025'!$BB$38:$BB$69))</calculatedColumnFormula>
    </tableColumn>
    <tableColumn id="7" xr3:uid="{C85C002E-A08F-4DDF-A05E-08C3B0A2BC27}" name="C" dataDxfId="8773">
      <calculatedColumnFormula>IF(Table1209120[[#This Row],[Pos.]]="TE1",_xlfn.XLOOKUP(Table1209120[[#This Row],[Opp]],Table8[DEF],Table8[REC]),_xlfn.XLOOKUP(Table1209120[[#This Row],[Opp]],Table816[DEF],Table816[REC]))</calculatedColumnFormula>
    </tableColumn>
    <tableColumn id="8" xr3:uid="{B825C9C4-B117-4727-9528-82AE2D1F03D5}" name="Y" dataDxfId="8772">
      <calculatedColumnFormula>IF(Table1209120[[#This Row],[Pos.]]="TE1",_xlfn.XLOOKUP(Table1209120[[#This Row],[Opp]],Table8[DEF],Table8[Y]),_xlfn.XLOOKUP(Table1209120[[#This Row],[Opp]],Table816[DEF],Table816[Y]))</calculatedColumnFormula>
    </tableColumn>
    <tableColumn id="9" xr3:uid="{738243A2-5E40-44BA-A355-ECE350BC301F}" name="TD" dataDxfId="8771">
      <calculatedColumnFormula>IF(Table1209120[[#This Row],[Pos.]]="TE1",_xlfn.XLOOKUP(Table1209120[[#This Row],[Opp]],Table8[DEF],Table8[TD]),_xlfn.XLOOKUP(Table1209120[[#This Row],[Opp]],Table816[DEF],Table816[TD]))</calculatedColumnFormula>
    </tableColumn>
    <tableColumn id="12" xr3:uid="{1B1DC5A3-FCBB-4DD0-B1CB-5C5BB09475D5}" name="*" dataDxfId="8770">
      <calculatedColumnFormula>AVERAGE(Table1209120[[#This Row],[*C*]:[*TD*]])</calculatedColumnFormula>
    </tableColumn>
  </tableColumns>
  <tableStyleInfo name="TableStyleMedium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DF45D38-981B-4179-96CB-6428905FBAA1}" name="Table120912039" displayName="Table120912039" ref="B1:M117" totalsRowShown="0" headerRowDxfId="8769" dataDxfId="8767" headerRowBorderDxfId="8768" tableBorderDxfId="8766">
  <autoFilter ref="B1:M117" xr:uid="{6A28EDD9-4E46-4894-9F75-CFCEE8A957DB}">
    <filterColumn colId="2">
      <filters>
        <filter val="TE1"/>
      </filters>
    </filterColumn>
    <filterColumn colId="3">
      <filters>
        <filter val="FRI"/>
        <filter val="PM"/>
        <filter val="SNF"/>
        <filter val="TNF"/>
      </filters>
    </filterColumn>
  </autoFilter>
  <sortState xmlns:xlrd2="http://schemas.microsoft.com/office/spreadsheetml/2017/richdata2" ref="B5:M116">
    <sortCondition descending="1" ref="L1:L117"/>
  </sortState>
  <tableColumns count="12">
    <tableColumn id="1" xr3:uid="{6E733CE8-F8FF-4D99-8791-CB667E0E216E}" name="Player" dataDxfId="8765"/>
    <tableColumn id="2" xr3:uid="{79A2D92B-BFE9-4DBE-A046-87A3816C100F}" name="Team" dataDxfId="8764"/>
    <tableColumn id="3" xr3:uid="{8B838663-406C-460C-AFF0-E672AB2EF250}" name="Pos." dataDxfId="8763"/>
    <tableColumn id="4" xr3:uid="{13468B4C-11D3-4681-A9B7-A67A42A4A6A7}" name="Slate" dataDxfId="8762">
      <calculatedColumnFormula array="1">_xlfn.XLOOKUP(Table120912039[[#This Row],[Team]],Table4334[Team],'2425'!$C$3:$C$34)</calculatedColumnFormula>
    </tableColumn>
    <tableColumn id="5" xr3:uid="{EEAE9B17-4179-4354-946F-299C2445685E}" name="Opp" dataDxfId="8761"/>
    <tableColumn id="11" xr3:uid="{389ACF0E-7F55-4BAA-B973-162910275687}" name="*C*" dataDxfId="8760">
      <calculatedColumnFormula array="1">_xlfn.XLOOKUP(Table120912039[[#This Row],[Opp]],Table832[DEF],'2425'!$AM$3:$AM$34)</calculatedColumnFormula>
    </tableColumn>
    <tableColumn id="6" xr3:uid="{C256FD9C-1305-4A5B-98C7-5B615015D787}" name="*Y*" dataDxfId="8759">
      <calculatedColumnFormula array="1">_xlfn.XLOOKUP(Table120912039[[#This Row],[Opp]],Table832[DEF],'2425'!$AN$3:$AN$34)</calculatedColumnFormula>
    </tableColumn>
    <tableColumn id="10" xr3:uid="{E5C141EE-8B59-4CF2-9DA4-9BDA951F8361}" name="*TD*" dataDxfId="8758">
      <calculatedColumnFormula array="1">_xlfn.XLOOKUP(Table120912039[[#This Row],[Opp]],Table832[DEF],'2425'!$AO$3:$AO$34)</calculatedColumnFormula>
    </tableColumn>
    <tableColumn id="7" xr3:uid="{3D573038-7EAB-476E-8908-736BBB06227E}" name="C" dataDxfId="8757">
      <calculatedColumnFormula>_xlfn.XLOOKUP(Table120912039[[#This Row],[Opp]],Table832[DEF],Table832[REC])</calculatedColumnFormula>
    </tableColumn>
    <tableColumn id="8" xr3:uid="{ED6A5E89-6513-4AEF-A91F-4473D9927062}" name="Y" dataDxfId="8756">
      <calculatedColumnFormula>_xlfn.XLOOKUP(Table120912039[[#This Row],[Opp]],Table832[DEF],Table832[Y])</calculatedColumnFormula>
    </tableColumn>
    <tableColumn id="9" xr3:uid="{5FC56055-E92C-4972-BB1F-1FAB2C9EEEDE}" name="TD" dataDxfId="8755">
      <calculatedColumnFormula>_xlfn.XLOOKUP(Table120912039[[#This Row],[Opp]],Table832[DEF],Table832[TD])</calculatedColumnFormula>
    </tableColumn>
    <tableColumn id="12" xr3:uid="{F8142E94-4E02-45A4-9EF0-F23B1FFB095D}" name="*" dataDxfId="8754">
      <calculatedColumnFormula>AVERAGE(Table120912039[[#This Row],[*C*]:[*TD*]])</calculatedColumnFormula>
    </tableColumn>
  </tableColumns>
  <tableStyleInfo name="TableStyleMedium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40C323A-5317-48CF-845C-E31BC9CAE248}" name="Table11782" displayName="Table11782" ref="B1:Q86" totalsRowShown="0" headerRowDxfId="8753" dataDxfId="8751" headerRowBorderDxfId="8752" tableBorderDxfId="8750">
  <autoFilter ref="B1:Q86" xr:uid="{1A098BAD-ACEE-46DC-A93E-D379350A5D76}"/>
  <sortState xmlns:xlrd2="http://schemas.microsoft.com/office/spreadsheetml/2017/richdata2" ref="B2:Q86">
    <sortCondition ref="C1:C86"/>
  </sortState>
  <tableColumns count="16">
    <tableColumn id="1" xr3:uid="{A62415A0-56D5-4188-8507-BAD0CE8FC314}" name="Player" dataDxfId="8749"/>
    <tableColumn id="2" xr3:uid="{853876A6-603F-4B89-8814-3B932F069958}" name="Team" dataDxfId="8748"/>
    <tableColumn id="3" xr3:uid="{419C175C-9901-4FC4-B9D8-AD11357BFE7F}" name="Pos." dataDxfId="8747"/>
    <tableColumn id="4" xr3:uid="{E0F2085F-51E7-4542-832B-DA8ED1447CBC}" name="Inj?" dataDxfId="8746"/>
    <tableColumn id="6" xr3:uid="{DAC9DFCB-0311-43F9-BFD7-19BE4A1D6BD9}" name="Opp" dataDxfId="8745"/>
    <tableColumn id="16" xr3:uid="{EA6A2A9B-779F-407B-852E-7B35479F677E}" name="*P*" dataDxfId="8744">
      <calculatedColumnFormula array="1">_xlfn.XLOOKUP(Table11782[[#This Row],[Opp]],Table14[DEF],'2024 fSZN'!$E$3:$E$34)</calculatedColumnFormula>
    </tableColumn>
    <tableColumn id="13" xr3:uid="{D1CDA05E-369B-47BD-ABEC-6B4110B12C40}" name="*R*" dataDxfId="8743">
      <calculatedColumnFormula array="1">_xlfn.XLOOKUP(Table11782[[#This Row],[Opp]],Table14[DEF],'2024 fSZN'!$F$3:$F$34)</calculatedColumnFormula>
    </tableColumn>
    <tableColumn id="7" xr3:uid="{C2E41732-EAB1-4E60-A893-44757AEEF6D6}" name="*P+R*" dataDxfId="8742">
      <calculatedColumnFormula array="1">_xlfn.XLOOKUP(Table11782[[#This Row],[Opp]],Table14[DEF],'2024 fSZN'!$G$3:$G$34)</calculatedColumnFormula>
    </tableColumn>
    <tableColumn id="14" xr3:uid="{0E1E21F2-A062-4C61-BD4F-BEFCB78AAF22}" name="*P TD*" dataDxfId="8741">
      <calculatedColumnFormula array="1">_xlfn.XLOOKUP(Table11782[[#This Row],[Opp]],Table14[DEF],'2024 fSZN'!$H$3:$H$34)</calculatedColumnFormula>
    </tableColumn>
    <tableColumn id="17" xr3:uid="{7CF406CB-7573-4D12-B74B-7967E4606339}" name="*TD*" dataDxfId="8740">
      <calculatedColumnFormula array="1">_xlfn.XLOOKUP(Table11782[[#This Row],[Opp]],Table14[DEF],'2024 fSZN'!$I$3:$I$34)</calculatedColumnFormula>
    </tableColumn>
    <tableColumn id="5" xr3:uid="{FAF4A714-1485-4F33-8EF9-97DC61539E79}" name="P" dataDxfId="8739">
      <calculatedColumnFormula>_xlfn.XLOOKUP(Table11782[[#This Row],[Opp]],Table14[DEF],Table14[P])</calculatedColumnFormula>
    </tableColumn>
    <tableColumn id="8" xr3:uid="{E5853A0D-A703-4E4E-B6AE-78B4DEDD8463}" name="R" dataDxfId="8738">
      <calculatedColumnFormula>_xlfn.XLOOKUP(Table11782[[#This Row],[Opp]],Table14[DEF],Table14[R])</calculatedColumnFormula>
    </tableColumn>
    <tableColumn id="9" xr3:uid="{118C33FF-B830-4A9E-A145-11770F1946C3}" name="P+R" dataDxfId="8737">
      <calculatedColumnFormula>_xlfn.XLOOKUP(Table11782[[#This Row],[Opp]],Table14[DEF],Table14[P+R])</calculatedColumnFormula>
    </tableColumn>
    <tableColumn id="10" xr3:uid="{9A8297B9-0393-44BA-9BE4-864921F14B48}" name="P TD" dataDxfId="8736">
      <calculatedColumnFormula>_xlfn.XLOOKUP(Table11782[[#This Row],[Opp]],Table14[DEF],Table14[P TD])</calculatedColumnFormula>
    </tableColumn>
    <tableColumn id="11" xr3:uid="{0262DFCA-63A4-46BB-9C5A-7E6A40ECBA1F}" name="TD" dataDxfId="8735">
      <calculatedColumnFormula>_xlfn.XLOOKUP(Table11782[[#This Row],[Opp]],Table14[DEF],Table14[TD])</calculatedColumnFormula>
    </tableColumn>
    <tableColumn id="18" xr3:uid="{FCC5B974-DA8A-4EC6-8EA4-5BE70919133B}" name="*" dataDxfId="8734">
      <calculatedColumnFormula>AVERAGE(Table11782[[#This Row],[*P*]:[*TD*]])</calculatedColumnFormula>
    </tableColumn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5E23DFA2-2869-4A12-9C96-FB24587E3D6D}" name="Table11887" displayName="Table11887" ref="B1:Q124" totalsRowShown="0" headerRowDxfId="8733" dataDxfId="8731" headerRowBorderDxfId="8732" tableBorderDxfId="8730">
  <autoFilter ref="B1:Q124" xr:uid="{32258A05-D632-45C6-B7E3-336790DDFFAB}"/>
  <sortState xmlns:xlrd2="http://schemas.microsoft.com/office/spreadsheetml/2017/richdata2" ref="B2:Q124">
    <sortCondition ref="C1:C124"/>
  </sortState>
  <tableColumns count="16">
    <tableColumn id="1" xr3:uid="{AC1ADA12-1B82-4880-A1F4-D148E6115644}" name="Player" dataDxfId="8729"/>
    <tableColumn id="2" xr3:uid="{362A8F30-73EC-4A96-9A6C-F83324F05228}" name="Team" dataDxfId="8728"/>
    <tableColumn id="3" xr3:uid="{DBFD8FE2-BD1B-4B9F-B067-D8E7DB004DE4}" name="Pos." dataDxfId="8727"/>
    <tableColumn id="4" xr3:uid="{F88677F6-11E3-4B17-A924-3CCAE5B9BEF6}" name="Inj?" dataDxfId="8726"/>
    <tableColumn id="5" xr3:uid="{D1E9BC1B-934A-4F7F-8AE1-AE04F4A9AC6C}" name="Opp" dataDxfId="8725"/>
    <tableColumn id="12" xr3:uid="{F2124F66-250A-48D5-BD5B-1977B93FA2E0}" name="*R*" dataDxfId="8724">
      <calculatedColumnFormula array="1">_xlfn.XLOOKUP(Table11887[[#This Row],[Opp]],Table46[DEF],'2024 fSZN'!$V$3:$V$34)</calculatedColumnFormula>
    </tableColumn>
    <tableColumn id="13" xr3:uid="{6EE10514-1180-4555-BAC6-58BFBCE8D306}" name="*C*" dataDxfId="8723">
      <calculatedColumnFormula array="1">_xlfn.XLOOKUP(Table11887[[#This Row],[Opp]],Table46[DEF],'2024 fSZN'!$W$3:$W$34)</calculatedColumnFormula>
    </tableColumn>
    <tableColumn id="15" xr3:uid="{1CC66F3F-784B-4AD2-8A3A-FF8D02191A1F}" name="*Y*" dataDxfId="8722">
      <calculatedColumnFormula array="1">_xlfn.XLOOKUP(Table11887[[#This Row],[Opp]],Table46[DEF],'2024 fSZN'!$X$3:$X$34)</calculatedColumnFormula>
    </tableColumn>
    <tableColumn id="6" xr3:uid="{2D3A7B37-9FD4-4C3C-8B0B-E02FC91C1E68}" name="*R+Y*" dataDxfId="8721">
      <calculatedColumnFormula array="1">_xlfn.XLOOKUP(Table11887[[#This Row],[Opp]],Table46[DEF],'2024 fSZN'!$Y$3:$Y$34)</calculatedColumnFormula>
    </tableColumn>
    <tableColumn id="14" xr3:uid="{324D84EF-AF80-4511-9AB8-EBD75A865454}" name="*TD*" dataDxfId="8720">
      <calculatedColumnFormula array="1">_xlfn.XLOOKUP(Table11887[[#This Row],[Opp]],Table46[DEF],'2024 fSZN'!$Z$3:$Z$34)</calculatedColumnFormula>
    </tableColumn>
    <tableColumn id="7" xr3:uid="{F9FD628C-B04D-4AC1-86A2-831DF00E8058}" name="R" dataDxfId="8719">
      <calculatedColumnFormula>_xlfn.XLOOKUP(Table11887[[#This Row],[Opp]],Table46[DEF],Table46[R])</calculatedColumnFormula>
    </tableColumn>
    <tableColumn id="8" xr3:uid="{C0E0FF58-F1AE-4EC3-82E6-5BF6CCA6E1A2}" name="C" dataDxfId="8718">
      <calculatedColumnFormula>_xlfn.XLOOKUP(Table11887[[#This Row],[Opp]],Table46[DEF],Table46[REC])</calculatedColumnFormula>
    </tableColumn>
    <tableColumn id="9" xr3:uid="{57B10FF7-2013-4CED-9C80-C9F88A09B095}" name="Y" dataDxfId="8717">
      <calculatedColumnFormula>_xlfn.XLOOKUP(Table11887[[#This Row],[Opp]],Table46[DEF],Table46[Y])</calculatedColumnFormula>
    </tableColumn>
    <tableColumn id="10" xr3:uid="{36240DEB-C0FC-4A5D-BB6A-6AD98CE0593B}" name="R+Y" dataDxfId="8716">
      <calculatedColumnFormula>_xlfn.XLOOKUP(Table11887[[#This Row],[Opp]],Table46[DEF],Table46[R+R])</calculatedColumnFormula>
    </tableColumn>
    <tableColumn id="11" xr3:uid="{CDE6007F-27E8-4785-866B-44D8D901FD12}" name="TD" dataDxfId="8715">
      <calculatedColumnFormula>_xlfn.XLOOKUP(Table11887[[#This Row],[Opp]],Table46[DEF],Table46[TD])</calculatedColumnFormula>
    </tableColumn>
    <tableColumn id="16" xr3:uid="{22CC415C-37CE-4B1B-BFB7-61130AD92E00}" name="*" dataDxfId="8714">
      <calculatedColumnFormula>AVERAGE(Table11887[[#This Row],[*R*]:[*R+Y*]])</calculatedColumnFormula>
    </tableColumn>
  </tableColumns>
  <tableStyleInfo name="TableStyleMedium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660BE14B-C37F-4F17-8FF2-0FCF54D6E730}" name="Table119" displayName="Table119" ref="B1:M213" totalsRowShown="0" headerRowDxfId="8713" dataDxfId="8711" headerRowBorderDxfId="8712" tableBorderDxfId="8710">
  <autoFilter ref="B1:M213" xr:uid="{660BE14B-C37F-4F17-8FF2-0FCF54D6E730}"/>
  <sortState xmlns:xlrd2="http://schemas.microsoft.com/office/spreadsheetml/2017/richdata2" ref="B2:M213">
    <sortCondition ref="C1:C213"/>
  </sortState>
  <tableColumns count="12">
    <tableColumn id="1" xr3:uid="{77B93D1B-0D7E-41A0-9102-57DD7E3F046A}" name="Player" dataDxfId="8709"/>
    <tableColumn id="2" xr3:uid="{F2F56837-99D3-43FA-B0F5-48A86A2171EB}" name="Team" dataDxfId="8708"/>
    <tableColumn id="3" xr3:uid="{D83E1A1D-69DC-4E80-A339-EFD1546014FC}" name="Pos." dataDxfId="8707"/>
    <tableColumn id="4" xr3:uid="{AB96E494-713B-489F-B8C0-3475AA5BE0E0}" name="Inj?" dataDxfId="8706"/>
    <tableColumn id="5" xr3:uid="{16AA5F08-A8EA-439D-8FE3-9BC1272F117C}" name="Opp" dataDxfId="8705"/>
    <tableColumn id="9" xr3:uid="{0CA3252F-A9F8-43AF-AAB4-3AB9348B9930}" name="*C*" dataDxfId="8704">
      <calculatedColumnFormula array="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calculatedColumnFormula>
    </tableColumn>
    <tableColumn id="6" xr3:uid="{88FD6FB7-0317-460A-B2B0-495757EDE804}" name="*Y*" dataDxfId="8703">
      <calculatedColumnFormula array="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calculatedColumnFormula>
    </tableColumn>
    <tableColumn id="8" xr3:uid="{95090553-E0BD-49D9-98F4-86F6BEFCC06E}" name="*TD*" dataDxfId="8702">
      <calculatedColumnFormula array="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calculatedColumnFormula>
    </tableColumn>
    <tableColumn id="10" xr3:uid="{CDEDBD53-511C-470A-A959-9C0BFD0C2C63}" name="C" dataDxfId="8701">
      <calculatedColumnFormula array="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calculatedColumnFormula>
    </tableColumn>
    <tableColumn id="11" xr3:uid="{F05C5AEE-32B6-4B6B-AE07-3BB278C33B84}" name="Y" dataDxfId="8700">
      <calculatedColumnFormula array="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calculatedColumnFormula>
    </tableColumn>
    <tableColumn id="12" xr3:uid="{6D4A5CD5-A67B-4600-ADFC-820724262A71}" name="TD" dataDxfId="8699">
      <calculatedColumnFormula array="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calculatedColumnFormula>
    </tableColumn>
    <tableColumn id="13" xr3:uid="{389E6514-E3D4-4A3A-A49A-DAEB7C3AF95D}" name="*" dataDxfId="8698">
      <calculatedColumnFormula>AVERAGE(Table119[[#This Row],[*C*]:[*Y*]])</calculatedColumnFormula>
    </tableColumn>
  </tableColumns>
  <tableStyleInfo name="TableStyleMedium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C8F2C016-85E8-4517-9130-615D4A357A4B}" name="Table12091" displayName="Table12091" ref="B1:M117" totalsRowShown="0" headerRowDxfId="8697" dataDxfId="8695" headerRowBorderDxfId="8696" tableBorderDxfId="8694">
  <autoFilter ref="B1:M117" xr:uid="{6A28EDD9-4E46-4894-9F75-CFCEE8A957DB}"/>
  <sortState xmlns:xlrd2="http://schemas.microsoft.com/office/spreadsheetml/2017/richdata2" ref="B2:M117">
    <sortCondition ref="C1:C117"/>
  </sortState>
  <tableColumns count="12">
    <tableColumn id="1" xr3:uid="{118E4D4F-B614-4DB5-B5B3-B6FC906765E7}" name="Player" dataDxfId="8693"/>
    <tableColumn id="2" xr3:uid="{F38057A4-DB9C-473F-BDBB-EF1EE9161728}" name="Team" dataDxfId="8692"/>
    <tableColumn id="3" xr3:uid="{3254BF47-FF38-4BCC-A867-059AC028849B}" name="Pos." dataDxfId="8691"/>
    <tableColumn id="4" xr3:uid="{FB01F9BB-9070-4168-8AA5-249510D31FBE}" name="Inj?" dataDxfId="8690"/>
    <tableColumn id="5" xr3:uid="{8E3D2CAC-890D-4AD5-BC2B-75DE3041C250}" name="Opp" dataDxfId="8689"/>
    <tableColumn id="11" xr3:uid="{B895D79A-E395-4B02-BB58-0666697FD9B9}" name="*C*" dataDxfId="8688">
      <calculatedColumnFormula array="1">_xlfn.XLOOKUP(Table12091[[#This Row],[Opp]],Table845[DEF],'2024 fSZN'!$V$37:$V$68)</calculatedColumnFormula>
    </tableColumn>
    <tableColumn id="6" xr3:uid="{1FF0AFFE-E428-441D-BC74-79E6A72F05A6}" name="*Y*" dataDxfId="8687">
      <calculatedColumnFormula array="1">_xlfn.XLOOKUP(Table12091[[#This Row],[Opp]],Table845[DEF],'2024 fSZN'!$W$37:$W$68)</calculatedColumnFormula>
    </tableColumn>
    <tableColumn id="10" xr3:uid="{BEB43243-F0DB-4E87-A645-0FFC76F4B922}" name="*TD*" dataDxfId="8686">
      <calculatedColumnFormula array="1">_xlfn.XLOOKUP(Table12091[[#This Row],[Opp]],Table845[DEF],'2024 fSZN'!$X$37:$X$68)</calculatedColumnFormula>
    </tableColumn>
    <tableColumn id="7" xr3:uid="{34F93646-401B-449E-B706-28AF8C8E2243}" name="C" dataDxfId="8685">
      <calculatedColumnFormula>_xlfn.XLOOKUP(Table12091[[#This Row],[Opp]],Table845[DEF],Table845[REC])</calculatedColumnFormula>
    </tableColumn>
    <tableColumn id="8" xr3:uid="{56D87F18-1534-40FC-8840-F01183DD6D29}" name="Y" dataDxfId="8684">
      <calculatedColumnFormula>_xlfn.XLOOKUP(Table12091[[#This Row],[Opp]],Table845[DEF],Table845[Y])</calculatedColumnFormula>
    </tableColumn>
    <tableColumn id="9" xr3:uid="{6720D73F-F620-49AB-907C-926DD506B0FF}" name="TD" dataDxfId="8683">
      <calculatedColumnFormula>_xlfn.XLOOKUP(Table12091[[#This Row],[Opp]],Table845[DEF],Table845[TD])</calculatedColumnFormula>
    </tableColumn>
    <tableColumn id="12" xr3:uid="{11CA5F2E-275F-4DB8-B1F4-A2B6069CAFB8}" name="*" dataDxfId="8682">
      <calculatedColumnFormula>AVERAGE(Table12091[[#This Row],[*C*]:[*Y*]])</calculatedColumnFormula>
    </tableColumn>
  </tableColumns>
  <tableStyleInfo name="TableStyleMedium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57A7710-288D-47B1-A57C-6F6EADD919C6}" name="Table212141819" displayName="Table212141819" ref="B178:AJ197" totalsRowCount="1" headerRowDxfId="8681" dataDxfId="8679" totalsRowDxfId="8678" headerRowBorderDxfId="8680" totalsRowBorderDxfId="8677">
  <autoFilter ref="B178:AJ196" xr:uid="{A57A7710-288D-47B1-A57C-6F6EADD919C6}"/>
  <tableColumns count="35">
    <tableColumn id="1" xr3:uid="{F8CEBE98-07B2-4134-A355-351DFF4F778A}" name="Week" totalsRowLabel="Average" totalsRowDxfId="8676"/>
    <tableColumn id="2" xr3:uid="{F4AB7AE5-FCF0-4EE2-B9EB-4D3644075BFA}" name="QB PY" totalsRowFunction="custom" dataDxfId="8675" totalsRowDxfId="8674">
      <totalsRowFormula>AVERAGE(Table212141819[QB PY])</totalsRowFormula>
    </tableColumn>
    <tableColumn id="3" xr3:uid="{33998998-A895-4DE4-9E28-37CB0F4B37A1}" name="P TD" totalsRowFunction="custom" dataDxfId="8673" totalsRowDxfId="8672">
      <totalsRowFormula>AVERAGE(Table212141819[P TD])</totalsRowFormula>
    </tableColumn>
    <tableColumn id="4" xr3:uid="{BB650330-E86A-4E19-B3A6-E0090C38889C}" name="QB RY" totalsRowFunction="custom" dataDxfId="8671" totalsRowDxfId="8670">
      <totalsRowFormula>AVERAGE(Table212141819[QB RY])</totalsRowFormula>
    </tableColumn>
    <tableColumn id="5" xr3:uid="{B0132651-8F3E-4C08-BD9B-7F194464D15C}" name="RB1 RY" totalsRowFunction="custom" dataDxfId="8669" totalsRowDxfId="8668">
      <totalsRowFormula>AVERAGE(Table212141819[RB1 RY])</totalsRowFormula>
    </tableColumn>
    <tableColumn id="6" xr3:uid="{01916E07-84EF-4BDF-BF8C-6F69E1CC4162}" name="RB2+ RY" totalsRowFunction="custom" dataDxfId="8667" totalsRowDxfId="8666">
      <totalsRowFormula>AVERAGE(Table212141819[RB2+ RY])</totalsRowFormula>
    </tableColumn>
    <tableColumn id="7" xr3:uid="{1B10D53C-4094-4572-9EB6-D96DF6753480}" name="WR RY" totalsRowFunction="custom" dataDxfId="8665" totalsRowDxfId="8664">
      <totalsRowFormula>AVERAGE(Table212141819[WR RY])</totalsRowFormula>
    </tableColumn>
    <tableColumn id="8" xr3:uid="{54544F52-B1F1-4B24-BD8F-BD6C9A49D303}" name="RB1 Recep" totalsRowFunction="custom" dataDxfId="8663" totalsRowDxfId="8662">
      <totalsRowFormula>AVERAGE(Table212141819[RB1 Recep])</totalsRowFormula>
    </tableColumn>
    <tableColumn id="9" xr3:uid="{64822C6B-59B6-4C99-9E0B-1C359845A2B3}" name="RB1 RecY" totalsRowFunction="custom" dataDxfId="8661" totalsRowDxfId="8660">
      <totalsRowFormula>AVERAGE(Table212141819[RB1 RecY])</totalsRowFormula>
    </tableColumn>
    <tableColumn id="29" xr3:uid="{38B8F863-F00B-440D-85AF-B309D453BA61}" name="RB2 Recep" totalsRowFunction="custom" dataDxfId="8659" totalsRowDxfId="8658">
      <totalsRowFormula>AVERAGE(Table212141819[RB2 Recep])</totalsRowFormula>
    </tableColumn>
    <tableColumn id="28" xr3:uid="{583FBCC9-3952-4253-A7A5-0118EBB96C56}" name="RB2 RecY" totalsRowFunction="custom" dataDxfId="8657" totalsRowDxfId="8656">
      <totalsRowFormula>AVERAGE(Table212141819[RB2 RecY])</totalsRowFormula>
    </tableColumn>
    <tableColumn id="10" xr3:uid="{0014C082-BB94-41B9-9B6A-03D68C8AAAFE}" name="WR1 Recep" totalsRowFunction="custom" dataDxfId="8655" totalsRowDxfId="8654">
      <totalsRowFormula>AVERAGE(Table212141819[WR1 Recep])</totalsRowFormula>
    </tableColumn>
    <tableColumn id="11" xr3:uid="{C0E76DAD-AC46-425F-A880-257CECF8F5BB}" name="WR1 RecY" totalsRowFunction="custom" dataDxfId="8653" totalsRowDxfId="8652">
      <totalsRowFormula>AVERAGE(Table212141819[WR1 RecY])</totalsRowFormula>
    </tableColumn>
    <tableColumn id="12" xr3:uid="{F6ABE156-03A4-4B7E-B406-1607F33DFD21}" name="WR2 Recep" totalsRowFunction="custom" dataDxfId="8651" totalsRowDxfId="8650">
      <totalsRowFormula>AVERAGE(Table212141819[WR2 Recep])</totalsRowFormula>
    </tableColumn>
    <tableColumn id="13" xr3:uid="{DD16F259-5A30-4A8B-BC6E-B0AA1647019F}" name="WR2 RecY" totalsRowFunction="custom" dataDxfId="8649" totalsRowDxfId="8648">
      <totalsRowFormula>AVERAGE(Table212141819[WR2 RecY])</totalsRowFormula>
    </tableColumn>
    <tableColumn id="14" xr3:uid="{8F1ED9A4-CE3A-400A-A415-AAAAAFF69799}" name="WR3 Recep" totalsRowFunction="custom" dataDxfId="8647" totalsRowDxfId="8646">
      <totalsRowFormula>AVERAGE(Table212141819[WR3 Recep])</totalsRowFormula>
    </tableColumn>
    <tableColumn id="15" xr3:uid="{860C3934-1913-4DFC-A28A-53A0BCBD1B23}" name="WR3 RecY" totalsRowFunction="custom" dataDxfId="8645" totalsRowDxfId="8644">
      <totalsRowFormula>AVERAGE(Table212141819[WR3 RecY])</totalsRowFormula>
    </tableColumn>
    <tableColumn id="16" xr3:uid="{A0F09E2B-76FB-4E6B-806B-6B0F705CDDAF}" name="WR4+ Recep" totalsRowFunction="custom" dataDxfId="8643" totalsRowDxfId="8642">
      <totalsRowFormula>AVERAGE(Table212141819[WR4+ Recep])</totalsRowFormula>
    </tableColumn>
    <tableColumn id="17" xr3:uid="{FBD49C98-C0F0-4240-B83B-396F1226C3EC}" name="WR4+ RecY" totalsRowFunction="custom" dataDxfId="8641" totalsRowDxfId="8640">
      <totalsRowFormula>AVERAGE(Table212141819[WR4+ RecY])</totalsRowFormula>
    </tableColumn>
    <tableColumn id="18" xr3:uid="{1B1D4DB9-4802-4017-8C6C-DC84EB76A9C6}" name="TE1 Recep" totalsRowFunction="custom" dataDxfId="8639" totalsRowDxfId="8638">
      <totalsRowFormula>AVERAGE(Table212141819[TE1 Recep])</totalsRowFormula>
    </tableColumn>
    <tableColumn id="19" xr3:uid="{FCBF7A9A-58E0-4557-872B-DEDCE659AB37}" name="TE1 RecY" totalsRowFunction="custom" dataDxfId="8637" totalsRowDxfId="8636">
      <totalsRowFormula>AVERAGE(Table212141819[TE1 RecY])</totalsRowFormula>
    </tableColumn>
    <tableColumn id="32" xr3:uid="{708BAD1D-3BF5-4D98-9D8A-4CEAD4713345}" name="TE2 Recep" totalsRowFunction="custom" dataDxfId="8635" totalsRowDxfId="8634">
      <totalsRowFormula>AVERAGE(Table212141819[TE2 Recep])</totalsRowFormula>
    </tableColumn>
    <tableColumn id="33" xr3:uid="{FFBEEEDB-6BB5-4F97-97A7-B9C5091595D6}" name="TE2 RecY" totalsRowFunction="custom" dataDxfId="8633" totalsRowDxfId="8632">
      <totalsRowFormula>AVERAGE(Table212141819[TE2 RecY])</totalsRowFormula>
    </tableColumn>
    <tableColumn id="20" xr3:uid="{2B9A17B0-7B23-427C-BC29-9BEAB3D09A46}" name="QB TD" totalsRowFunction="custom" dataDxfId="8631" totalsRowDxfId="8630">
      <totalsRowFormula>AVERAGE(Table212141819[QB TD])</totalsRowFormula>
    </tableColumn>
    <tableColumn id="21" xr3:uid="{99FBA880-C563-4C5C-8864-1E596B6D4DE5}" name="RB1 TD" totalsRowFunction="custom" dataDxfId="8629" totalsRowDxfId="8628">
      <totalsRowFormula>AVERAGE(Table212141819[RB1 TD])</totalsRowFormula>
    </tableColumn>
    <tableColumn id="34" xr3:uid="{ECEA5557-2D08-4FB7-8EA4-17118E1B1820}" name="RB2 TD" totalsRowFunction="custom" dataDxfId="8627" totalsRowDxfId="8626">
      <totalsRowFormula>AVERAGE(Table212141819[RB2 TD])</totalsRowFormula>
    </tableColumn>
    <tableColumn id="22" xr3:uid="{6DA00B20-DA79-4826-A933-8CC4A4970B59}" name="WR1 TD" totalsRowFunction="custom" dataDxfId="8625" totalsRowDxfId="8624">
      <totalsRowFormula>AVERAGE(Table212141819[WR1 TD])</totalsRowFormula>
    </tableColumn>
    <tableColumn id="23" xr3:uid="{011BC6E5-1D4E-4D1B-B713-59875B5495D3}" name="WR2 TD" totalsRowFunction="custom" dataDxfId="8623" totalsRowDxfId="8622">
      <totalsRowFormula>AVERAGE(Table212141819[WR2 TD])</totalsRowFormula>
    </tableColumn>
    <tableColumn id="24" xr3:uid="{35680D3E-E1F9-42CB-832E-58EDCEFB5A9B}" name="WR3 TD" totalsRowFunction="custom" dataDxfId="8621" totalsRowDxfId="8620">
      <totalsRowFormula>AVERAGE(Table212141819[WR3 TD])</totalsRowFormula>
    </tableColumn>
    <tableColumn id="25" xr3:uid="{99347E6B-3B6D-4F6A-BD69-524D13396B24}" name="WR4+ TD" totalsRowFunction="custom" dataDxfId="8619" totalsRowDxfId="8618">
      <totalsRowFormula>AVERAGE(Table212141819[WR4+ TD])</totalsRowFormula>
    </tableColumn>
    <tableColumn id="26" xr3:uid="{BAA40809-773D-41DE-93D1-CD2B0EFD2164}" name="TE1 TD" totalsRowFunction="custom" dataDxfId="8617" totalsRowDxfId="8616">
      <totalsRowFormula>AVERAGE(Table212141819[TE1 TD])</totalsRowFormula>
    </tableColumn>
    <tableColumn id="35" xr3:uid="{9BA79F65-8E73-4560-8B76-A21E9BC61D4C}" name="TE2 TD" totalsRowFunction="custom" dataDxfId="8615" totalsRowDxfId="8614">
      <totalsRowFormula>AVERAGE(Table212141819[TE2 TD])</totalsRowFormula>
    </tableColumn>
    <tableColumn id="27" xr3:uid="{81D571AD-9044-4DAD-8044-DF353BBFFE2F}" name="D/ST TD" totalsRowFunction="custom" dataDxfId="8613" totalsRowDxfId="8612">
      <totalsRowFormula>AVERAGE(Table212141819[D/ST TD])</totalsRowFormula>
    </tableColumn>
    <tableColumn id="30" xr3:uid="{5E59E264-87D6-4481-80BC-BE072E3DDA01}" name="QB P+R" totalsRowFunction="custom" dataDxfId="8611" totalsRowDxfId="8610">
      <totalsRowFormula>AVERAGE(Table212141819[QB P+R])</totalsRowFormula>
    </tableColumn>
    <tableColumn id="31" xr3:uid="{B411B4AE-5058-4074-AE61-39FF89484C40}" name="RB R+R" totalsRowFunction="custom" dataDxfId="8609" totalsRowDxfId="8608">
      <calculatedColumnFormula>Table212141819[[#This Row],[RB1 RY]]+Table212141819[[#This Row],[RB2+ RY]]+Table212141819[[#This Row],[RB1 RecY]]+Table212141819[[#This Row],[RB2 RecY]]</calculatedColumnFormula>
      <totalsRowFormula>AVERAGE(Table212141819[RB R+R])</totalsRowFormula>
    </tableColumn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F5F2BC8F-3D36-4A97-8ED5-3A36EDA5C6D8}" name="Table21214181984" displayName="Table21214181984" ref="B552:AJ571" totalsRowCount="1" headerRowDxfId="8607" dataDxfId="8605" totalsRowDxfId="8604" headerRowBorderDxfId="8606" totalsRowBorderDxfId="8603">
  <autoFilter ref="B552:AJ570" xr:uid="{F5F2BC8F-3D36-4A97-8ED5-3A36EDA5C6D8}"/>
  <tableColumns count="35">
    <tableColumn id="1" xr3:uid="{760C2F46-59D8-4D1E-9BC5-CA00CD8693EC}" name="Week" totalsRowLabel="Average" totalsRowDxfId="8602"/>
    <tableColumn id="2" xr3:uid="{C845FE70-C98C-4C87-9C40-6B467B97185B}" name="QB PY" totalsRowFunction="custom" dataDxfId="8601" totalsRowDxfId="8600">
      <totalsRowFormula>AVERAGE(Table21214181984[QB PY])</totalsRowFormula>
    </tableColumn>
    <tableColumn id="3" xr3:uid="{51066DA5-32D5-4E6A-8153-A889110E3579}" name="P TD" totalsRowFunction="custom" dataDxfId="8599" totalsRowDxfId="8598">
      <totalsRowFormula>AVERAGE(Table21214181984[P TD])</totalsRowFormula>
    </tableColumn>
    <tableColumn id="4" xr3:uid="{FCFFAE1C-9ABC-4742-95DA-046E8848092C}" name="QB RY" totalsRowFunction="custom" dataDxfId="8597" totalsRowDxfId="8596">
      <totalsRowFormula>AVERAGE(Table21214181984[QB RY])</totalsRowFormula>
    </tableColumn>
    <tableColumn id="5" xr3:uid="{7CA7F4E2-3254-4FB3-A0E5-618D4A52F23B}" name="RB1 RY" totalsRowFunction="custom" dataDxfId="8595" totalsRowDxfId="8594">
      <totalsRowFormula>AVERAGE(Table21214181984[RB1 RY])</totalsRowFormula>
    </tableColumn>
    <tableColumn id="6" xr3:uid="{49ECDFB3-7A2C-4AE7-B4F0-49642B1951A3}" name="RB2+ RY" totalsRowFunction="custom" dataDxfId="8593" totalsRowDxfId="8592">
      <totalsRowFormula>AVERAGE(Table21214181984[RB2+ RY])</totalsRowFormula>
    </tableColumn>
    <tableColumn id="7" xr3:uid="{A091FDA7-08FA-457B-A2DC-F9FD5BDD84A7}" name="WR RY" totalsRowFunction="custom" dataDxfId="8591" totalsRowDxfId="8590">
      <totalsRowFormula>AVERAGE(Table21214181984[WR RY])</totalsRowFormula>
    </tableColumn>
    <tableColumn id="8" xr3:uid="{1596C761-54FF-48F7-B3C3-831885B774C3}" name="RB1 Recep" totalsRowFunction="custom" dataDxfId="8589" totalsRowDxfId="8588">
      <totalsRowFormula>AVERAGE(Table21214181984[RB1 Recep])</totalsRowFormula>
    </tableColumn>
    <tableColumn id="9" xr3:uid="{3ABC8D8A-4D8D-407E-AA30-22AE72766949}" name="RB1 RecY" totalsRowFunction="custom" dataDxfId="8587" totalsRowDxfId="8586">
      <totalsRowFormula>AVERAGE(Table21214181984[RB1 RecY])</totalsRowFormula>
    </tableColumn>
    <tableColumn id="29" xr3:uid="{977FF490-8A97-4751-A1FF-9305DE08DBE3}" name="RB2 Recep" totalsRowFunction="custom" dataDxfId="8585" totalsRowDxfId="8584">
      <totalsRowFormula>AVERAGE(Table21214181984[RB2 Recep])</totalsRowFormula>
    </tableColumn>
    <tableColumn id="28" xr3:uid="{9C825F85-5E5B-4D88-AE0E-6C58C3B2C9C7}" name="RB2 RecY" totalsRowFunction="custom" dataDxfId="8583" totalsRowDxfId="8582">
      <totalsRowFormula>AVERAGE(Table21214181984[RB2 RecY])</totalsRowFormula>
    </tableColumn>
    <tableColumn id="10" xr3:uid="{06DA648D-E2F8-4B53-A9A1-D35FF0B6CC04}" name="WR1 Recep" totalsRowFunction="custom" dataDxfId="8581" totalsRowDxfId="8580">
      <totalsRowFormula>AVERAGE(Table21214181984[WR1 Recep])</totalsRowFormula>
    </tableColumn>
    <tableColumn id="11" xr3:uid="{47802702-2FDC-4F18-8663-293E5F0B2D7E}" name="WR1 RecY" totalsRowFunction="custom" dataDxfId="8579" totalsRowDxfId="8578">
      <totalsRowFormula>AVERAGE(Table21214181984[WR1 RecY])</totalsRowFormula>
    </tableColumn>
    <tableColumn id="12" xr3:uid="{EC9B838B-155D-45A8-907C-DEE90815A336}" name="WR2 Recep" totalsRowFunction="custom" dataDxfId="8577" totalsRowDxfId="8576">
      <totalsRowFormula>AVERAGE(Table21214181984[WR2 Recep])</totalsRowFormula>
    </tableColumn>
    <tableColumn id="13" xr3:uid="{4C2AD264-BF67-41AE-9A10-B7D70BA947F4}" name="WR2 RecY" totalsRowFunction="custom" dataDxfId="8575" totalsRowDxfId="8574">
      <totalsRowFormula>AVERAGE(Table21214181984[WR2 RecY])</totalsRowFormula>
    </tableColumn>
    <tableColumn id="14" xr3:uid="{B33A14E8-6E90-481B-9471-4097C804A51F}" name="WR3 Recep" totalsRowFunction="custom" dataDxfId="8573" totalsRowDxfId="8572">
      <totalsRowFormula>AVERAGE(Table21214181984[WR3 Recep])</totalsRowFormula>
    </tableColumn>
    <tableColumn id="15" xr3:uid="{2058A0FD-54B7-4010-BEE3-E24E8468097D}" name="WR3 RecY" totalsRowFunction="custom" dataDxfId="8571" totalsRowDxfId="8570">
      <totalsRowFormula>AVERAGE(Table21214181984[WR3 RecY])</totalsRowFormula>
    </tableColumn>
    <tableColumn id="16" xr3:uid="{7EC308D2-8D06-4DD8-AF61-DEF37CE2BB8C}" name="WR4+ Recep" totalsRowFunction="custom" dataDxfId="8569" totalsRowDxfId="8568">
      <totalsRowFormula>AVERAGE(Table21214181984[WR4+ Recep])</totalsRowFormula>
    </tableColumn>
    <tableColumn id="17" xr3:uid="{3AE3DEEC-17E0-4738-9FB5-F14FEB72E65F}" name="WR4+ RecY" totalsRowFunction="custom" dataDxfId="8567" totalsRowDxfId="8566">
      <totalsRowFormula>AVERAGE(Table21214181984[WR4+ RecY])</totalsRowFormula>
    </tableColumn>
    <tableColumn id="18" xr3:uid="{CD36BED4-CE27-476E-8BA3-F453FB89E321}" name="TE1 Recep" totalsRowFunction="custom" dataDxfId="8565" totalsRowDxfId="8564">
      <totalsRowFormula>AVERAGE(Table21214181984[TE1 Recep])</totalsRowFormula>
    </tableColumn>
    <tableColumn id="19" xr3:uid="{85ED1337-2615-482B-9CEF-4E0BC2492DDA}" name="TE1 RecY" totalsRowFunction="custom" dataDxfId="8563" totalsRowDxfId="8562">
      <totalsRowFormula>AVERAGE(Table21214181984[TE1 RecY])</totalsRowFormula>
    </tableColumn>
    <tableColumn id="32" xr3:uid="{CAFE35A3-FEF7-448B-86BA-4A8DCC6FB39F}" name="TE2 Recep" totalsRowFunction="custom" dataDxfId="8561" totalsRowDxfId="8560">
      <totalsRowFormula>AVERAGE(Table21214181984[TE2 Recep])</totalsRowFormula>
    </tableColumn>
    <tableColumn id="33" xr3:uid="{1D8D7B2E-149A-4BE9-A907-9FE003E67969}" name="TE2 RecY" totalsRowFunction="custom" dataDxfId="8559" totalsRowDxfId="8558">
      <totalsRowFormula>AVERAGE(Table21214181984[TE2 RecY])</totalsRowFormula>
    </tableColumn>
    <tableColumn id="20" xr3:uid="{322C7445-FBEB-4087-9C1D-6EAE81F42334}" name="QB TD" totalsRowFunction="custom" dataDxfId="8557" totalsRowDxfId="8556">
      <totalsRowFormula>AVERAGE(Table21214181984[QB TD])</totalsRowFormula>
    </tableColumn>
    <tableColumn id="21" xr3:uid="{3FDCF329-9DF8-430A-B964-0FBB31A69472}" name="RB1 TD" totalsRowFunction="custom" dataDxfId="8555" totalsRowDxfId="8554">
      <totalsRowFormula>AVERAGE(Table21214181984[RB1 TD])</totalsRowFormula>
    </tableColumn>
    <tableColumn id="34" xr3:uid="{E16F2450-D4D5-4665-B3F9-17B3E9994B75}" name="RB2 TD" totalsRowFunction="custom" dataDxfId="8553" totalsRowDxfId="8552">
      <totalsRowFormula>AVERAGE(Table21214181984[RB2 TD])</totalsRowFormula>
    </tableColumn>
    <tableColumn id="22" xr3:uid="{42748B9B-19C3-47E3-8603-6FED91B23513}" name="WR1 TD" totalsRowFunction="custom" dataDxfId="8551" totalsRowDxfId="8550">
      <totalsRowFormula>AVERAGE(Table21214181984[WR1 TD])</totalsRowFormula>
    </tableColumn>
    <tableColumn id="23" xr3:uid="{6D1421BF-FDE0-42F9-AFA5-EE1807BBD419}" name="WR2 TD" totalsRowFunction="custom" dataDxfId="8549" totalsRowDxfId="8548">
      <totalsRowFormula>AVERAGE(Table21214181984[WR2 TD])</totalsRowFormula>
    </tableColumn>
    <tableColumn id="24" xr3:uid="{647D4FD3-6B18-43E5-AF6C-DAA6E82EB386}" name="WR3 TD" totalsRowFunction="custom" dataDxfId="8547" totalsRowDxfId="8546">
      <totalsRowFormula>AVERAGE(Table21214181984[WR3 TD])</totalsRowFormula>
    </tableColumn>
    <tableColumn id="25" xr3:uid="{C48A0158-188A-478B-A463-C844AD0E163B}" name="WR4+ TD" totalsRowFunction="custom" dataDxfId="8545" totalsRowDxfId="8544">
      <totalsRowFormula>AVERAGE(Table21214181984[WR4+ TD])</totalsRowFormula>
    </tableColumn>
    <tableColumn id="26" xr3:uid="{0530CB03-4BC8-411A-A517-428ACE8DDE9D}" name="TE1 TD" totalsRowFunction="custom" dataDxfId="8543" totalsRowDxfId="8542">
      <totalsRowFormula>AVERAGE(Table21214181984[TE1 TD])</totalsRowFormula>
    </tableColumn>
    <tableColumn id="35" xr3:uid="{B727DD57-79B4-4250-ABB6-8153E7F1B2C3}" name="TE2 TD" totalsRowFunction="custom" dataDxfId="8541" totalsRowDxfId="8540">
      <totalsRowFormula>AVERAGE(Table21214181984[TE2 TD])</totalsRowFormula>
    </tableColumn>
    <tableColumn id="27" xr3:uid="{DD590B5A-CF4C-4C58-AF1E-DE4E0290C8C1}" name="D/ST TD" totalsRowFunction="custom" dataDxfId="8539" totalsRowDxfId="8538">
      <totalsRowFormula>AVERAGE(Table21214181984[D/ST TD])</totalsRowFormula>
    </tableColumn>
    <tableColumn id="30" xr3:uid="{4CD32BF9-7B18-4DFC-A8F5-65DB6EAB9643}" name="QB P+R" totalsRowFunction="custom" dataDxfId="8537" totalsRowDxfId="8536">
      <calculatedColumnFormula>Table21214181984[[#This Row],[QB PY]]+Table21214181984[[#This Row],[QB RY]]</calculatedColumnFormula>
      <totalsRowFormula>AVERAGE(Table21214181984[QB P+R])</totalsRowFormula>
    </tableColumn>
    <tableColumn id="31" xr3:uid="{9F7E92EB-CC66-44B4-B72F-444122F71207}" name="RB R+R" totalsRowFunction="custom" dataDxfId="8535" totalsRowDxfId="8534">
      <calculatedColumnFormula>Table21214181984[[#This Row],[RB1 RY]]+Table21214181984[[#This Row],[RB2+ RY]]+Table21214181984[[#This Row],[RB1 RecY]]+Table21214181984[[#This Row],[RB2 RecY]]</calculatedColumnFormula>
      <totalsRowFormula>AVERAGE(Table21214181984[RB R+R])</totalsRowFormula>
    </tableColumn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6E78D679-3DBE-4C34-9818-C5797A53992A}" name="Table21214181985" displayName="Table21214181985" ref="B200:AJ219" totalsRowCount="1" headerRowDxfId="8533" dataDxfId="8531" totalsRowDxfId="8530" headerRowBorderDxfId="8532" totalsRowBorderDxfId="8529">
  <autoFilter ref="B200:AJ218" xr:uid="{6E78D679-3DBE-4C34-9818-C5797A53992A}"/>
  <tableColumns count="35">
    <tableColumn id="1" xr3:uid="{84DC8A90-1DA1-4F0C-B7AB-3253E83302A2}" name="Week" totalsRowLabel="Average" totalsRowDxfId="8528"/>
    <tableColumn id="2" xr3:uid="{3E789E25-1189-4085-9CE7-35C3512271C6}" name="QB PY" totalsRowFunction="custom" dataDxfId="8527" totalsRowDxfId="8526">
      <totalsRowFormula>AVERAGE(Table21214181985[QB PY])</totalsRowFormula>
    </tableColumn>
    <tableColumn id="3" xr3:uid="{AB2319EE-6601-426B-8863-225DDAEA97A1}" name="P TD" totalsRowFunction="custom" dataDxfId="8525" totalsRowDxfId="8524">
      <totalsRowFormula>AVERAGE(Table21214181985[P TD])</totalsRowFormula>
    </tableColumn>
    <tableColumn id="4" xr3:uid="{119194C4-FB74-45A5-9097-EBFC73EBE30A}" name="QB RY" totalsRowFunction="custom" dataDxfId="8523" totalsRowDxfId="8522">
      <totalsRowFormula>AVERAGE(Table21214181985[QB RY])</totalsRowFormula>
    </tableColumn>
    <tableColumn id="5" xr3:uid="{B6FBAB7D-7803-4075-B11F-8418FEF9B4A6}" name="RB1 RY" totalsRowFunction="custom" dataDxfId="8521" totalsRowDxfId="8520">
      <totalsRowFormula>AVERAGE(Table21214181985[RB1 RY])</totalsRowFormula>
    </tableColumn>
    <tableColumn id="6" xr3:uid="{DED1B5A9-7370-4161-A7A4-40B79207ABA6}" name="RB2+ RY" totalsRowFunction="custom" dataDxfId="8519" totalsRowDxfId="8518">
      <totalsRowFormula>AVERAGE(Table21214181985[RB2+ RY])</totalsRowFormula>
    </tableColumn>
    <tableColumn id="7" xr3:uid="{53D99F0E-CA1D-42DD-A7BC-B681B16DEC69}" name="WR RY" totalsRowFunction="custom" dataDxfId="8517" totalsRowDxfId="8516">
      <totalsRowFormula>AVERAGE(Table21214181985[WR RY])</totalsRowFormula>
    </tableColumn>
    <tableColumn id="8" xr3:uid="{E5392EE6-C15A-4483-A410-46856CA03629}" name="RB1 Recep" totalsRowFunction="custom" dataDxfId="8515" totalsRowDxfId="8514">
      <totalsRowFormula>AVERAGE(Table21214181985[RB1 Recep])</totalsRowFormula>
    </tableColumn>
    <tableColumn id="9" xr3:uid="{8D9125A8-FCD6-4D1F-B35B-679697FCA382}" name="RB1 RecY" totalsRowFunction="custom" dataDxfId="8513" totalsRowDxfId="8512">
      <totalsRowFormula>AVERAGE(Table21214181985[RB1 RecY])</totalsRowFormula>
    </tableColumn>
    <tableColumn id="29" xr3:uid="{4238BC6A-B906-4D6A-B489-EAC3B916EAA2}" name="RB2 Recep" totalsRowFunction="custom" dataDxfId="8511" totalsRowDxfId="8510">
      <totalsRowFormula>AVERAGE(Table21214181985[RB2 Recep])</totalsRowFormula>
    </tableColumn>
    <tableColumn id="28" xr3:uid="{DFAE04BA-971B-4EA0-BDC3-DB810BF6ACF4}" name="RB2 RecY" totalsRowFunction="custom" dataDxfId="8509" totalsRowDxfId="8508">
      <totalsRowFormula>AVERAGE(Table21214181985[RB2 RecY])</totalsRowFormula>
    </tableColumn>
    <tableColumn id="10" xr3:uid="{69A88F2F-9F72-4FFF-B177-19F43090CBB5}" name="WR1 Recep" totalsRowFunction="custom" dataDxfId="8507" totalsRowDxfId="8506">
      <totalsRowFormula>AVERAGE(Table21214181985[WR1 Recep])</totalsRowFormula>
    </tableColumn>
    <tableColumn id="11" xr3:uid="{EEBE81AB-F668-404B-AC33-65639D66671C}" name="WR1 RecY" totalsRowFunction="custom" dataDxfId="8505" totalsRowDxfId="8504">
      <totalsRowFormula>AVERAGE(Table21214181985[WR1 RecY])</totalsRowFormula>
    </tableColumn>
    <tableColumn id="12" xr3:uid="{4C9891D7-CFCB-401F-A246-68439E2AC460}" name="WR2 Recep" totalsRowFunction="custom" dataDxfId="8503" totalsRowDxfId="8502">
      <totalsRowFormula>AVERAGE(Table21214181985[WR2 Recep])</totalsRowFormula>
    </tableColumn>
    <tableColumn id="13" xr3:uid="{818FD483-496B-4A6D-AB59-928108D9AF68}" name="WR2 RecY" totalsRowFunction="custom" dataDxfId="8501" totalsRowDxfId="8500">
      <totalsRowFormula>AVERAGE(Table21214181985[WR2 RecY])</totalsRowFormula>
    </tableColumn>
    <tableColumn id="14" xr3:uid="{DD3145B2-C240-43A9-ADEE-5BA5C2E83227}" name="WR3 Recep" totalsRowFunction="custom" dataDxfId="8499" totalsRowDxfId="8498">
      <totalsRowFormula>AVERAGE(Table21214181985[WR3 Recep])</totalsRowFormula>
    </tableColumn>
    <tableColumn id="15" xr3:uid="{44A2E5EF-208E-4260-8AA8-49BF960E0EB4}" name="WR3 RecY" totalsRowFunction="custom" dataDxfId="8497" totalsRowDxfId="8496">
      <totalsRowFormula>AVERAGE(Table21214181985[WR3 RecY])</totalsRowFormula>
    </tableColumn>
    <tableColumn id="16" xr3:uid="{5A7A4227-1006-4096-BD08-CB5456F99C26}" name="WR4+ Recep" totalsRowFunction="custom" dataDxfId="8495" totalsRowDxfId="8494">
      <totalsRowFormula>AVERAGE(Table21214181985[WR4+ Recep])</totalsRowFormula>
    </tableColumn>
    <tableColumn id="17" xr3:uid="{8466438A-2B2B-4473-A68D-4228DA705BAB}" name="WR4+ RecY" totalsRowFunction="custom" dataDxfId="8493" totalsRowDxfId="8492">
      <totalsRowFormula>AVERAGE(Table21214181985[WR4+ RecY])</totalsRowFormula>
    </tableColumn>
    <tableColumn id="18" xr3:uid="{D50CF3C8-DCE8-4BCB-AAC5-9EDB5EAF3FD5}" name="TE1 Recep" totalsRowFunction="custom" dataDxfId="8491" totalsRowDxfId="8490">
      <totalsRowFormula>AVERAGE(Table21214181985[TE1 Recep])</totalsRowFormula>
    </tableColumn>
    <tableColumn id="19" xr3:uid="{1DE0AE25-5EEA-4F4D-B811-248FB72E4A18}" name="TE1 RecY" totalsRowFunction="custom" dataDxfId="8489" totalsRowDxfId="8488">
      <totalsRowFormula>AVERAGE(Table21214181985[TE1 RecY])</totalsRowFormula>
    </tableColumn>
    <tableColumn id="32" xr3:uid="{B9484A7D-85D0-4296-B931-903CC3279F42}" name="TE2 Recep" totalsRowFunction="custom" dataDxfId="8487" totalsRowDxfId="8486">
      <totalsRowFormula>AVERAGE(Table21214181985[TE2 Recep])</totalsRowFormula>
    </tableColumn>
    <tableColumn id="33" xr3:uid="{B8596C50-A918-4D4F-A774-86703F41EFAF}" name="TE2 RecY" totalsRowFunction="custom" dataDxfId="8485" totalsRowDxfId="8484">
      <totalsRowFormula>AVERAGE(Table21214181985[TE2 RecY])</totalsRowFormula>
    </tableColumn>
    <tableColumn id="20" xr3:uid="{95AE7BF3-CA31-4B56-83FA-F54717273485}" name="QB TD" totalsRowFunction="custom" dataDxfId="8483" totalsRowDxfId="8482">
      <totalsRowFormula>AVERAGE(Table21214181985[QB TD])</totalsRowFormula>
    </tableColumn>
    <tableColumn id="21" xr3:uid="{DA9C5FBF-E7B7-49B2-B9A4-8F80342EC0F0}" name="RB1 TD" totalsRowFunction="custom" dataDxfId="8481" totalsRowDxfId="8480">
      <totalsRowFormula>AVERAGE(Table21214181985[RB1 TD])</totalsRowFormula>
    </tableColumn>
    <tableColumn id="34" xr3:uid="{D59D48DE-6D68-416D-B744-DD2A7203BC49}" name="RB2 TD" totalsRowFunction="custom" dataDxfId="8479" totalsRowDxfId="8478">
      <totalsRowFormula>AVERAGE(Table21214181985[RB2 TD])</totalsRowFormula>
    </tableColumn>
    <tableColumn id="22" xr3:uid="{0B4E7EF8-EDED-4D34-913E-39316F4777B4}" name="WR1 TD" totalsRowFunction="custom" dataDxfId="8477" totalsRowDxfId="8476">
      <totalsRowFormula>AVERAGE(Table21214181985[WR1 TD])</totalsRowFormula>
    </tableColumn>
    <tableColumn id="23" xr3:uid="{4DB01014-A7A1-4952-B0FA-241E6AA2CC55}" name="WR2 TD" totalsRowFunction="custom" dataDxfId="8475" totalsRowDxfId="8474">
      <totalsRowFormula>AVERAGE(Table21214181985[WR2 TD])</totalsRowFormula>
    </tableColumn>
    <tableColumn id="24" xr3:uid="{771929D0-00C9-4DD1-8AAB-EBF9CBF56C1A}" name="WR3 TD" totalsRowFunction="custom" dataDxfId="8473" totalsRowDxfId="8472">
      <totalsRowFormula>AVERAGE(Table21214181985[WR3 TD])</totalsRowFormula>
    </tableColumn>
    <tableColumn id="25" xr3:uid="{367CB187-54B7-47BC-A5D6-A33F1C130556}" name="WR4+ TD" totalsRowFunction="custom" dataDxfId="8471" totalsRowDxfId="8470">
      <totalsRowFormula>AVERAGE(Table21214181985[WR4+ TD])</totalsRowFormula>
    </tableColumn>
    <tableColumn id="26" xr3:uid="{C97B24FF-68C1-4AB8-B801-FACFD787A902}" name="TE1 TD" totalsRowFunction="custom" dataDxfId="8469" totalsRowDxfId="8468">
      <totalsRowFormula>AVERAGE(Table21214181985[TE1 TD])</totalsRowFormula>
    </tableColumn>
    <tableColumn id="35" xr3:uid="{E0298E42-3F20-49BB-9B2B-138A82358BB1}" name="TE2 TD" totalsRowFunction="custom" dataDxfId="8467" totalsRowDxfId="8466">
      <totalsRowFormula>AVERAGE(Table21214181985[TE2 TD])</totalsRowFormula>
    </tableColumn>
    <tableColumn id="27" xr3:uid="{64A0B4E4-5CDA-4A17-9841-A1E7C4C3074B}" name="D/ST TD" totalsRowFunction="custom" dataDxfId="8465" totalsRowDxfId="8464">
      <totalsRowFormula>AVERAGE(Table21214181985[D/ST TD])</totalsRowFormula>
    </tableColumn>
    <tableColumn id="30" xr3:uid="{6F7BD79D-653B-4382-B31B-7D0BD19F71E1}" name="QB P+R" totalsRowFunction="custom" dataDxfId="8463" totalsRowDxfId="8462">
      <calculatedColumnFormula>Table21214181985[[#This Row],[QB PY]]+Table21214181985[[#This Row],[QB RY]]</calculatedColumnFormula>
      <totalsRowFormula>AVERAGE(Table21214181985[QB P+R])</totalsRowFormula>
    </tableColumn>
    <tableColumn id="31" xr3:uid="{D469FF28-7092-4F78-A4B8-633DEEEA11DF}" name="RB R+R" totalsRowFunction="custom" dataDxfId="8461" totalsRowDxfId="8460">
      <calculatedColumnFormula>Table21214181985[[#This Row],[RB1 RY]]+Table21214181985[[#This Row],[RB2+ RY]]+Table21214181985[[#This Row],[RB1 RecY]]+Table21214181985[[#This Row],[RB2 RecY]]</calculatedColumnFormula>
      <totalsRowFormula>AVERAGE(Table21214181985[RB R+R])</totalsRowFormula>
    </tableColumn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DE12CF3-0BD9-41CC-942D-B91DBA980C45}" name="Table2121418198586" displayName="Table2121418198586" ref="B222:AJ241" totalsRowCount="1" headerRowDxfId="8459" dataDxfId="8457" totalsRowDxfId="8456" headerRowBorderDxfId="8458" totalsRowBorderDxfId="8455">
  <autoFilter ref="B222:AJ240" xr:uid="{FDE12CF3-0BD9-41CC-942D-B91DBA980C45}"/>
  <tableColumns count="35">
    <tableColumn id="1" xr3:uid="{2BE918E5-918E-43E0-9182-43AED949FC6F}" name="Week" totalsRowLabel="Average" totalsRowDxfId="8454"/>
    <tableColumn id="2" xr3:uid="{05EA41D4-BDCE-4C81-B4AA-0F0A564EAEBF}" name="QB PY" totalsRowFunction="custom" dataDxfId="8453" totalsRowDxfId="8452">
      <totalsRowFormula>AVERAGE(Table2121418198586[QB PY])</totalsRowFormula>
    </tableColumn>
    <tableColumn id="3" xr3:uid="{42C7FFC7-BE97-4501-8468-CDC73EE1B824}" name="P TD" totalsRowFunction="custom" dataDxfId="8451" totalsRowDxfId="8450">
      <totalsRowFormula>AVERAGE(Table2121418198586[P TD])</totalsRowFormula>
    </tableColumn>
    <tableColumn id="4" xr3:uid="{194C8D5E-8C8C-49B8-B84C-8D69A233B5DE}" name="QB RY" totalsRowFunction="custom" dataDxfId="8449" totalsRowDxfId="8448">
      <totalsRowFormula>AVERAGE(Table2121418198586[QB RY])</totalsRowFormula>
    </tableColumn>
    <tableColumn id="5" xr3:uid="{62B4AFA3-2DFC-44AF-8827-A5607141A820}" name="RB1 RY" totalsRowFunction="custom" dataDxfId="8447" totalsRowDxfId="8446">
      <totalsRowFormula>AVERAGE(Table2121418198586[RB1 RY])</totalsRowFormula>
    </tableColumn>
    <tableColumn id="6" xr3:uid="{9FE8682C-9F92-45A6-8C81-2E72266CBDEE}" name="RB2+ RY" totalsRowFunction="custom" dataDxfId="8445" totalsRowDxfId="8444">
      <totalsRowFormula>AVERAGE(Table2121418198586[RB2+ RY])</totalsRowFormula>
    </tableColumn>
    <tableColumn id="7" xr3:uid="{C1BF15A3-AB8D-4051-9B9A-0B630BDACE46}" name="WR RY" totalsRowFunction="custom" dataDxfId="8443" totalsRowDxfId="8442">
      <totalsRowFormula>AVERAGE(Table2121418198586[WR RY])</totalsRowFormula>
    </tableColumn>
    <tableColumn id="8" xr3:uid="{2F21F36B-442B-4FB3-BF78-8E3CA09D16B4}" name="RB1 Recep" totalsRowFunction="custom" dataDxfId="8441" totalsRowDxfId="8440">
      <totalsRowFormula>AVERAGE(Table2121418198586[RB1 Recep])</totalsRowFormula>
    </tableColumn>
    <tableColumn id="9" xr3:uid="{E89125A0-5B59-468B-8E2C-4A49EF838ECD}" name="RB1 RecY" totalsRowFunction="custom" dataDxfId="8439" totalsRowDxfId="8438">
      <totalsRowFormula>AVERAGE(Table2121418198586[RB1 RecY])</totalsRowFormula>
    </tableColumn>
    <tableColumn id="29" xr3:uid="{2AE4AF42-17F3-4CFB-92A3-948692867F2B}" name="RB2 Recep" totalsRowFunction="custom" dataDxfId="8437" totalsRowDxfId="8436">
      <totalsRowFormula>AVERAGE(Table2121418198586[RB2 Recep])</totalsRowFormula>
    </tableColumn>
    <tableColumn id="28" xr3:uid="{CB6A3F4B-0639-4BBC-9353-794AB664BAEA}" name="RB2 RecY" totalsRowFunction="custom" dataDxfId="8435" totalsRowDxfId="8434">
      <totalsRowFormula>AVERAGE(Table2121418198586[RB2 RecY])</totalsRowFormula>
    </tableColumn>
    <tableColumn id="10" xr3:uid="{334AD773-FA52-48ED-8955-193DCFCC1749}" name="WR1 Recep" totalsRowFunction="custom" dataDxfId="8433" totalsRowDxfId="8432">
      <totalsRowFormula>AVERAGE(Table2121418198586[WR1 Recep])</totalsRowFormula>
    </tableColumn>
    <tableColumn id="11" xr3:uid="{98D4215F-5B27-4D43-9F89-59F4EAC1092E}" name="WR1 RecY" totalsRowFunction="custom" dataDxfId="8431" totalsRowDxfId="8430">
      <totalsRowFormula>AVERAGE(Table2121418198586[WR1 RecY])</totalsRowFormula>
    </tableColumn>
    <tableColumn id="12" xr3:uid="{0F411131-BA6F-4051-9762-DC324387C50E}" name="WR2 Recep" totalsRowFunction="custom" dataDxfId="8429" totalsRowDxfId="8428">
      <totalsRowFormula>AVERAGE(Table2121418198586[WR2 Recep])</totalsRowFormula>
    </tableColumn>
    <tableColumn id="13" xr3:uid="{9BDFF714-1479-4674-B3E4-95069898F38D}" name="WR2 RecY" totalsRowFunction="custom" dataDxfId="8427" totalsRowDxfId="8426">
      <totalsRowFormula>AVERAGE(Table2121418198586[WR2 RecY])</totalsRowFormula>
    </tableColumn>
    <tableColumn id="14" xr3:uid="{B1EA03E0-8303-46E8-9B6B-5E557D164C8D}" name="WR3 Recep" totalsRowFunction="custom" dataDxfId="8425" totalsRowDxfId="8424">
      <totalsRowFormula>AVERAGE(Table2121418198586[WR3 Recep])</totalsRowFormula>
    </tableColumn>
    <tableColumn id="15" xr3:uid="{A43DF709-DC6D-462C-8BE7-A33CD355D161}" name="WR3 RecY" totalsRowFunction="custom" dataDxfId="8423" totalsRowDxfId="8422">
      <totalsRowFormula>AVERAGE(Table2121418198586[WR3 RecY])</totalsRowFormula>
    </tableColumn>
    <tableColumn id="16" xr3:uid="{A97D18F3-E836-4E5A-A600-013BA45D2708}" name="WR4+ Recep" totalsRowFunction="custom" dataDxfId="8421" totalsRowDxfId="8420">
      <totalsRowFormula>AVERAGE(Table2121418198586[WR4+ Recep])</totalsRowFormula>
    </tableColumn>
    <tableColumn id="17" xr3:uid="{DE251096-9E7C-4C7A-AB3E-0550D641C391}" name="WR4+ RecY" totalsRowFunction="custom" dataDxfId="8419" totalsRowDxfId="8418">
      <totalsRowFormula>AVERAGE(Table2121418198586[WR4+ RecY])</totalsRowFormula>
    </tableColumn>
    <tableColumn id="18" xr3:uid="{CBB30432-930B-4E6E-A61B-6D5130D456EA}" name="TE1 Recep" totalsRowFunction="custom" dataDxfId="8417" totalsRowDxfId="8416">
      <totalsRowFormula>AVERAGE(Table2121418198586[TE1 Recep])</totalsRowFormula>
    </tableColumn>
    <tableColumn id="19" xr3:uid="{9786D726-E2E4-478C-91D4-BECD8BA0F1EB}" name="TE1 RecY" totalsRowFunction="custom" dataDxfId="8415" totalsRowDxfId="8414">
      <totalsRowFormula>AVERAGE(Table2121418198586[TE1 RecY])</totalsRowFormula>
    </tableColumn>
    <tableColumn id="32" xr3:uid="{A79C0E85-BCA0-4582-8A66-DF802F015824}" name="TE2 Recep" totalsRowFunction="custom" dataDxfId="8413" totalsRowDxfId="8412">
      <totalsRowFormula>AVERAGE(Table2121418198586[TE2 Recep])</totalsRowFormula>
    </tableColumn>
    <tableColumn id="33" xr3:uid="{E170CD66-9D88-4684-932F-3D6DC6DF9BF0}" name="TE2 RecY" totalsRowFunction="custom" dataDxfId="8411" totalsRowDxfId="8410">
      <totalsRowFormula>AVERAGE(Table2121418198586[TE2 RecY])</totalsRowFormula>
    </tableColumn>
    <tableColumn id="20" xr3:uid="{28109C9F-B407-486E-B154-8DBAECD57FA4}" name="QB TD" totalsRowFunction="custom" dataDxfId="8409" totalsRowDxfId="8408">
      <totalsRowFormula>AVERAGE(Table2121418198586[QB TD])</totalsRowFormula>
    </tableColumn>
    <tableColumn id="21" xr3:uid="{8438218D-4134-495E-82F6-4584826AF2B8}" name="RB1 TD" totalsRowFunction="custom" dataDxfId="8407" totalsRowDxfId="8406">
      <totalsRowFormula>AVERAGE(Table2121418198586[RB1 TD])</totalsRowFormula>
    </tableColumn>
    <tableColumn id="34" xr3:uid="{ADB96621-3212-4A89-8656-337E3E93D00B}" name="RB2 TD" totalsRowFunction="custom" dataDxfId="8405" totalsRowDxfId="8404">
      <totalsRowFormula>AVERAGE(Table2121418198586[RB2 TD])</totalsRowFormula>
    </tableColumn>
    <tableColumn id="22" xr3:uid="{5ACA67A9-9BB0-4A93-8AAD-E7946AB83D55}" name="WR1 TD" totalsRowFunction="custom" dataDxfId="8403" totalsRowDxfId="8402">
      <totalsRowFormula>AVERAGE(Table2121418198586[WR1 TD])</totalsRowFormula>
    </tableColumn>
    <tableColumn id="23" xr3:uid="{F25BD475-1416-4CA2-AFD9-5367D6C4F823}" name="WR2 TD" totalsRowFunction="custom" dataDxfId="8401" totalsRowDxfId="8400">
      <totalsRowFormula>AVERAGE(Table2121418198586[WR2 TD])</totalsRowFormula>
    </tableColumn>
    <tableColumn id="24" xr3:uid="{69EE857A-0504-43A0-866B-DA493E32618D}" name="WR3 TD" totalsRowFunction="custom" dataDxfId="8399" totalsRowDxfId="8398">
      <totalsRowFormula>AVERAGE(Table2121418198586[WR3 TD])</totalsRowFormula>
    </tableColumn>
    <tableColumn id="25" xr3:uid="{548217F3-E1FD-40C1-9329-D9A114D5AC92}" name="WR4+ TD" totalsRowFunction="custom" dataDxfId="8397" totalsRowDxfId="8396">
      <totalsRowFormula>AVERAGE(Table2121418198586[WR4+ TD])</totalsRowFormula>
    </tableColumn>
    <tableColumn id="26" xr3:uid="{EBA91361-1F8C-4448-8123-F7ED107F664D}" name="TE1 TD" totalsRowFunction="custom" dataDxfId="8395" totalsRowDxfId="8394">
      <totalsRowFormula>AVERAGE(Table2121418198586[TE1 TD])</totalsRowFormula>
    </tableColumn>
    <tableColumn id="35" xr3:uid="{83D53498-A0A6-4A5D-8F25-16635E1FECFA}" name="TE2 TD" totalsRowFunction="custom" dataDxfId="8393" totalsRowDxfId="8392">
      <totalsRowFormula>AVERAGE(Table2121418198586[TE2 TD])</totalsRowFormula>
    </tableColumn>
    <tableColumn id="27" xr3:uid="{6A32509C-61C7-4F2F-B3B8-8224E32BE822}" name="D/ST TD" totalsRowFunction="custom" dataDxfId="8391" totalsRowDxfId="8390">
      <totalsRowFormula>AVERAGE(Table2121418198586[D/ST TD])</totalsRowFormula>
    </tableColumn>
    <tableColumn id="30" xr3:uid="{4981F8E5-1DAC-43C6-97BD-B4B02828512D}" name="QB P+R" totalsRowFunction="custom" dataDxfId="8389" totalsRowDxfId="8388">
      <calculatedColumnFormula>Table2121418198586[[#This Row],[QB PY]]+Table2121418198586[[#This Row],[QB RY]]</calculatedColumnFormula>
      <totalsRowFormula>AVERAGE(Table2121418198586[QB P+R])</totalsRowFormula>
    </tableColumn>
    <tableColumn id="31" xr3:uid="{7E471A26-ABB8-4215-9BD1-8583422F424D}" name="RB R+R" totalsRowFunction="custom" dataDxfId="8387" totalsRowDxfId="8386">
      <calculatedColumnFormula>Table2121418198586[[#This Row],[RB1 RY]]+Table2121418198586[[#This Row],[RB2+ RY]]+Table2121418198586[[#This Row],[RB1 RecY]]+Table2121418198586[[#This Row],[RB2 RecY]]</calculatedColumnFormula>
      <totalsRowFormula>AVERAGE(Table2121418198586[RB R+R])</totalsRowFormula>
    </tableColumn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E72EE710-CD87-414B-BCD7-015C91C41270}" name="Table2121418198588" displayName="Table2121418198588" ref="B156:AJ175" totalsRowCount="1" headerRowDxfId="8385" dataDxfId="8383" totalsRowDxfId="8382" headerRowBorderDxfId="8384" totalsRowBorderDxfId="8381">
  <autoFilter ref="B156:AJ174" xr:uid="{E72EE710-CD87-414B-BCD7-015C91C41270}"/>
  <tableColumns count="35">
    <tableColumn id="1" xr3:uid="{CC12F670-28FE-4025-9C55-B8FFCCFEB294}" name="Week" totalsRowLabel="Average" totalsRowDxfId="8380"/>
    <tableColumn id="2" xr3:uid="{AA08D8B0-47BF-49EA-BC8B-2D2A5F38B3B6}" name="QB PY" totalsRowFunction="custom" dataDxfId="8379" totalsRowDxfId="8378">
      <totalsRowFormula>AVERAGE(Table2121418198588[QB PY])</totalsRowFormula>
    </tableColumn>
    <tableColumn id="3" xr3:uid="{0A1296DB-1B28-4E2F-95B2-BDB8B8C7CF5B}" name="P TD" totalsRowFunction="custom" dataDxfId="8377" totalsRowDxfId="8376">
      <totalsRowFormula>AVERAGE(Table2121418198588[P TD])</totalsRowFormula>
    </tableColumn>
    <tableColumn id="4" xr3:uid="{8C509642-B18D-4677-8B0F-082DFD95241E}" name="QB RY" totalsRowFunction="custom" dataDxfId="8375" totalsRowDxfId="8374">
      <totalsRowFormula>AVERAGE(Table2121418198588[QB RY])</totalsRowFormula>
    </tableColumn>
    <tableColumn id="5" xr3:uid="{7DD5CA45-86F0-4F82-A569-7BD61E672BE7}" name="RB1 RY" totalsRowFunction="custom" dataDxfId="8373" totalsRowDxfId="8372">
      <totalsRowFormula>AVERAGE(Table2121418198588[RB1 RY])</totalsRowFormula>
    </tableColumn>
    <tableColumn id="6" xr3:uid="{59347BCA-5959-4F78-A65F-73738E831636}" name="RB2+ RY" totalsRowFunction="custom" dataDxfId="8371" totalsRowDxfId="8370">
      <totalsRowFormula>AVERAGE(Table2121418198588[RB2+ RY])</totalsRowFormula>
    </tableColumn>
    <tableColumn id="7" xr3:uid="{ECB0B665-6B73-4241-87ED-C7778BAF768F}" name="WR RY" totalsRowFunction="custom" dataDxfId="8369" totalsRowDxfId="8368">
      <totalsRowFormula>AVERAGE(Table2121418198588[WR RY])</totalsRowFormula>
    </tableColumn>
    <tableColumn id="8" xr3:uid="{0C75A8A5-1745-48DE-BBDB-FE4B1DF4EA47}" name="RB1 Recep" totalsRowFunction="custom" dataDxfId="8367" totalsRowDxfId="8366">
      <totalsRowFormula>AVERAGE(Table2121418198588[RB1 Recep])</totalsRowFormula>
    </tableColumn>
    <tableColumn id="9" xr3:uid="{D4B5A0D8-1480-42FA-9518-8890B1BDD132}" name="RB1 RecY" totalsRowFunction="custom" dataDxfId="8365" totalsRowDxfId="8364">
      <totalsRowFormula>AVERAGE(Table2121418198588[RB1 RecY])</totalsRowFormula>
    </tableColumn>
    <tableColumn id="29" xr3:uid="{F29A2638-A4ED-4AA4-9A4D-BAA0979C4EB4}" name="RB2 Recep" totalsRowFunction="custom" dataDxfId="8363" totalsRowDxfId="8362">
      <totalsRowFormula>AVERAGE(Table2121418198588[RB2 Recep])</totalsRowFormula>
    </tableColumn>
    <tableColumn id="28" xr3:uid="{8822A19D-E485-4877-88E8-EA03F657333C}" name="RB2 RecY" totalsRowFunction="custom" dataDxfId="8361" totalsRowDxfId="8360">
      <totalsRowFormula>AVERAGE(Table2121418198588[RB2 RecY])</totalsRowFormula>
    </tableColumn>
    <tableColumn id="10" xr3:uid="{2E698660-A04E-4BA0-8027-9F695C07F615}" name="WR1 Recep" totalsRowFunction="custom" dataDxfId="8359" totalsRowDxfId="8358">
      <totalsRowFormula>AVERAGE(Table2121418198588[WR1 Recep])</totalsRowFormula>
    </tableColumn>
    <tableColumn id="11" xr3:uid="{7C4B444F-D892-4873-83DF-EB88B420B514}" name="WR1 RecY" totalsRowFunction="custom" dataDxfId="8357" totalsRowDxfId="8356">
      <totalsRowFormula>AVERAGE(Table2121418198588[WR1 RecY])</totalsRowFormula>
    </tableColumn>
    <tableColumn id="12" xr3:uid="{D26A1E80-AB56-4859-A454-DD26AA38CC0C}" name="WR2 Recep" totalsRowFunction="custom" dataDxfId="8355" totalsRowDxfId="8354">
      <totalsRowFormula>AVERAGE(Table2121418198588[WR2 Recep])</totalsRowFormula>
    </tableColumn>
    <tableColumn id="13" xr3:uid="{24AF3807-4CAE-44DD-A3B5-A47F6C4FCBCD}" name="WR2 RecY" totalsRowFunction="custom" dataDxfId="8353" totalsRowDxfId="8352">
      <totalsRowFormula>AVERAGE(Table2121418198588[WR2 RecY])</totalsRowFormula>
    </tableColumn>
    <tableColumn id="14" xr3:uid="{8D854CD4-D72C-453E-8200-FA3FB5A47C2F}" name="WR3 Recep" totalsRowFunction="custom" dataDxfId="8351" totalsRowDxfId="8350">
      <totalsRowFormula>AVERAGE(Table2121418198588[WR3 Recep])</totalsRowFormula>
    </tableColumn>
    <tableColumn id="15" xr3:uid="{356EA022-66FB-4281-ACCE-16A785F80BD3}" name="WR3 RecY" totalsRowFunction="custom" dataDxfId="8349" totalsRowDxfId="8348">
      <totalsRowFormula>AVERAGE(Table2121418198588[WR3 RecY])</totalsRowFormula>
    </tableColumn>
    <tableColumn id="16" xr3:uid="{D9355184-C954-49FE-8398-205A5661001A}" name="WR4+ Recep" totalsRowFunction="custom" dataDxfId="8347" totalsRowDxfId="8346">
      <totalsRowFormula>AVERAGE(Table2121418198588[WR4+ Recep])</totalsRowFormula>
    </tableColumn>
    <tableColumn id="17" xr3:uid="{4A7C0421-3A38-46DE-A80A-882DC7D1946A}" name="WR4+ RecY" totalsRowFunction="custom" dataDxfId="8345" totalsRowDxfId="8344">
      <totalsRowFormula>AVERAGE(Table2121418198588[WR4+ RecY])</totalsRowFormula>
    </tableColumn>
    <tableColumn id="18" xr3:uid="{F34FD523-59AD-4383-BBA7-DA51BDFE1536}" name="TE1 Recep" totalsRowFunction="custom" dataDxfId="8343" totalsRowDxfId="8342">
      <totalsRowFormula>AVERAGE(Table2121418198588[TE1 Recep])</totalsRowFormula>
    </tableColumn>
    <tableColumn id="19" xr3:uid="{B3058E4D-C2DC-4DED-91A4-F6732145D29C}" name="TE1 RecY" totalsRowFunction="custom" dataDxfId="8341" totalsRowDxfId="8340">
      <totalsRowFormula>AVERAGE(Table2121418198588[TE1 RecY])</totalsRowFormula>
    </tableColumn>
    <tableColumn id="32" xr3:uid="{73EEC08E-B957-46C1-B0C3-AE83E83E784C}" name="TE2 Recep" totalsRowFunction="custom" dataDxfId="8339" totalsRowDxfId="8338">
      <totalsRowFormula>AVERAGE(Table2121418198588[TE2 Recep])</totalsRowFormula>
    </tableColumn>
    <tableColumn id="33" xr3:uid="{409B1EFA-C372-46BF-A96C-500A328BE2EE}" name="TE2 RecY" totalsRowFunction="custom" dataDxfId="8337" totalsRowDxfId="8336">
      <totalsRowFormula>AVERAGE(Table2121418198588[TE2 RecY])</totalsRowFormula>
    </tableColumn>
    <tableColumn id="20" xr3:uid="{C77B7B67-0909-4FA1-99C2-975DD7CC703E}" name="QB TD" totalsRowFunction="custom" dataDxfId="8335" totalsRowDxfId="8334">
      <totalsRowFormula>AVERAGE(Table2121418198588[QB TD])</totalsRowFormula>
    </tableColumn>
    <tableColumn id="21" xr3:uid="{6D1F9641-BF4B-4FE4-8CE0-05B7E5480861}" name="RB1 TD" totalsRowFunction="custom" dataDxfId="8333" totalsRowDxfId="8332">
      <totalsRowFormula>AVERAGE(Table2121418198588[RB1 TD])</totalsRowFormula>
    </tableColumn>
    <tableColumn id="34" xr3:uid="{741FEE89-BCEB-4912-9FD0-10A13CFBB80A}" name="RB2 TD" totalsRowFunction="custom" dataDxfId="8331" totalsRowDxfId="8330">
      <totalsRowFormula>AVERAGE(Table2121418198588[RB2 TD])</totalsRowFormula>
    </tableColumn>
    <tableColumn id="22" xr3:uid="{D26B52AE-E90D-4B3F-B9E5-B92EF87C3FBE}" name="WR1 TD" totalsRowFunction="custom" dataDxfId="8329" totalsRowDxfId="8328">
      <totalsRowFormula>AVERAGE(Table2121418198588[WR1 TD])</totalsRowFormula>
    </tableColumn>
    <tableColumn id="23" xr3:uid="{8BAF3B8E-C4CA-449B-ADCE-4B9DC838F9DA}" name="WR2 TD" totalsRowFunction="custom" dataDxfId="8327" totalsRowDxfId="8326">
      <totalsRowFormula>AVERAGE(Table2121418198588[WR2 TD])</totalsRowFormula>
    </tableColumn>
    <tableColumn id="24" xr3:uid="{0B1A5799-F3F2-4BE0-8105-52B9A9B91F11}" name="WR3 TD" totalsRowFunction="custom" dataDxfId="8325" totalsRowDxfId="8324">
      <totalsRowFormula>AVERAGE(Table2121418198588[WR3 TD])</totalsRowFormula>
    </tableColumn>
    <tableColumn id="25" xr3:uid="{3AF65DB3-AEC3-4966-A46E-00DECACF2234}" name="WR4+ TD" totalsRowFunction="custom" dataDxfId="8323" totalsRowDxfId="8322">
      <totalsRowFormula>AVERAGE(Table2121418198588[WR4+ TD])</totalsRowFormula>
    </tableColumn>
    <tableColumn id="26" xr3:uid="{C1A885D2-5354-423F-9AD1-885EB6B269FD}" name="TE1 TD" totalsRowFunction="custom" dataDxfId="8321" totalsRowDxfId="8320">
      <totalsRowFormula>AVERAGE(Table2121418198588[TE1 TD])</totalsRowFormula>
    </tableColumn>
    <tableColumn id="35" xr3:uid="{49A11C2C-ADAD-4426-9763-E0D2C0098931}" name="TE2 TD" totalsRowFunction="custom" dataDxfId="8319" totalsRowDxfId="8318">
      <totalsRowFormula>AVERAGE(Table2121418198588[TE2 TD])</totalsRowFormula>
    </tableColumn>
    <tableColumn id="27" xr3:uid="{7DC87CF7-290A-4633-9381-149A59CAB480}" name="D/ST TD" totalsRowFunction="custom" dataDxfId="8317" totalsRowDxfId="8316">
      <totalsRowFormula>AVERAGE(Table2121418198588[D/ST TD])</totalsRowFormula>
    </tableColumn>
    <tableColumn id="30" xr3:uid="{1B72F8F7-A0BA-4F36-A7C6-6CDDC658B82E}" name="QB P+R" totalsRowFunction="custom" dataDxfId="8315" totalsRowDxfId="8314">
      <calculatedColumnFormula>Table2121418198588[[#This Row],[QB PY]]+Table2121418198588[[#This Row],[QB RY]]</calculatedColumnFormula>
      <totalsRowFormula>AVERAGE(Table2121418198588[QB P+R])</totalsRowFormula>
    </tableColumn>
    <tableColumn id="31" xr3:uid="{229B9A79-D20E-4137-B2F3-5EE2F53BE586}" name="RB R+R" totalsRowFunction="custom" dataDxfId="8313" totalsRowDxfId="8312">
      <calculatedColumnFormula>Table2121418198588[[#This Row],[RB1 RY]]+Table2121418198588[[#This Row],[RB2+ RY]]+Table2121418198588[[#This Row],[RB1 RecY]]+Table2121418198588[[#This Row],[RB2 RecY]]</calculatedColumnFormula>
      <totalsRowFormula>AVERAGE(Table2121418198588[RB R+R])</totalsRowFormula>
    </tableColumn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97A95AE-C88B-4342-A1EA-B967E7190B43}" name="Table2121418198589" displayName="Table2121418198589" ref="B134:AJ153" totalsRowCount="1" headerRowDxfId="8311" dataDxfId="8309" totalsRowDxfId="8308" headerRowBorderDxfId="8310" totalsRowBorderDxfId="8307">
  <autoFilter ref="B134:AJ152" xr:uid="{097A95AE-C88B-4342-A1EA-B967E7190B43}"/>
  <tableColumns count="35">
    <tableColumn id="1" xr3:uid="{3EB3E49C-51B4-48EE-BC87-6CC45D9F1708}" name="Week" totalsRowLabel="Average" totalsRowDxfId="8306"/>
    <tableColumn id="2" xr3:uid="{8CE0D26D-459C-44DC-85F8-031E2CE18A67}" name="QB PY" totalsRowFunction="custom" dataDxfId="8305" totalsRowDxfId="8304">
      <totalsRowFormula>AVERAGE(Table2121418198589[QB PY])</totalsRowFormula>
    </tableColumn>
    <tableColumn id="3" xr3:uid="{4F25CBC6-F037-49DD-A39A-192A8A4B580D}" name="P TD" totalsRowFunction="custom" dataDxfId="8303" totalsRowDxfId="8302">
      <totalsRowFormula>AVERAGE(Table2121418198589[P TD])</totalsRowFormula>
    </tableColumn>
    <tableColumn id="4" xr3:uid="{3918DF7D-B5ED-45F9-B5F9-D892CEF2A404}" name="QB RY" totalsRowFunction="custom" dataDxfId="8301" totalsRowDxfId="8300">
      <totalsRowFormula>AVERAGE(Table2121418198589[QB RY])</totalsRowFormula>
    </tableColumn>
    <tableColumn id="5" xr3:uid="{5855D9A2-471F-4D7B-BCBB-9A8F45188EE3}" name="RB1 RY" totalsRowFunction="custom" dataDxfId="8299" totalsRowDxfId="8298">
      <totalsRowFormula>AVERAGE(Table2121418198589[RB1 RY])</totalsRowFormula>
    </tableColumn>
    <tableColumn id="6" xr3:uid="{7AA49547-ABC5-4194-85D4-6A1090BCB739}" name="RB2+ RY" totalsRowFunction="custom" dataDxfId="8297" totalsRowDxfId="8296">
      <totalsRowFormula>AVERAGE(Table2121418198589[RB2+ RY])</totalsRowFormula>
    </tableColumn>
    <tableColumn id="7" xr3:uid="{D902CC51-B1FD-48E0-A3FC-7B5AC60312C0}" name="WR RY" totalsRowFunction="custom" dataDxfId="8295" totalsRowDxfId="8294">
      <totalsRowFormula>AVERAGE(Table2121418198589[WR RY])</totalsRowFormula>
    </tableColumn>
    <tableColumn id="8" xr3:uid="{762BF854-1ED9-4F3D-8B5C-33DD3422903E}" name="RB1 Recep" totalsRowFunction="custom" dataDxfId="8293" totalsRowDxfId="8292">
      <totalsRowFormula>AVERAGE(Table2121418198589[RB1 Recep])</totalsRowFormula>
    </tableColumn>
    <tableColumn id="9" xr3:uid="{44281B95-88BE-411A-B6C9-304691104716}" name="RB1 RecY" totalsRowFunction="custom" dataDxfId="8291" totalsRowDxfId="8290">
      <totalsRowFormula>AVERAGE(Table2121418198589[RB1 RecY])</totalsRowFormula>
    </tableColumn>
    <tableColumn id="29" xr3:uid="{E379308C-700D-4B40-8886-05B5A2135E31}" name="RB2 Recep" totalsRowFunction="custom" dataDxfId="8289" totalsRowDxfId="8288">
      <totalsRowFormula>AVERAGE(Table2121418198589[RB2 Recep])</totalsRowFormula>
    </tableColumn>
    <tableColumn id="28" xr3:uid="{DEF6CDA3-E512-41F3-B75D-548ED293E26B}" name="RB2 RecY" totalsRowFunction="custom" dataDxfId="8287" totalsRowDxfId="8286">
      <totalsRowFormula>AVERAGE(Table2121418198589[RB2 RecY])</totalsRowFormula>
    </tableColumn>
    <tableColumn id="10" xr3:uid="{5B81E8FF-DD79-48F6-A66E-468D5F25C86C}" name="WR1 Recep" totalsRowFunction="custom" dataDxfId="8285" totalsRowDxfId="8284">
      <totalsRowFormula>AVERAGE(Table2121418198589[WR1 Recep])</totalsRowFormula>
    </tableColumn>
    <tableColumn id="11" xr3:uid="{95268527-C5C5-4182-80FD-EA52ADBC6505}" name="WR1 RecY" totalsRowFunction="custom" dataDxfId="8283" totalsRowDxfId="8282">
      <totalsRowFormula>AVERAGE(Table2121418198589[WR1 RecY])</totalsRowFormula>
    </tableColumn>
    <tableColumn id="12" xr3:uid="{1E5E1662-C3A5-40C5-95CB-5DE05AA9B6A6}" name="WR2 Recep" totalsRowFunction="custom" dataDxfId="8281" totalsRowDxfId="8280">
      <totalsRowFormula>AVERAGE(Table2121418198589[WR2 Recep])</totalsRowFormula>
    </tableColumn>
    <tableColumn id="13" xr3:uid="{D86C469F-B6DD-40D7-BF2C-1D5C95513274}" name="WR2 RecY" totalsRowFunction="custom" dataDxfId="8279" totalsRowDxfId="8278">
      <totalsRowFormula>AVERAGE(Table2121418198589[WR2 RecY])</totalsRowFormula>
    </tableColumn>
    <tableColumn id="14" xr3:uid="{39BF94D8-AD05-434A-AE4D-C1479FA151EC}" name="WR3 Recep" totalsRowFunction="custom" dataDxfId="8277" totalsRowDxfId="8276">
      <totalsRowFormula>AVERAGE(Table2121418198589[WR3 Recep])</totalsRowFormula>
    </tableColumn>
    <tableColumn id="15" xr3:uid="{908835BA-991C-4741-A5CB-8A043C3470D4}" name="WR3 RecY" totalsRowFunction="custom" dataDxfId="8275" totalsRowDxfId="8274">
      <totalsRowFormula>AVERAGE(Table2121418198589[WR3 RecY])</totalsRowFormula>
    </tableColumn>
    <tableColumn id="16" xr3:uid="{C142FA44-CB5D-46FA-B149-3E74C118EDE9}" name="WR4+ Recep" totalsRowFunction="custom" dataDxfId="8273" totalsRowDxfId="8272">
      <totalsRowFormula>AVERAGE(Table2121418198589[WR4+ Recep])</totalsRowFormula>
    </tableColumn>
    <tableColumn id="17" xr3:uid="{9A986D1D-B287-406A-817A-984BC97ABC57}" name="WR4+ RecY" totalsRowFunction="custom" dataDxfId="8271" totalsRowDxfId="8270">
      <totalsRowFormula>AVERAGE(Table2121418198589[WR4+ RecY])</totalsRowFormula>
    </tableColumn>
    <tableColumn id="18" xr3:uid="{6C43D1B8-FEEE-4846-BE02-71860E1A3784}" name="TE1 Recep" totalsRowFunction="custom" dataDxfId="8269" totalsRowDxfId="8268">
      <totalsRowFormula>AVERAGE(Table2121418198589[TE1 Recep])</totalsRowFormula>
    </tableColumn>
    <tableColumn id="19" xr3:uid="{F9EBC500-F428-4539-BB47-8D3CD3F7F62D}" name="TE1 RecY" totalsRowFunction="custom" dataDxfId="8267" totalsRowDxfId="8266">
      <totalsRowFormula>AVERAGE(Table2121418198589[TE1 RecY])</totalsRowFormula>
    </tableColumn>
    <tableColumn id="32" xr3:uid="{4DDD55F6-1F55-42C5-BE56-CD1F8EFB75B8}" name="TE2 Recep" totalsRowFunction="custom" dataDxfId="8265" totalsRowDxfId="8264">
      <totalsRowFormula>AVERAGE(Table2121418198589[TE2 Recep])</totalsRowFormula>
    </tableColumn>
    <tableColumn id="33" xr3:uid="{CF0FEE97-7601-4535-9AC1-227ECF2973FB}" name="TE2 RecY" totalsRowFunction="custom" dataDxfId="8263" totalsRowDxfId="8262">
      <totalsRowFormula>AVERAGE(Table2121418198589[TE2 RecY])</totalsRowFormula>
    </tableColumn>
    <tableColumn id="20" xr3:uid="{2A7D65EB-E27D-4D14-94BE-67DBE5AA080C}" name="QB TD" totalsRowFunction="custom" dataDxfId="8261" totalsRowDxfId="8260">
      <totalsRowFormula>AVERAGE(Table2121418198589[QB TD])</totalsRowFormula>
    </tableColumn>
    <tableColumn id="21" xr3:uid="{6D3B5211-875D-45CC-94F3-C81010994F27}" name="RB1 TD" totalsRowFunction="custom" dataDxfId="8259" totalsRowDxfId="8258">
      <totalsRowFormula>AVERAGE(Table2121418198589[RB1 TD])</totalsRowFormula>
    </tableColumn>
    <tableColumn id="34" xr3:uid="{63301C69-3EEC-42D8-AA37-9072F2B97EEF}" name="RB2 TD" totalsRowFunction="custom" dataDxfId="8257" totalsRowDxfId="8256">
      <totalsRowFormula>AVERAGE(Table2121418198589[RB2 TD])</totalsRowFormula>
    </tableColumn>
    <tableColumn id="22" xr3:uid="{93F126EC-1E99-4E17-9309-6B243D12ADB6}" name="WR1 TD" totalsRowFunction="custom" dataDxfId="8255" totalsRowDxfId="8254">
      <totalsRowFormula>AVERAGE(Table2121418198589[WR1 TD])</totalsRowFormula>
    </tableColumn>
    <tableColumn id="23" xr3:uid="{28156CD1-2F16-483B-B0B4-684A7DB27B1B}" name="WR2 TD" totalsRowFunction="custom" dataDxfId="8253" totalsRowDxfId="8252">
      <totalsRowFormula>AVERAGE(Table2121418198589[WR2 TD])</totalsRowFormula>
    </tableColumn>
    <tableColumn id="24" xr3:uid="{F178E57C-3923-419B-A2AF-42B657F6B7D8}" name="WR3 TD" totalsRowFunction="custom" dataDxfId="8251" totalsRowDxfId="8250">
      <totalsRowFormula>AVERAGE(Table2121418198589[WR3 TD])</totalsRowFormula>
    </tableColumn>
    <tableColumn id="25" xr3:uid="{6D41CBE4-68A5-41E0-8A86-9B40BE0CA392}" name="WR4+ TD" totalsRowFunction="custom" dataDxfId="8249" totalsRowDxfId="8248">
      <totalsRowFormula>AVERAGE(Table2121418198589[WR4+ TD])</totalsRowFormula>
    </tableColumn>
    <tableColumn id="26" xr3:uid="{5E5C37BE-1330-4CD4-8C71-923781A0455B}" name="TE1 TD" totalsRowFunction="custom" dataDxfId="8247" totalsRowDxfId="8246">
      <totalsRowFormula>AVERAGE(Table2121418198589[TE1 TD])</totalsRowFormula>
    </tableColumn>
    <tableColumn id="35" xr3:uid="{E6FB7342-44B2-46AE-BBA8-BA17B8154F9C}" name="TE2 TD" totalsRowFunction="custom" dataDxfId="8245" totalsRowDxfId="8244">
      <totalsRowFormula>AVERAGE(Table2121418198589[TE2 TD])</totalsRowFormula>
    </tableColumn>
    <tableColumn id="27" xr3:uid="{87BD3B4B-5E5F-4D08-9A28-6F8D3F456E62}" name="D/ST TD" totalsRowFunction="custom" dataDxfId="8243" totalsRowDxfId="8242">
      <totalsRowFormula>AVERAGE(Table2121418198589[D/ST TD])</totalsRowFormula>
    </tableColumn>
    <tableColumn id="30" xr3:uid="{474D29D2-E7BB-4ECC-B46A-F77B6B184572}" name="QB P+R" totalsRowFunction="custom" dataDxfId="8241" totalsRowDxfId="8240">
      <calculatedColumnFormula>Table2121418198589[[#This Row],[QB PY]]+Table2121418198589[[#This Row],[QB RY]]</calculatedColumnFormula>
      <totalsRowFormula>AVERAGE(Table2121418198589[QB P+R])</totalsRowFormula>
    </tableColumn>
    <tableColumn id="31" xr3:uid="{9159C574-281C-4711-8686-EFF434D60D36}" name="RB R+R" totalsRowFunction="custom" dataDxfId="8239" totalsRowDxfId="8238">
      <calculatedColumnFormula>Table2121418198589[[#This Row],[RB1 RY]]+Table2121418198589[[#This Row],[RB2+ RY]]+Table2121418198589[[#This Row],[RB1 RecY]]+Table2121418198589[[#This Row],[RB2 RecY]]</calculatedColumnFormula>
      <totalsRowFormula>AVERAGE(Table2121418198589[RB R+R])</totalsRowFormula>
    </tableColumn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8576B6FE-7D8E-4ED1-A0A4-78041B103A01}" name="Table2121418198590" displayName="Table2121418198590" ref="B112:AJ131" totalsRowCount="1" headerRowDxfId="8237" dataDxfId="8235" totalsRowDxfId="8234" headerRowBorderDxfId="8236" totalsRowBorderDxfId="8233">
  <autoFilter ref="B112:AJ130" xr:uid="{8576B6FE-7D8E-4ED1-A0A4-78041B103A01}"/>
  <tableColumns count="35">
    <tableColumn id="1" xr3:uid="{C86826A7-9315-48EB-A9FB-857A9E6EA4BE}" name="Week" totalsRowLabel="Average" totalsRowDxfId="8232"/>
    <tableColumn id="2" xr3:uid="{0CA9D39F-CFCC-47A2-B828-98AF562E76AD}" name="QB PY" totalsRowFunction="custom" dataDxfId="8231" totalsRowDxfId="8230">
      <totalsRowFormula>AVERAGE(Table2121418198590[QB PY])</totalsRowFormula>
    </tableColumn>
    <tableColumn id="3" xr3:uid="{572AF75A-B4A6-4D0C-9CCE-D35950756753}" name="P TD" totalsRowFunction="custom" dataDxfId="8229" totalsRowDxfId="8228">
      <totalsRowFormula>AVERAGE(Table2121418198590[P TD])</totalsRowFormula>
    </tableColumn>
    <tableColumn id="4" xr3:uid="{F76D4375-E81A-462D-B756-2C5AA57BFB0B}" name="QB RY" totalsRowFunction="custom" dataDxfId="8227" totalsRowDxfId="8226">
      <totalsRowFormula>AVERAGE(Table2121418198590[QB RY])</totalsRowFormula>
    </tableColumn>
    <tableColumn id="5" xr3:uid="{C824631E-1072-4777-A021-376E41A88718}" name="RB1 RY" totalsRowFunction="custom" dataDxfId="8225" totalsRowDxfId="8224">
      <totalsRowFormula>AVERAGE(Table2121418198590[RB1 RY])</totalsRowFormula>
    </tableColumn>
    <tableColumn id="6" xr3:uid="{7817B785-95F8-41DC-B86D-6963B7E6B5A3}" name="RB2+ RY" totalsRowFunction="custom" dataDxfId="8223" totalsRowDxfId="8222">
      <totalsRowFormula>AVERAGE(Table2121418198590[RB2+ RY])</totalsRowFormula>
    </tableColumn>
    <tableColumn id="7" xr3:uid="{AB037561-E5B8-484D-9E97-CCF83180C732}" name="WR RY" totalsRowFunction="custom" dataDxfId="8221" totalsRowDxfId="8220">
      <totalsRowFormula>AVERAGE(Table2121418198590[WR RY])</totalsRowFormula>
    </tableColumn>
    <tableColumn id="8" xr3:uid="{4580A0E5-CF65-4B48-9FDA-F0DA49DECD90}" name="RB1 Recep" totalsRowFunction="custom" dataDxfId="8219" totalsRowDxfId="8218">
      <totalsRowFormula>AVERAGE(Table2121418198590[RB1 Recep])</totalsRowFormula>
    </tableColumn>
    <tableColumn id="9" xr3:uid="{1D41E4D9-115B-47B8-B53E-CD75E3DCD4CF}" name="RB1 RecY" totalsRowFunction="custom" dataDxfId="8217" totalsRowDxfId="8216">
      <totalsRowFormula>AVERAGE(Table2121418198590[RB1 RecY])</totalsRowFormula>
    </tableColumn>
    <tableColumn id="29" xr3:uid="{EAA5810B-32E8-4E01-881B-E20D4CF34A40}" name="RB2 Recep" totalsRowFunction="custom" dataDxfId="8215" totalsRowDxfId="8214">
      <totalsRowFormula>AVERAGE(Table2121418198590[RB2 Recep])</totalsRowFormula>
    </tableColumn>
    <tableColumn id="28" xr3:uid="{1BE9E85D-B637-4D5C-AC7A-41BE42C17F54}" name="RB2 RecY" totalsRowFunction="custom" dataDxfId="8213" totalsRowDxfId="8212">
      <totalsRowFormula>AVERAGE(Table2121418198590[RB2 RecY])</totalsRowFormula>
    </tableColumn>
    <tableColumn id="10" xr3:uid="{BDAD2E20-4240-4E36-BFC9-F218D8805744}" name="WR1 Recep" totalsRowFunction="custom" dataDxfId="8211" totalsRowDxfId="8210">
      <totalsRowFormula>AVERAGE(Table2121418198590[WR1 Recep])</totalsRowFormula>
    </tableColumn>
    <tableColumn id="11" xr3:uid="{5A971D7E-822B-4722-B9A3-05652A578333}" name="WR1 RecY" totalsRowFunction="custom" dataDxfId="8209" totalsRowDxfId="8208">
      <totalsRowFormula>AVERAGE(Table2121418198590[WR1 RecY])</totalsRowFormula>
    </tableColumn>
    <tableColumn id="12" xr3:uid="{9DAB2BB1-967A-4AAC-87EA-8442E4A9AD32}" name="WR2 Recep" totalsRowFunction="custom" dataDxfId="8207" totalsRowDxfId="8206">
      <totalsRowFormula>AVERAGE(Table2121418198590[WR2 Recep])</totalsRowFormula>
    </tableColumn>
    <tableColumn id="13" xr3:uid="{9349513C-6546-43AF-9453-9E854A645A13}" name="WR2 RecY" totalsRowFunction="custom" dataDxfId="8205" totalsRowDxfId="8204">
      <totalsRowFormula>AVERAGE(Table2121418198590[WR2 RecY])</totalsRowFormula>
    </tableColumn>
    <tableColumn id="14" xr3:uid="{44163459-06AB-4286-8027-1CB056DFA621}" name="WR3 Recep" totalsRowFunction="custom" dataDxfId="8203" totalsRowDxfId="8202">
      <totalsRowFormula>AVERAGE(Table2121418198590[WR3 Recep])</totalsRowFormula>
    </tableColumn>
    <tableColumn id="15" xr3:uid="{7B2FD09C-57C8-4592-BC48-B7F22DB55E84}" name="WR3 RecY" totalsRowFunction="custom" dataDxfId="8201" totalsRowDxfId="8200">
      <totalsRowFormula>AVERAGE(Table2121418198590[WR3 RecY])</totalsRowFormula>
    </tableColumn>
    <tableColumn id="16" xr3:uid="{F216A40B-4E26-4BE6-A252-B6024BED6517}" name="WR4+ Recep" totalsRowFunction="custom" dataDxfId="8199" totalsRowDxfId="8198">
      <totalsRowFormula>AVERAGE(Table2121418198590[WR4+ Recep])</totalsRowFormula>
    </tableColumn>
    <tableColumn id="17" xr3:uid="{15F78B80-3E08-4473-A535-36E771488097}" name="WR4+ RecY" totalsRowFunction="custom" dataDxfId="8197" totalsRowDxfId="8196">
      <totalsRowFormula>AVERAGE(Table2121418198590[WR4+ RecY])</totalsRowFormula>
    </tableColumn>
    <tableColumn id="18" xr3:uid="{2444C562-E606-4DA7-B57A-D2A2A68EB238}" name="TE1 Recep" totalsRowFunction="custom" dataDxfId="8195" totalsRowDxfId="8194">
      <totalsRowFormula>AVERAGE(Table2121418198590[TE1 Recep])</totalsRowFormula>
    </tableColumn>
    <tableColumn id="19" xr3:uid="{B99C6A2A-C949-4F4F-86F4-25A3175BD22B}" name="TE1 RecY" totalsRowFunction="custom" dataDxfId="8193" totalsRowDxfId="8192">
      <totalsRowFormula>AVERAGE(Table2121418198590[TE1 RecY])</totalsRowFormula>
    </tableColumn>
    <tableColumn id="32" xr3:uid="{741FEAA4-7F22-43FA-B467-7D11AF287176}" name="TE2 Recep" totalsRowFunction="custom" dataDxfId="8191" totalsRowDxfId="8190">
      <totalsRowFormula>AVERAGE(Table2121418198590[TE2 Recep])</totalsRowFormula>
    </tableColumn>
    <tableColumn id="33" xr3:uid="{EF32F9B4-0D79-46C6-ACB9-BC57DCF136B6}" name="TE2 RecY" totalsRowFunction="custom" dataDxfId="8189" totalsRowDxfId="8188">
      <totalsRowFormula>AVERAGE(Table2121418198590[TE2 RecY])</totalsRowFormula>
    </tableColumn>
    <tableColumn id="20" xr3:uid="{885EE4FF-FA6C-4505-B042-9CDAEFB5B3D0}" name="QB TD" totalsRowFunction="custom" dataDxfId="8187" totalsRowDxfId="8186">
      <totalsRowFormula>AVERAGE(Table2121418198590[QB TD])</totalsRowFormula>
    </tableColumn>
    <tableColumn id="21" xr3:uid="{71EB2848-C1FE-44C1-B0EA-742FD1F03B7F}" name="RB1 TD" totalsRowFunction="custom" dataDxfId="8185" totalsRowDxfId="8184">
      <totalsRowFormula>AVERAGE(Table2121418198590[RB1 TD])</totalsRowFormula>
    </tableColumn>
    <tableColumn id="34" xr3:uid="{2110F7BA-1B62-4DB3-A724-5A2F34D6712D}" name="RB2 TD" totalsRowFunction="custom" dataDxfId="8183" totalsRowDxfId="8182">
      <totalsRowFormula>AVERAGE(Table2121418198590[RB2 TD])</totalsRowFormula>
    </tableColumn>
    <tableColumn id="22" xr3:uid="{1A77EBF7-76EB-4678-A8FC-4794AC3FCDCB}" name="WR1 TD" totalsRowFunction="custom" dataDxfId="8181" totalsRowDxfId="8180">
      <totalsRowFormula>AVERAGE(Table2121418198590[WR1 TD])</totalsRowFormula>
    </tableColumn>
    <tableColumn id="23" xr3:uid="{C76648CC-7C2B-4E8D-8FF7-DFE40280E297}" name="WR2 TD" totalsRowFunction="custom" dataDxfId="8179" totalsRowDxfId="8178">
      <totalsRowFormula>AVERAGE(Table2121418198590[WR2 TD])</totalsRowFormula>
    </tableColumn>
    <tableColumn id="24" xr3:uid="{3603DFDE-6ECD-4C9A-88B9-626261ED7AE6}" name="WR3 TD" totalsRowFunction="custom" dataDxfId="8177" totalsRowDxfId="8176">
      <totalsRowFormula>AVERAGE(Table2121418198590[WR3 TD])</totalsRowFormula>
    </tableColumn>
    <tableColumn id="25" xr3:uid="{417FB82A-9077-4C60-94B2-A33768AB467A}" name="WR4+ TD" totalsRowFunction="custom" dataDxfId="8175" totalsRowDxfId="8174">
      <totalsRowFormula>AVERAGE(Table2121418198590[WR4+ TD])</totalsRowFormula>
    </tableColumn>
    <tableColumn id="26" xr3:uid="{F5E467F6-4F1E-40DE-B9F8-7DFB261E4C7C}" name="TE1 TD" totalsRowFunction="custom" dataDxfId="8173" totalsRowDxfId="8172">
      <totalsRowFormula>AVERAGE(Table2121418198590[TE1 TD])</totalsRowFormula>
    </tableColumn>
    <tableColumn id="35" xr3:uid="{7740F98D-0A7F-4849-8DCC-94D2A149B2E8}" name="TE2 TD" totalsRowFunction="custom" dataDxfId="8171" totalsRowDxfId="8170">
      <totalsRowFormula>AVERAGE(Table2121418198590[TE2 TD])</totalsRowFormula>
    </tableColumn>
    <tableColumn id="27" xr3:uid="{4E6DA968-0F98-4AE6-BFB4-82F4E1298764}" name="D/ST TD" totalsRowFunction="custom" dataDxfId="8169" totalsRowDxfId="8168">
      <totalsRowFormula>AVERAGE(Table2121418198590[D/ST TD])</totalsRowFormula>
    </tableColumn>
    <tableColumn id="30" xr3:uid="{C8DD37E8-C9E2-41DC-81BE-211B52697B06}" name="QB P+R" totalsRowFunction="custom" dataDxfId="8167" totalsRowDxfId="8166">
      <calculatedColumnFormula>Table2121418198590[[#This Row],[QB PY]]+Table2121418198590[[#This Row],[QB RY]]</calculatedColumnFormula>
      <totalsRowFormula>AVERAGE(Table2121418198590[QB P+R])</totalsRowFormula>
    </tableColumn>
    <tableColumn id="31" xr3:uid="{66F00C9E-FD84-4DAB-9206-2C9D7C60798B}" name="RB R+R" totalsRowFunction="custom" dataDxfId="8165" totalsRowDxfId="8164">
      <calculatedColumnFormula>Table2121418198590[[#This Row],[RB1 RY]]+Table2121418198590[[#This Row],[RB2+ RY]]+Table2121418198590[[#This Row],[RB1 RecY]]+Table2121418198590[[#This Row],[RB2 RecY]]</calculatedColumnFormula>
      <totalsRowFormula>AVERAGE(Table2121418198590[RB R+R])</totalsRowFormula>
    </tableColumn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8EBA7A91-7B50-4EFA-B8E7-C58DD3D35C5B}" name="Table2121418198592" displayName="Table2121418198592" ref="B90:AJ109" totalsRowCount="1" headerRowDxfId="8163" dataDxfId="8161" totalsRowDxfId="8160" headerRowBorderDxfId="8162" totalsRowBorderDxfId="8159">
  <autoFilter ref="B90:AJ108" xr:uid="{8EBA7A91-7B50-4EFA-B8E7-C58DD3D35C5B}"/>
  <tableColumns count="35">
    <tableColumn id="1" xr3:uid="{2A453EE3-2BE1-4E41-8195-D0182D497B62}" name="Week" totalsRowLabel="Average" totalsRowDxfId="8158"/>
    <tableColumn id="2" xr3:uid="{2212D31A-B062-4C09-803D-087649A522E0}" name="QB PY" totalsRowFunction="custom" dataDxfId="8157" totalsRowDxfId="8156">
      <totalsRowFormula>AVERAGE(Table2121418198592[QB PY])</totalsRowFormula>
    </tableColumn>
    <tableColumn id="3" xr3:uid="{CAAFAC25-0CD7-4501-9D24-1365E6CF8433}" name="P TD" totalsRowFunction="custom" dataDxfId="8155" totalsRowDxfId="8154">
      <totalsRowFormula>AVERAGE(Table2121418198592[P TD])</totalsRowFormula>
    </tableColumn>
    <tableColumn id="4" xr3:uid="{F7C21B8E-699C-477E-B398-402D243F13DD}" name="QB RY" totalsRowFunction="custom" dataDxfId="8153" totalsRowDxfId="8152">
      <totalsRowFormula>AVERAGE(Table2121418198592[QB RY])</totalsRowFormula>
    </tableColumn>
    <tableColumn id="5" xr3:uid="{C1C6ADE8-ABEB-4B17-8CEF-2A69C836BDF8}" name="RB1 RY" totalsRowFunction="custom" dataDxfId="8151" totalsRowDxfId="8150">
      <totalsRowFormula>AVERAGE(Table2121418198592[RB1 RY])</totalsRowFormula>
    </tableColumn>
    <tableColumn id="6" xr3:uid="{0FB3A8A8-A962-4D0D-A73A-2425A5F9F6DC}" name="RB2+ RY" totalsRowFunction="custom" dataDxfId="8149" totalsRowDxfId="8148">
      <totalsRowFormula>AVERAGE(Table2121418198592[RB2+ RY])</totalsRowFormula>
    </tableColumn>
    <tableColumn id="7" xr3:uid="{46377783-70B2-4FD7-965D-FB2CF6598AEF}" name="WR RY" totalsRowFunction="custom" dataDxfId="8147" totalsRowDxfId="8146">
      <totalsRowFormula>AVERAGE(Table2121418198592[WR RY])</totalsRowFormula>
    </tableColumn>
    <tableColumn id="8" xr3:uid="{1AE8206F-3AED-4245-A983-1BC5A33284A5}" name="RB1 Recep" totalsRowFunction="custom" dataDxfId="8145" totalsRowDxfId="8144">
      <totalsRowFormula>AVERAGE(Table2121418198592[RB1 Recep])</totalsRowFormula>
    </tableColumn>
    <tableColumn id="9" xr3:uid="{B06D9E6A-A22E-47B7-8206-865BCFBFA9DD}" name="RB1 RecY" totalsRowFunction="custom" dataDxfId="8143" totalsRowDxfId="8142">
      <totalsRowFormula>AVERAGE(Table2121418198592[RB1 RecY])</totalsRowFormula>
    </tableColumn>
    <tableColumn id="29" xr3:uid="{50545A26-A5BB-4921-B6E6-A1D02ACB6C3B}" name="RB2 Recep" totalsRowFunction="custom" dataDxfId="8141" totalsRowDxfId="8140">
      <totalsRowFormula>AVERAGE(Table2121418198592[RB2 Recep])</totalsRowFormula>
    </tableColumn>
    <tableColumn id="28" xr3:uid="{F4F6CCAC-745B-4D94-A08C-CF0526496372}" name="RB2 RecY" totalsRowFunction="custom" dataDxfId="8139" totalsRowDxfId="8138">
      <totalsRowFormula>AVERAGE(Table2121418198592[RB2 RecY])</totalsRowFormula>
    </tableColumn>
    <tableColumn id="10" xr3:uid="{58E602CA-1B71-4FF5-9FEC-646A7B784ACC}" name="WR1 Recep" totalsRowFunction="custom" dataDxfId="8137" totalsRowDxfId="8136">
      <totalsRowFormula>AVERAGE(Table2121418198592[WR1 Recep])</totalsRowFormula>
    </tableColumn>
    <tableColumn id="11" xr3:uid="{E79EE342-7E4B-4AE9-BCB4-0C66ECB608E3}" name="WR1 RecY" totalsRowFunction="custom" dataDxfId="8135" totalsRowDxfId="8134">
      <totalsRowFormula>AVERAGE(Table2121418198592[WR1 RecY])</totalsRowFormula>
    </tableColumn>
    <tableColumn id="12" xr3:uid="{EEA86F33-F024-4607-A813-8C5353BCD745}" name="WR2 Recep" totalsRowFunction="custom" dataDxfId="8133" totalsRowDxfId="8132">
      <totalsRowFormula>AVERAGE(Table2121418198592[WR2 Recep])</totalsRowFormula>
    </tableColumn>
    <tableColumn id="13" xr3:uid="{EECDF9F9-99CB-4697-9A97-8AEBDB4764E1}" name="WR2 RecY" totalsRowFunction="custom" dataDxfId="8131" totalsRowDxfId="8130">
      <totalsRowFormula>AVERAGE(Table2121418198592[WR2 RecY])</totalsRowFormula>
    </tableColumn>
    <tableColumn id="14" xr3:uid="{69AB7D1E-28DE-40F6-AFC8-AB44D4946C4D}" name="WR3 Recep" totalsRowFunction="custom" dataDxfId="8129" totalsRowDxfId="8128">
      <totalsRowFormula>AVERAGE(Table2121418198592[WR3 Recep])</totalsRowFormula>
    </tableColumn>
    <tableColumn id="15" xr3:uid="{4B51A6F3-C98A-435D-81FE-209FB1B1B7F0}" name="WR3 RecY" totalsRowFunction="custom" dataDxfId="8127" totalsRowDxfId="8126">
      <totalsRowFormula>AVERAGE(Table2121418198592[WR3 RecY])</totalsRowFormula>
    </tableColumn>
    <tableColumn id="16" xr3:uid="{0A21C6FD-2BCD-4B3F-8938-1E8FE3DD3ED0}" name="WR4+ Recep" totalsRowFunction="custom" dataDxfId="8125" totalsRowDxfId="8124">
      <totalsRowFormula>AVERAGE(Table2121418198592[WR4+ Recep])</totalsRowFormula>
    </tableColumn>
    <tableColumn id="17" xr3:uid="{518367F8-CD6C-4318-9637-B8D23CE4E7FB}" name="WR4+ RecY" totalsRowFunction="custom" dataDxfId="8123" totalsRowDxfId="8122">
      <totalsRowFormula>AVERAGE(Table2121418198592[WR4+ RecY])</totalsRowFormula>
    </tableColumn>
    <tableColumn id="18" xr3:uid="{A1E5E3D5-A7B0-4825-8DCF-F378B6662A0C}" name="TE1 Recep" totalsRowFunction="custom" dataDxfId="8121" totalsRowDxfId="8120">
      <totalsRowFormula>AVERAGE(Table2121418198592[TE1 Recep])</totalsRowFormula>
    </tableColumn>
    <tableColumn id="19" xr3:uid="{74C684AE-AC60-49BC-BC25-A924EC8FCEF0}" name="TE1 RecY" totalsRowFunction="custom" dataDxfId="8119" totalsRowDxfId="8118">
      <totalsRowFormula>AVERAGE(Table2121418198592[TE1 RecY])</totalsRowFormula>
    </tableColumn>
    <tableColumn id="32" xr3:uid="{87C4F09A-90D5-4CD2-A599-6B7ED78F46CB}" name="TE2 Recep" totalsRowFunction="custom" dataDxfId="8117" totalsRowDxfId="8116">
      <totalsRowFormula>AVERAGE(Table2121418198592[TE2 Recep])</totalsRowFormula>
    </tableColumn>
    <tableColumn id="33" xr3:uid="{63F9588A-A1D6-4210-ADB7-8C01E9A21F4D}" name="TE2 RecY" totalsRowFunction="custom" dataDxfId="8115" totalsRowDxfId="8114">
      <totalsRowFormula>AVERAGE(Table2121418198592[TE2 RecY])</totalsRowFormula>
    </tableColumn>
    <tableColumn id="20" xr3:uid="{5CD368F9-184A-45F5-A4EE-C84A61DA0316}" name="QB TD" totalsRowFunction="custom" dataDxfId="8113" totalsRowDxfId="8112">
      <totalsRowFormula>AVERAGE(Table2121418198592[QB TD])</totalsRowFormula>
    </tableColumn>
    <tableColumn id="21" xr3:uid="{2B7F8131-DBB1-4846-BB43-FE480F00456A}" name="RB1 TD" totalsRowFunction="custom" dataDxfId="8111" totalsRowDxfId="8110">
      <totalsRowFormula>AVERAGE(Table2121418198592[RB1 TD])</totalsRowFormula>
    </tableColumn>
    <tableColumn id="34" xr3:uid="{A649DEE6-9334-4299-B9A4-5B2887A013D2}" name="RB2 TD" totalsRowFunction="custom" dataDxfId="8109" totalsRowDxfId="8108">
      <totalsRowFormula>AVERAGE(Table2121418198592[RB2 TD])</totalsRowFormula>
    </tableColumn>
    <tableColumn id="22" xr3:uid="{DE1D7328-7753-4303-ABF4-12AB617748E1}" name="WR1 TD" totalsRowFunction="custom" dataDxfId="8107" totalsRowDxfId="8106">
      <totalsRowFormula>AVERAGE(Table2121418198592[WR1 TD])</totalsRowFormula>
    </tableColumn>
    <tableColumn id="23" xr3:uid="{78574482-46C4-499B-869C-39C3C42BB8FB}" name="WR2 TD" totalsRowFunction="custom" dataDxfId="8105" totalsRowDxfId="8104">
      <totalsRowFormula>AVERAGE(Table2121418198592[WR2 TD])</totalsRowFormula>
    </tableColumn>
    <tableColumn id="24" xr3:uid="{2D681819-7234-4616-B3D9-0EA7B617DE1A}" name="WR3 TD" totalsRowFunction="custom" dataDxfId="8103" totalsRowDxfId="8102">
      <totalsRowFormula>AVERAGE(Table2121418198592[WR3 TD])</totalsRowFormula>
    </tableColumn>
    <tableColumn id="25" xr3:uid="{AF34AC59-9AB7-4B6D-9B22-5B538DD0AB59}" name="WR4+ TD" totalsRowFunction="custom" dataDxfId="8101" totalsRowDxfId="8100">
      <totalsRowFormula>AVERAGE(Table2121418198592[WR4+ TD])</totalsRowFormula>
    </tableColumn>
    <tableColumn id="26" xr3:uid="{9672B3C1-495E-4557-AA53-341BA810FCA8}" name="TE1 TD" totalsRowFunction="custom" dataDxfId="8099" totalsRowDxfId="8098">
      <totalsRowFormula>AVERAGE(Table2121418198592[TE1 TD])</totalsRowFormula>
    </tableColumn>
    <tableColumn id="35" xr3:uid="{16DAAA39-5FD3-4D30-8003-73F833237818}" name="TE2 TD" totalsRowFunction="custom" dataDxfId="8097" totalsRowDxfId="8096">
      <totalsRowFormula>AVERAGE(Table2121418198592[TE2 TD])</totalsRowFormula>
    </tableColumn>
    <tableColumn id="27" xr3:uid="{02C12438-7BE4-4473-8201-AE507BB4315A}" name="D/ST TD" totalsRowFunction="custom" dataDxfId="8095" totalsRowDxfId="8094">
      <totalsRowFormula>AVERAGE(Table2121418198592[D/ST TD])</totalsRowFormula>
    </tableColumn>
    <tableColumn id="30" xr3:uid="{0C7FA286-8DD2-49ED-AF3F-B1219E062B1B}" name="QB P+R" totalsRowFunction="custom" dataDxfId="8093" totalsRowDxfId="8092">
      <calculatedColumnFormula>Table2121418198592[[#This Row],[QB PY]]+Table2121418198592[[#This Row],[QB RY]]</calculatedColumnFormula>
      <totalsRowFormula>AVERAGE(Table2121418198592[QB P+R])</totalsRowFormula>
    </tableColumn>
    <tableColumn id="31" xr3:uid="{8F85C459-B039-4565-A7C8-05D8F8320A6A}" name="RB R+R" totalsRowFunction="custom" dataDxfId="8091" totalsRowDxfId="8090">
      <calculatedColumnFormula>Table2121418198592[[#This Row],[RB1 RY]]+Table2121418198592[[#This Row],[RB2+ RY]]+Table2121418198592[[#This Row],[RB1 RecY]]+Table2121418198592[[#This Row],[RB2 RecY]]</calculatedColumnFormula>
      <totalsRowFormula>AVERAGE(Table2121418198592[RB R+R])</totalsRowFormula>
    </tableColumn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CB4945DA-F370-4A5B-853B-51ADF2118C46}" name="Table2121418198593" displayName="Table2121418198593" ref="B68:AJ87" totalsRowCount="1" headerRowDxfId="8089" dataDxfId="8087" totalsRowDxfId="8086" headerRowBorderDxfId="8088" totalsRowBorderDxfId="8085">
  <autoFilter ref="B68:AJ86" xr:uid="{CB4945DA-F370-4A5B-853B-51ADF2118C46}"/>
  <tableColumns count="35">
    <tableColumn id="1" xr3:uid="{F1BA33E2-6E4E-481F-9750-EB034A079A73}" name="Week" totalsRowLabel="Average" totalsRowDxfId="8084"/>
    <tableColumn id="2" xr3:uid="{92B5F80B-E035-44FE-932F-669CAAC63BE1}" name="QB PY" totalsRowFunction="custom" dataDxfId="8083" totalsRowDxfId="8082">
      <totalsRowFormula>AVERAGE(Table2121418198593[QB PY])</totalsRowFormula>
    </tableColumn>
    <tableColumn id="3" xr3:uid="{4BE4A34D-3642-41B3-BF7D-FEE04314E3F5}" name="P TD" totalsRowFunction="custom" dataDxfId="8081" totalsRowDxfId="8080">
      <totalsRowFormula>AVERAGE(Table2121418198593[P TD])</totalsRowFormula>
    </tableColumn>
    <tableColumn id="4" xr3:uid="{E7D7E261-8A14-406A-BEFB-240D044A2E75}" name="QB RY" totalsRowFunction="custom" dataDxfId="8079" totalsRowDxfId="8078">
      <totalsRowFormula>AVERAGE(Table2121418198593[QB RY])</totalsRowFormula>
    </tableColumn>
    <tableColumn id="5" xr3:uid="{422E1882-B89A-4292-B578-91DA230895B0}" name="RB1 RY" totalsRowFunction="custom" dataDxfId="8077" totalsRowDxfId="8076">
      <totalsRowFormula>AVERAGE(Table2121418198593[RB1 RY])</totalsRowFormula>
    </tableColumn>
    <tableColumn id="6" xr3:uid="{ADD5DB7C-98A8-4808-9CA3-2CD434C2ED18}" name="RB2+ RY" totalsRowFunction="custom" dataDxfId="8075" totalsRowDxfId="8074">
      <totalsRowFormula>AVERAGE(Table2121418198593[RB2+ RY])</totalsRowFormula>
    </tableColumn>
    <tableColumn id="7" xr3:uid="{1045833B-535B-4539-9840-9F708938D331}" name="WR RY" totalsRowFunction="custom" dataDxfId="8073" totalsRowDxfId="8072">
      <totalsRowFormula>AVERAGE(Table2121418198593[WR RY])</totalsRowFormula>
    </tableColumn>
    <tableColumn id="8" xr3:uid="{6E16A814-6D51-4165-9624-9F8FCBBF6D45}" name="RB1 Recep" totalsRowFunction="custom" dataDxfId="8071" totalsRowDxfId="8070">
      <totalsRowFormula>AVERAGE(Table2121418198593[RB1 Recep])</totalsRowFormula>
    </tableColumn>
    <tableColumn id="9" xr3:uid="{17BB2A21-85DC-486B-BA11-1707CB790598}" name="RB1 RecY" totalsRowFunction="custom" dataDxfId="8069" totalsRowDxfId="8068">
      <totalsRowFormula>AVERAGE(Table2121418198593[RB1 RecY])</totalsRowFormula>
    </tableColumn>
    <tableColumn id="29" xr3:uid="{A02D66C5-633D-4642-AA3D-579CF07B8F71}" name="RB2 Recep" totalsRowFunction="custom" dataDxfId="8067" totalsRowDxfId="8066">
      <totalsRowFormula>AVERAGE(Table2121418198593[RB2 Recep])</totalsRowFormula>
    </tableColumn>
    <tableColumn id="28" xr3:uid="{F2DF9FDB-05D3-4311-B6D9-2FFD99340B8A}" name="RB2 RecY" totalsRowFunction="custom" dataDxfId="8065" totalsRowDxfId="8064">
      <totalsRowFormula>AVERAGE(Table2121418198593[RB2 RecY])</totalsRowFormula>
    </tableColumn>
    <tableColumn id="10" xr3:uid="{ADC02416-26B7-459B-9F7F-30325F77F1E4}" name="WR1 Recep" totalsRowFunction="custom" dataDxfId="8063" totalsRowDxfId="8062">
      <totalsRowFormula>AVERAGE(Table2121418198593[WR1 Recep])</totalsRowFormula>
    </tableColumn>
    <tableColumn id="11" xr3:uid="{2D3050D0-4DFF-49D2-9543-56F0C6AE448C}" name="WR1 RecY" totalsRowFunction="custom" dataDxfId="8061" totalsRowDxfId="8060">
      <totalsRowFormula>AVERAGE(Table2121418198593[WR1 RecY])</totalsRowFormula>
    </tableColumn>
    <tableColumn id="12" xr3:uid="{028084D7-20AA-4965-B620-A30039298C36}" name="WR2 Recep" totalsRowFunction="custom" dataDxfId="8059" totalsRowDxfId="8058">
      <totalsRowFormula>AVERAGE(Table2121418198593[WR2 Recep])</totalsRowFormula>
    </tableColumn>
    <tableColumn id="13" xr3:uid="{C017F301-D58B-4A64-8380-D31B224423BF}" name="WR2 RecY" totalsRowFunction="custom" dataDxfId="8057" totalsRowDxfId="8056">
      <totalsRowFormula>AVERAGE(Table2121418198593[WR2 RecY])</totalsRowFormula>
    </tableColumn>
    <tableColumn id="14" xr3:uid="{277CC988-0710-4B34-8673-4DCB82CC4711}" name="WR3 Recep" totalsRowFunction="custom" dataDxfId="8055" totalsRowDxfId="8054">
      <totalsRowFormula>AVERAGE(Table2121418198593[WR3 Recep])</totalsRowFormula>
    </tableColumn>
    <tableColumn id="15" xr3:uid="{123FBDEB-90CD-4B32-A684-C92B2CFB5195}" name="WR3 RecY" totalsRowFunction="custom" dataDxfId="8053" totalsRowDxfId="8052">
      <totalsRowFormula>AVERAGE(Table2121418198593[WR3 RecY])</totalsRowFormula>
    </tableColumn>
    <tableColumn id="16" xr3:uid="{B44182D6-5022-4DED-8AFC-B5B0BFAF625D}" name="WR4+ Recep" totalsRowFunction="custom" dataDxfId="8051" totalsRowDxfId="8050">
      <totalsRowFormula>AVERAGE(Table2121418198593[WR4+ Recep])</totalsRowFormula>
    </tableColumn>
    <tableColumn id="17" xr3:uid="{29D2302E-E0BB-4D2E-89BD-030C5240D441}" name="WR4+ RecY" totalsRowFunction="custom" dataDxfId="8049" totalsRowDxfId="8048">
      <totalsRowFormula>AVERAGE(Table2121418198593[WR4+ RecY])</totalsRowFormula>
    </tableColumn>
    <tableColumn id="18" xr3:uid="{C7C89E75-0C64-488C-BDAD-67954A439685}" name="TE1 Recep" totalsRowFunction="custom" dataDxfId="8047" totalsRowDxfId="8046">
      <totalsRowFormula>AVERAGE(Table2121418198593[TE1 Recep])</totalsRowFormula>
    </tableColumn>
    <tableColumn id="19" xr3:uid="{F9D8F4E0-5CAB-4D47-85BC-CAB4CFB4B9E0}" name="TE1 RecY" totalsRowFunction="custom" dataDxfId="8045" totalsRowDxfId="8044">
      <totalsRowFormula>AVERAGE(Table2121418198593[TE1 RecY])</totalsRowFormula>
    </tableColumn>
    <tableColumn id="32" xr3:uid="{8968BF8D-9E23-458A-A122-3CAE0F8116DF}" name="TE2 Recep" totalsRowFunction="custom" dataDxfId="8043" totalsRowDxfId="8042">
      <totalsRowFormula>AVERAGE(Table2121418198593[TE2 Recep])</totalsRowFormula>
    </tableColumn>
    <tableColumn id="33" xr3:uid="{BD476CFE-1CBC-407A-A6E9-BCBBF54EE22F}" name="TE2 RecY" totalsRowFunction="custom" dataDxfId="8041" totalsRowDxfId="8040">
      <totalsRowFormula>AVERAGE(Table2121418198593[TE2 RecY])</totalsRowFormula>
    </tableColumn>
    <tableColumn id="20" xr3:uid="{A2B6714E-53E7-4A34-B768-D4FE300A8969}" name="QB TD" totalsRowFunction="custom" dataDxfId="8039" totalsRowDxfId="8038">
      <totalsRowFormula>AVERAGE(Table2121418198593[QB TD])</totalsRowFormula>
    </tableColumn>
    <tableColumn id="21" xr3:uid="{B2874DD6-AC1B-48C2-9FCB-B02AA59D67EA}" name="RB1 TD" totalsRowFunction="custom" dataDxfId="8037" totalsRowDxfId="8036">
      <totalsRowFormula>AVERAGE(Table2121418198593[RB1 TD])</totalsRowFormula>
    </tableColumn>
    <tableColumn id="34" xr3:uid="{32873FD4-7441-462A-A139-098F6EC71CB2}" name="RB2 TD" totalsRowFunction="custom" dataDxfId="8035" totalsRowDxfId="8034">
      <totalsRowFormula>AVERAGE(Table2121418198593[RB2 TD])</totalsRowFormula>
    </tableColumn>
    <tableColumn id="22" xr3:uid="{ACE04609-5AE3-4FD3-B7C2-81AFD73786DF}" name="WR1 TD" totalsRowFunction="custom" dataDxfId="8033" totalsRowDxfId="8032">
      <totalsRowFormula>AVERAGE(Table2121418198593[WR1 TD])</totalsRowFormula>
    </tableColumn>
    <tableColumn id="23" xr3:uid="{F05BB42C-BABF-428E-B5A5-65E53F873BAA}" name="WR2 TD" totalsRowFunction="custom" dataDxfId="8031" totalsRowDxfId="8030">
      <totalsRowFormula>AVERAGE(Table2121418198593[WR2 TD])</totalsRowFormula>
    </tableColumn>
    <tableColumn id="24" xr3:uid="{EA3565A8-8CE4-42EF-88D5-050BD7FB659E}" name="WR3 TD" totalsRowFunction="custom" dataDxfId="8029" totalsRowDxfId="8028">
      <totalsRowFormula>AVERAGE(Table2121418198593[WR3 TD])</totalsRowFormula>
    </tableColumn>
    <tableColumn id="25" xr3:uid="{147162EA-7A85-470A-9E70-09BD1CFC3B15}" name="WR4+ TD" totalsRowFunction="custom" dataDxfId="8027" totalsRowDxfId="8026">
      <totalsRowFormula>AVERAGE(Table2121418198593[WR4+ TD])</totalsRowFormula>
    </tableColumn>
    <tableColumn id="26" xr3:uid="{0A7FB949-92CF-4030-9AC8-F09D87EA2489}" name="TE1 TD" totalsRowFunction="custom" dataDxfId="8025" totalsRowDxfId="8024">
      <totalsRowFormula>AVERAGE(Table2121418198593[TE1 TD])</totalsRowFormula>
    </tableColumn>
    <tableColumn id="35" xr3:uid="{E1C56532-6E6D-4A76-9315-64B526685C6A}" name="TE2 TD" totalsRowFunction="custom" dataDxfId="8023" totalsRowDxfId="8022">
      <totalsRowFormula>AVERAGE(Table2121418198593[TE2 TD])</totalsRowFormula>
    </tableColumn>
    <tableColumn id="27" xr3:uid="{F0CB5699-6A23-4EB8-A07D-E8415AD7EA26}" name="D/ST TD" totalsRowFunction="custom" dataDxfId="8021" totalsRowDxfId="8020">
      <totalsRowFormula>AVERAGE(Table2121418198593[D/ST TD])</totalsRowFormula>
    </tableColumn>
    <tableColumn id="30" xr3:uid="{5E431B05-AAAD-4C12-BE3F-23DB2EF664F4}" name="QB P+R" totalsRowFunction="custom" dataDxfId="8019" totalsRowDxfId="8018">
      <calculatedColumnFormula>Table2121418198593[[#This Row],[QB PY]]+Table2121418198593[[#This Row],[QB RY]]</calculatedColumnFormula>
      <totalsRowFormula>AVERAGE(Table2121418198593[QB P+R])</totalsRowFormula>
    </tableColumn>
    <tableColumn id="31" xr3:uid="{BBE1FAD4-FA32-4F78-BEBA-6032529D2522}" name="RB R+R" totalsRowFunction="custom" dataDxfId="8017" totalsRowDxfId="8016">
      <calculatedColumnFormula>Table2121418198593[[#This Row],[RB1 RY]]+Table2121418198593[[#This Row],[RB2+ RY]]+Table2121418198593[[#This Row],[RB1 RecY]]+Table2121418198593[[#This Row],[RB2 RecY]]</calculatedColumnFormula>
      <totalsRowFormula>AVERAGE(Table2121418198593[RB R+R])</totalsRowFormula>
    </tableColumn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5BE5AE64-D0C4-4537-B677-0E6CAD86317D}" name="Table2121418198598" displayName="Table2121418198598" ref="B46:AJ65" totalsRowCount="1" headerRowDxfId="8015" dataDxfId="8013" totalsRowDxfId="8012" headerRowBorderDxfId="8014" totalsRowBorderDxfId="8011">
  <autoFilter ref="B46:AJ64" xr:uid="{5BE5AE64-D0C4-4537-B677-0E6CAD86317D}"/>
  <tableColumns count="35">
    <tableColumn id="1" xr3:uid="{59990207-477B-4FC4-91A2-610BCC2B730E}" name="Week" totalsRowLabel="Average" totalsRowDxfId="8010"/>
    <tableColumn id="2" xr3:uid="{4215034A-C7BF-4A07-A009-BA363717A7C3}" name="QB PY" totalsRowFunction="custom" dataDxfId="8009" totalsRowDxfId="8008">
      <totalsRowFormula>AVERAGE(Table2121418198598[QB PY])</totalsRowFormula>
    </tableColumn>
    <tableColumn id="3" xr3:uid="{90D588ED-F274-4516-BCC6-8DFE66941060}" name="P TD" totalsRowFunction="custom" dataDxfId="8007" totalsRowDxfId="8006">
      <totalsRowFormula>AVERAGE(Table2121418198598[P TD])</totalsRowFormula>
    </tableColumn>
    <tableColumn id="4" xr3:uid="{4450B288-30BA-4D6C-8908-E7792DCCBD71}" name="QB RY" totalsRowFunction="custom" dataDxfId="8005" totalsRowDxfId="8004">
      <totalsRowFormula>AVERAGE(Table2121418198598[QB RY])</totalsRowFormula>
    </tableColumn>
    <tableColumn id="5" xr3:uid="{31566101-876E-4DB7-9E85-2314F7368D7A}" name="RB1 RY" totalsRowFunction="custom" dataDxfId="8003" totalsRowDxfId="8002">
      <totalsRowFormula>AVERAGE(Table2121418198598[RB1 RY])</totalsRowFormula>
    </tableColumn>
    <tableColumn id="6" xr3:uid="{5B62B6F0-0E5F-4267-8B72-6BAF3DCFB211}" name="RB2+ RY" totalsRowFunction="custom" dataDxfId="8001" totalsRowDxfId="8000">
      <totalsRowFormula>AVERAGE(Table2121418198598[RB2+ RY])</totalsRowFormula>
    </tableColumn>
    <tableColumn id="7" xr3:uid="{38551A74-535A-470E-95B2-0ECAD5FE3475}" name="WR RY" totalsRowFunction="custom" dataDxfId="7999" totalsRowDxfId="7998">
      <totalsRowFormula>AVERAGE(Table2121418198598[WR RY])</totalsRowFormula>
    </tableColumn>
    <tableColumn id="8" xr3:uid="{C13E66DC-0E7D-4982-AE2A-B4BECB467C3C}" name="RB1 Recep" totalsRowFunction="custom" dataDxfId="7997" totalsRowDxfId="7996">
      <totalsRowFormula>AVERAGE(Table2121418198598[RB1 Recep])</totalsRowFormula>
    </tableColumn>
    <tableColumn id="9" xr3:uid="{8801A4C0-97D3-4526-B40A-29D49A7D2493}" name="RB1 RecY" totalsRowFunction="custom" dataDxfId="7995" totalsRowDxfId="7994">
      <totalsRowFormula>AVERAGE(Table2121418198598[RB1 RecY])</totalsRowFormula>
    </tableColumn>
    <tableColumn id="29" xr3:uid="{D387ED6F-BD76-4F87-89CC-394BDC47E827}" name="RB2 Recep" totalsRowFunction="custom" dataDxfId="7993" totalsRowDxfId="7992">
      <totalsRowFormula>AVERAGE(Table2121418198598[RB2 Recep])</totalsRowFormula>
    </tableColumn>
    <tableColumn id="28" xr3:uid="{EA3C24F0-D9BA-47AB-B782-13DAB346CF7D}" name="RB2 RecY" totalsRowFunction="custom" dataDxfId="7991" totalsRowDxfId="7990">
      <totalsRowFormula>AVERAGE(Table2121418198598[RB2 RecY])</totalsRowFormula>
    </tableColumn>
    <tableColumn id="10" xr3:uid="{C8FB45DD-408F-47E9-B522-EEDF82860B61}" name="WR1 Recep" totalsRowFunction="custom" dataDxfId="7989" totalsRowDxfId="7988">
      <totalsRowFormula>AVERAGE(Table2121418198598[WR1 Recep])</totalsRowFormula>
    </tableColumn>
    <tableColumn id="11" xr3:uid="{AB0D3A36-F292-418A-B4B1-F6F425384E93}" name="WR1 RecY" totalsRowFunction="custom" dataDxfId="7987" totalsRowDxfId="7986">
      <totalsRowFormula>AVERAGE(Table2121418198598[WR1 RecY])</totalsRowFormula>
    </tableColumn>
    <tableColumn id="12" xr3:uid="{86C9B21B-B0C6-4AD0-A929-2706B47EF9DC}" name="WR2 Recep" totalsRowFunction="custom" dataDxfId="7985" totalsRowDxfId="7984">
      <totalsRowFormula>AVERAGE(Table2121418198598[WR2 Recep])</totalsRowFormula>
    </tableColumn>
    <tableColumn id="13" xr3:uid="{F138D218-6F14-438A-B7D5-CBF4E7D1FA60}" name="WR2 RecY" totalsRowFunction="custom" dataDxfId="7983" totalsRowDxfId="7982">
      <totalsRowFormula>AVERAGE(Table2121418198598[WR2 RecY])</totalsRowFormula>
    </tableColumn>
    <tableColumn id="14" xr3:uid="{05AE8F5F-5D29-4245-A819-2E355F6D22A0}" name="WR3 Recep" totalsRowFunction="custom" dataDxfId="7981" totalsRowDxfId="7980">
      <totalsRowFormula>AVERAGE(Table2121418198598[WR3 Recep])</totalsRowFormula>
    </tableColumn>
    <tableColumn id="15" xr3:uid="{99943DE7-5D0A-497C-ACDB-1298E897F160}" name="WR3 RecY" totalsRowFunction="custom" dataDxfId="7979" totalsRowDxfId="7978">
      <totalsRowFormula>AVERAGE(Table2121418198598[WR3 RecY])</totalsRowFormula>
    </tableColumn>
    <tableColumn id="16" xr3:uid="{DABB69FA-65C0-49CD-AA8D-11DDEE8C160B}" name="WR4+ Recep" totalsRowFunction="custom" dataDxfId="7977" totalsRowDxfId="7976">
      <totalsRowFormula>AVERAGE(Table2121418198598[WR4+ Recep])</totalsRowFormula>
    </tableColumn>
    <tableColumn id="17" xr3:uid="{8B042568-28CA-4D0E-987E-1A5BDEBB638D}" name="WR4+ RecY" totalsRowFunction="custom" dataDxfId="7975" totalsRowDxfId="7974">
      <totalsRowFormula>AVERAGE(Table2121418198598[WR4+ RecY])</totalsRowFormula>
    </tableColumn>
    <tableColumn id="18" xr3:uid="{74934DDE-4EDE-4FB5-9EEF-8D9C63421AE9}" name="TE1 Recep" totalsRowFunction="custom" dataDxfId="7973" totalsRowDxfId="7972">
      <totalsRowFormula>AVERAGE(Table2121418198598[TE1 Recep])</totalsRowFormula>
    </tableColumn>
    <tableColumn id="19" xr3:uid="{481E3592-F2DB-4435-AFB2-65E0B1940CE5}" name="TE1 RecY" totalsRowFunction="custom" dataDxfId="7971" totalsRowDxfId="7970">
      <totalsRowFormula>AVERAGE(Table2121418198598[TE1 RecY])</totalsRowFormula>
    </tableColumn>
    <tableColumn id="32" xr3:uid="{944D391E-05B2-4C61-A9AD-1B2FBD4D0516}" name="TE2 Recep" totalsRowFunction="custom" dataDxfId="7969" totalsRowDxfId="7968">
      <totalsRowFormula>AVERAGE(Table2121418198598[TE2 Recep])</totalsRowFormula>
    </tableColumn>
    <tableColumn id="33" xr3:uid="{CF43667F-ECCC-44BA-AD74-2B3B6ECD8E4F}" name="TE2 RecY" totalsRowFunction="custom" dataDxfId="7967" totalsRowDxfId="7966">
      <totalsRowFormula>AVERAGE(Table2121418198598[TE2 RecY])</totalsRowFormula>
    </tableColumn>
    <tableColumn id="20" xr3:uid="{73D435AE-FED9-42B9-BBAF-5DC2F693B7E6}" name="QB TD" totalsRowFunction="custom" dataDxfId="7965" totalsRowDxfId="7964">
      <totalsRowFormula>AVERAGE(Table2121418198598[QB TD])</totalsRowFormula>
    </tableColumn>
    <tableColumn id="21" xr3:uid="{82180A4B-A478-49EC-944A-0B48EDE16263}" name="RB1 TD" totalsRowFunction="custom" dataDxfId="7963" totalsRowDxfId="7962">
      <totalsRowFormula>AVERAGE(Table2121418198598[RB1 TD])</totalsRowFormula>
    </tableColumn>
    <tableColumn id="34" xr3:uid="{FCAA768A-F8E0-48E1-890C-27EC33E397BB}" name="RB2 TD" totalsRowFunction="custom" dataDxfId="7961" totalsRowDxfId="7960">
      <totalsRowFormula>AVERAGE(Table2121418198598[RB2 TD])</totalsRowFormula>
    </tableColumn>
    <tableColumn id="22" xr3:uid="{FDAF2F5F-D2BA-41D1-ABA0-7E1CD58D6096}" name="WR1 TD" totalsRowFunction="custom" dataDxfId="7959" totalsRowDxfId="7958">
      <totalsRowFormula>AVERAGE(Table2121418198598[WR1 TD])</totalsRowFormula>
    </tableColumn>
    <tableColumn id="23" xr3:uid="{F121621A-BB5C-4C94-A07C-7EC316846780}" name="WR2 TD" totalsRowFunction="custom" dataDxfId="7957" totalsRowDxfId="7956">
      <totalsRowFormula>AVERAGE(Table2121418198598[WR2 TD])</totalsRowFormula>
    </tableColumn>
    <tableColumn id="24" xr3:uid="{435AD0A1-D850-46E2-8BB2-9236F8C50953}" name="WR3 TD" totalsRowFunction="custom" dataDxfId="7955" totalsRowDxfId="7954">
      <totalsRowFormula>AVERAGE(Table2121418198598[WR3 TD])</totalsRowFormula>
    </tableColumn>
    <tableColumn id="25" xr3:uid="{6F5C94B1-4D46-461D-AFA5-0E1EAACC35FA}" name="WR4+ TD" totalsRowFunction="custom" dataDxfId="7953" totalsRowDxfId="7952">
      <totalsRowFormula>AVERAGE(Table2121418198598[WR4+ TD])</totalsRowFormula>
    </tableColumn>
    <tableColumn id="26" xr3:uid="{5433A6A8-D10A-44BE-86ED-D35A80E79996}" name="TE1 TD" totalsRowFunction="custom" dataDxfId="7951" totalsRowDxfId="7950">
      <totalsRowFormula>AVERAGE(Table2121418198598[TE1 TD])</totalsRowFormula>
    </tableColumn>
    <tableColumn id="35" xr3:uid="{EF0753FB-7A57-46AD-B148-C889C8B39842}" name="TE2 TD" totalsRowFunction="custom" dataDxfId="7949" totalsRowDxfId="7948">
      <totalsRowFormula>AVERAGE(Table2121418198598[TE2 TD])</totalsRowFormula>
    </tableColumn>
    <tableColumn id="27" xr3:uid="{9FE7571A-B986-4847-8AF8-FB40F87385A2}" name="D/ST TD" totalsRowFunction="custom" dataDxfId="7947" totalsRowDxfId="7946">
      <totalsRowFormula>AVERAGE(Table2121418198598[D/ST TD])</totalsRowFormula>
    </tableColumn>
    <tableColumn id="30" xr3:uid="{F6CD5123-6938-4EAE-859A-A3B876152BFB}" name="QB P+R" totalsRowFunction="custom" dataDxfId="7945" totalsRowDxfId="7944">
      <calculatedColumnFormula>Table2121418198598[[#This Row],[QB PY]]+Table2121418198598[[#This Row],[QB RY]]</calculatedColumnFormula>
      <totalsRowFormula>AVERAGE(Table2121418198598[QB P+R])</totalsRowFormula>
    </tableColumn>
    <tableColumn id="31" xr3:uid="{EB8DC61F-7FE3-4549-9A79-2C24CBB38C67}" name="RB R+R" totalsRowFunction="custom" dataDxfId="7943" totalsRowDxfId="7942">
      <calculatedColumnFormula>Table2121418198598[[#This Row],[RB1 RY]]+Table2121418198598[[#This Row],[RB2+ RY]]+Table2121418198598[[#This Row],[RB1 RecY]]+Table2121418198598[[#This Row],[RB2 RecY]]</calculatedColumnFormula>
      <totalsRowFormula>AVERAGE(Table2121418198598[RB R+R])</totalsRowFormula>
    </tableColumn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FE7D86A0-B4A8-41DC-BA2A-7899C5DDF797}" name="Table212141819859899" displayName="Table212141819859899" ref="B24:AJ43" totalsRowCount="1" headerRowDxfId="7941" dataDxfId="7939" totalsRowDxfId="7938" headerRowBorderDxfId="7940" totalsRowBorderDxfId="7937">
  <autoFilter ref="B24:AJ42" xr:uid="{FE7D86A0-B4A8-41DC-BA2A-7899C5DDF797}"/>
  <tableColumns count="35">
    <tableColumn id="1" xr3:uid="{E56D9402-3845-4398-8FC4-47E9F83FE4D4}" name="Week" totalsRowLabel="Average" totalsRowDxfId="7936"/>
    <tableColumn id="2" xr3:uid="{10D27738-8516-4BCE-8D73-32129BA92DF0}" name="QB PY" totalsRowFunction="custom" dataDxfId="7935" totalsRowDxfId="7934">
      <totalsRowFormula>AVERAGE(Table212141819859899[QB PY])</totalsRowFormula>
    </tableColumn>
    <tableColumn id="3" xr3:uid="{5C7ECB68-E5C1-4976-9C5B-E3E59409448B}" name="P TD" totalsRowFunction="custom" dataDxfId="7933" totalsRowDxfId="7932">
      <totalsRowFormula>AVERAGE(Table212141819859899[P TD])</totalsRowFormula>
    </tableColumn>
    <tableColumn id="4" xr3:uid="{6B125D0B-2A6D-42A0-9695-8D8F2DA158D5}" name="QB RY" totalsRowFunction="custom" dataDxfId="7931" totalsRowDxfId="7930">
      <totalsRowFormula>AVERAGE(Table212141819859899[QB RY])</totalsRowFormula>
    </tableColumn>
    <tableColumn id="5" xr3:uid="{DEC004A8-BECA-4B77-8B9B-52A2B7903239}" name="RB1 RY" totalsRowFunction="custom" dataDxfId="7929" totalsRowDxfId="7928">
      <totalsRowFormula>AVERAGE(Table212141819859899[RB1 RY])</totalsRowFormula>
    </tableColumn>
    <tableColumn id="6" xr3:uid="{BB04A5C2-D06E-4824-AF13-3FA2320386B7}" name="RB2+ RY" totalsRowFunction="custom" dataDxfId="7927" totalsRowDxfId="7926">
      <totalsRowFormula>AVERAGE(Table212141819859899[RB2+ RY])</totalsRowFormula>
    </tableColumn>
    <tableColumn id="7" xr3:uid="{EC749A7D-EA6F-4EF1-B5E4-38A8F2FACED8}" name="WR RY" totalsRowFunction="custom" dataDxfId="7925" totalsRowDxfId="7924">
      <totalsRowFormula>AVERAGE(Table212141819859899[WR RY])</totalsRowFormula>
    </tableColumn>
    <tableColumn id="8" xr3:uid="{0186EDC4-90ED-41B2-8183-FA83E9939921}" name="RB1 Recep" totalsRowFunction="custom" dataDxfId="7923" totalsRowDxfId="7922">
      <totalsRowFormula>AVERAGE(Table212141819859899[RB1 Recep])</totalsRowFormula>
    </tableColumn>
    <tableColumn id="9" xr3:uid="{B0B437BF-51CD-4CE1-95E7-C07BC6B4B332}" name="RB1 RecY" totalsRowFunction="custom" dataDxfId="7921" totalsRowDxfId="7920">
      <totalsRowFormula>AVERAGE(Table212141819859899[RB1 RecY])</totalsRowFormula>
    </tableColumn>
    <tableColumn id="29" xr3:uid="{7249525D-018A-4075-9F13-7918B835CCAD}" name="RB2 Recep" totalsRowFunction="custom" dataDxfId="7919" totalsRowDxfId="7918">
      <totalsRowFormula>AVERAGE(Table212141819859899[RB2 Recep])</totalsRowFormula>
    </tableColumn>
    <tableColumn id="28" xr3:uid="{889FF8FF-F33B-4274-B1DA-41F611AF9DFC}" name="RB2 RecY" totalsRowFunction="custom" dataDxfId="7917" totalsRowDxfId="7916">
      <totalsRowFormula>AVERAGE(Table212141819859899[RB2 RecY])</totalsRowFormula>
    </tableColumn>
    <tableColumn id="10" xr3:uid="{FED188F8-41AC-4DF5-906B-FEA7E39837EE}" name="WR1 Recep" totalsRowFunction="custom" dataDxfId="7915" totalsRowDxfId="7914">
      <totalsRowFormula>AVERAGE(Table212141819859899[WR1 Recep])</totalsRowFormula>
    </tableColumn>
    <tableColumn id="11" xr3:uid="{5AFBF17A-BC9C-4A5A-80F6-FA1B8DF995E4}" name="WR1 RecY" totalsRowFunction="custom" dataDxfId="7913" totalsRowDxfId="7912">
      <totalsRowFormula>AVERAGE(Table212141819859899[WR1 RecY])</totalsRowFormula>
    </tableColumn>
    <tableColumn id="12" xr3:uid="{00DC7899-0589-4F40-AA6C-E54146437BB8}" name="WR2 Recep" totalsRowFunction="custom" dataDxfId="7911" totalsRowDxfId="7910">
      <totalsRowFormula>AVERAGE(Table212141819859899[WR2 Recep])</totalsRowFormula>
    </tableColumn>
    <tableColumn id="13" xr3:uid="{457A427C-7DE8-46C4-8475-4BC749CD064C}" name="WR2 RecY" totalsRowFunction="custom" dataDxfId="7909" totalsRowDxfId="7908">
      <totalsRowFormula>AVERAGE(Table212141819859899[WR2 RecY])</totalsRowFormula>
    </tableColumn>
    <tableColumn id="14" xr3:uid="{48548029-B9CB-4E01-BF39-0743558EF407}" name="WR3 Recep" totalsRowFunction="custom" dataDxfId="7907" totalsRowDxfId="7906">
      <totalsRowFormula>AVERAGE(Table212141819859899[WR3 Recep])</totalsRowFormula>
    </tableColumn>
    <tableColumn id="15" xr3:uid="{80EAB0B7-B2CC-4F5C-B026-A404A5CFDBE8}" name="WR3 RecY" totalsRowFunction="custom" dataDxfId="7905" totalsRowDxfId="7904">
      <totalsRowFormula>AVERAGE(Table212141819859899[WR3 RecY])</totalsRowFormula>
    </tableColumn>
    <tableColumn id="16" xr3:uid="{E4A1CDF4-3E88-4C35-AB17-2BC53CABB229}" name="WR4+ Recep" totalsRowFunction="custom" dataDxfId="7903" totalsRowDxfId="7902">
      <totalsRowFormula>AVERAGE(Table212141819859899[WR4+ Recep])</totalsRowFormula>
    </tableColumn>
    <tableColumn id="17" xr3:uid="{BF7A5048-3524-446A-B06D-8232B8F6A34D}" name="WR4+ RecY" totalsRowFunction="custom" dataDxfId="7901" totalsRowDxfId="7900">
      <totalsRowFormula>AVERAGE(Table212141819859899[WR4+ RecY])</totalsRowFormula>
    </tableColumn>
    <tableColumn id="18" xr3:uid="{2D643B83-11C4-4E23-85D4-21FFAB9B9B4E}" name="TE1 Recep" totalsRowFunction="custom" dataDxfId="7899" totalsRowDxfId="7898">
      <totalsRowFormula>AVERAGE(Table212141819859899[TE1 Recep])</totalsRowFormula>
    </tableColumn>
    <tableColumn id="19" xr3:uid="{3618A656-2005-4A58-8F57-9A39126EE9E0}" name="TE1 RecY" totalsRowFunction="custom" dataDxfId="7897" totalsRowDxfId="7896">
      <totalsRowFormula>AVERAGE(Table212141819859899[TE1 RecY])</totalsRowFormula>
    </tableColumn>
    <tableColumn id="32" xr3:uid="{A83B0DE3-1218-4460-AE69-D16599649301}" name="TE2 Recep" totalsRowFunction="custom" dataDxfId="7895" totalsRowDxfId="7894">
      <totalsRowFormula>AVERAGE(Table212141819859899[TE2 Recep])</totalsRowFormula>
    </tableColumn>
    <tableColumn id="33" xr3:uid="{A1E7BB15-AB20-4F1D-A656-6BCBD6141B62}" name="TE2 RecY" totalsRowFunction="custom" dataDxfId="7893" totalsRowDxfId="7892">
      <totalsRowFormula>AVERAGE(Table212141819859899[TE2 RecY])</totalsRowFormula>
    </tableColumn>
    <tableColumn id="20" xr3:uid="{FAE56AF5-930B-494D-BBCE-D8196394144F}" name="QB TD" totalsRowFunction="custom" dataDxfId="7891" totalsRowDxfId="7890">
      <totalsRowFormula>AVERAGE(Table212141819859899[QB TD])</totalsRowFormula>
    </tableColumn>
    <tableColumn id="21" xr3:uid="{435EE995-F042-441C-8898-FB7D86D62C9A}" name="RB1 TD" totalsRowFunction="custom" dataDxfId="7889" totalsRowDxfId="7888">
      <totalsRowFormula>AVERAGE(Table212141819859899[RB1 TD])</totalsRowFormula>
    </tableColumn>
    <tableColumn id="34" xr3:uid="{491BFE16-8850-4520-B46F-E8F74D19B8BE}" name="RB2 TD" totalsRowFunction="custom" dataDxfId="7887" totalsRowDxfId="7886">
      <totalsRowFormula>AVERAGE(Table212141819859899[RB2 TD])</totalsRowFormula>
    </tableColumn>
    <tableColumn id="22" xr3:uid="{78AF853A-B74D-454B-96C3-CC420AD033AA}" name="WR1 TD" totalsRowFunction="custom" dataDxfId="7885" totalsRowDxfId="7884">
      <totalsRowFormula>AVERAGE(Table212141819859899[WR1 TD])</totalsRowFormula>
    </tableColumn>
    <tableColumn id="23" xr3:uid="{6BB9676A-4828-49BD-A2F6-1315CD49E04F}" name="WR2 TD" totalsRowFunction="custom" dataDxfId="7883" totalsRowDxfId="7882">
      <totalsRowFormula>AVERAGE(Table212141819859899[WR2 TD])</totalsRowFormula>
    </tableColumn>
    <tableColumn id="24" xr3:uid="{2A5CEE08-6906-4AD4-B5F4-17E4E3613A53}" name="WR3 TD" totalsRowFunction="custom" dataDxfId="7881" totalsRowDxfId="7880">
      <totalsRowFormula>AVERAGE(Table212141819859899[WR3 TD])</totalsRowFormula>
    </tableColumn>
    <tableColumn id="25" xr3:uid="{0BCC8FC3-CD34-4979-9955-2DB0202D6AC3}" name="WR4+ TD" totalsRowFunction="custom" dataDxfId="7879" totalsRowDxfId="7878">
      <totalsRowFormula>AVERAGE(Table212141819859899[WR4+ TD])</totalsRowFormula>
    </tableColumn>
    <tableColumn id="26" xr3:uid="{CE200306-3561-4475-9C66-CE82D4E2DAFC}" name="TE1 TD" totalsRowFunction="custom" dataDxfId="7877" totalsRowDxfId="7876">
      <totalsRowFormula>AVERAGE(Table212141819859899[TE1 TD])</totalsRowFormula>
    </tableColumn>
    <tableColumn id="35" xr3:uid="{B7F0CEB8-B76C-4B74-AEB8-284D880EE38B}" name="TE2 TD" totalsRowFunction="custom" dataDxfId="7875" totalsRowDxfId="7874">
      <totalsRowFormula>AVERAGE(Table212141819859899[TE2 TD])</totalsRowFormula>
    </tableColumn>
    <tableColumn id="27" xr3:uid="{AA55CC87-34D9-42F8-8B34-937E64C0EADF}" name="D/ST TD" totalsRowFunction="custom" dataDxfId="7873" totalsRowDxfId="7872">
      <totalsRowFormula>AVERAGE(Table212141819859899[D/ST TD])</totalsRowFormula>
    </tableColumn>
    <tableColumn id="30" xr3:uid="{D6C91484-172A-4C23-B40C-402F0C3C148D}" name="QB P+R" totalsRowFunction="custom" dataDxfId="7871" totalsRowDxfId="7870">
      <calculatedColumnFormula>Table212141819859899[[#This Row],[QB PY]]+Table212141819859899[[#This Row],[QB RY]]</calculatedColumnFormula>
      <totalsRowFormula>AVERAGE(Table212141819859899[QB P+R])</totalsRowFormula>
    </tableColumn>
    <tableColumn id="31" xr3:uid="{FC33BB4F-A2A8-46BA-807A-E9973D435024}" name="RB R+R" totalsRowFunction="custom" dataDxfId="7869" totalsRowDxfId="7868">
      <calculatedColumnFormula>Table212141819859899[[#This Row],[RB1 RY]]+Table212141819859899[[#This Row],[RB2+ RY]]+Table212141819859899[[#This Row],[RB1 RecY]]+Table212141819859899[[#This Row],[RB2 RecY]]</calculatedColumnFormula>
      <totalsRowFormula>AVERAGE(Table212141819859899[RB R+R])</totalsRowFormula>
    </tableColumn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AC62BEA-EB01-4197-A07E-B2CF12964397}" name="Table2121418198598100" displayName="Table2121418198598100" ref="B2:AJ21" totalsRowCount="1" headerRowDxfId="7867" dataDxfId="7865" totalsRowDxfId="7864" headerRowBorderDxfId="7866" totalsRowBorderDxfId="7863">
  <autoFilter ref="B2:AJ20" xr:uid="{7AC62BEA-EB01-4197-A07E-B2CF12964397}"/>
  <tableColumns count="35">
    <tableColumn id="1" xr3:uid="{CB23960E-7B4C-4128-8463-ACCCC5B0B4E8}" name="Week" totalsRowLabel="Average" totalsRowDxfId="7862"/>
    <tableColumn id="2" xr3:uid="{5471952D-E2C5-4C82-9633-79F34D69981B}" name="QB PY" totalsRowFunction="custom" dataDxfId="7861" totalsRowDxfId="7860">
      <totalsRowFormula>AVERAGE(Table2121418198598100[QB PY])</totalsRowFormula>
    </tableColumn>
    <tableColumn id="3" xr3:uid="{B14338F8-9690-417B-84B2-888289CB376B}" name="P TD" totalsRowFunction="custom" dataDxfId="7859" totalsRowDxfId="7858">
      <totalsRowFormula>AVERAGE(Table2121418198598100[P TD])</totalsRowFormula>
    </tableColumn>
    <tableColumn id="4" xr3:uid="{4A7C1599-D246-4A8F-8C74-9B310B675530}" name="QB RY" totalsRowFunction="custom" dataDxfId="7857" totalsRowDxfId="7856">
      <totalsRowFormula>AVERAGE(Table2121418198598100[QB RY])</totalsRowFormula>
    </tableColumn>
    <tableColumn id="5" xr3:uid="{3946E5A7-36BF-491E-B8F9-C13BC1D52DC8}" name="RB1 RY" totalsRowFunction="custom" dataDxfId="7855" totalsRowDxfId="7854">
      <totalsRowFormula>AVERAGE(Table2121418198598100[RB1 RY])</totalsRowFormula>
    </tableColumn>
    <tableColumn id="6" xr3:uid="{29334918-EFC5-4806-9209-9071DEAE2583}" name="RB2+ RY" totalsRowFunction="custom" dataDxfId="7853" totalsRowDxfId="7852">
      <totalsRowFormula>AVERAGE(Table2121418198598100[RB2+ RY])</totalsRowFormula>
    </tableColumn>
    <tableColumn id="7" xr3:uid="{DCED1E19-0CDD-4A0A-87ED-CE5F8DCE1ABC}" name="WR RY" totalsRowFunction="custom" dataDxfId="7851" totalsRowDxfId="7850">
      <totalsRowFormula>AVERAGE(Table2121418198598100[WR RY])</totalsRowFormula>
    </tableColumn>
    <tableColumn id="8" xr3:uid="{D1BAA3C7-781E-470C-88D4-FD4DB70B45FF}" name="RB1 Recep" totalsRowFunction="custom" dataDxfId="7849" totalsRowDxfId="7848">
      <totalsRowFormula>AVERAGE(Table2121418198598100[RB1 Recep])</totalsRowFormula>
    </tableColumn>
    <tableColumn id="9" xr3:uid="{CC9D782A-E900-4A7A-A1CA-0AD8BB6C4A84}" name="RB1 RecY" totalsRowFunction="custom" dataDxfId="7847" totalsRowDxfId="7846">
      <totalsRowFormula>AVERAGE(Table2121418198598100[RB1 RecY])</totalsRowFormula>
    </tableColumn>
    <tableColumn id="29" xr3:uid="{AEF04070-F66F-424B-A03E-C28B0EEB82F4}" name="RB2 Recep" totalsRowFunction="custom" dataDxfId="7845" totalsRowDxfId="7844">
      <totalsRowFormula>AVERAGE(Table2121418198598100[RB2 Recep])</totalsRowFormula>
    </tableColumn>
    <tableColumn id="28" xr3:uid="{E057C4FC-BEB9-4471-958D-4EAFD2671312}" name="RB2 RecY" totalsRowFunction="custom" dataDxfId="7843" totalsRowDxfId="7842">
      <totalsRowFormula>AVERAGE(Table2121418198598100[RB2 RecY])</totalsRowFormula>
    </tableColumn>
    <tableColumn id="10" xr3:uid="{33CA5A86-880A-497C-BF2C-3D4270D69CB0}" name="WR1 Recep" totalsRowFunction="custom" dataDxfId="7841" totalsRowDxfId="7840">
      <totalsRowFormula>AVERAGE(Table2121418198598100[WR1 Recep])</totalsRowFormula>
    </tableColumn>
    <tableColumn id="11" xr3:uid="{C5E5A6C4-42F2-48D1-9A80-1F681864C131}" name="WR1 RecY" totalsRowFunction="custom" dataDxfId="7839" totalsRowDxfId="7838">
      <totalsRowFormula>AVERAGE(Table2121418198598100[WR1 RecY])</totalsRowFormula>
    </tableColumn>
    <tableColumn id="12" xr3:uid="{A64EA32C-5B78-4C38-8788-111BD5FDA211}" name="WR2 Recep" totalsRowFunction="custom" dataDxfId="7837" totalsRowDxfId="7836">
      <totalsRowFormula>AVERAGE(Table2121418198598100[WR2 Recep])</totalsRowFormula>
    </tableColumn>
    <tableColumn id="13" xr3:uid="{B41D00F7-F218-46FA-847A-51186822EB8D}" name="WR2 RecY" totalsRowFunction="custom" dataDxfId="7835" totalsRowDxfId="7834">
      <totalsRowFormula>AVERAGE(Table2121418198598100[WR2 RecY])</totalsRowFormula>
    </tableColumn>
    <tableColumn id="14" xr3:uid="{2688A46E-24D8-4FC7-827F-1D48F5D6C8FB}" name="WR3 Recep" totalsRowFunction="custom" dataDxfId="7833" totalsRowDxfId="7832">
      <totalsRowFormula>AVERAGE(Table2121418198598100[WR3 Recep])</totalsRowFormula>
    </tableColumn>
    <tableColumn id="15" xr3:uid="{731CB685-EF76-49AC-8264-AD08A3EB0D3B}" name="WR3 RecY" totalsRowFunction="custom" dataDxfId="7831" totalsRowDxfId="7830">
      <totalsRowFormula>AVERAGE(Table2121418198598100[WR3 RecY])</totalsRowFormula>
    </tableColumn>
    <tableColumn id="16" xr3:uid="{22FDEC64-A119-43B9-BB22-BBD305927314}" name="WR4+ Recep" totalsRowFunction="custom" dataDxfId="7829" totalsRowDxfId="7828">
      <totalsRowFormula>AVERAGE(Table2121418198598100[WR4+ Recep])</totalsRowFormula>
    </tableColumn>
    <tableColumn id="17" xr3:uid="{53D2093C-D0CA-4F9C-B80F-B0447B3481BB}" name="WR4+ RecY" totalsRowFunction="custom" dataDxfId="7827" totalsRowDxfId="7826">
      <totalsRowFormula>AVERAGE(Table2121418198598100[WR4+ RecY])</totalsRowFormula>
    </tableColumn>
    <tableColumn id="18" xr3:uid="{33A5B49C-9496-4931-AB36-8EAE63D9CC67}" name="TE1 Recep" totalsRowFunction="custom" dataDxfId="7825" totalsRowDxfId="7824">
      <totalsRowFormula>AVERAGE(Table2121418198598100[TE1 Recep])</totalsRowFormula>
    </tableColumn>
    <tableColumn id="19" xr3:uid="{12124547-95B3-4C92-98C9-4E5EB7F146FF}" name="TE1 RecY" totalsRowFunction="custom" dataDxfId="7823" totalsRowDxfId="7822">
      <totalsRowFormula>AVERAGE(Table2121418198598100[TE1 RecY])</totalsRowFormula>
    </tableColumn>
    <tableColumn id="32" xr3:uid="{B9FD25C0-4CAF-45CD-AE9C-9BC2EBBCB2B5}" name="TE2 Recep" totalsRowFunction="custom" dataDxfId="7821" totalsRowDxfId="7820">
      <totalsRowFormula>AVERAGE(Table2121418198598100[TE2 Recep])</totalsRowFormula>
    </tableColumn>
    <tableColumn id="33" xr3:uid="{4F42788A-F8EF-4EF9-BE78-98A6F525F6ED}" name="TE2 RecY" totalsRowFunction="custom" dataDxfId="7819" totalsRowDxfId="7818">
      <totalsRowFormula>AVERAGE(Table2121418198598100[TE2 RecY])</totalsRowFormula>
    </tableColumn>
    <tableColumn id="20" xr3:uid="{074477AF-B975-4BFA-BE75-B2D27DC632B8}" name="QB TD" totalsRowFunction="custom" dataDxfId="7817" totalsRowDxfId="7816">
      <totalsRowFormula>AVERAGE(Table2121418198598100[QB TD])</totalsRowFormula>
    </tableColumn>
    <tableColumn id="21" xr3:uid="{D49FB8F8-D634-4E31-980F-2EA429E0A865}" name="RB1 TD" totalsRowFunction="custom" dataDxfId="7815" totalsRowDxfId="7814">
      <totalsRowFormula>AVERAGE(Table2121418198598100[RB1 TD])</totalsRowFormula>
    </tableColumn>
    <tableColumn id="34" xr3:uid="{A22FD329-467C-4E9D-BA70-54BF8B0E6504}" name="RB2 TD" totalsRowFunction="custom" dataDxfId="7813" totalsRowDxfId="7812">
      <totalsRowFormula>AVERAGE(Table2121418198598100[RB2 TD])</totalsRowFormula>
    </tableColumn>
    <tableColumn id="22" xr3:uid="{7652E72A-D283-45F0-B367-66D6FE16E3DB}" name="WR1 TD" totalsRowFunction="custom" dataDxfId="7811" totalsRowDxfId="7810">
      <totalsRowFormula>AVERAGE(Table2121418198598100[WR1 TD])</totalsRowFormula>
    </tableColumn>
    <tableColumn id="23" xr3:uid="{B96DBF67-8649-4613-9D93-8E8B62BCD1F5}" name="WR2 TD" totalsRowFunction="custom" dataDxfId="7809" totalsRowDxfId="7808">
      <totalsRowFormula>AVERAGE(Table2121418198598100[WR2 TD])</totalsRowFormula>
    </tableColumn>
    <tableColumn id="24" xr3:uid="{AC78D2F5-C9B6-4A0D-ABB1-509FA7825550}" name="WR3 TD" totalsRowFunction="custom" dataDxfId="7807" totalsRowDxfId="7806">
      <totalsRowFormula>AVERAGE(Table2121418198598100[WR3 TD])</totalsRowFormula>
    </tableColumn>
    <tableColumn id="25" xr3:uid="{89B622F2-F524-451B-AF1A-7D1F30A2C394}" name="WR4+ TD" totalsRowFunction="custom" dataDxfId="7805" totalsRowDxfId="7804">
      <totalsRowFormula>AVERAGE(Table2121418198598100[WR4+ TD])</totalsRowFormula>
    </tableColumn>
    <tableColumn id="26" xr3:uid="{0AFD4B8A-4B4D-48D6-80E1-9B56C62C26E2}" name="TE1 TD" totalsRowFunction="custom" dataDxfId="7803" totalsRowDxfId="7802">
      <totalsRowFormula>AVERAGE(Table2121418198598100[TE1 TD])</totalsRowFormula>
    </tableColumn>
    <tableColumn id="35" xr3:uid="{596F98F0-B93C-4848-B1E5-3EEEB3136BED}" name="TE2 TD" totalsRowFunction="custom" dataDxfId="7801" totalsRowDxfId="7800">
      <totalsRowFormula>AVERAGE(Table2121418198598100[TE2 TD])</totalsRowFormula>
    </tableColumn>
    <tableColumn id="27" xr3:uid="{D7818D27-053E-48E2-97CA-790F4275B2A6}" name="D/ST TD" totalsRowFunction="custom" dataDxfId="7799" totalsRowDxfId="7798">
      <totalsRowFormula>AVERAGE(Table2121418198598100[D/ST TD])</totalsRowFormula>
    </tableColumn>
    <tableColumn id="30" xr3:uid="{367A9E30-F205-4FCB-A789-ACEDF39E03A8}" name="QB P+R" totalsRowFunction="custom" dataDxfId="7797" totalsRowDxfId="7796">
      <calculatedColumnFormula>Table2121418198598100[[#This Row],[QB PY]]+Table2121418198598100[[#This Row],[QB RY]]</calculatedColumnFormula>
      <totalsRowFormula>AVERAGE(Table2121418198598100[QB P+R])</totalsRowFormula>
    </tableColumn>
    <tableColumn id="31" xr3:uid="{E7E43CEA-FEDF-4144-B383-DD33394C4E2B}" name="RB R+R" totalsRowFunction="custom" dataDxfId="7795" totalsRowDxfId="7794">
      <calculatedColumnFormula>Table2121418198598100[[#This Row],[RB1 RY]]+Table2121418198598100[[#This Row],[RB2+ RY]]+Table2121418198598100[[#This Row],[RB1 RecY]]+Table2121418198598100[[#This Row],[RB2 RecY]]</calculatedColumnFormula>
      <totalsRowFormula>AVERAGE(Table2121418198598100[RB R+R])</totalsRowFormula>
    </tableColumn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BA0158A-556A-4A54-87CE-49D11A4657A1}" name="Table2121418198598101" displayName="Table2121418198598101" ref="B244:AJ263" totalsRowCount="1" headerRowDxfId="7793" dataDxfId="7791" totalsRowDxfId="7790" headerRowBorderDxfId="7792" totalsRowBorderDxfId="7789">
  <autoFilter ref="B244:AJ262" xr:uid="{5BA0158A-556A-4A54-87CE-49D11A4657A1}"/>
  <tableColumns count="35">
    <tableColumn id="1" xr3:uid="{A0721B11-8B1F-40E6-B85A-3D51DB08C6D0}" name="Week" totalsRowLabel="Average" totalsRowDxfId="7788"/>
    <tableColumn id="2" xr3:uid="{7782B38B-5EEF-47BE-935B-B240CCC8D6E2}" name="QB PY" totalsRowFunction="custom" dataDxfId="7787" totalsRowDxfId="7786">
      <totalsRowFormula>AVERAGE(Table2121418198598101[QB PY])</totalsRowFormula>
    </tableColumn>
    <tableColumn id="3" xr3:uid="{A0BC4B42-7F47-406B-BD38-B87CBC19B4DA}" name="P TD" totalsRowFunction="custom" dataDxfId="7785" totalsRowDxfId="7784">
      <totalsRowFormula>AVERAGE(Table2121418198598101[P TD])</totalsRowFormula>
    </tableColumn>
    <tableColumn id="4" xr3:uid="{1141E9FA-71BF-41D8-AD8B-69C657B220B0}" name="QB RY" totalsRowFunction="custom" dataDxfId="7783" totalsRowDxfId="7782">
      <totalsRowFormula>AVERAGE(Table2121418198598101[QB RY])</totalsRowFormula>
    </tableColumn>
    <tableColumn id="5" xr3:uid="{75334A36-97C1-42C1-AC33-6587CCAD142B}" name="RB1 RY" totalsRowFunction="custom" dataDxfId="7781" totalsRowDxfId="7780">
      <totalsRowFormula>AVERAGE(Table2121418198598101[RB1 RY])</totalsRowFormula>
    </tableColumn>
    <tableColumn id="6" xr3:uid="{1646BA50-00CE-4FD8-8295-D6E4A4E575CF}" name="RB2+ RY" totalsRowFunction="custom" dataDxfId="7779" totalsRowDxfId="7778">
      <totalsRowFormula>AVERAGE(Table2121418198598101[RB2+ RY])</totalsRowFormula>
    </tableColumn>
    <tableColumn id="7" xr3:uid="{F37EA03A-42EE-4B52-B964-15DD47BB2E5F}" name="WR RY" totalsRowFunction="custom" dataDxfId="7777" totalsRowDxfId="7776">
      <totalsRowFormula>AVERAGE(Table2121418198598101[WR RY])</totalsRowFormula>
    </tableColumn>
    <tableColumn id="8" xr3:uid="{0BADA4C5-56C9-4CEB-AB64-4572F59C69E8}" name="RB1 Recep" totalsRowFunction="custom" dataDxfId="7775" totalsRowDxfId="7774">
      <totalsRowFormula>AVERAGE(Table2121418198598101[RB1 Recep])</totalsRowFormula>
    </tableColumn>
    <tableColumn id="9" xr3:uid="{ABFAD338-6D10-4F1B-994F-CC9FE7D2275F}" name="RB1 RecY" totalsRowFunction="custom" dataDxfId="7773" totalsRowDxfId="7772">
      <totalsRowFormula>AVERAGE(Table2121418198598101[RB1 RecY])</totalsRowFormula>
    </tableColumn>
    <tableColumn id="29" xr3:uid="{D546DAB6-2B9D-40E8-B1F8-4B91981AE84C}" name="RB2 Recep" totalsRowFunction="custom" dataDxfId="7771" totalsRowDxfId="7770">
      <totalsRowFormula>AVERAGE(Table2121418198598101[RB2 Recep])</totalsRowFormula>
    </tableColumn>
    <tableColumn id="28" xr3:uid="{1394C5E1-A415-4012-BB7D-E57F65B5ECB2}" name="RB2 RecY" totalsRowFunction="custom" dataDxfId="7769" totalsRowDxfId="7768">
      <totalsRowFormula>AVERAGE(Table2121418198598101[RB2 RecY])</totalsRowFormula>
    </tableColumn>
    <tableColumn id="10" xr3:uid="{2300755A-FDF3-4FB5-8055-29C5E63EC37E}" name="WR1 Recep" totalsRowFunction="custom" dataDxfId="7767" totalsRowDxfId="7766">
      <totalsRowFormula>AVERAGE(Table2121418198598101[WR1 Recep])</totalsRowFormula>
    </tableColumn>
    <tableColumn id="11" xr3:uid="{4DF07918-9798-49AE-AE1C-C5F877B681B4}" name="WR1 RecY" totalsRowFunction="custom" dataDxfId="7765" totalsRowDxfId="7764">
      <totalsRowFormula>AVERAGE(Table2121418198598101[WR1 RecY])</totalsRowFormula>
    </tableColumn>
    <tableColumn id="12" xr3:uid="{F8B0D034-6ACC-4E43-8B6D-A4DB1E7BE7F9}" name="WR2 Recep" totalsRowFunction="custom" dataDxfId="7763" totalsRowDxfId="7762">
      <totalsRowFormula>AVERAGE(Table2121418198598101[WR2 Recep])</totalsRowFormula>
    </tableColumn>
    <tableColumn id="13" xr3:uid="{58D8AA40-0993-4C43-BF5B-64A8C6EEEF70}" name="WR2 RecY" totalsRowFunction="custom" dataDxfId="7761" totalsRowDxfId="7760">
      <totalsRowFormula>AVERAGE(Table2121418198598101[WR2 RecY])</totalsRowFormula>
    </tableColumn>
    <tableColumn id="14" xr3:uid="{9914138A-E41E-4CB1-9382-9AD9AB0B4F3D}" name="WR3 Recep" totalsRowFunction="custom" dataDxfId="7759" totalsRowDxfId="7758">
      <totalsRowFormula>AVERAGE(Table2121418198598101[WR3 Recep])</totalsRowFormula>
    </tableColumn>
    <tableColumn id="15" xr3:uid="{403AAD1A-F054-498C-A63C-BFE106651482}" name="WR3 RecY" totalsRowFunction="custom" dataDxfId="7757" totalsRowDxfId="7756">
      <totalsRowFormula>AVERAGE(Table2121418198598101[WR3 RecY])</totalsRowFormula>
    </tableColumn>
    <tableColumn id="16" xr3:uid="{92AF6CE0-CF7E-4994-9F40-871A3660A4A3}" name="WR4+ Recep" totalsRowFunction="custom" dataDxfId="7755" totalsRowDxfId="7754">
      <totalsRowFormula>AVERAGE(Table2121418198598101[WR4+ Recep])</totalsRowFormula>
    </tableColumn>
    <tableColumn id="17" xr3:uid="{920158A8-E3F5-48DF-951C-F94C9A140552}" name="WR4+ RecY" totalsRowFunction="custom" dataDxfId="7753" totalsRowDxfId="7752">
      <totalsRowFormula>AVERAGE(Table2121418198598101[WR4+ RecY])</totalsRowFormula>
    </tableColumn>
    <tableColumn id="18" xr3:uid="{9B30637D-8478-4947-A30C-D14FAE481C4C}" name="TE1 Recep" totalsRowFunction="custom" dataDxfId="7751" totalsRowDxfId="7750">
      <totalsRowFormula>AVERAGE(Table2121418198598101[TE1 Recep])</totalsRowFormula>
    </tableColumn>
    <tableColumn id="19" xr3:uid="{BD47ACC6-A191-4442-9AC7-43846CBB5FF8}" name="TE1 RecY" totalsRowFunction="custom" dataDxfId="7749" totalsRowDxfId="7748">
      <totalsRowFormula>AVERAGE(Table2121418198598101[TE1 RecY])</totalsRowFormula>
    </tableColumn>
    <tableColumn id="32" xr3:uid="{7BEA2E20-07AA-4231-B200-0C6D9B569ACC}" name="TE2 Recep" totalsRowFunction="custom" dataDxfId="7747" totalsRowDxfId="7746">
      <totalsRowFormula>AVERAGE(Table2121418198598101[TE2 Recep])</totalsRowFormula>
    </tableColumn>
    <tableColumn id="33" xr3:uid="{211FC8EA-FF04-4ED8-8C7E-9A8C6A609035}" name="TE2 RecY" totalsRowFunction="custom" dataDxfId="7745" totalsRowDxfId="7744">
      <totalsRowFormula>AVERAGE(Table2121418198598101[TE2 RecY])</totalsRowFormula>
    </tableColumn>
    <tableColumn id="20" xr3:uid="{8F6E0F3F-F8EB-4F1F-A34A-C300BA938C86}" name="QB TD" totalsRowFunction="custom" dataDxfId="7743" totalsRowDxfId="7742">
      <totalsRowFormula>AVERAGE(Table2121418198598101[QB TD])</totalsRowFormula>
    </tableColumn>
    <tableColumn id="21" xr3:uid="{34DDE08F-DC82-488D-8C17-0DA806596ED5}" name="RB1 TD" totalsRowFunction="custom" dataDxfId="7741" totalsRowDxfId="7740">
      <totalsRowFormula>AVERAGE(Table2121418198598101[RB1 TD])</totalsRowFormula>
    </tableColumn>
    <tableColumn id="34" xr3:uid="{3CA24F01-D106-4447-9362-F62B26CEFD42}" name="RB2 TD" totalsRowFunction="custom" dataDxfId="7739" totalsRowDxfId="7738">
      <totalsRowFormula>AVERAGE(Table2121418198598101[RB2 TD])</totalsRowFormula>
    </tableColumn>
    <tableColumn id="22" xr3:uid="{D5C0B1D8-92AB-417B-AA2A-21FCD51A35A3}" name="WR1 TD" totalsRowFunction="custom" dataDxfId="7737" totalsRowDxfId="7736">
      <totalsRowFormula>AVERAGE(Table2121418198598101[WR1 TD])</totalsRowFormula>
    </tableColumn>
    <tableColumn id="23" xr3:uid="{B3293952-8A99-4F49-B27E-88276D511F04}" name="WR2 TD" totalsRowFunction="custom" dataDxfId="7735" totalsRowDxfId="7734">
      <totalsRowFormula>AVERAGE(Table2121418198598101[WR2 TD])</totalsRowFormula>
    </tableColumn>
    <tableColumn id="24" xr3:uid="{F9A2C14C-9C07-4A68-90C6-696C1D50CA42}" name="WR3 TD" totalsRowFunction="custom" dataDxfId="7733" totalsRowDxfId="7732">
      <totalsRowFormula>AVERAGE(Table2121418198598101[WR3 TD])</totalsRowFormula>
    </tableColumn>
    <tableColumn id="25" xr3:uid="{49A583EE-B079-4D58-822F-17BF10182836}" name="WR4+ TD" totalsRowFunction="custom" dataDxfId="7731" totalsRowDxfId="7730">
      <totalsRowFormula>AVERAGE(Table2121418198598101[WR4+ TD])</totalsRowFormula>
    </tableColumn>
    <tableColumn id="26" xr3:uid="{FBBF457A-E790-4BEC-87B3-F48157685D32}" name="TE1 TD" totalsRowFunction="custom" dataDxfId="7729" totalsRowDxfId="7728">
      <totalsRowFormula>AVERAGE(Table2121418198598101[TE1 TD])</totalsRowFormula>
    </tableColumn>
    <tableColumn id="35" xr3:uid="{A0A95270-E039-45AD-8047-DC3EE06A86EA}" name="TE2 TD" totalsRowFunction="custom" dataDxfId="7727" totalsRowDxfId="7726">
      <totalsRowFormula>AVERAGE(Table2121418198598101[TE2 TD])</totalsRowFormula>
    </tableColumn>
    <tableColumn id="27" xr3:uid="{CBA9CC64-C91A-4BA0-9051-516B83E1E899}" name="D/ST TD" totalsRowFunction="custom" dataDxfId="7725" totalsRowDxfId="7724">
      <totalsRowFormula>AVERAGE(Table2121418198598101[D/ST TD])</totalsRowFormula>
    </tableColumn>
    <tableColumn id="30" xr3:uid="{1D163616-7989-4D42-AEB9-31E27127F8FC}" name="QB P+R" totalsRowFunction="custom" dataDxfId="7723" totalsRowDxfId="7722">
      <calculatedColumnFormula>Table2121418198598101[[#This Row],[QB PY]]+Table2121418198598101[[#This Row],[QB RY]]</calculatedColumnFormula>
      <totalsRowFormula>AVERAGE(Table2121418198598101[QB P+R])</totalsRowFormula>
    </tableColumn>
    <tableColumn id="31" xr3:uid="{275F20A4-3BAC-4EC6-B9B3-88EFF4A21A93}" name="RB R+R" totalsRowFunction="custom" dataDxfId="7721" totalsRowDxfId="7720">
      <calculatedColumnFormula>Table2121418198598101[[#This Row],[RB1 RY]]+Table2121418198598101[[#This Row],[RB2+ RY]]+Table2121418198598101[[#This Row],[RB1 RecY]]+Table2121418198598101[[#This Row],[RB2 RecY]]</calculatedColumnFormula>
      <totalsRowFormula>AVERAGE(Table2121418198598101[RB R+R])</totalsRowFormula>
    </tableColumn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92C3616-D665-4C84-AA57-95391B0577EF}" name="Table2121418198598102" displayName="Table2121418198598102" ref="B266:AJ285" totalsRowCount="1" headerRowDxfId="7719" dataDxfId="7717" totalsRowDxfId="7716" headerRowBorderDxfId="7718" totalsRowBorderDxfId="7715">
  <autoFilter ref="B266:AJ284" xr:uid="{192C3616-D665-4C84-AA57-95391B0577EF}"/>
  <tableColumns count="35">
    <tableColumn id="1" xr3:uid="{768F1430-65C1-46D7-8174-D4B6AB21380E}" name="Week" totalsRowLabel="Average" totalsRowDxfId="7714"/>
    <tableColumn id="2" xr3:uid="{89D5C41C-DFBD-4B57-873F-30CD22F928C4}" name="QB PY" totalsRowFunction="custom" dataDxfId="7713" totalsRowDxfId="7712">
      <totalsRowFormula>AVERAGE(Table2121418198598102[QB PY])</totalsRowFormula>
    </tableColumn>
    <tableColumn id="3" xr3:uid="{1B2874E0-B22E-4236-8E85-E6BFC3D82630}" name="P TD" totalsRowFunction="custom" dataDxfId="7711" totalsRowDxfId="7710">
      <totalsRowFormula>AVERAGE(Table2121418198598102[P TD])</totalsRowFormula>
    </tableColumn>
    <tableColumn id="4" xr3:uid="{84A05E3F-F813-4153-9419-5DA8128D631C}" name="QB RY" totalsRowFunction="custom" dataDxfId="7709" totalsRowDxfId="7708">
      <totalsRowFormula>AVERAGE(Table2121418198598102[QB RY])</totalsRowFormula>
    </tableColumn>
    <tableColumn id="5" xr3:uid="{703240D1-66C1-405F-A643-2E42612028A8}" name="RB1 RY" totalsRowFunction="custom" dataDxfId="7707" totalsRowDxfId="7706">
      <totalsRowFormula>AVERAGE(Table2121418198598102[RB1 RY])</totalsRowFormula>
    </tableColumn>
    <tableColumn id="6" xr3:uid="{DE755815-2B22-4F36-ACF4-6DEB9532AA42}" name="RB2+ RY" totalsRowFunction="custom" dataDxfId="7705" totalsRowDxfId="7704">
      <totalsRowFormula>AVERAGE(Table2121418198598102[RB2+ RY])</totalsRowFormula>
    </tableColumn>
    <tableColumn id="7" xr3:uid="{55E0B5DF-558D-4119-ACD8-625686E88A0D}" name="WR RY" totalsRowFunction="custom" dataDxfId="7703" totalsRowDxfId="7702">
      <totalsRowFormula>AVERAGE(Table2121418198598102[WR RY])</totalsRowFormula>
    </tableColumn>
    <tableColumn id="8" xr3:uid="{110C51B9-C6B7-4697-AFD8-36801CAAC029}" name="RB1 Recep" totalsRowFunction="custom" dataDxfId="7701" totalsRowDxfId="7700">
      <totalsRowFormula>AVERAGE(Table2121418198598102[RB1 Recep])</totalsRowFormula>
    </tableColumn>
    <tableColumn id="9" xr3:uid="{A4D49C8D-6735-4D81-B21E-9B38F57B7A45}" name="RB1 RecY" totalsRowFunction="custom" dataDxfId="7699" totalsRowDxfId="7698">
      <totalsRowFormula>AVERAGE(Table2121418198598102[RB1 RecY])</totalsRowFormula>
    </tableColumn>
    <tableColumn id="29" xr3:uid="{AC00442E-AEBE-423A-BE5D-85C8927FC1A4}" name="RB2 Recep" totalsRowFunction="custom" dataDxfId="7697" totalsRowDxfId="7696">
      <totalsRowFormula>AVERAGE(Table2121418198598102[RB2 Recep])</totalsRowFormula>
    </tableColumn>
    <tableColumn id="28" xr3:uid="{47396827-D358-44B9-B587-DFA3B101C5AE}" name="RB2 RecY" totalsRowFunction="custom" dataDxfId="7695" totalsRowDxfId="7694">
      <totalsRowFormula>AVERAGE(Table2121418198598102[RB2 RecY])</totalsRowFormula>
    </tableColumn>
    <tableColumn id="10" xr3:uid="{3F13788B-4997-460D-805B-CDCE02C4EC94}" name="WR1 Recep" totalsRowFunction="custom" dataDxfId="7693" totalsRowDxfId="7692">
      <totalsRowFormula>AVERAGE(Table2121418198598102[WR1 Recep])</totalsRowFormula>
    </tableColumn>
    <tableColumn id="11" xr3:uid="{E1F2B224-0C42-4203-B7C9-9C243B1D6DC9}" name="WR1 RecY" totalsRowFunction="custom" dataDxfId="7691" totalsRowDxfId="7690">
      <totalsRowFormula>AVERAGE(Table2121418198598102[WR1 RecY])</totalsRowFormula>
    </tableColumn>
    <tableColumn id="12" xr3:uid="{A9914D4E-5474-441A-BC99-288EF7E9DF6A}" name="WR2 Recep" totalsRowFunction="custom" dataDxfId="7689" totalsRowDxfId="7688">
      <totalsRowFormula>AVERAGE(Table2121418198598102[WR2 Recep])</totalsRowFormula>
    </tableColumn>
    <tableColumn id="13" xr3:uid="{C9B7B145-D0DB-4E72-BA3E-227978DCFF10}" name="WR2 RecY" totalsRowFunction="custom" dataDxfId="7687" totalsRowDxfId="7686">
      <totalsRowFormula>AVERAGE(Table2121418198598102[WR2 RecY])</totalsRowFormula>
    </tableColumn>
    <tableColumn id="14" xr3:uid="{715592B1-2903-40B9-B890-65D029F339D5}" name="WR3 Recep" totalsRowFunction="custom" dataDxfId="7685" totalsRowDxfId="7684">
      <totalsRowFormula>AVERAGE(Table2121418198598102[WR3 Recep])</totalsRowFormula>
    </tableColumn>
    <tableColumn id="15" xr3:uid="{7A037CEF-9450-4791-9FA5-6A1FB1474CB2}" name="WR3 RecY" totalsRowFunction="custom" dataDxfId="7683" totalsRowDxfId="7682">
      <totalsRowFormula>AVERAGE(Table2121418198598102[WR3 RecY])</totalsRowFormula>
    </tableColumn>
    <tableColumn id="16" xr3:uid="{225961FB-C296-40E0-A504-86587EADF4F3}" name="WR4+ Recep" totalsRowFunction="custom" dataDxfId="7681" totalsRowDxfId="7680">
      <totalsRowFormula>AVERAGE(Table2121418198598102[WR4+ Recep])</totalsRowFormula>
    </tableColumn>
    <tableColumn id="17" xr3:uid="{55BDFE9C-1472-47F0-842A-F35BF53EF813}" name="WR4+ RecY" totalsRowFunction="custom" dataDxfId="7679" totalsRowDxfId="7678">
      <totalsRowFormula>AVERAGE(Table2121418198598102[WR4+ RecY])</totalsRowFormula>
    </tableColumn>
    <tableColumn id="18" xr3:uid="{6A0CFBA0-7616-4463-8337-C8BF539003D3}" name="TE1 Recep" totalsRowFunction="custom" dataDxfId="7677" totalsRowDxfId="7676">
      <totalsRowFormula>AVERAGE(Table2121418198598102[TE1 Recep])</totalsRowFormula>
    </tableColumn>
    <tableColumn id="19" xr3:uid="{BCFD334E-6400-4168-93A7-50D233EC8BAC}" name="TE1 RecY" totalsRowFunction="custom" dataDxfId="7675" totalsRowDxfId="7674">
      <totalsRowFormula>AVERAGE(Table2121418198598102[TE1 RecY])</totalsRowFormula>
    </tableColumn>
    <tableColumn id="32" xr3:uid="{4C3F65C5-9AE8-44B5-882C-4534BBBBAC15}" name="TE2 Recep" totalsRowFunction="custom" dataDxfId="7673" totalsRowDxfId="7672">
      <totalsRowFormula>AVERAGE(Table2121418198598102[TE2 Recep])</totalsRowFormula>
    </tableColumn>
    <tableColumn id="33" xr3:uid="{2F5E379D-3BA4-4DE1-A2EC-5E79D81535A7}" name="TE2 RecY" totalsRowFunction="custom" dataDxfId="7671" totalsRowDxfId="7670">
      <totalsRowFormula>AVERAGE(Table2121418198598102[TE2 RecY])</totalsRowFormula>
    </tableColumn>
    <tableColumn id="20" xr3:uid="{79AB5886-65E4-48B1-8270-FEBA3DFB4FDF}" name="QB TD" totalsRowFunction="custom" dataDxfId="7669" totalsRowDxfId="7668">
      <totalsRowFormula>AVERAGE(Table2121418198598102[QB TD])</totalsRowFormula>
    </tableColumn>
    <tableColumn id="21" xr3:uid="{A4FF52A1-EB46-41D9-9E84-79E4F4AE4661}" name="RB1 TD" totalsRowFunction="custom" dataDxfId="7667" totalsRowDxfId="7666">
      <totalsRowFormula>AVERAGE(Table2121418198598102[RB1 TD])</totalsRowFormula>
    </tableColumn>
    <tableColumn id="34" xr3:uid="{E957B89B-0939-49E4-9240-E4A000E50B6E}" name="RB2 TD" totalsRowFunction="custom" dataDxfId="7665" totalsRowDxfId="7664">
      <totalsRowFormula>AVERAGE(Table2121418198598102[RB2 TD])</totalsRowFormula>
    </tableColumn>
    <tableColumn id="22" xr3:uid="{9F66F0FF-0987-45DA-9B9F-EF0C7853B450}" name="WR1 TD" totalsRowFunction="custom" dataDxfId="7663" totalsRowDxfId="7662">
      <totalsRowFormula>AVERAGE(Table2121418198598102[WR1 TD])</totalsRowFormula>
    </tableColumn>
    <tableColumn id="23" xr3:uid="{931A37CB-E95C-44B5-8642-376941E78375}" name="WR2 TD" totalsRowFunction="custom" dataDxfId="7661" totalsRowDxfId="7660">
      <totalsRowFormula>AVERAGE(Table2121418198598102[WR2 TD])</totalsRowFormula>
    </tableColumn>
    <tableColumn id="24" xr3:uid="{C73946C3-CDB1-4A14-9AA4-3A37430F4DD1}" name="WR3 TD" totalsRowFunction="custom" dataDxfId="7659" totalsRowDxfId="7658">
      <totalsRowFormula>AVERAGE(Table2121418198598102[WR3 TD])</totalsRowFormula>
    </tableColumn>
    <tableColumn id="25" xr3:uid="{F3CA2802-C057-490D-A171-213B6C4D32D8}" name="WR4+ TD" totalsRowFunction="custom" dataDxfId="7657" totalsRowDxfId="7656">
      <totalsRowFormula>AVERAGE(Table2121418198598102[WR4+ TD])</totalsRowFormula>
    </tableColumn>
    <tableColumn id="26" xr3:uid="{448B3D96-60A5-4BE3-A6AC-C6288D9D370A}" name="TE1 TD" totalsRowFunction="custom" dataDxfId="7655" totalsRowDxfId="7654">
      <totalsRowFormula>AVERAGE(Table2121418198598102[TE1 TD])</totalsRowFormula>
    </tableColumn>
    <tableColumn id="35" xr3:uid="{F4407B56-A233-480B-AA68-1D45F2C162AC}" name="TE2 TD" totalsRowFunction="custom" dataDxfId="7653" totalsRowDxfId="7652">
      <totalsRowFormula>AVERAGE(Table2121418198598102[TE2 TD])</totalsRowFormula>
    </tableColumn>
    <tableColumn id="27" xr3:uid="{4FFE605E-0E2C-4D6E-8E50-9CDE84A7E2B8}" name="D/ST TD" totalsRowFunction="custom" dataDxfId="7651" totalsRowDxfId="7650">
      <totalsRowFormula>AVERAGE(Table2121418198598102[D/ST TD])</totalsRowFormula>
    </tableColumn>
    <tableColumn id="30" xr3:uid="{94480F9D-91DD-4257-9B61-87BB30F2E6FB}" name="QB P+R" totalsRowFunction="custom" dataDxfId="7649" totalsRowDxfId="7648">
      <calculatedColumnFormula>Table2121418198598102[[#This Row],[QB PY]]+Table2121418198598102[[#This Row],[QB RY]]</calculatedColumnFormula>
      <totalsRowFormula>AVERAGE(Table2121418198598102[QB P+R])</totalsRowFormula>
    </tableColumn>
    <tableColumn id="31" xr3:uid="{AC470FE1-7D7C-4307-ADD7-41EBADDE6D21}" name="RB R+R" totalsRowFunction="custom" dataDxfId="7647" totalsRowDxfId="7646">
      <calculatedColumnFormula>Table2121418198598102[[#This Row],[RB1 RY]]+Table2121418198598102[[#This Row],[RB2+ RY]]+Table2121418198598102[[#This Row],[RB1 RecY]]+Table2121418198598102[[#This Row],[RB2 RecY]]</calculatedColumnFormula>
      <totalsRowFormula>AVERAGE(Table2121418198598102[RB R+R])</totalsRowFormula>
    </tableColumn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816EA963-3B88-4268-951F-4E073C992109}" name="Table2121418198598103" displayName="Table2121418198598103" ref="B288:AJ307" totalsRowCount="1" headerRowDxfId="7645" dataDxfId="7643" totalsRowDxfId="7642" headerRowBorderDxfId="7644" totalsRowBorderDxfId="7641">
  <autoFilter ref="B288:AJ306" xr:uid="{816EA963-3B88-4268-951F-4E073C992109}"/>
  <tableColumns count="35">
    <tableColumn id="1" xr3:uid="{5BE7E093-409F-4E8C-8E18-1A21ED866333}" name="Week" totalsRowLabel="Average" totalsRowDxfId="7640"/>
    <tableColumn id="2" xr3:uid="{566D23CC-E84A-468D-823C-D410B8813D94}" name="QB PY" totalsRowFunction="custom" dataDxfId="7639" totalsRowDxfId="7638">
      <totalsRowFormula>AVERAGE(Table2121418198598103[QB PY])</totalsRowFormula>
    </tableColumn>
    <tableColumn id="3" xr3:uid="{0E00604C-C47C-46D7-A97D-DD12205DF589}" name="P TD" totalsRowFunction="custom" dataDxfId="7637" totalsRowDxfId="7636">
      <totalsRowFormula>AVERAGE(Table2121418198598103[P TD])</totalsRowFormula>
    </tableColumn>
    <tableColumn id="4" xr3:uid="{D9F70AF0-E96D-4AC5-8900-51EBE591C0DC}" name="QB RY" totalsRowFunction="custom" dataDxfId="7635" totalsRowDxfId="7634">
      <totalsRowFormula>AVERAGE(Table2121418198598103[QB RY])</totalsRowFormula>
    </tableColumn>
    <tableColumn id="5" xr3:uid="{C9F65DE5-A875-454E-A785-C253CAFCC81B}" name="RB1 RY" totalsRowFunction="custom" dataDxfId="7633" totalsRowDxfId="7632">
      <totalsRowFormula>AVERAGE(Table2121418198598103[RB1 RY])</totalsRowFormula>
    </tableColumn>
    <tableColumn id="6" xr3:uid="{9E01FBBB-A7D1-483C-88E4-4906652A5DB9}" name="RB2+ RY" totalsRowFunction="custom" dataDxfId="7631" totalsRowDxfId="7630">
      <totalsRowFormula>AVERAGE(Table2121418198598103[RB2+ RY])</totalsRowFormula>
    </tableColumn>
    <tableColumn id="7" xr3:uid="{94585156-E85F-49CB-AB9A-00460B6155CE}" name="WR RY" totalsRowFunction="custom" dataDxfId="7629" totalsRowDxfId="7628">
      <totalsRowFormula>AVERAGE(Table2121418198598103[WR RY])</totalsRowFormula>
    </tableColumn>
    <tableColumn id="8" xr3:uid="{B67F36CD-FFC4-4328-A17A-744EF8A7AF43}" name="RB1 Recep" totalsRowFunction="custom" dataDxfId="7627" totalsRowDxfId="7626">
      <totalsRowFormula>AVERAGE(Table2121418198598103[RB1 Recep])</totalsRowFormula>
    </tableColumn>
    <tableColumn id="9" xr3:uid="{5107BBC5-0057-42DF-BBCF-62821718C062}" name="RB1 RecY" totalsRowFunction="custom" dataDxfId="7625" totalsRowDxfId="7624">
      <totalsRowFormula>AVERAGE(Table2121418198598103[RB1 RecY])</totalsRowFormula>
    </tableColumn>
    <tableColumn id="29" xr3:uid="{E83B3B3A-C05B-4DC6-931B-935C0B65AD42}" name="RB2 Recep" totalsRowFunction="custom" dataDxfId="7623" totalsRowDxfId="7622">
      <totalsRowFormula>AVERAGE(Table2121418198598103[RB2 Recep])</totalsRowFormula>
    </tableColumn>
    <tableColumn id="28" xr3:uid="{8FBEAD37-91AA-4F54-9E07-F39F547061B5}" name="RB2 RecY" totalsRowFunction="custom" dataDxfId="7621" totalsRowDxfId="7620">
      <totalsRowFormula>AVERAGE(Table2121418198598103[RB2 RecY])</totalsRowFormula>
    </tableColumn>
    <tableColumn id="10" xr3:uid="{0DE0FC6D-2BBF-4FCC-A3C6-46E5AE8B5906}" name="WR1 Recep" totalsRowFunction="custom" dataDxfId="7619" totalsRowDxfId="7618">
      <totalsRowFormula>AVERAGE(Table2121418198598103[WR1 Recep])</totalsRowFormula>
    </tableColumn>
    <tableColumn id="11" xr3:uid="{277B7963-D591-4555-90CC-9A5E3F8C78D6}" name="WR1 RecY" totalsRowFunction="custom" dataDxfId="7617" totalsRowDxfId="7616">
      <totalsRowFormula>AVERAGE(Table2121418198598103[WR1 RecY])</totalsRowFormula>
    </tableColumn>
    <tableColumn id="12" xr3:uid="{4504E536-6E5F-42AD-B375-F475E8FC7895}" name="WR2 Recep" totalsRowFunction="custom" dataDxfId="7615" totalsRowDxfId="7614">
      <totalsRowFormula>AVERAGE(Table2121418198598103[WR2 Recep])</totalsRowFormula>
    </tableColumn>
    <tableColumn id="13" xr3:uid="{409AF720-D995-48DB-B12F-AAB47B88736F}" name="WR2 RecY" totalsRowFunction="custom" dataDxfId="7613" totalsRowDxfId="7612">
      <totalsRowFormula>AVERAGE(Table2121418198598103[WR2 RecY])</totalsRowFormula>
    </tableColumn>
    <tableColumn id="14" xr3:uid="{68372C0F-DA9D-4F3E-93A1-9B883F8E03D7}" name="WR3 Recep" totalsRowFunction="custom" dataDxfId="7611" totalsRowDxfId="7610">
      <totalsRowFormula>AVERAGE(Table2121418198598103[WR3 Recep])</totalsRowFormula>
    </tableColumn>
    <tableColumn id="15" xr3:uid="{0CD8A02C-3E81-448B-9C35-FF53D440D49D}" name="WR3 RecY" totalsRowFunction="custom" dataDxfId="7609" totalsRowDxfId="7608">
      <totalsRowFormula>AVERAGE(Table2121418198598103[WR3 RecY])</totalsRowFormula>
    </tableColumn>
    <tableColumn id="16" xr3:uid="{26F8D587-3CA7-4ABD-8198-2169F58252F0}" name="WR4+ Recep" totalsRowFunction="custom" dataDxfId="7607" totalsRowDxfId="7606">
      <totalsRowFormula>AVERAGE(Table2121418198598103[WR4+ Recep])</totalsRowFormula>
    </tableColumn>
    <tableColumn id="17" xr3:uid="{44FA5196-9EED-4794-B0D8-80749346E342}" name="WR4+ RecY" totalsRowFunction="custom" dataDxfId="7605" totalsRowDxfId="7604">
      <totalsRowFormula>AVERAGE(Table2121418198598103[WR4+ RecY])</totalsRowFormula>
    </tableColumn>
    <tableColumn id="18" xr3:uid="{6535212B-B302-460C-AA06-968DB94E9210}" name="TE1 Recep" totalsRowFunction="custom" dataDxfId="7603" totalsRowDxfId="7602">
      <totalsRowFormula>AVERAGE(Table2121418198598103[TE1 Recep])</totalsRowFormula>
    </tableColumn>
    <tableColumn id="19" xr3:uid="{5BB6F45B-8B31-415D-8AC8-C6157C25A77C}" name="TE1 RecY" totalsRowFunction="custom" dataDxfId="7601" totalsRowDxfId="7600">
      <totalsRowFormula>AVERAGE(Table2121418198598103[TE1 RecY])</totalsRowFormula>
    </tableColumn>
    <tableColumn id="32" xr3:uid="{A32B4C5E-8238-403C-AFC4-90BC376F99B5}" name="TE2 Recep" totalsRowFunction="custom" dataDxfId="7599" totalsRowDxfId="7598">
      <totalsRowFormula>AVERAGE(Table2121418198598103[TE2 Recep])</totalsRowFormula>
    </tableColumn>
    <tableColumn id="33" xr3:uid="{B04C7090-F69C-4E0C-BBAE-ECEB61F80C31}" name="TE2 RecY" totalsRowFunction="custom" dataDxfId="7597" totalsRowDxfId="7596">
      <totalsRowFormula>AVERAGE(Table2121418198598103[TE2 RecY])</totalsRowFormula>
    </tableColumn>
    <tableColumn id="20" xr3:uid="{39EA33D7-1B35-48C1-809F-62D5373FD00B}" name="QB TD" totalsRowFunction="custom" dataDxfId="7595" totalsRowDxfId="7594">
      <totalsRowFormula>AVERAGE(Table2121418198598103[QB TD])</totalsRowFormula>
    </tableColumn>
    <tableColumn id="21" xr3:uid="{14385A42-8FAA-42C4-8E33-656D5FE589F5}" name="RB1 TD" totalsRowFunction="custom" dataDxfId="7593" totalsRowDxfId="7592">
      <totalsRowFormula>AVERAGE(Table2121418198598103[RB1 TD])</totalsRowFormula>
    </tableColumn>
    <tableColumn id="34" xr3:uid="{15756E29-2663-4992-86D0-10821F7ABACC}" name="RB2 TD" totalsRowFunction="custom" dataDxfId="7591" totalsRowDxfId="7590">
      <totalsRowFormula>AVERAGE(Table2121418198598103[RB2 TD])</totalsRowFormula>
    </tableColumn>
    <tableColumn id="22" xr3:uid="{DB303A96-2B68-4C9E-8028-91529C2F2E4C}" name="WR1 TD" totalsRowFunction="custom" dataDxfId="7589" totalsRowDxfId="7588">
      <totalsRowFormula>AVERAGE(Table2121418198598103[WR1 TD])</totalsRowFormula>
    </tableColumn>
    <tableColumn id="23" xr3:uid="{7D7442A5-F45F-4972-A941-CBCBAAAB7C5A}" name="WR2 TD" totalsRowFunction="custom" dataDxfId="7587" totalsRowDxfId="7586">
      <totalsRowFormula>AVERAGE(Table2121418198598103[WR2 TD])</totalsRowFormula>
    </tableColumn>
    <tableColumn id="24" xr3:uid="{19F8FBBD-1205-4ED6-AF6E-C0B6107CE81B}" name="WR3 TD" totalsRowFunction="custom" dataDxfId="7585" totalsRowDxfId="7584">
      <totalsRowFormula>AVERAGE(Table2121418198598103[WR3 TD])</totalsRowFormula>
    </tableColumn>
    <tableColumn id="25" xr3:uid="{F7CEA6AC-E6B6-4B06-A605-43D3C3B5AF37}" name="WR4+ TD" totalsRowFunction="custom" dataDxfId="7583" totalsRowDxfId="7582">
      <totalsRowFormula>AVERAGE(Table2121418198598103[WR4+ TD])</totalsRowFormula>
    </tableColumn>
    <tableColumn id="26" xr3:uid="{4E10F71A-6DAB-41ED-A3B2-0D206442CB10}" name="TE1 TD" totalsRowFunction="custom" dataDxfId="7581" totalsRowDxfId="7580">
      <totalsRowFormula>AVERAGE(Table2121418198598103[TE1 TD])</totalsRowFormula>
    </tableColumn>
    <tableColumn id="35" xr3:uid="{B8634D36-20E9-456E-8393-86327AED641E}" name="TE2 TD" totalsRowFunction="custom" dataDxfId="7579" totalsRowDxfId="7578">
      <totalsRowFormula>AVERAGE(Table2121418198598103[TE2 TD])</totalsRowFormula>
    </tableColumn>
    <tableColumn id="27" xr3:uid="{44F736FE-DEDE-4A43-9A0D-F970A1CF50B7}" name="D/ST TD" totalsRowFunction="custom" dataDxfId="7577" totalsRowDxfId="7576">
      <totalsRowFormula>AVERAGE(Table2121418198598103[D/ST TD])</totalsRowFormula>
    </tableColumn>
    <tableColumn id="30" xr3:uid="{4EE11BAD-26C3-41F0-8186-E78918932614}" name="QB P+R" totalsRowFunction="custom" dataDxfId="7575" totalsRowDxfId="7574">
      <calculatedColumnFormula>Table2121418198598103[[#This Row],[QB PY]]+Table2121418198598103[[#This Row],[QB RY]]</calculatedColumnFormula>
      <totalsRowFormula>AVERAGE(Table2121418198598103[QB P+R])</totalsRowFormula>
    </tableColumn>
    <tableColumn id="31" xr3:uid="{66D6826F-2F3E-4E07-8F8D-AAE13EE04020}" name="RB R+R" totalsRowFunction="custom" dataDxfId="7573" totalsRowDxfId="7572">
      <calculatedColumnFormula>Table2121418198598103[[#This Row],[RB1 RY]]+Table2121418198598103[[#This Row],[RB2+ RY]]+Table2121418198598103[[#This Row],[RB1 RecY]]+Table2121418198598103[[#This Row],[RB2 RecY]]</calculatedColumnFormula>
      <totalsRowFormula>AVERAGE(Table2121418198598103[RB R+R])</totalsRowFormula>
    </tableColumn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C524C986-A403-487E-BB8E-1EB33BFC920C}" name="Table2121418198598104" displayName="Table2121418198598104" ref="B310:AJ329" totalsRowCount="1" headerRowDxfId="7571" dataDxfId="7569" totalsRowDxfId="7568" headerRowBorderDxfId="7570" totalsRowBorderDxfId="7567">
  <autoFilter ref="B310:AJ328" xr:uid="{C524C986-A403-487E-BB8E-1EB33BFC920C}"/>
  <tableColumns count="35">
    <tableColumn id="1" xr3:uid="{16FC14EF-2C69-4D62-8765-BAA01505E9C5}" name="Week" totalsRowLabel="Average" totalsRowDxfId="7566"/>
    <tableColumn id="2" xr3:uid="{C69D40B5-8C42-47C8-866D-7C093FDF9A16}" name="QB PY" totalsRowFunction="custom" dataDxfId="7565" totalsRowDxfId="7564">
      <totalsRowFormula>AVERAGE(Table2121418198598104[QB PY])</totalsRowFormula>
    </tableColumn>
    <tableColumn id="3" xr3:uid="{BAD75590-3609-417D-96D7-87AD7BBB82A2}" name="P TD" totalsRowFunction="custom" dataDxfId="7563" totalsRowDxfId="7562">
      <totalsRowFormula>AVERAGE(Table2121418198598104[P TD])</totalsRowFormula>
    </tableColumn>
    <tableColumn id="4" xr3:uid="{F67E176E-F6F3-4D4D-B491-FA4B402AD311}" name="QB RY" totalsRowFunction="custom" dataDxfId="7561" totalsRowDxfId="7560">
      <totalsRowFormula>AVERAGE(Table2121418198598104[QB RY])</totalsRowFormula>
    </tableColumn>
    <tableColumn id="5" xr3:uid="{90764245-3362-43FE-B70C-1AFC9CECA6B0}" name="RB1 RY" totalsRowFunction="custom" dataDxfId="7559" totalsRowDxfId="7558">
      <totalsRowFormula>AVERAGE(Table2121418198598104[RB1 RY])</totalsRowFormula>
    </tableColumn>
    <tableColumn id="6" xr3:uid="{821F4227-C047-431F-BCFE-6FA8954257FF}" name="RB2+ RY" totalsRowFunction="custom" dataDxfId="7557" totalsRowDxfId="7556">
      <totalsRowFormula>AVERAGE(Table2121418198598104[RB2+ RY])</totalsRowFormula>
    </tableColumn>
    <tableColumn id="7" xr3:uid="{1BCBB6A1-786C-4C67-9A35-A8AA7283231A}" name="WR RY" totalsRowFunction="custom" dataDxfId="7555" totalsRowDxfId="7554">
      <totalsRowFormula>AVERAGE(Table2121418198598104[WR RY])</totalsRowFormula>
    </tableColumn>
    <tableColumn id="8" xr3:uid="{5E426182-852A-4AED-A9D5-84650CDD1B29}" name="RB1 Recep" totalsRowFunction="custom" dataDxfId="7553" totalsRowDxfId="7552">
      <totalsRowFormula>AVERAGE(Table2121418198598104[RB1 Recep])</totalsRowFormula>
    </tableColumn>
    <tableColumn id="9" xr3:uid="{18502172-3C92-4038-809C-A8316846CE42}" name="RB1 RecY" totalsRowFunction="custom" dataDxfId="7551" totalsRowDxfId="7550">
      <totalsRowFormula>AVERAGE(Table2121418198598104[RB1 RecY])</totalsRowFormula>
    </tableColumn>
    <tableColumn id="29" xr3:uid="{921E2ED0-F286-440F-ABC1-B437469D1471}" name="RB2 Recep" totalsRowFunction="custom" dataDxfId="7549" totalsRowDxfId="7548">
      <totalsRowFormula>AVERAGE(Table2121418198598104[RB2 Recep])</totalsRowFormula>
    </tableColumn>
    <tableColumn id="28" xr3:uid="{E4E9CE4F-63AE-4F5F-A333-ED1E5AC7CD0E}" name="RB2 RecY" totalsRowFunction="custom" dataDxfId="7547" totalsRowDxfId="7546">
      <totalsRowFormula>AVERAGE(Table2121418198598104[RB2 RecY])</totalsRowFormula>
    </tableColumn>
    <tableColumn id="10" xr3:uid="{3D865E2D-EE71-4C59-9540-8593A9CC5D9E}" name="WR1 Recep" totalsRowFunction="custom" dataDxfId="7545" totalsRowDxfId="7544">
      <totalsRowFormula>AVERAGE(Table2121418198598104[WR1 Recep])</totalsRowFormula>
    </tableColumn>
    <tableColumn id="11" xr3:uid="{66B69110-FE66-47DA-80BF-10BEFA789942}" name="WR1 RecY" totalsRowFunction="custom" dataDxfId="7543" totalsRowDxfId="7542">
      <totalsRowFormula>AVERAGE(Table2121418198598104[WR1 RecY])</totalsRowFormula>
    </tableColumn>
    <tableColumn id="12" xr3:uid="{B13E4582-6E33-46AA-A403-CED27D5887DA}" name="WR2 Recep" totalsRowFunction="custom" dataDxfId="7541" totalsRowDxfId="7540">
      <totalsRowFormula>AVERAGE(Table2121418198598104[WR2 Recep])</totalsRowFormula>
    </tableColumn>
    <tableColumn id="13" xr3:uid="{2988039F-A404-425D-96AF-AA068B081145}" name="WR2 RecY" totalsRowFunction="custom" dataDxfId="7539" totalsRowDxfId="7538">
      <totalsRowFormula>AVERAGE(Table2121418198598104[WR2 RecY])</totalsRowFormula>
    </tableColumn>
    <tableColumn id="14" xr3:uid="{E57B3B67-7840-4A60-9C51-8A12E32D794F}" name="WR3 Recep" totalsRowFunction="custom" dataDxfId="7537" totalsRowDxfId="7536">
      <totalsRowFormula>AVERAGE(Table2121418198598104[WR3 Recep])</totalsRowFormula>
    </tableColumn>
    <tableColumn id="15" xr3:uid="{F68D164A-3FF4-4A90-BDB9-4056ABF3EA9F}" name="WR3 RecY" totalsRowFunction="custom" dataDxfId="7535" totalsRowDxfId="7534">
      <totalsRowFormula>AVERAGE(Table2121418198598104[WR3 RecY])</totalsRowFormula>
    </tableColumn>
    <tableColumn id="16" xr3:uid="{F4034204-9C6E-497D-82C8-52D6F04793A8}" name="WR4+ Recep" totalsRowFunction="custom" dataDxfId="7533" totalsRowDxfId="7532">
      <totalsRowFormula>AVERAGE(Table2121418198598104[WR4+ Recep])</totalsRowFormula>
    </tableColumn>
    <tableColumn id="17" xr3:uid="{BA4698A0-F606-4225-BEDA-C37FFEE56D7A}" name="WR4+ RecY" totalsRowFunction="custom" dataDxfId="7531" totalsRowDxfId="7530">
      <totalsRowFormula>AVERAGE(Table2121418198598104[WR4+ RecY])</totalsRowFormula>
    </tableColumn>
    <tableColumn id="18" xr3:uid="{DA08FACF-543B-4F7B-895D-B96AF96A2854}" name="TE1 Recep" totalsRowFunction="custom" dataDxfId="7529" totalsRowDxfId="7528">
      <totalsRowFormula>AVERAGE(Table2121418198598104[TE1 Recep])</totalsRowFormula>
    </tableColumn>
    <tableColumn id="19" xr3:uid="{C06A9A18-437C-4C21-9FB9-9AA34615E37B}" name="TE1 RecY" totalsRowFunction="custom" dataDxfId="7527" totalsRowDxfId="7526">
      <totalsRowFormula>AVERAGE(Table2121418198598104[TE1 RecY])</totalsRowFormula>
    </tableColumn>
    <tableColumn id="32" xr3:uid="{C1FFC26C-F2DB-403F-B507-F81114E85FF2}" name="TE2 Recep" totalsRowFunction="custom" dataDxfId="7525" totalsRowDxfId="7524">
      <totalsRowFormula>AVERAGE(Table2121418198598104[TE2 Recep])</totalsRowFormula>
    </tableColumn>
    <tableColumn id="33" xr3:uid="{EBAD0A10-4EA0-4107-851A-C7DB54D90F00}" name="TE2 RecY" totalsRowFunction="custom" dataDxfId="7523" totalsRowDxfId="7522">
      <totalsRowFormula>AVERAGE(Table2121418198598104[TE2 RecY])</totalsRowFormula>
    </tableColumn>
    <tableColumn id="20" xr3:uid="{370C3E1E-3445-412B-9E5C-0E159A6A5015}" name="QB TD" totalsRowFunction="custom" dataDxfId="7521" totalsRowDxfId="7520">
      <totalsRowFormula>AVERAGE(Table2121418198598104[QB TD])</totalsRowFormula>
    </tableColumn>
    <tableColumn id="21" xr3:uid="{C1A4F392-A30E-4984-8D4D-467FEDE740F9}" name="RB1 TD" totalsRowFunction="custom" dataDxfId="7519" totalsRowDxfId="7518">
      <totalsRowFormula>AVERAGE(Table2121418198598104[RB1 TD])</totalsRowFormula>
    </tableColumn>
    <tableColumn id="34" xr3:uid="{D7FDD5BE-16F3-4C90-9042-9607C829A732}" name="RB2 TD" totalsRowFunction="custom" dataDxfId="7517" totalsRowDxfId="7516">
      <totalsRowFormula>AVERAGE(Table2121418198598104[RB2 TD])</totalsRowFormula>
    </tableColumn>
    <tableColumn id="22" xr3:uid="{C8D3D23F-EEB2-4E2C-B6F7-52F79E73D77E}" name="WR1 TD" totalsRowFunction="custom" dataDxfId="7515" totalsRowDxfId="7514">
      <totalsRowFormula>AVERAGE(Table2121418198598104[WR1 TD])</totalsRowFormula>
    </tableColumn>
    <tableColumn id="23" xr3:uid="{AD1FEF11-3B46-469F-9C29-14665F36494A}" name="WR2 TD" totalsRowFunction="custom" dataDxfId="7513" totalsRowDxfId="7512">
      <totalsRowFormula>AVERAGE(Table2121418198598104[WR2 TD])</totalsRowFormula>
    </tableColumn>
    <tableColumn id="24" xr3:uid="{76921687-D26E-4330-B037-A23222428E59}" name="WR3 TD" totalsRowFunction="custom" dataDxfId="7511" totalsRowDxfId="7510">
      <totalsRowFormula>AVERAGE(Table2121418198598104[WR3 TD])</totalsRowFormula>
    </tableColumn>
    <tableColumn id="25" xr3:uid="{A117BD2F-3A51-486A-AA8D-23004E2EBD9F}" name="WR4+ TD" totalsRowFunction="custom" dataDxfId="7509" totalsRowDxfId="7508">
      <totalsRowFormula>AVERAGE(Table2121418198598104[WR4+ TD])</totalsRowFormula>
    </tableColumn>
    <tableColumn id="26" xr3:uid="{B94C9B08-6318-463B-8C40-9F7DF1947064}" name="TE1 TD" totalsRowFunction="custom" dataDxfId="7507" totalsRowDxfId="7506">
      <totalsRowFormula>AVERAGE(Table2121418198598104[TE1 TD])</totalsRowFormula>
    </tableColumn>
    <tableColumn id="35" xr3:uid="{086D8943-2452-4FF1-BA52-418994E16579}" name="TE2 TD" totalsRowFunction="custom" dataDxfId="7505" totalsRowDxfId="7504">
      <totalsRowFormula>AVERAGE(Table2121418198598104[TE2 TD])</totalsRowFormula>
    </tableColumn>
    <tableColumn id="27" xr3:uid="{09D235CF-1F7B-415B-A4D0-1DC9789EFFB3}" name="D/ST TD" totalsRowFunction="custom" dataDxfId="7503" totalsRowDxfId="7502">
      <totalsRowFormula>AVERAGE(Table2121418198598104[D/ST TD])</totalsRowFormula>
    </tableColumn>
    <tableColumn id="30" xr3:uid="{BCD0BC33-09CD-4E60-82B6-80006E0E4EF8}" name="QB P+R" totalsRowFunction="custom" dataDxfId="7501" totalsRowDxfId="7500">
      <calculatedColumnFormula>Table2121418198598104[[#This Row],[QB PY]]+Table2121418198598104[[#This Row],[QB RY]]</calculatedColumnFormula>
      <totalsRowFormula>AVERAGE(Table2121418198598104[QB P+R])</totalsRowFormula>
    </tableColumn>
    <tableColumn id="31" xr3:uid="{3D739FE8-90AA-49C7-AAFB-BEC89653B33C}" name="RB R+R" totalsRowFunction="custom" dataDxfId="7499" totalsRowDxfId="7498">
      <calculatedColumnFormula>Table2121418198598104[[#This Row],[RB1 RY]]+Table2121418198598104[[#This Row],[RB2+ RY]]+Table2121418198598104[[#This Row],[RB1 RecY]]+Table2121418198598104[[#This Row],[RB2 RecY]]</calculatedColumnFormula>
      <totalsRowFormula>AVERAGE(Table2121418198598104[RB R+R])</totalsRowFormula>
    </tableColumn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B6C1C91-0F9A-4F77-9A89-FB8642684F5E}" name="Table2121418198598105" displayName="Table2121418198598105" ref="B332:AJ351" totalsRowCount="1" headerRowDxfId="7497" dataDxfId="7495" totalsRowDxfId="7494" headerRowBorderDxfId="7496" totalsRowBorderDxfId="7493">
  <autoFilter ref="B332:AJ350" xr:uid="{4B6C1C91-0F9A-4F77-9A89-FB8642684F5E}"/>
  <tableColumns count="35">
    <tableColumn id="1" xr3:uid="{0C175C14-64BE-45A6-AE8E-4E56C008FAAB}" name="Week" totalsRowLabel="Average" totalsRowDxfId="7492"/>
    <tableColumn id="2" xr3:uid="{07E193A1-8055-4199-AC31-38B588301B22}" name="QB PY" totalsRowFunction="custom" dataDxfId="7491" totalsRowDxfId="7490">
      <totalsRowFormula>AVERAGE(Table2121418198598105[QB PY])</totalsRowFormula>
    </tableColumn>
    <tableColumn id="3" xr3:uid="{FDBE71F0-0E08-48F6-B408-D1064E160556}" name="P TD" totalsRowFunction="custom" dataDxfId="7489" totalsRowDxfId="7488">
      <totalsRowFormula>AVERAGE(Table2121418198598105[P TD])</totalsRowFormula>
    </tableColumn>
    <tableColumn id="4" xr3:uid="{3C872AF7-EB09-4C95-A6DD-AEF50EA14816}" name="QB RY" totalsRowFunction="custom" dataDxfId="7487" totalsRowDxfId="7486">
      <totalsRowFormula>AVERAGE(Table2121418198598105[QB RY])</totalsRowFormula>
    </tableColumn>
    <tableColumn id="5" xr3:uid="{EFB0F3F6-D3E0-4B6E-8549-2C611BBB0ED3}" name="RB1 RY" totalsRowFunction="custom" dataDxfId="7485" totalsRowDxfId="7484">
      <totalsRowFormula>AVERAGE(Table2121418198598105[RB1 RY])</totalsRowFormula>
    </tableColumn>
    <tableColumn id="6" xr3:uid="{0BB4AE4C-58AD-4388-BF87-3FCF445FA24A}" name="RB2+ RY" totalsRowFunction="custom" dataDxfId="7483" totalsRowDxfId="7482">
      <totalsRowFormula>AVERAGE(Table2121418198598105[RB2+ RY])</totalsRowFormula>
    </tableColumn>
    <tableColumn id="7" xr3:uid="{A8EBCFB4-D237-414D-9E10-092F0FE07236}" name="WR RY" totalsRowFunction="custom" dataDxfId="7481" totalsRowDxfId="7480">
      <totalsRowFormula>AVERAGE(Table2121418198598105[WR RY])</totalsRowFormula>
    </tableColumn>
    <tableColumn id="8" xr3:uid="{F7C8D429-F9DB-4D8B-954F-D6026EDCD593}" name="RB1 Recep" totalsRowFunction="custom" dataDxfId="7479" totalsRowDxfId="7478">
      <totalsRowFormula>AVERAGE(Table2121418198598105[RB1 Recep])</totalsRowFormula>
    </tableColumn>
    <tableColumn id="9" xr3:uid="{B691CF75-9C60-4B64-BB0F-DF185E6DB316}" name="RB1 RecY" totalsRowFunction="custom" dataDxfId="7477" totalsRowDxfId="7476">
      <totalsRowFormula>AVERAGE(Table2121418198598105[RB1 RecY])</totalsRowFormula>
    </tableColumn>
    <tableColumn id="29" xr3:uid="{070943E5-89BD-4671-A4CC-BEF1FB5CDC82}" name="RB2 Recep" totalsRowFunction="custom" dataDxfId="7475" totalsRowDxfId="7474">
      <totalsRowFormula>AVERAGE(Table2121418198598105[RB2 Recep])</totalsRowFormula>
    </tableColumn>
    <tableColumn id="28" xr3:uid="{97EA6423-3229-4A37-9003-021A962406EC}" name="RB2 RecY" totalsRowFunction="custom" dataDxfId="7473" totalsRowDxfId="7472">
      <totalsRowFormula>AVERAGE(Table2121418198598105[RB2 RecY])</totalsRowFormula>
    </tableColumn>
    <tableColumn id="10" xr3:uid="{016852A4-E218-49B9-8451-2DA701466A1D}" name="WR1 Recep" totalsRowFunction="custom" dataDxfId="7471" totalsRowDxfId="7470">
      <totalsRowFormula>AVERAGE(Table2121418198598105[WR1 Recep])</totalsRowFormula>
    </tableColumn>
    <tableColumn id="11" xr3:uid="{69958C8B-7157-4DEB-AF8C-BB4E3AD375D3}" name="WR1 RecY" totalsRowFunction="custom" dataDxfId="7469" totalsRowDxfId="7468">
      <totalsRowFormula>AVERAGE(Table2121418198598105[WR1 RecY])</totalsRowFormula>
    </tableColumn>
    <tableColumn id="12" xr3:uid="{2D0092D7-0E0F-463F-8F0A-54B88DA120C3}" name="WR2 Recep" totalsRowFunction="custom" dataDxfId="7467" totalsRowDxfId="7466">
      <totalsRowFormula>AVERAGE(Table2121418198598105[WR2 Recep])</totalsRowFormula>
    </tableColumn>
    <tableColumn id="13" xr3:uid="{F009B541-AEDA-4F8A-8810-7263920A60BC}" name="WR2 RecY" totalsRowFunction="custom" dataDxfId="7465" totalsRowDxfId="7464">
      <totalsRowFormula>AVERAGE(Table2121418198598105[WR2 RecY])</totalsRowFormula>
    </tableColumn>
    <tableColumn id="14" xr3:uid="{DF97C4CB-CCE2-465C-8A6F-BB19418D02B5}" name="WR3 Recep" totalsRowFunction="custom" dataDxfId="7463" totalsRowDxfId="7462">
      <totalsRowFormula>AVERAGE(Table2121418198598105[WR3 Recep])</totalsRowFormula>
    </tableColumn>
    <tableColumn id="15" xr3:uid="{F4C61155-066D-4DC0-9120-EC5BF41D9A64}" name="WR3 RecY" totalsRowFunction="custom" dataDxfId="7461" totalsRowDxfId="7460">
      <totalsRowFormula>AVERAGE(Table2121418198598105[WR3 RecY])</totalsRowFormula>
    </tableColumn>
    <tableColumn id="16" xr3:uid="{B3BA5F09-3FFD-4E6C-A6DF-2EE126ED4A5C}" name="WR4+ Recep" totalsRowFunction="custom" dataDxfId="7459" totalsRowDxfId="7458">
      <totalsRowFormula>AVERAGE(Table2121418198598105[WR4+ Recep])</totalsRowFormula>
    </tableColumn>
    <tableColumn id="17" xr3:uid="{9E943E1C-A5CB-4D82-9D00-7CD35AD67C3B}" name="WR4+ RecY" totalsRowFunction="custom" dataDxfId="7457" totalsRowDxfId="7456">
      <totalsRowFormula>AVERAGE(Table2121418198598105[WR4+ RecY])</totalsRowFormula>
    </tableColumn>
    <tableColumn id="18" xr3:uid="{3251483D-1043-4A56-8016-E1D1E05FA5AB}" name="TE1 Recep" totalsRowFunction="custom" dataDxfId="7455" totalsRowDxfId="7454">
      <totalsRowFormula>AVERAGE(Table2121418198598105[TE1 Recep])</totalsRowFormula>
    </tableColumn>
    <tableColumn id="19" xr3:uid="{13D687EC-9DFA-46EF-81FE-FD9DACD4EA43}" name="TE1 RecY" totalsRowFunction="custom" dataDxfId="7453" totalsRowDxfId="7452">
      <totalsRowFormula>AVERAGE(Table2121418198598105[TE1 RecY])</totalsRowFormula>
    </tableColumn>
    <tableColumn id="32" xr3:uid="{B00FDD5A-1408-4A00-916F-9AFE8213DD23}" name="TE2 Recep" totalsRowFunction="custom" dataDxfId="7451" totalsRowDxfId="7450">
      <totalsRowFormula>AVERAGE(Table2121418198598105[TE2 Recep])</totalsRowFormula>
    </tableColumn>
    <tableColumn id="33" xr3:uid="{336AFE59-C3F6-440C-B401-84ADA914D244}" name="TE2 RecY" totalsRowFunction="custom" dataDxfId="7449" totalsRowDxfId="7448">
      <totalsRowFormula>AVERAGE(Table2121418198598105[TE2 RecY])</totalsRowFormula>
    </tableColumn>
    <tableColumn id="20" xr3:uid="{4092BF4C-7E1F-417B-9037-A6A4EFC70F9F}" name="QB TD" totalsRowFunction="custom" dataDxfId="7447" totalsRowDxfId="7446">
      <totalsRowFormula>AVERAGE(Table2121418198598105[QB TD])</totalsRowFormula>
    </tableColumn>
    <tableColumn id="21" xr3:uid="{E9C7A2B4-F729-45BB-A412-E30F541D11F2}" name="RB1 TD" totalsRowFunction="custom" dataDxfId="7445" totalsRowDxfId="7444">
      <totalsRowFormula>AVERAGE(Table2121418198598105[RB1 TD])</totalsRowFormula>
    </tableColumn>
    <tableColumn id="34" xr3:uid="{D9B1B5C6-BFC5-4547-8205-E1284BCD5842}" name="RB2 TD" totalsRowFunction="custom" dataDxfId="7443" totalsRowDxfId="7442">
      <totalsRowFormula>AVERAGE(Table2121418198598105[RB2 TD])</totalsRowFormula>
    </tableColumn>
    <tableColumn id="22" xr3:uid="{5B7B41F7-C712-4965-875B-08BF1520E1D2}" name="WR1 TD" totalsRowFunction="custom" dataDxfId="7441" totalsRowDxfId="7440">
      <totalsRowFormula>AVERAGE(Table2121418198598105[WR1 TD])</totalsRowFormula>
    </tableColumn>
    <tableColumn id="23" xr3:uid="{B9577D74-7609-45E0-9B7B-DE11FBFF9D24}" name="WR2 TD" totalsRowFunction="custom" dataDxfId="7439" totalsRowDxfId="7438">
      <totalsRowFormula>AVERAGE(Table2121418198598105[WR2 TD])</totalsRowFormula>
    </tableColumn>
    <tableColumn id="24" xr3:uid="{9174C1B0-921B-4239-8103-64DCDD82CDF4}" name="WR3 TD" totalsRowFunction="custom" dataDxfId="7437" totalsRowDxfId="7436">
      <totalsRowFormula>AVERAGE(Table2121418198598105[WR3 TD])</totalsRowFormula>
    </tableColumn>
    <tableColumn id="25" xr3:uid="{936C8E90-1109-40C5-A3D6-30B44902FEC4}" name="WR4+ TD" totalsRowFunction="custom" dataDxfId="7435" totalsRowDxfId="7434">
      <totalsRowFormula>AVERAGE(Table2121418198598105[WR4+ TD])</totalsRowFormula>
    </tableColumn>
    <tableColumn id="26" xr3:uid="{EE040618-DAD4-4F9D-9893-E3DD339B3C91}" name="TE1 TD" totalsRowFunction="custom" dataDxfId="7433" totalsRowDxfId="7432">
      <totalsRowFormula>AVERAGE(Table2121418198598105[TE1 TD])</totalsRowFormula>
    </tableColumn>
    <tableColumn id="35" xr3:uid="{26BE6779-9F37-4E74-8CAB-32343122FD76}" name="TE2 TD" totalsRowFunction="custom" dataDxfId="7431" totalsRowDxfId="7430">
      <totalsRowFormula>AVERAGE(Table2121418198598105[TE2 TD])</totalsRowFormula>
    </tableColumn>
    <tableColumn id="27" xr3:uid="{78317747-11EB-46BA-962D-37B0B8EE9308}" name="D/ST TD" totalsRowFunction="custom" dataDxfId="7429" totalsRowDxfId="7428">
      <totalsRowFormula>AVERAGE(Table2121418198598105[D/ST TD])</totalsRowFormula>
    </tableColumn>
    <tableColumn id="30" xr3:uid="{65E66FC4-E884-4114-89F4-F09AC4892465}" name="QB P+R" totalsRowFunction="custom" dataDxfId="7427" totalsRowDxfId="7426">
      <calculatedColumnFormula>Table2121418198598105[[#This Row],[QB PY]]+Table2121418198598105[[#This Row],[QB RY]]</calculatedColumnFormula>
      <totalsRowFormula>AVERAGE(Table2121418198598105[QB P+R])</totalsRowFormula>
    </tableColumn>
    <tableColumn id="31" xr3:uid="{887BE4AA-718D-40B3-8057-784001757FFB}" name="RB R+R" totalsRowFunction="custom" dataDxfId="7425" totalsRowDxfId="7424">
      <calculatedColumnFormula>Table2121418198598105[[#This Row],[RB1 RY]]+Table2121418198598105[[#This Row],[RB2+ RY]]+Table2121418198598105[[#This Row],[RB1 RecY]]+Table2121418198598105[[#This Row],[RB2 RecY]]</calculatedColumnFormula>
      <totalsRowFormula>AVERAGE(Table2121418198598105[RB R+R])</totalsRowFormula>
    </tableColumn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E29DDAB5-7D5A-4B27-AE03-7E8E0795A495}" name="Table2121418198598106" displayName="Table2121418198598106" ref="B354:AJ373" totalsRowCount="1" headerRowDxfId="7423" dataDxfId="7421" totalsRowDxfId="7420" headerRowBorderDxfId="7422" totalsRowBorderDxfId="7419">
  <autoFilter ref="B354:AJ372" xr:uid="{E29DDAB5-7D5A-4B27-AE03-7E8E0795A495}"/>
  <tableColumns count="35">
    <tableColumn id="1" xr3:uid="{C27ED2C5-6EF0-4FB1-AB0B-4E54524126C5}" name="Week" totalsRowLabel="Average" totalsRowDxfId="7418"/>
    <tableColumn id="2" xr3:uid="{042C3D01-48E4-4395-8B15-3DD0196A99EB}" name="QB PY" totalsRowFunction="custom" dataDxfId="7417" totalsRowDxfId="7416">
      <totalsRowFormula>AVERAGE(Table2121418198598106[QB PY])</totalsRowFormula>
    </tableColumn>
    <tableColumn id="3" xr3:uid="{E4FB66DF-C1B1-44D0-9B72-BDFF7317FCA4}" name="P TD" totalsRowFunction="custom" dataDxfId="7415" totalsRowDxfId="7414">
      <totalsRowFormula>AVERAGE(Table2121418198598106[P TD])</totalsRowFormula>
    </tableColumn>
    <tableColumn id="4" xr3:uid="{A17B342A-6379-4604-8060-3B6315AAD1B3}" name="QB RY" totalsRowFunction="custom" dataDxfId="7413" totalsRowDxfId="7412">
      <totalsRowFormula>AVERAGE(Table2121418198598106[QB RY])</totalsRowFormula>
    </tableColumn>
    <tableColumn id="5" xr3:uid="{E8B3FB3B-5CD5-44F4-984E-EA9564E0B0BC}" name="RB1 RY" totalsRowFunction="custom" dataDxfId="7411" totalsRowDxfId="7410">
      <totalsRowFormula>AVERAGE(Table2121418198598106[RB1 RY])</totalsRowFormula>
    </tableColumn>
    <tableColumn id="6" xr3:uid="{1DBAFF97-DB2F-476C-9E8E-EADD206DCA2D}" name="RB2+ RY" totalsRowFunction="custom" dataDxfId="7409" totalsRowDxfId="7408">
      <totalsRowFormula>AVERAGE(Table2121418198598106[RB2+ RY])</totalsRowFormula>
    </tableColumn>
    <tableColumn id="7" xr3:uid="{4A5DC53B-3C8A-4451-ADB7-789A6B6DE09F}" name="WR RY" totalsRowFunction="custom" dataDxfId="7407" totalsRowDxfId="7406">
      <totalsRowFormula>AVERAGE(Table2121418198598106[WR RY])</totalsRowFormula>
    </tableColumn>
    <tableColumn id="8" xr3:uid="{CA43D127-88F7-4CC6-ADAB-7061A2F654E5}" name="RB1 Recep" totalsRowFunction="custom" dataDxfId="7405" totalsRowDxfId="7404">
      <totalsRowFormula>AVERAGE(Table2121418198598106[RB1 Recep])</totalsRowFormula>
    </tableColumn>
    <tableColumn id="9" xr3:uid="{984CC670-04C3-41CD-8CEE-D32FD150289D}" name="RB1 RecY" totalsRowFunction="custom" dataDxfId="7403" totalsRowDxfId="7402">
      <totalsRowFormula>AVERAGE(Table2121418198598106[RB1 RecY])</totalsRowFormula>
    </tableColumn>
    <tableColumn id="29" xr3:uid="{E51D276E-921B-48F2-A5F9-6418F209A3C9}" name="RB2 Recep" totalsRowFunction="custom" dataDxfId="7401" totalsRowDxfId="7400">
      <totalsRowFormula>AVERAGE(Table2121418198598106[RB2 Recep])</totalsRowFormula>
    </tableColumn>
    <tableColumn id="28" xr3:uid="{C8F18048-01C1-4F43-9799-6CCA1761F63E}" name="RB2 RecY" totalsRowFunction="custom" dataDxfId="7399" totalsRowDxfId="7398">
      <totalsRowFormula>AVERAGE(Table2121418198598106[RB2 RecY])</totalsRowFormula>
    </tableColumn>
    <tableColumn id="10" xr3:uid="{DF44517B-0BC8-44AB-AED5-476191C01204}" name="WR1 Recep" totalsRowFunction="custom" dataDxfId="7397" totalsRowDxfId="7396">
      <totalsRowFormula>AVERAGE(Table2121418198598106[WR1 Recep])</totalsRowFormula>
    </tableColumn>
    <tableColumn id="11" xr3:uid="{33AF509A-A630-4C41-89F6-2AA18FE93526}" name="WR1 RecY" totalsRowFunction="custom" dataDxfId="7395" totalsRowDxfId="7394">
      <totalsRowFormula>AVERAGE(Table2121418198598106[WR1 RecY])</totalsRowFormula>
    </tableColumn>
    <tableColumn id="12" xr3:uid="{32D7979F-63F6-4EAD-84F9-6CA028BBDDF2}" name="WR2 Recep" totalsRowFunction="custom" dataDxfId="7393" totalsRowDxfId="7392">
      <totalsRowFormula>AVERAGE(Table2121418198598106[WR2 Recep])</totalsRowFormula>
    </tableColumn>
    <tableColumn id="13" xr3:uid="{854E8773-00D9-4543-857E-506E086BB6DA}" name="WR2 RecY" totalsRowFunction="custom" dataDxfId="7391" totalsRowDxfId="7390">
      <totalsRowFormula>AVERAGE(Table2121418198598106[WR2 RecY])</totalsRowFormula>
    </tableColumn>
    <tableColumn id="14" xr3:uid="{BF674111-73F0-44DB-86B0-D21AAE4B8CB0}" name="WR3 Recep" totalsRowFunction="custom" dataDxfId="7389" totalsRowDxfId="7388">
      <totalsRowFormula>AVERAGE(Table2121418198598106[WR3 Recep])</totalsRowFormula>
    </tableColumn>
    <tableColumn id="15" xr3:uid="{2AD21199-1C42-49C1-8059-A8EC3DD89825}" name="WR3 RecY" totalsRowFunction="custom" dataDxfId="7387" totalsRowDxfId="7386">
      <totalsRowFormula>AVERAGE(Table2121418198598106[WR3 RecY])</totalsRowFormula>
    </tableColumn>
    <tableColumn id="16" xr3:uid="{33315E98-8153-4A07-8D52-1FE16EAA3617}" name="WR4+ Recep" totalsRowFunction="custom" dataDxfId="7385" totalsRowDxfId="7384">
      <totalsRowFormula>AVERAGE(Table2121418198598106[WR4+ Recep])</totalsRowFormula>
    </tableColumn>
    <tableColumn id="17" xr3:uid="{733917E4-9F21-426C-9E91-3020A478736C}" name="WR4+ RecY" totalsRowFunction="custom" dataDxfId="7383" totalsRowDxfId="7382">
      <totalsRowFormula>AVERAGE(Table2121418198598106[WR4+ RecY])</totalsRowFormula>
    </tableColumn>
    <tableColumn id="18" xr3:uid="{2D8FD054-A258-4F39-A6EB-E27152A8C1E9}" name="TE1 Recep" totalsRowFunction="custom" dataDxfId="7381" totalsRowDxfId="7380">
      <totalsRowFormula>AVERAGE(Table2121418198598106[TE1 Recep])</totalsRowFormula>
    </tableColumn>
    <tableColumn id="19" xr3:uid="{55BC37D8-2420-4D24-B277-53F312B576D7}" name="TE1 RecY" totalsRowFunction="custom" dataDxfId="7379" totalsRowDxfId="7378">
      <totalsRowFormula>AVERAGE(Table2121418198598106[TE1 RecY])</totalsRowFormula>
    </tableColumn>
    <tableColumn id="32" xr3:uid="{5BEF33F1-5A1C-4B40-8066-393E13147BE4}" name="TE2 Recep" totalsRowFunction="custom" dataDxfId="7377" totalsRowDxfId="7376">
      <totalsRowFormula>AVERAGE(Table2121418198598106[TE2 Recep])</totalsRowFormula>
    </tableColumn>
    <tableColumn id="33" xr3:uid="{370A0844-3266-405F-A92D-927BE1399460}" name="TE2 RecY" totalsRowFunction="custom" dataDxfId="7375" totalsRowDxfId="7374">
      <totalsRowFormula>AVERAGE(Table2121418198598106[TE2 RecY])</totalsRowFormula>
    </tableColumn>
    <tableColumn id="20" xr3:uid="{81027345-CF69-413E-8934-D893EA88E59C}" name="QB TD" totalsRowFunction="custom" dataDxfId="7373" totalsRowDxfId="7372">
      <totalsRowFormula>AVERAGE(Table2121418198598106[QB TD])</totalsRowFormula>
    </tableColumn>
    <tableColumn id="21" xr3:uid="{3A0D10AA-6E45-4FA3-B529-B7600FBC2CB5}" name="RB1 TD" totalsRowFunction="custom" dataDxfId="7371" totalsRowDxfId="7370">
      <totalsRowFormula>AVERAGE(Table2121418198598106[RB1 TD])</totalsRowFormula>
    </tableColumn>
    <tableColumn id="34" xr3:uid="{0823A7FC-702E-475D-9EC6-421E4CE34BD7}" name="RB2 TD" totalsRowFunction="custom" dataDxfId="7369" totalsRowDxfId="7368">
      <totalsRowFormula>AVERAGE(Table2121418198598106[RB2 TD])</totalsRowFormula>
    </tableColumn>
    <tableColumn id="22" xr3:uid="{F4433BC1-BB97-416D-9C27-8A394B9C9CF3}" name="WR1 TD" totalsRowFunction="custom" dataDxfId="7367" totalsRowDxfId="7366">
      <totalsRowFormula>AVERAGE(Table2121418198598106[WR1 TD])</totalsRowFormula>
    </tableColumn>
    <tableColumn id="23" xr3:uid="{AD63CEB3-EB7E-49D5-9B07-D0F650E8ABF4}" name="WR2 TD" totalsRowFunction="custom" dataDxfId="7365" totalsRowDxfId="7364">
      <totalsRowFormula>AVERAGE(Table2121418198598106[WR2 TD])</totalsRowFormula>
    </tableColumn>
    <tableColumn id="24" xr3:uid="{06EB288F-D8AF-4959-8AEE-8868872E979D}" name="WR3 TD" totalsRowFunction="custom" dataDxfId="7363" totalsRowDxfId="7362">
      <totalsRowFormula>AVERAGE(Table2121418198598106[WR3 TD])</totalsRowFormula>
    </tableColumn>
    <tableColumn id="25" xr3:uid="{5C8E9BE0-6B8F-4620-8624-F87BAD1E2E9F}" name="WR4+ TD" totalsRowFunction="custom" dataDxfId="7361" totalsRowDxfId="7360">
      <totalsRowFormula>AVERAGE(Table2121418198598106[WR4+ TD])</totalsRowFormula>
    </tableColumn>
    <tableColumn id="26" xr3:uid="{BFE53D60-C908-4F11-ACEB-26A3212AE77C}" name="TE1 TD" totalsRowFunction="custom" dataDxfId="7359" totalsRowDxfId="7358">
      <totalsRowFormula>AVERAGE(Table2121418198598106[TE1 TD])</totalsRowFormula>
    </tableColumn>
    <tableColumn id="35" xr3:uid="{F555BDA8-2F7C-4D37-B200-F10C4076CC3D}" name="TE2 TD" totalsRowFunction="custom" dataDxfId="7357" totalsRowDxfId="7356">
      <totalsRowFormula>AVERAGE(Table2121418198598106[TE2 TD])</totalsRowFormula>
    </tableColumn>
    <tableColumn id="27" xr3:uid="{E42FD03E-3E97-4117-A891-9C0ACE276434}" name="D/ST TD" totalsRowFunction="custom" dataDxfId="7355" totalsRowDxfId="7354">
      <totalsRowFormula>AVERAGE(Table2121418198598106[D/ST TD])</totalsRowFormula>
    </tableColumn>
    <tableColumn id="30" xr3:uid="{321CC9D3-3EA5-4C36-8105-95BF3097EA58}" name="QB P+R" totalsRowFunction="custom" dataDxfId="7353" totalsRowDxfId="7352">
      <calculatedColumnFormula>Table2121418198598106[[#This Row],[QB PY]]+Table2121418198598106[[#This Row],[QB RY]]</calculatedColumnFormula>
      <totalsRowFormula>AVERAGE(Table2121418198598106[QB P+R])</totalsRowFormula>
    </tableColumn>
    <tableColumn id="31" xr3:uid="{9AF15785-9F2E-4E2D-BF92-4554AB6B1E7D}" name="RB R+R" totalsRowFunction="custom" dataDxfId="7351" totalsRowDxfId="7350">
      <calculatedColumnFormula>Table2121418198598106[[#This Row],[RB1 RY]]+Table2121418198598106[[#This Row],[RB2+ RY]]+Table2121418198598106[[#This Row],[RB1 RecY]]+Table2121418198598106[[#This Row],[RB2 RecY]]</calculatedColumnFormula>
      <totalsRowFormula>AVERAGE(Table2121418198598106[RB R+R])</totalsRowFormula>
    </tableColumn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C6A63FEE-C8CF-43D5-80FD-BA62DAD2867A}" name="Table2121418198598107" displayName="Table2121418198598107" ref="B376:AJ395" totalsRowCount="1" headerRowDxfId="7349" dataDxfId="7347" totalsRowDxfId="7346" headerRowBorderDxfId="7348" totalsRowBorderDxfId="7345">
  <autoFilter ref="B376:AJ394" xr:uid="{C6A63FEE-C8CF-43D5-80FD-BA62DAD2867A}"/>
  <tableColumns count="35">
    <tableColumn id="1" xr3:uid="{CE21113D-4A03-4F69-9807-33F95E3D59C5}" name="Week" totalsRowLabel="Average" totalsRowDxfId="7344"/>
    <tableColumn id="2" xr3:uid="{F4144C1A-6842-46B7-A6CD-7A17BF249EB4}" name="QB PY" totalsRowFunction="custom" dataDxfId="7343" totalsRowDxfId="7342">
      <totalsRowFormula>AVERAGE(Table2121418198598107[QB PY])</totalsRowFormula>
    </tableColumn>
    <tableColumn id="3" xr3:uid="{613C33E9-1CAB-4F6F-B380-B1A8A33BD6B2}" name="P TD" totalsRowFunction="custom" dataDxfId="7341" totalsRowDxfId="7340">
      <totalsRowFormula>AVERAGE(Table2121418198598107[P TD])</totalsRowFormula>
    </tableColumn>
    <tableColumn id="4" xr3:uid="{AB724006-AA82-41F0-871A-F2F73C663FAA}" name="QB RY" totalsRowFunction="custom" dataDxfId="7339" totalsRowDxfId="7338">
      <totalsRowFormula>AVERAGE(Table2121418198598107[QB RY])</totalsRowFormula>
    </tableColumn>
    <tableColumn id="5" xr3:uid="{79FA5077-B2DA-497A-8661-D94E364ADB3C}" name="RB1 RY" totalsRowFunction="custom" dataDxfId="7337" totalsRowDxfId="7336">
      <totalsRowFormula>AVERAGE(Table2121418198598107[RB1 RY])</totalsRowFormula>
    </tableColumn>
    <tableColumn id="6" xr3:uid="{266979A9-A9AD-42DC-8705-83BCE107C407}" name="RB2+ RY" totalsRowFunction="custom" dataDxfId="7335" totalsRowDxfId="7334">
      <totalsRowFormula>AVERAGE(Table2121418198598107[RB2+ RY])</totalsRowFormula>
    </tableColumn>
    <tableColumn id="7" xr3:uid="{992D3EBD-E7A7-404E-9A42-618ACC802521}" name="WR RY" totalsRowFunction="custom" dataDxfId="7333" totalsRowDxfId="7332">
      <totalsRowFormula>AVERAGE(Table2121418198598107[WR RY])</totalsRowFormula>
    </tableColumn>
    <tableColumn id="8" xr3:uid="{720D5AC2-1E8A-4E5B-A946-9A7313A52A08}" name="RB1 Recep" totalsRowFunction="custom" dataDxfId="7331" totalsRowDxfId="7330">
      <totalsRowFormula>AVERAGE(Table2121418198598107[RB1 Recep])</totalsRowFormula>
    </tableColumn>
    <tableColumn id="9" xr3:uid="{A61AE561-7362-4683-9144-7166893D7848}" name="RB1 RecY" totalsRowFunction="custom" dataDxfId="7329" totalsRowDxfId="7328">
      <totalsRowFormula>AVERAGE(Table2121418198598107[RB1 RecY])</totalsRowFormula>
    </tableColumn>
    <tableColumn id="29" xr3:uid="{CD39A0B5-260F-4965-A2C9-36CB0F5E8890}" name="RB2 Recep" totalsRowFunction="custom" dataDxfId="7327" totalsRowDxfId="7326">
      <totalsRowFormula>AVERAGE(Table2121418198598107[RB2 Recep])</totalsRowFormula>
    </tableColumn>
    <tableColumn id="28" xr3:uid="{08541042-636A-46E9-A477-CC0179D26419}" name="RB2 RecY" totalsRowFunction="custom" dataDxfId="7325" totalsRowDxfId="7324">
      <totalsRowFormula>AVERAGE(Table2121418198598107[RB2 RecY])</totalsRowFormula>
    </tableColumn>
    <tableColumn id="10" xr3:uid="{F637279A-0B58-4B4F-8895-071447A2E7D0}" name="WR1 Recep" totalsRowFunction="custom" dataDxfId="7323" totalsRowDxfId="7322">
      <totalsRowFormula>AVERAGE(Table2121418198598107[WR1 Recep])</totalsRowFormula>
    </tableColumn>
    <tableColumn id="11" xr3:uid="{4EC9ACC1-15AF-450A-AD6D-BD022ACA89F1}" name="WR1 RecY" totalsRowFunction="custom" dataDxfId="7321" totalsRowDxfId="7320">
      <totalsRowFormula>AVERAGE(Table2121418198598107[WR1 RecY])</totalsRowFormula>
    </tableColumn>
    <tableColumn id="12" xr3:uid="{3FCAC5F7-7F38-4D9C-9190-5EF1CB897F3A}" name="WR2 Recep" totalsRowFunction="custom" dataDxfId="7319" totalsRowDxfId="7318">
      <totalsRowFormula>AVERAGE(Table2121418198598107[WR2 Recep])</totalsRowFormula>
    </tableColumn>
    <tableColumn id="13" xr3:uid="{912200FA-A656-43D0-AD5C-165D648A7138}" name="WR2 RecY" totalsRowFunction="custom" dataDxfId="7317" totalsRowDxfId="7316">
      <totalsRowFormula>AVERAGE(Table2121418198598107[WR2 RecY])</totalsRowFormula>
    </tableColumn>
    <tableColumn id="14" xr3:uid="{5F5885FC-51D2-4976-9291-4EDB95C618FE}" name="WR3 Recep" totalsRowFunction="custom" dataDxfId="7315" totalsRowDxfId="7314">
      <totalsRowFormula>AVERAGE(Table2121418198598107[WR3 Recep])</totalsRowFormula>
    </tableColumn>
    <tableColumn id="15" xr3:uid="{2544A299-D213-4D5F-91DB-5C46798DA10B}" name="WR3 RecY" totalsRowFunction="custom" dataDxfId="7313" totalsRowDxfId="7312">
      <totalsRowFormula>AVERAGE(Table2121418198598107[WR3 RecY])</totalsRowFormula>
    </tableColumn>
    <tableColumn id="16" xr3:uid="{148604A6-78BC-4D4B-9AA0-DAD62AB90B26}" name="WR4+ Recep" totalsRowFunction="custom" dataDxfId="7311" totalsRowDxfId="7310">
      <totalsRowFormula>AVERAGE(Table2121418198598107[WR4+ Recep])</totalsRowFormula>
    </tableColumn>
    <tableColumn id="17" xr3:uid="{57735F43-44B1-4B0B-95A2-DA75D40D4B45}" name="WR4+ RecY" totalsRowFunction="custom" dataDxfId="7309" totalsRowDxfId="7308">
      <totalsRowFormula>AVERAGE(Table2121418198598107[WR4+ RecY])</totalsRowFormula>
    </tableColumn>
    <tableColumn id="18" xr3:uid="{B10AF365-3A89-4DBC-8C06-4E577FBD3F71}" name="TE1 Recep" totalsRowFunction="custom" dataDxfId="7307" totalsRowDxfId="7306">
      <totalsRowFormula>AVERAGE(Table2121418198598107[TE1 Recep])</totalsRowFormula>
    </tableColumn>
    <tableColumn id="19" xr3:uid="{A3AEF20A-E47C-41D2-90E1-1431B1812D05}" name="TE1 RecY" totalsRowFunction="custom" dataDxfId="7305" totalsRowDxfId="7304">
      <totalsRowFormula>AVERAGE(Table2121418198598107[TE1 RecY])</totalsRowFormula>
    </tableColumn>
    <tableColumn id="32" xr3:uid="{77BD756E-FDC6-4089-8173-A0654BADA371}" name="TE2 Recep" totalsRowFunction="custom" dataDxfId="7303" totalsRowDxfId="7302">
      <totalsRowFormula>AVERAGE(Table2121418198598107[TE2 Recep])</totalsRowFormula>
    </tableColumn>
    <tableColumn id="33" xr3:uid="{53D42EB9-9252-4918-9CAB-0DCEBE706E46}" name="TE2 RecY" totalsRowFunction="custom" dataDxfId="7301" totalsRowDxfId="7300">
      <totalsRowFormula>AVERAGE(Table2121418198598107[TE2 RecY])</totalsRowFormula>
    </tableColumn>
    <tableColumn id="20" xr3:uid="{DCCE1503-B00A-4ED5-9B6C-2108DD4590B8}" name="QB TD" totalsRowFunction="custom" dataDxfId="7299" totalsRowDxfId="7298">
      <totalsRowFormula>AVERAGE(Table2121418198598107[QB TD])</totalsRowFormula>
    </tableColumn>
    <tableColumn id="21" xr3:uid="{FDA51AE5-227B-4F0D-8ACF-D9B71275CFB5}" name="RB1 TD" totalsRowFunction="custom" dataDxfId="7297" totalsRowDxfId="7296">
      <totalsRowFormula>AVERAGE(Table2121418198598107[RB1 TD])</totalsRowFormula>
    </tableColumn>
    <tableColumn id="34" xr3:uid="{86EDF17C-6F00-4683-9215-D9B8E8F4D6C4}" name="RB2 TD" totalsRowFunction="custom" dataDxfId="7295" totalsRowDxfId="7294">
      <totalsRowFormula>AVERAGE(Table2121418198598107[RB2 TD])</totalsRowFormula>
    </tableColumn>
    <tableColumn id="22" xr3:uid="{F7E9F7EC-27DD-4449-AFC0-CFEFCEE82A6E}" name="WR1 TD" totalsRowFunction="custom" dataDxfId="7293" totalsRowDxfId="7292">
      <totalsRowFormula>AVERAGE(Table2121418198598107[WR1 TD])</totalsRowFormula>
    </tableColumn>
    <tableColumn id="23" xr3:uid="{06AC29FC-62C8-4E20-ADDC-3A5657C5BB38}" name="WR2 TD" totalsRowFunction="custom" dataDxfId="7291" totalsRowDxfId="7290">
      <totalsRowFormula>AVERAGE(Table2121418198598107[WR2 TD])</totalsRowFormula>
    </tableColumn>
    <tableColumn id="24" xr3:uid="{5218DBCE-3863-4805-8D2D-0504D70E1FCF}" name="WR3 TD" totalsRowFunction="custom" dataDxfId="7289" totalsRowDxfId="7288">
      <totalsRowFormula>AVERAGE(Table2121418198598107[WR3 TD])</totalsRowFormula>
    </tableColumn>
    <tableColumn id="25" xr3:uid="{0B1D4B3D-A64A-4CBE-93A7-185E1FABE7BF}" name="WR4+ TD" totalsRowFunction="custom" dataDxfId="7287" totalsRowDxfId="7286">
      <totalsRowFormula>AVERAGE(Table2121418198598107[WR4+ TD])</totalsRowFormula>
    </tableColumn>
    <tableColumn id="26" xr3:uid="{21698126-3D78-46B3-995D-E573BCFE6924}" name="TE1 TD" totalsRowFunction="custom" dataDxfId="7285" totalsRowDxfId="7284">
      <totalsRowFormula>AVERAGE(Table2121418198598107[TE1 TD])</totalsRowFormula>
    </tableColumn>
    <tableColumn id="35" xr3:uid="{98E65281-283A-4853-A21B-A94B6A6B4D3A}" name="TE2 TD" totalsRowFunction="custom" dataDxfId="7283" totalsRowDxfId="7282">
      <totalsRowFormula>AVERAGE(Table2121418198598107[TE2 TD])</totalsRowFormula>
    </tableColumn>
    <tableColumn id="27" xr3:uid="{06316C78-7961-47B9-AED5-96B2791C88C1}" name="D/ST TD" totalsRowFunction="custom" dataDxfId="7281" totalsRowDxfId="7280">
      <totalsRowFormula>AVERAGE(Table2121418198598107[D/ST TD])</totalsRowFormula>
    </tableColumn>
    <tableColumn id="30" xr3:uid="{E9742F4C-C48E-420D-A925-5701DAD9FD7E}" name="QB P+R" totalsRowFunction="custom" dataDxfId="7279" totalsRowDxfId="7278">
      <calculatedColumnFormula>Table2121418198598107[[#This Row],[QB PY]]+Table2121418198598107[[#This Row],[QB RY]]</calculatedColumnFormula>
      <totalsRowFormula>AVERAGE(Table2121418198598107[QB P+R])</totalsRowFormula>
    </tableColumn>
    <tableColumn id="31" xr3:uid="{5C51919C-735C-4AE8-BC94-777C44FACA95}" name="RB R+R" totalsRowFunction="custom" dataDxfId="7277" totalsRowDxfId="7276">
      <calculatedColumnFormula>Table2121418198598107[[#This Row],[RB1 RY]]+Table2121418198598107[[#This Row],[RB2+ RY]]+Table2121418198598107[[#This Row],[RB1 RecY]]+Table2121418198598107[[#This Row],[RB2 RecY]]</calculatedColumnFormula>
      <totalsRowFormula>AVERAGE(Table2121418198598107[RB R+R])</totalsRowFormula>
    </tableColumn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B6742DA-3BF2-4B80-B82E-6164A6C508E7}" name="Table2121418198598108" displayName="Table2121418198598108" ref="B398:AJ417" totalsRowCount="1" headerRowDxfId="7275" dataDxfId="7273" totalsRowDxfId="7272" headerRowBorderDxfId="7274" totalsRowBorderDxfId="7271">
  <autoFilter ref="B398:AJ416" xr:uid="{7B6742DA-3BF2-4B80-B82E-6164A6C508E7}"/>
  <tableColumns count="35">
    <tableColumn id="1" xr3:uid="{D28B44BF-3548-4099-B081-24E783A6F86C}" name="Week" totalsRowLabel="Average" totalsRowDxfId="7270"/>
    <tableColumn id="2" xr3:uid="{1E665E04-A9C5-4378-81B5-6E1A5E506CCA}" name="QB PY" totalsRowFunction="custom" dataDxfId="7269" totalsRowDxfId="7268">
      <totalsRowFormula>AVERAGE(Table2121418198598108[QB PY])</totalsRowFormula>
    </tableColumn>
    <tableColumn id="3" xr3:uid="{71685669-6DAE-46E9-A8B9-317C68512650}" name="P TD" totalsRowFunction="custom" dataDxfId="7267" totalsRowDxfId="7266">
      <totalsRowFormula>AVERAGE(Table2121418198598108[P TD])</totalsRowFormula>
    </tableColumn>
    <tableColumn id="4" xr3:uid="{2752107A-AB93-4B81-A2D0-1CE36F225521}" name="QB RY" totalsRowFunction="custom" dataDxfId="7265" totalsRowDxfId="7264">
      <totalsRowFormula>AVERAGE(Table2121418198598108[QB RY])</totalsRowFormula>
    </tableColumn>
    <tableColumn id="5" xr3:uid="{67749EBC-6FEA-4204-9C50-9318D41449E0}" name="RB1 RY" totalsRowFunction="custom" dataDxfId="7263" totalsRowDxfId="7262">
      <totalsRowFormula>AVERAGE(Table2121418198598108[RB1 RY])</totalsRowFormula>
    </tableColumn>
    <tableColumn id="6" xr3:uid="{28B360E8-4F84-4DE2-ACC4-AD164BF80B76}" name="RB2+ RY" totalsRowFunction="custom" dataDxfId="7261" totalsRowDxfId="7260">
      <totalsRowFormula>AVERAGE(Table2121418198598108[RB2+ RY])</totalsRowFormula>
    </tableColumn>
    <tableColumn id="7" xr3:uid="{11BF43F5-601D-4CEE-8722-F0A4311CC96D}" name="WR RY" totalsRowFunction="custom" dataDxfId="7259" totalsRowDxfId="7258">
      <totalsRowFormula>AVERAGE(Table2121418198598108[WR RY])</totalsRowFormula>
    </tableColumn>
    <tableColumn id="8" xr3:uid="{B2089D95-EC9D-4A8A-97D7-416DC4AE47FE}" name="RB1 Recep" totalsRowFunction="custom" dataDxfId="7257" totalsRowDxfId="7256">
      <totalsRowFormula>AVERAGE(Table2121418198598108[RB1 Recep])</totalsRowFormula>
    </tableColumn>
    <tableColumn id="9" xr3:uid="{E94EA54E-3CF6-45AB-BE1D-1FCC5B47C2A7}" name="RB1 RecY" totalsRowFunction="custom" dataDxfId="7255" totalsRowDxfId="7254">
      <totalsRowFormula>AVERAGE(Table2121418198598108[RB1 RecY])</totalsRowFormula>
    </tableColumn>
    <tableColumn id="29" xr3:uid="{3BAD4707-BB7C-4024-A9FF-6A765B8CCDB4}" name="RB2 Recep" totalsRowFunction="custom" dataDxfId="7253" totalsRowDxfId="7252">
      <totalsRowFormula>AVERAGE(Table2121418198598108[RB2 Recep])</totalsRowFormula>
    </tableColumn>
    <tableColumn id="28" xr3:uid="{1375D20A-E53C-4505-80CD-8E776C6AC886}" name="RB2 RecY" totalsRowFunction="custom" dataDxfId="7251" totalsRowDxfId="7250">
      <totalsRowFormula>AVERAGE(Table2121418198598108[RB2 RecY])</totalsRowFormula>
    </tableColumn>
    <tableColumn id="10" xr3:uid="{3E068C82-8188-447C-949E-4BE37A85345D}" name="WR1 Recep" totalsRowFunction="custom" dataDxfId="7249" totalsRowDxfId="7248">
      <totalsRowFormula>AVERAGE(Table2121418198598108[WR1 Recep])</totalsRowFormula>
    </tableColumn>
    <tableColumn id="11" xr3:uid="{722DE966-DF6B-497A-B53A-0AB060A79C64}" name="WR1 RecY" totalsRowFunction="custom" dataDxfId="7247" totalsRowDxfId="7246">
      <totalsRowFormula>AVERAGE(Table2121418198598108[WR1 RecY])</totalsRowFormula>
    </tableColumn>
    <tableColumn id="12" xr3:uid="{450C077C-C1BE-411E-A15F-F5DBE59A1419}" name="WR2 Recep" totalsRowFunction="custom" dataDxfId="7245" totalsRowDxfId="7244">
      <totalsRowFormula>AVERAGE(Table2121418198598108[WR2 Recep])</totalsRowFormula>
    </tableColumn>
    <tableColumn id="13" xr3:uid="{5E35B69B-6365-4A6E-B52B-AEC9F11562E2}" name="WR2 RecY" totalsRowFunction="custom" dataDxfId="7243" totalsRowDxfId="7242">
      <totalsRowFormula>AVERAGE(Table2121418198598108[WR2 RecY])</totalsRowFormula>
    </tableColumn>
    <tableColumn id="14" xr3:uid="{7CB8CF85-9115-4D2B-97C3-8DFBBD17C6D4}" name="WR3 Recep" totalsRowFunction="custom" dataDxfId="7241" totalsRowDxfId="7240">
      <totalsRowFormula>AVERAGE(Table2121418198598108[WR3 Recep])</totalsRowFormula>
    </tableColumn>
    <tableColumn id="15" xr3:uid="{B9D1137E-1915-49A2-A7B4-B2B0D4323567}" name="WR3 RecY" totalsRowFunction="custom" dataDxfId="7239" totalsRowDxfId="7238">
      <totalsRowFormula>AVERAGE(Table2121418198598108[WR3 RecY])</totalsRowFormula>
    </tableColumn>
    <tableColumn id="16" xr3:uid="{FC51A49D-6A0D-47F2-B9E7-D1EDB9B83B99}" name="WR4+ Recep" totalsRowFunction="custom" dataDxfId="7237" totalsRowDxfId="7236">
      <totalsRowFormula>AVERAGE(Table2121418198598108[WR4+ Recep])</totalsRowFormula>
    </tableColumn>
    <tableColumn id="17" xr3:uid="{BDD3F496-C41E-4A8B-AE4B-4164855754E0}" name="WR4+ RecY" totalsRowFunction="custom" dataDxfId="7235" totalsRowDxfId="7234">
      <totalsRowFormula>AVERAGE(Table2121418198598108[WR4+ RecY])</totalsRowFormula>
    </tableColumn>
    <tableColumn id="18" xr3:uid="{9CCE3C81-F866-45A4-B8B5-630452F91B3A}" name="TE1 Recep" totalsRowFunction="custom" dataDxfId="7233" totalsRowDxfId="7232">
      <totalsRowFormula>AVERAGE(Table2121418198598108[TE1 Recep])</totalsRowFormula>
    </tableColumn>
    <tableColumn id="19" xr3:uid="{3448B9B5-5FCD-456F-BE76-A69490156986}" name="TE1 RecY" totalsRowFunction="custom" dataDxfId="7231" totalsRowDxfId="7230">
      <totalsRowFormula>AVERAGE(Table2121418198598108[TE1 RecY])</totalsRowFormula>
    </tableColumn>
    <tableColumn id="32" xr3:uid="{207CD126-2AF5-4F75-BDE2-7389B176DFD9}" name="TE2 Recep" totalsRowFunction="custom" dataDxfId="7229" totalsRowDxfId="7228">
      <totalsRowFormula>AVERAGE(Table2121418198598108[TE2 Recep])</totalsRowFormula>
    </tableColumn>
    <tableColumn id="33" xr3:uid="{55D51CA7-A120-4AF2-9F9A-9E419EC5EFFD}" name="TE2 RecY" totalsRowFunction="custom" dataDxfId="7227" totalsRowDxfId="7226">
      <totalsRowFormula>AVERAGE(Table2121418198598108[TE2 RecY])</totalsRowFormula>
    </tableColumn>
    <tableColumn id="20" xr3:uid="{FB169E96-A321-4D0A-A050-39357FD65BBC}" name="QB TD" totalsRowFunction="custom" dataDxfId="7225" totalsRowDxfId="7224">
      <totalsRowFormula>AVERAGE(Table2121418198598108[QB TD])</totalsRowFormula>
    </tableColumn>
    <tableColumn id="21" xr3:uid="{525D7797-9A41-4DBC-A8CF-EC8996829D69}" name="RB1 TD" totalsRowFunction="custom" dataDxfId="7223" totalsRowDxfId="7222">
      <totalsRowFormula>AVERAGE(Table2121418198598108[RB1 TD])</totalsRowFormula>
    </tableColumn>
    <tableColumn id="34" xr3:uid="{6EFA0134-A0CB-4721-BB67-AB59A97A9303}" name="RB2 TD" totalsRowFunction="custom" dataDxfId="7221" totalsRowDxfId="7220">
      <totalsRowFormula>AVERAGE(Table2121418198598108[RB2 TD])</totalsRowFormula>
    </tableColumn>
    <tableColumn id="22" xr3:uid="{46A3D85F-535A-4EBE-A910-C895BCC2B5F5}" name="WR1 TD" totalsRowFunction="custom" dataDxfId="7219" totalsRowDxfId="7218">
      <totalsRowFormula>AVERAGE(Table2121418198598108[WR1 TD])</totalsRowFormula>
    </tableColumn>
    <tableColumn id="23" xr3:uid="{A38D724D-B524-4AF5-8AF9-5BB751BE87C8}" name="WR2 TD" totalsRowFunction="custom" dataDxfId="7217" totalsRowDxfId="7216">
      <totalsRowFormula>AVERAGE(Table2121418198598108[WR2 TD])</totalsRowFormula>
    </tableColumn>
    <tableColumn id="24" xr3:uid="{3B3E2568-4431-4B5C-BA0C-B2A8F2687AA0}" name="WR3 TD" totalsRowFunction="custom" dataDxfId="7215" totalsRowDxfId="7214">
      <totalsRowFormula>AVERAGE(Table2121418198598108[WR3 TD])</totalsRowFormula>
    </tableColumn>
    <tableColumn id="25" xr3:uid="{12C6E8E3-0996-47B3-921E-5C8BC9BD65BE}" name="WR4+ TD" totalsRowFunction="custom" dataDxfId="7213" totalsRowDxfId="7212">
      <totalsRowFormula>AVERAGE(Table2121418198598108[WR4+ TD])</totalsRowFormula>
    </tableColumn>
    <tableColumn id="26" xr3:uid="{F59EAD3C-9A6B-4390-BC53-D89CE3B1A3D4}" name="TE1 TD" totalsRowFunction="custom" dataDxfId="7211" totalsRowDxfId="7210">
      <totalsRowFormula>AVERAGE(Table2121418198598108[TE1 TD])</totalsRowFormula>
    </tableColumn>
    <tableColumn id="35" xr3:uid="{8689E74B-4310-4B48-A3DD-E08D16E2EC85}" name="TE2 TD" totalsRowFunction="custom" dataDxfId="7209" totalsRowDxfId="7208">
      <totalsRowFormula>AVERAGE(Table2121418198598108[TE2 TD])</totalsRowFormula>
    </tableColumn>
    <tableColumn id="27" xr3:uid="{15BA3C4B-A1AD-4FD6-84F9-1562811623C5}" name="D/ST TD" totalsRowFunction="custom" dataDxfId="7207" totalsRowDxfId="7206">
      <totalsRowFormula>AVERAGE(Table2121418198598108[D/ST TD])</totalsRowFormula>
    </tableColumn>
    <tableColumn id="30" xr3:uid="{3BB101AA-ADAC-4EBF-8868-53857B1F7D48}" name="QB P+R" totalsRowFunction="custom" dataDxfId="7205" totalsRowDxfId="7204">
      <calculatedColumnFormula>Table2121418198598108[[#This Row],[QB PY]]+Table2121418198598108[[#This Row],[QB RY]]</calculatedColumnFormula>
      <totalsRowFormula>AVERAGE(Table2121418198598108[QB P+R])</totalsRowFormula>
    </tableColumn>
    <tableColumn id="31" xr3:uid="{C83908D1-A0AF-4A0C-98C2-EBB2692E6A68}" name="RB R+R" totalsRowFunction="custom" dataDxfId="7203" totalsRowDxfId="7202">
      <calculatedColumnFormula>Table2121418198598108[[#This Row],[RB1 RY]]+Table2121418198598108[[#This Row],[RB2+ RY]]+Table2121418198598108[[#This Row],[RB1 RecY]]+Table2121418198598108[[#This Row],[RB2 RecY]]</calculatedColumnFormula>
      <totalsRowFormula>AVERAGE(Table2121418198598108[RB R+R])</totalsRowFormula>
    </tableColumn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89D45E3E-5E5C-49F9-9134-9C2351C241F5}" name="Table2121418198598109" displayName="Table2121418198598109" ref="B420:AJ439" totalsRowCount="1" headerRowDxfId="7201" dataDxfId="7199" totalsRowDxfId="7198" headerRowBorderDxfId="7200" totalsRowBorderDxfId="7197">
  <autoFilter ref="B420:AJ438" xr:uid="{89D45E3E-5E5C-49F9-9134-9C2351C241F5}"/>
  <tableColumns count="35">
    <tableColumn id="1" xr3:uid="{77DF2753-CFF6-4723-A83C-8C63AAB0681E}" name="Week" totalsRowLabel="Average" totalsRowDxfId="7196"/>
    <tableColumn id="2" xr3:uid="{D85CAE9C-B2C4-4F1E-848A-12A2CDE33C81}" name="QB PY" totalsRowFunction="custom" dataDxfId="7195" totalsRowDxfId="7194">
      <totalsRowFormula>AVERAGE(Table2121418198598109[QB PY])</totalsRowFormula>
    </tableColumn>
    <tableColumn id="3" xr3:uid="{BEECF9C1-DB1C-47A4-BAD5-0C80FF2810F3}" name="P TD" totalsRowFunction="custom" dataDxfId="7193" totalsRowDxfId="7192">
      <totalsRowFormula>AVERAGE(Table2121418198598109[P TD])</totalsRowFormula>
    </tableColumn>
    <tableColumn id="4" xr3:uid="{7EB7E1AF-93FE-47E2-8AB7-A5A86ABCF668}" name="QB RY" totalsRowFunction="custom" dataDxfId="7191" totalsRowDxfId="7190">
      <totalsRowFormula>AVERAGE(Table2121418198598109[QB RY])</totalsRowFormula>
    </tableColumn>
    <tableColumn id="5" xr3:uid="{46542AAE-861F-43A2-80B1-84AD0226B420}" name="RB1 RY" totalsRowFunction="custom" dataDxfId="7189" totalsRowDxfId="7188">
      <totalsRowFormula>AVERAGE(Table2121418198598109[RB1 RY])</totalsRowFormula>
    </tableColumn>
    <tableColumn id="6" xr3:uid="{614FA157-0B8B-4C81-93E5-C978E3A73BEF}" name="RB2+ RY" totalsRowFunction="custom" dataDxfId="7187" totalsRowDxfId="7186">
      <totalsRowFormula>AVERAGE(Table2121418198598109[RB2+ RY])</totalsRowFormula>
    </tableColumn>
    <tableColumn id="7" xr3:uid="{BC3A8BEC-2D27-4C52-9923-14E2A525761F}" name="WR RY" totalsRowFunction="custom" dataDxfId="7185" totalsRowDxfId="7184">
      <totalsRowFormula>AVERAGE(Table2121418198598109[WR RY])</totalsRowFormula>
    </tableColumn>
    <tableColumn id="8" xr3:uid="{4EC628A8-3BA8-4584-9377-E1D97A10A1A2}" name="RB1 Recep" totalsRowFunction="custom" dataDxfId="7183" totalsRowDxfId="7182">
      <totalsRowFormula>AVERAGE(Table2121418198598109[RB1 Recep])</totalsRowFormula>
    </tableColumn>
    <tableColumn id="9" xr3:uid="{FF7C23A2-F8A8-4430-B71C-FF426536146D}" name="RB1 RecY" totalsRowFunction="custom" dataDxfId="7181" totalsRowDxfId="7180">
      <totalsRowFormula>AVERAGE(Table2121418198598109[RB1 RecY])</totalsRowFormula>
    </tableColumn>
    <tableColumn id="29" xr3:uid="{0FCB6194-94BA-4174-8374-C0C29C6F9505}" name="RB2 Recep" totalsRowFunction="custom" dataDxfId="7179" totalsRowDxfId="7178">
      <totalsRowFormula>AVERAGE(Table2121418198598109[RB2 Recep])</totalsRowFormula>
    </tableColumn>
    <tableColumn id="28" xr3:uid="{3C3FB43A-1FA6-45DC-9C7D-3075C30F508D}" name="RB2 RecY" totalsRowFunction="custom" dataDxfId="7177" totalsRowDxfId="7176">
      <totalsRowFormula>AVERAGE(Table2121418198598109[RB2 RecY])</totalsRowFormula>
    </tableColumn>
    <tableColumn id="10" xr3:uid="{53ACA691-94EF-45FF-87FD-91846D483FD5}" name="WR1 Recep" totalsRowFunction="custom" dataDxfId="7175" totalsRowDxfId="7174">
      <totalsRowFormula>AVERAGE(Table2121418198598109[WR1 Recep])</totalsRowFormula>
    </tableColumn>
    <tableColumn id="11" xr3:uid="{F7CA32C9-CD13-4B55-B717-2463A9EB71B7}" name="WR1 RecY" totalsRowFunction="custom" dataDxfId="7173" totalsRowDxfId="7172">
      <totalsRowFormula>AVERAGE(Table2121418198598109[WR1 RecY])</totalsRowFormula>
    </tableColumn>
    <tableColumn id="12" xr3:uid="{5F06EA3A-2CD5-4D15-8DCA-B5055AF03265}" name="WR2 Recep" totalsRowFunction="custom" dataDxfId="7171" totalsRowDxfId="7170">
      <totalsRowFormula>AVERAGE(Table2121418198598109[WR2 Recep])</totalsRowFormula>
    </tableColumn>
    <tableColumn id="13" xr3:uid="{E8AA2F3F-08E0-4B1C-A2C2-78D47D4416CD}" name="WR2 RecY" totalsRowFunction="custom" dataDxfId="7169" totalsRowDxfId="7168">
      <totalsRowFormula>AVERAGE(Table2121418198598109[WR2 RecY])</totalsRowFormula>
    </tableColumn>
    <tableColumn id="14" xr3:uid="{2672943B-4697-44E9-8A6B-FFF615BC3945}" name="WR3 Recep" totalsRowFunction="custom" dataDxfId="7167" totalsRowDxfId="7166">
      <totalsRowFormula>AVERAGE(Table2121418198598109[WR3 Recep])</totalsRowFormula>
    </tableColumn>
    <tableColumn id="15" xr3:uid="{5CD62B87-4440-4009-A6F7-E881B86859DC}" name="WR3 RecY" totalsRowFunction="custom" dataDxfId="7165" totalsRowDxfId="7164">
      <totalsRowFormula>AVERAGE(Table2121418198598109[WR3 RecY])</totalsRowFormula>
    </tableColumn>
    <tableColumn id="16" xr3:uid="{2609276D-949B-497F-ADE6-DF3A13453B55}" name="WR4+ Recep" totalsRowFunction="custom" dataDxfId="7163" totalsRowDxfId="7162">
      <totalsRowFormula>AVERAGE(Table2121418198598109[WR4+ Recep])</totalsRowFormula>
    </tableColumn>
    <tableColumn id="17" xr3:uid="{53EEEE83-3138-4B37-8478-9EE1ABAC3E24}" name="WR4+ RecY" totalsRowFunction="custom" dataDxfId="7161" totalsRowDxfId="7160">
      <totalsRowFormula>AVERAGE(Table2121418198598109[WR4+ RecY])</totalsRowFormula>
    </tableColumn>
    <tableColumn id="18" xr3:uid="{D62C0A0B-FD54-4220-85C9-675759F1AFBC}" name="TE1 Recep" totalsRowFunction="custom" dataDxfId="7159" totalsRowDxfId="7158">
      <totalsRowFormula>AVERAGE(Table2121418198598109[TE1 Recep])</totalsRowFormula>
    </tableColumn>
    <tableColumn id="19" xr3:uid="{99837969-95AF-4883-B411-C5E0522BE9C1}" name="TE1 RecY" totalsRowFunction="custom" dataDxfId="7157" totalsRowDxfId="7156">
      <totalsRowFormula>AVERAGE(Table2121418198598109[TE1 RecY])</totalsRowFormula>
    </tableColumn>
    <tableColumn id="32" xr3:uid="{B85C3079-B5F1-4EEC-9F8B-E09BF3746A09}" name="TE2 Recep" totalsRowFunction="custom" dataDxfId="7155" totalsRowDxfId="7154">
      <totalsRowFormula>AVERAGE(Table2121418198598109[TE2 Recep])</totalsRowFormula>
    </tableColumn>
    <tableColumn id="33" xr3:uid="{6F658D13-B033-466D-AD3D-06E9E3DC3DCB}" name="TE2 RecY" totalsRowFunction="custom" dataDxfId="7153" totalsRowDxfId="7152">
      <totalsRowFormula>AVERAGE(Table2121418198598109[TE2 RecY])</totalsRowFormula>
    </tableColumn>
    <tableColumn id="20" xr3:uid="{CE0485FA-32A9-4658-8B19-22B92924DD27}" name="QB TD" totalsRowFunction="custom" dataDxfId="7151" totalsRowDxfId="7150">
      <totalsRowFormula>AVERAGE(Table2121418198598109[QB TD])</totalsRowFormula>
    </tableColumn>
    <tableColumn id="21" xr3:uid="{B3CDEE5A-EE07-4FF6-883A-680865D15D70}" name="RB1 TD" totalsRowFunction="custom" dataDxfId="7149" totalsRowDxfId="7148">
      <totalsRowFormula>AVERAGE(Table2121418198598109[RB1 TD])</totalsRowFormula>
    </tableColumn>
    <tableColumn id="34" xr3:uid="{8FE4F338-3F92-4FEA-B126-B271ACA6A45C}" name="RB2 TD" totalsRowFunction="custom" dataDxfId="7147" totalsRowDxfId="7146">
      <totalsRowFormula>AVERAGE(Table2121418198598109[RB2 TD])</totalsRowFormula>
    </tableColumn>
    <tableColumn id="22" xr3:uid="{903C8210-E84E-45FA-A4A1-B18052521F10}" name="WR1 TD" totalsRowFunction="custom" dataDxfId="7145" totalsRowDxfId="7144">
      <totalsRowFormula>AVERAGE(Table2121418198598109[WR1 TD])</totalsRowFormula>
    </tableColumn>
    <tableColumn id="23" xr3:uid="{08249094-7580-45AF-AE7B-F72706B492B3}" name="WR2 TD" totalsRowFunction="custom" dataDxfId="7143" totalsRowDxfId="7142">
      <totalsRowFormula>AVERAGE(Table2121418198598109[WR2 TD])</totalsRowFormula>
    </tableColumn>
    <tableColumn id="24" xr3:uid="{E390AFE3-31D6-43F6-BB3F-888E4D20D9CA}" name="WR3 TD" totalsRowFunction="custom" dataDxfId="7141" totalsRowDxfId="7140">
      <totalsRowFormula>AVERAGE(Table2121418198598109[WR3 TD])</totalsRowFormula>
    </tableColumn>
    <tableColumn id="25" xr3:uid="{FB4D1CD9-E39B-43C7-8C71-A09D6A7A34CF}" name="WR4+ TD" totalsRowFunction="custom" dataDxfId="7139" totalsRowDxfId="7138">
      <totalsRowFormula>AVERAGE(Table2121418198598109[WR4+ TD])</totalsRowFormula>
    </tableColumn>
    <tableColumn id="26" xr3:uid="{01211AA0-F458-4908-BED4-103CE94F2DF1}" name="TE1 TD" totalsRowFunction="custom" dataDxfId="7137" totalsRowDxfId="7136">
      <totalsRowFormula>AVERAGE(Table2121418198598109[TE1 TD])</totalsRowFormula>
    </tableColumn>
    <tableColumn id="35" xr3:uid="{C148DC02-5AB5-434E-9B05-4107B0F1F4F8}" name="TE2 TD" totalsRowFunction="custom" dataDxfId="7135" totalsRowDxfId="7134">
      <totalsRowFormula>AVERAGE(Table2121418198598109[TE2 TD])</totalsRowFormula>
    </tableColumn>
    <tableColumn id="27" xr3:uid="{61F7206C-37C3-4A41-9FD9-70A82CF73ABC}" name="D/ST TD" totalsRowFunction="custom" dataDxfId="7133" totalsRowDxfId="7132">
      <totalsRowFormula>AVERAGE(Table2121418198598109[D/ST TD])</totalsRowFormula>
    </tableColumn>
    <tableColumn id="30" xr3:uid="{1FE23D62-17EF-43FC-BFA0-FEA2283763F2}" name="QB P+R" totalsRowFunction="custom" dataDxfId="7131" totalsRowDxfId="7130">
      <calculatedColumnFormula>Table2121418198598109[[#This Row],[QB PY]]+Table2121418198598109[[#This Row],[QB RY]]</calculatedColumnFormula>
      <totalsRowFormula>AVERAGE(Table2121418198598109[QB P+R])</totalsRowFormula>
    </tableColumn>
    <tableColumn id="31" xr3:uid="{2727CC31-053D-486A-A8DE-2B95D43EA481}" name="RB R+R" totalsRowFunction="custom" dataDxfId="7129" totalsRowDxfId="7128">
      <calculatedColumnFormula>Table2121418198598109[[#This Row],[RB1 RY]]+Table2121418198598109[[#This Row],[RB2+ RY]]+Table2121418198598109[[#This Row],[RB1 RecY]]+Table2121418198598109[[#This Row],[RB2 RecY]]</calculatedColumnFormula>
      <totalsRowFormula>AVERAGE(Table2121418198598109[RB R+R])</totalsRowFormula>
    </tableColumn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E6EB22B7-F2AC-472B-8247-1FED9EA04D45}" name="Table2121418198598110" displayName="Table2121418198598110" ref="B442:AJ461" totalsRowCount="1" headerRowDxfId="7127" dataDxfId="7125" totalsRowDxfId="7124" headerRowBorderDxfId="7126" totalsRowBorderDxfId="7123">
  <autoFilter ref="B442:AJ460" xr:uid="{E6EB22B7-F2AC-472B-8247-1FED9EA04D45}"/>
  <tableColumns count="35">
    <tableColumn id="1" xr3:uid="{085E4C6D-90F6-427B-8351-B0A5673A06C6}" name="Week" totalsRowLabel="Average" totalsRowDxfId="7122"/>
    <tableColumn id="2" xr3:uid="{93D0EB49-83FB-4C5D-86AF-1B84AF6FE3EA}" name="QB PY" totalsRowFunction="custom" dataDxfId="7121" totalsRowDxfId="7120">
      <totalsRowFormula>AVERAGE(Table2121418198598110[QB PY])</totalsRowFormula>
    </tableColumn>
    <tableColumn id="3" xr3:uid="{EE863911-79F2-4058-80EC-3EBE5FD53CA7}" name="P TD" totalsRowFunction="custom" dataDxfId="7119" totalsRowDxfId="7118">
      <totalsRowFormula>AVERAGE(Table2121418198598110[P TD])</totalsRowFormula>
    </tableColumn>
    <tableColumn id="4" xr3:uid="{94CB2BB4-82C4-4ED6-B33C-B19332194064}" name="QB RY" totalsRowFunction="custom" dataDxfId="7117" totalsRowDxfId="7116">
      <totalsRowFormula>AVERAGE(Table2121418198598110[QB RY])</totalsRowFormula>
    </tableColumn>
    <tableColumn id="5" xr3:uid="{578C88B8-25D7-4DAF-ADAD-0BF24363B0F8}" name="RB1 RY" totalsRowFunction="custom" dataDxfId="7115" totalsRowDxfId="7114">
      <totalsRowFormula>AVERAGE(Table2121418198598110[RB1 RY])</totalsRowFormula>
    </tableColumn>
    <tableColumn id="6" xr3:uid="{596E2059-259C-4AEC-96F4-EF9C9A440133}" name="RB2+ RY" totalsRowFunction="custom" dataDxfId="7113" totalsRowDxfId="7112">
      <totalsRowFormula>AVERAGE(Table2121418198598110[RB2+ RY])</totalsRowFormula>
    </tableColumn>
    <tableColumn id="7" xr3:uid="{B02D1BE1-1DBC-4DB8-9E9D-C6A9E75F2EE5}" name="WR RY" totalsRowFunction="custom" dataDxfId="7111" totalsRowDxfId="7110">
      <totalsRowFormula>AVERAGE(Table2121418198598110[WR RY])</totalsRowFormula>
    </tableColumn>
    <tableColumn id="8" xr3:uid="{24054BF5-6CA7-4848-8D34-A4EAC95DCEA3}" name="RB1 Recep" totalsRowFunction="custom" dataDxfId="7109" totalsRowDxfId="7108">
      <totalsRowFormula>AVERAGE(Table2121418198598110[RB1 Recep])</totalsRowFormula>
    </tableColumn>
    <tableColumn id="9" xr3:uid="{E2C77783-DBDC-4687-8119-3020407D6544}" name="RB1 RecY" totalsRowFunction="custom" dataDxfId="7107" totalsRowDxfId="7106">
      <totalsRowFormula>AVERAGE(Table2121418198598110[RB1 RecY])</totalsRowFormula>
    </tableColumn>
    <tableColumn id="29" xr3:uid="{60C1015C-4F61-465B-BF01-CE76FABBCA61}" name="RB2 Recep" totalsRowFunction="custom" dataDxfId="7105" totalsRowDxfId="7104">
      <totalsRowFormula>AVERAGE(Table2121418198598110[RB2 Recep])</totalsRowFormula>
    </tableColumn>
    <tableColumn id="28" xr3:uid="{AD902627-708E-473C-A038-33AA636820F1}" name="RB2 RecY" totalsRowFunction="custom" dataDxfId="7103" totalsRowDxfId="7102">
      <totalsRowFormula>AVERAGE(Table2121418198598110[RB2 RecY])</totalsRowFormula>
    </tableColumn>
    <tableColumn id="10" xr3:uid="{687B2141-21A0-4712-9DC3-C56AC7A832C1}" name="WR1 Recep" totalsRowFunction="custom" dataDxfId="7101" totalsRowDxfId="7100">
      <totalsRowFormula>AVERAGE(Table2121418198598110[WR1 Recep])</totalsRowFormula>
    </tableColumn>
    <tableColumn id="11" xr3:uid="{46F16A1F-B0AF-4178-9D8B-C18194C805A8}" name="WR1 RecY" totalsRowFunction="custom" dataDxfId="7099" totalsRowDxfId="7098">
      <totalsRowFormula>AVERAGE(Table2121418198598110[WR1 RecY])</totalsRowFormula>
    </tableColumn>
    <tableColumn id="12" xr3:uid="{54EC7769-7393-4492-8902-C0249460FF30}" name="WR2 Recep" totalsRowFunction="custom" dataDxfId="7097" totalsRowDxfId="7096">
      <totalsRowFormula>AVERAGE(Table2121418198598110[WR2 Recep])</totalsRowFormula>
    </tableColumn>
    <tableColumn id="13" xr3:uid="{14A84BCF-B670-449D-B4F2-98521F19BA39}" name="WR2 RecY" totalsRowFunction="custom" dataDxfId="7095" totalsRowDxfId="7094">
      <totalsRowFormula>AVERAGE(Table2121418198598110[WR2 RecY])</totalsRowFormula>
    </tableColumn>
    <tableColumn id="14" xr3:uid="{934F7006-F7D7-4319-B8D1-E2299CB3B70E}" name="WR3 Recep" totalsRowFunction="custom" dataDxfId="7093" totalsRowDxfId="7092">
      <totalsRowFormula>AVERAGE(Table2121418198598110[WR3 Recep])</totalsRowFormula>
    </tableColumn>
    <tableColumn id="15" xr3:uid="{95F7440F-EAB9-42A4-A99E-96106AB1438A}" name="WR3 RecY" totalsRowFunction="custom" dataDxfId="7091" totalsRowDxfId="7090">
      <totalsRowFormula>AVERAGE(Table2121418198598110[WR3 RecY])</totalsRowFormula>
    </tableColumn>
    <tableColumn id="16" xr3:uid="{F3F2D09A-AD91-484F-8883-E7799FDF6C03}" name="WR4+ Recep" totalsRowFunction="custom" dataDxfId="7089" totalsRowDxfId="7088">
      <totalsRowFormula>AVERAGE(Table2121418198598110[WR4+ Recep])</totalsRowFormula>
    </tableColumn>
    <tableColumn id="17" xr3:uid="{99128A51-2121-4F4B-85B4-692EC6B3DB81}" name="WR4+ RecY" totalsRowFunction="custom" dataDxfId="7087" totalsRowDxfId="7086">
      <totalsRowFormula>AVERAGE(Table2121418198598110[WR4+ RecY])</totalsRowFormula>
    </tableColumn>
    <tableColumn id="18" xr3:uid="{C6023E14-638A-4052-9DEB-7BFD497A67DE}" name="TE1 Recep" totalsRowFunction="custom" dataDxfId="7085" totalsRowDxfId="7084">
      <totalsRowFormula>AVERAGE(Table2121418198598110[TE1 Recep])</totalsRowFormula>
    </tableColumn>
    <tableColumn id="19" xr3:uid="{25FB3ABA-1D69-4552-89E5-F3930C5EC9EF}" name="TE1 RecY" totalsRowFunction="custom" dataDxfId="7083" totalsRowDxfId="7082">
      <totalsRowFormula>AVERAGE(Table2121418198598110[TE1 RecY])</totalsRowFormula>
    </tableColumn>
    <tableColumn id="32" xr3:uid="{EA6407A5-21EB-46F3-A6AD-233D1F246E19}" name="TE2 Recep" totalsRowFunction="custom" dataDxfId="7081" totalsRowDxfId="7080">
      <totalsRowFormula>AVERAGE(Table2121418198598110[TE2 Recep])</totalsRowFormula>
    </tableColumn>
    <tableColumn id="33" xr3:uid="{493B2B36-93C6-4A99-8904-26BC60D780F0}" name="TE2 RecY" totalsRowFunction="custom" dataDxfId="7079" totalsRowDxfId="7078">
      <totalsRowFormula>AVERAGE(Table2121418198598110[TE2 RecY])</totalsRowFormula>
    </tableColumn>
    <tableColumn id="20" xr3:uid="{6873BD43-20FF-4057-9DC7-F27DF8BF2CC1}" name="QB TD" totalsRowFunction="custom" dataDxfId="7077" totalsRowDxfId="7076">
      <totalsRowFormula>AVERAGE(Table2121418198598110[QB TD])</totalsRowFormula>
    </tableColumn>
    <tableColumn id="21" xr3:uid="{70109C72-70BC-4A97-ACBF-AA7D996FF4A3}" name="RB1 TD" totalsRowFunction="custom" dataDxfId="7075" totalsRowDxfId="7074">
      <totalsRowFormula>AVERAGE(Table2121418198598110[RB1 TD])</totalsRowFormula>
    </tableColumn>
    <tableColumn id="34" xr3:uid="{BEAC4B1E-723C-42FE-9833-ECF11A139BAD}" name="RB2 TD" totalsRowFunction="custom" dataDxfId="7073" totalsRowDxfId="7072">
      <totalsRowFormula>AVERAGE(Table2121418198598110[RB2 TD])</totalsRowFormula>
    </tableColumn>
    <tableColumn id="22" xr3:uid="{CA393D1F-DA5D-40C5-BBC5-20B11672E03D}" name="WR1 TD" totalsRowFunction="custom" dataDxfId="7071" totalsRowDxfId="7070">
      <totalsRowFormula>AVERAGE(Table2121418198598110[WR1 TD])</totalsRowFormula>
    </tableColumn>
    <tableColumn id="23" xr3:uid="{065C660E-0432-4ED5-9D4A-C2F7236463A4}" name="WR2 TD" totalsRowFunction="custom" dataDxfId="7069" totalsRowDxfId="7068">
      <totalsRowFormula>AVERAGE(Table2121418198598110[WR2 TD])</totalsRowFormula>
    </tableColumn>
    <tableColumn id="24" xr3:uid="{F710C41B-753C-408D-87C5-61B7A8A86558}" name="WR3 TD" totalsRowFunction="custom" dataDxfId="7067" totalsRowDxfId="7066">
      <totalsRowFormula>AVERAGE(Table2121418198598110[WR3 TD])</totalsRowFormula>
    </tableColumn>
    <tableColumn id="25" xr3:uid="{C1F642F5-B78A-4424-9ACE-F97A9AAFF9AF}" name="WR4+ TD" totalsRowFunction="custom" dataDxfId="7065" totalsRowDxfId="7064">
      <totalsRowFormula>AVERAGE(Table2121418198598110[WR4+ TD])</totalsRowFormula>
    </tableColumn>
    <tableColumn id="26" xr3:uid="{72D8419C-481C-4A68-871B-5CD4386F66EE}" name="TE1 TD" totalsRowFunction="custom" dataDxfId="7063" totalsRowDxfId="7062">
      <totalsRowFormula>AVERAGE(Table2121418198598110[TE1 TD])</totalsRowFormula>
    </tableColumn>
    <tableColumn id="35" xr3:uid="{85D94C59-BBAE-49E0-8DD7-D39511CECDEE}" name="TE2 TD" totalsRowFunction="custom" dataDxfId="7061" totalsRowDxfId="7060">
      <totalsRowFormula>AVERAGE(Table2121418198598110[TE2 TD])</totalsRowFormula>
    </tableColumn>
    <tableColumn id="27" xr3:uid="{EF39664F-B102-49D3-A5B2-7A37EB258829}" name="D/ST TD" totalsRowFunction="custom" dataDxfId="7059" totalsRowDxfId="7058">
      <totalsRowFormula>AVERAGE(Table2121418198598110[D/ST TD])</totalsRowFormula>
    </tableColumn>
    <tableColumn id="30" xr3:uid="{3954F8DD-DF84-4FE0-9316-009D4A9444D6}" name="QB P+R" totalsRowFunction="custom" dataDxfId="7057" totalsRowDxfId="7056">
      <calculatedColumnFormula>Table2121418198598110[[#This Row],[QB PY]]+Table2121418198598110[[#This Row],[QB RY]]</calculatedColumnFormula>
      <totalsRowFormula>AVERAGE(Table2121418198598110[QB P+R])</totalsRowFormula>
    </tableColumn>
    <tableColumn id="31" xr3:uid="{502C4837-2B41-4ADB-BEEF-D1202F02F0FC}" name="RB R+R" totalsRowFunction="custom" dataDxfId="7055" totalsRowDxfId="7054">
      <calculatedColumnFormula>Table2121418198598110[[#This Row],[RB1 RY]]+Table2121418198598110[[#This Row],[RB2+ RY]]+Table2121418198598110[[#This Row],[RB1 RecY]]+Table2121418198598110[[#This Row],[RB2 RecY]]</calculatedColumnFormula>
      <totalsRowFormula>AVERAGE(Table2121418198598110[RB R+R])</totalsRowFormula>
    </tableColumn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CAC4D9A-DB0F-4781-B8D8-1962CE574C65}" name="Table2121418198598111" displayName="Table2121418198598111" ref="B464:AJ483" totalsRowCount="1" headerRowDxfId="7053" dataDxfId="7051" totalsRowDxfId="7050" headerRowBorderDxfId="7052" totalsRowBorderDxfId="7049">
  <autoFilter ref="B464:AJ482" xr:uid="{ACAC4D9A-DB0F-4781-B8D8-1962CE574C65}"/>
  <tableColumns count="35">
    <tableColumn id="1" xr3:uid="{2E1B6B05-91F3-4325-9FB1-5025A59FFBB7}" name="Week" totalsRowLabel="Average" totalsRowDxfId="7048"/>
    <tableColumn id="2" xr3:uid="{4C527BEF-09B7-4239-9746-7D05426225FE}" name="QB PY" totalsRowFunction="custom" dataDxfId="7047" totalsRowDxfId="7046">
      <totalsRowFormula>AVERAGE(Table2121418198598111[QB PY])</totalsRowFormula>
    </tableColumn>
    <tableColumn id="3" xr3:uid="{93956A5F-6C4A-4230-B991-C40A7143F0C4}" name="P TD" totalsRowFunction="custom" dataDxfId="7045" totalsRowDxfId="7044">
      <totalsRowFormula>AVERAGE(Table2121418198598111[P TD])</totalsRowFormula>
    </tableColumn>
    <tableColumn id="4" xr3:uid="{22D99A1D-C34E-4CE0-B195-0E7F80FB107E}" name="QB RY" totalsRowFunction="custom" dataDxfId="7043" totalsRowDxfId="7042">
      <totalsRowFormula>AVERAGE(Table2121418198598111[QB RY])</totalsRowFormula>
    </tableColumn>
    <tableColumn id="5" xr3:uid="{C4969D48-BA25-415F-B7EA-81E60A4752D1}" name="RB1 RY" totalsRowFunction="custom" dataDxfId="7041" totalsRowDxfId="7040">
      <totalsRowFormula>AVERAGE(Table2121418198598111[RB1 RY])</totalsRowFormula>
    </tableColumn>
    <tableColumn id="6" xr3:uid="{FA91E3A2-25C3-47BF-90AF-58135F5EDAA1}" name="RB2+ RY" totalsRowFunction="custom" dataDxfId="7039" totalsRowDxfId="7038">
      <totalsRowFormula>AVERAGE(Table2121418198598111[RB2+ RY])</totalsRowFormula>
    </tableColumn>
    <tableColumn id="7" xr3:uid="{C729FB2F-CC02-48EF-9243-8B1DE5687BD1}" name="WR RY" totalsRowFunction="custom" dataDxfId="7037" totalsRowDxfId="7036">
      <totalsRowFormula>AVERAGE(Table2121418198598111[WR RY])</totalsRowFormula>
    </tableColumn>
    <tableColumn id="8" xr3:uid="{E66FA170-2089-4439-ACE4-26A822E70DEC}" name="RB1 Recep" totalsRowFunction="custom" dataDxfId="7035" totalsRowDxfId="7034">
      <totalsRowFormula>AVERAGE(Table2121418198598111[RB1 Recep])</totalsRowFormula>
    </tableColumn>
    <tableColumn id="9" xr3:uid="{C6554A31-2487-490C-83F6-92F5F4AB6D37}" name="RB1 RecY" totalsRowFunction="custom" dataDxfId="7033" totalsRowDxfId="7032">
      <totalsRowFormula>AVERAGE(Table2121418198598111[RB1 RecY])</totalsRowFormula>
    </tableColumn>
    <tableColumn id="29" xr3:uid="{62AACB4E-FD4D-4599-A26E-B8B36B64C692}" name="RB2 Recep" totalsRowFunction="custom" dataDxfId="7031" totalsRowDxfId="7030">
      <totalsRowFormula>AVERAGE(Table2121418198598111[RB2 Recep])</totalsRowFormula>
    </tableColumn>
    <tableColumn id="28" xr3:uid="{2EE4021D-067E-4A8F-8AB5-5060A8939075}" name="RB2 RecY" totalsRowFunction="custom" dataDxfId="7029" totalsRowDxfId="7028">
      <totalsRowFormula>AVERAGE(Table2121418198598111[RB2 RecY])</totalsRowFormula>
    </tableColumn>
    <tableColumn id="10" xr3:uid="{80E0C2CE-5474-4219-84AF-36E85DA4A01F}" name="WR1 Recep" totalsRowFunction="custom" dataDxfId="7027" totalsRowDxfId="7026">
      <totalsRowFormula>AVERAGE(Table2121418198598111[WR1 Recep])</totalsRowFormula>
    </tableColumn>
    <tableColumn id="11" xr3:uid="{4CCC4730-6FFB-4D80-8F93-312EE3B4C1FF}" name="WR1 RecY" totalsRowFunction="custom" dataDxfId="7025" totalsRowDxfId="7024">
      <totalsRowFormula>AVERAGE(Table2121418198598111[WR1 RecY])</totalsRowFormula>
    </tableColumn>
    <tableColumn id="12" xr3:uid="{514AD836-1B35-4517-A2DF-43629464466F}" name="WR2 Recep" totalsRowFunction="custom" dataDxfId="7023" totalsRowDxfId="7022">
      <totalsRowFormula>AVERAGE(Table2121418198598111[WR2 Recep])</totalsRowFormula>
    </tableColumn>
    <tableColumn id="13" xr3:uid="{F452CAC3-C356-4824-93B7-163E1688A62F}" name="WR2 RecY" totalsRowFunction="custom" dataDxfId="7021" totalsRowDxfId="7020">
      <totalsRowFormula>AVERAGE(Table2121418198598111[WR2 RecY])</totalsRowFormula>
    </tableColumn>
    <tableColumn id="14" xr3:uid="{CA960BC3-EE13-418E-A421-25F7F511C08B}" name="WR3 Recep" totalsRowFunction="custom" dataDxfId="7019" totalsRowDxfId="7018">
      <totalsRowFormula>AVERAGE(Table2121418198598111[WR3 Recep])</totalsRowFormula>
    </tableColumn>
    <tableColumn id="15" xr3:uid="{65274D13-BFD4-415C-9D7F-817638F2F10B}" name="WR3 RecY" totalsRowFunction="custom" dataDxfId="7017" totalsRowDxfId="7016">
      <totalsRowFormula>AVERAGE(Table2121418198598111[WR3 RecY])</totalsRowFormula>
    </tableColumn>
    <tableColumn id="16" xr3:uid="{82415A21-241C-46E4-8DED-FA035EAAF25F}" name="WR4+ Recep" totalsRowFunction="custom" dataDxfId="7015" totalsRowDxfId="7014">
      <totalsRowFormula>AVERAGE(Table2121418198598111[WR4+ Recep])</totalsRowFormula>
    </tableColumn>
    <tableColumn id="17" xr3:uid="{ED461110-7141-42A9-8087-C04A2DDE578D}" name="WR4+ RecY" totalsRowFunction="custom" dataDxfId="7013" totalsRowDxfId="7012">
      <totalsRowFormula>AVERAGE(Table2121418198598111[WR4+ RecY])</totalsRowFormula>
    </tableColumn>
    <tableColumn id="18" xr3:uid="{E6340F4F-E28D-4446-A070-E156115362F3}" name="TE1 Recep" totalsRowFunction="custom" dataDxfId="7011" totalsRowDxfId="7010">
      <totalsRowFormula>AVERAGE(Table2121418198598111[TE1 Recep])</totalsRowFormula>
    </tableColumn>
    <tableColumn id="19" xr3:uid="{232D1C02-AB10-408C-9D11-20AC4DED72E9}" name="TE1 RecY" totalsRowFunction="custom" dataDxfId="7009" totalsRowDxfId="7008">
      <totalsRowFormula>AVERAGE(Table2121418198598111[TE1 RecY])</totalsRowFormula>
    </tableColumn>
    <tableColumn id="32" xr3:uid="{44CA9AB7-EDEA-47CC-9CE2-F7E503C7E8D1}" name="TE2 Recep" totalsRowFunction="custom" dataDxfId="7007" totalsRowDxfId="7006">
      <totalsRowFormula>AVERAGE(Table2121418198598111[TE2 Recep])</totalsRowFormula>
    </tableColumn>
    <tableColumn id="33" xr3:uid="{1269046D-3E8E-48C0-AC22-B49E6082855B}" name="TE2 RecY" totalsRowFunction="custom" dataDxfId="7005" totalsRowDxfId="7004">
      <totalsRowFormula>AVERAGE(Table2121418198598111[TE2 RecY])</totalsRowFormula>
    </tableColumn>
    <tableColumn id="20" xr3:uid="{CFB4A5C9-21B3-4A46-A956-E8A28FB4578B}" name="QB TD" totalsRowFunction="custom" dataDxfId="7003" totalsRowDxfId="7002">
      <totalsRowFormula>AVERAGE(Table2121418198598111[QB TD])</totalsRowFormula>
    </tableColumn>
    <tableColumn id="21" xr3:uid="{5544F2C1-A139-42C1-95A6-82EC2427A837}" name="RB1 TD" totalsRowFunction="custom" dataDxfId="7001" totalsRowDxfId="7000">
      <totalsRowFormula>AVERAGE(Table2121418198598111[RB1 TD])</totalsRowFormula>
    </tableColumn>
    <tableColumn id="34" xr3:uid="{AD038D6F-6309-46DA-A0C7-8908DDBB76B9}" name="RB2 TD" totalsRowFunction="custom" dataDxfId="6999" totalsRowDxfId="6998">
      <totalsRowFormula>AVERAGE(Table2121418198598111[RB2 TD])</totalsRowFormula>
    </tableColumn>
    <tableColumn id="22" xr3:uid="{60E20DF5-EAE0-4699-8CEB-B31FACD8DD21}" name="WR1 TD" totalsRowFunction="custom" dataDxfId="6997" totalsRowDxfId="6996">
      <totalsRowFormula>AVERAGE(Table2121418198598111[WR1 TD])</totalsRowFormula>
    </tableColumn>
    <tableColumn id="23" xr3:uid="{C84D0E5B-8018-40BD-AF73-AAFF01F63EF0}" name="WR2 TD" totalsRowFunction="custom" dataDxfId="6995" totalsRowDxfId="6994">
      <totalsRowFormula>AVERAGE(Table2121418198598111[WR2 TD])</totalsRowFormula>
    </tableColumn>
    <tableColumn id="24" xr3:uid="{A1FF8DF4-D493-4349-B1B0-46CABD5EB596}" name="WR3 TD" totalsRowFunction="custom" dataDxfId="6993" totalsRowDxfId="6992">
      <totalsRowFormula>AVERAGE(Table2121418198598111[WR3 TD])</totalsRowFormula>
    </tableColumn>
    <tableColumn id="25" xr3:uid="{CD6C8E7C-045A-4694-B212-E98D47C5C065}" name="WR4+ TD" totalsRowFunction="custom" dataDxfId="6991" totalsRowDxfId="6990">
      <totalsRowFormula>AVERAGE(Table2121418198598111[WR4+ TD])</totalsRowFormula>
    </tableColumn>
    <tableColumn id="26" xr3:uid="{EC36FBE0-1413-4C39-AF72-381625D2D6BA}" name="TE1 TD" totalsRowFunction="custom" dataDxfId="6989" totalsRowDxfId="6988">
      <totalsRowFormula>AVERAGE(Table2121418198598111[TE1 TD])</totalsRowFormula>
    </tableColumn>
    <tableColumn id="35" xr3:uid="{F3908D3D-CB66-484C-AA17-AE1AF43AEB00}" name="TE2 TD" totalsRowFunction="custom" dataDxfId="6987" totalsRowDxfId="6986">
      <totalsRowFormula>AVERAGE(Table2121418198598111[TE2 TD])</totalsRowFormula>
    </tableColumn>
    <tableColumn id="27" xr3:uid="{4AE94463-1C15-408B-9823-2CC050FBBE08}" name="D/ST TD" totalsRowFunction="custom" dataDxfId="6985" totalsRowDxfId="6984">
      <totalsRowFormula>AVERAGE(Table2121418198598111[D/ST TD])</totalsRowFormula>
    </tableColumn>
    <tableColumn id="30" xr3:uid="{D94FA1FF-47A4-43C2-B8F5-CDE27BFE92AC}" name="QB P+R" totalsRowFunction="custom" dataDxfId="6983" totalsRowDxfId="6982">
      <calculatedColumnFormula>Table2121418198598111[[#This Row],[QB PY]]+Table2121418198598111[[#This Row],[QB RY]]</calculatedColumnFormula>
      <totalsRowFormula>AVERAGE(Table2121418198598111[QB P+R])</totalsRowFormula>
    </tableColumn>
    <tableColumn id="31" xr3:uid="{1A70147B-4CF6-4428-B211-18EA5CA3A0B0}" name="RB R+R" totalsRowFunction="custom" dataDxfId="6981" totalsRowDxfId="6980">
      <calculatedColumnFormula>Table2121418198598111[[#This Row],[RB1 RY]]+Table2121418198598111[[#This Row],[RB2+ RY]]+Table2121418198598111[[#This Row],[RB1 RecY]]+Table2121418198598111[[#This Row],[RB2 RecY]]</calculatedColumnFormula>
      <totalsRowFormula>AVERAGE(Table2121418198598111[RB R+R])</totalsRowFormula>
    </tableColumn>
  </tableColumns>
  <tableStyleInfo name="TableStyleLight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241B249-DA8B-414A-9672-B86061AAAE5C}" name="Table2121418198598112" displayName="Table2121418198598112" ref="B486:AJ505" totalsRowCount="1" headerRowDxfId="6979" dataDxfId="6977" totalsRowDxfId="6976" headerRowBorderDxfId="6978" totalsRowBorderDxfId="6975">
  <autoFilter ref="B486:AJ504" xr:uid="{6241B249-DA8B-414A-9672-B86061AAAE5C}"/>
  <tableColumns count="35">
    <tableColumn id="1" xr3:uid="{7A0CA033-01C7-40CC-9F18-432F6B87BD19}" name="Week" totalsRowLabel="Average" totalsRowDxfId="6974"/>
    <tableColumn id="2" xr3:uid="{2022CE71-6A2D-4739-9333-9F2190F90E85}" name="QB PY" totalsRowFunction="custom" dataDxfId="6973" totalsRowDxfId="6972">
      <totalsRowFormula>AVERAGE(Table2121418198598112[QB PY])</totalsRowFormula>
    </tableColumn>
    <tableColumn id="3" xr3:uid="{9C334F2A-BD23-46B9-9B90-16CF4D487882}" name="P TD" totalsRowFunction="custom" dataDxfId="6971" totalsRowDxfId="6970">
      <totalsRowFormula>AVERAGE(Table2121418198598112[P TD])</totalsRowFormula>
    </tableColumn>
    <tableColumn id="4" xr3:uid="{7DD06B63-1D68-4C5C-BFD0-4F994670F773}" name="QB RY" totalsRowFunction="custom" dataDxfId="6969" totalsRowDxfId="6968">
      <totalsRowFormula>AVERAGE(Table2121418198598112[QB RY])</totalsRowFormula>
    </tableColumn>
    <tableColumn id="5" xr3:uid="{F5DEDAD5-E1FC-459E-8B64-17349871CAC5}" name="RB1 RY" totalsRowFunction="custom" dataDxfId="6967" totalsRowDxfId="6966">
      <totalsRowFormula>AVERAGE(Table2121418198598112[RB1 RY])</totalsRowFormula>
    </tableColumn>
    <tableColumn id="6" xr3:uid="{3B7DC8BC-70AB-4F4E-9EA3-3573EE3DA0F5}" name="RB2+ RY" totalsRowFunction="custom" dataDxfId="6965" totalsRowDxfId="6964">
      <totalsRowFormula>AVERAGE(Table2121418198598112[RB2+ RY])</totalsRowFormula>
    </tableColumn>
    <tableColumn id="7" xr3:uid="{BD42FD95-1873-4977-9016-DD5A85B0CD17}" name="WR RY" totalsRowFunction="custom" dataDxfId="6963" totalsRowDxfId="6962">
      <totalsRowFormula>AVERAGE(Table2121418198598112[WR RY])</totalsRowFormula>
    </tableColumn>
    <tableColumn id="8" xr3:uid="{10B6F8A5-7F72-4F88-9FE7-E4D6089C767F}" name="RB1 Recep" totalsRowFunction="custom" dataDxfId="6961" totalsRowDxfId="6960">
      <totalsRowFormula>AVERAGE(Table2121418198598112[RB1 Recep])</totalsRowFormula>
    </tableColumn>
    <tableColumn id="9" xr3:uid="{6054142C-901B-43F8-A6AF-5A4F107744B7}" name="RB1 RecY" totalsRowFunction="custom" dataDxfId="6959" totalsRowDxfId="6958">
      <totalsRowFormula>AVERAGE(Table2121418198598112[RB1 RecY])</totalsRowFormula>
    </tableColumn>
    <tableColumn id="29" xr3:uid="{24EB98C6-2DF9-4F63-BFCD-DC71DCB908FB}" name="RB2 Recep" totalsRowFunction="custom" dataDxfId="6957" totalsRowDxfId="6956">
      <totalsRowFormula>AVERAGE(Table2121418198598112[RB2 Recep])</totalsRowFormula>
    </tableColumn>
    <tableColumn id="28" xr3:uid="{068CE2B1-92A9-47D3-9E32-5F7B3454FE81}" name="RB2 RecY" totalsRowFunction="custom" dataDxfId="6955" totalsRowDxfId="6954">
      <totalsRowFormula>AVERAGE(Table2121418198598112[RB2 RecY])</totalsRowFormula>
    </tableColumn>
    <tableColumn id="10" xr3:uid="{C9E03918-7C61-494E-9595-E18E15101C8A}" name="WR1 Recep" totalsRowFunction="custom" dataDxfId="6953" totalsRowDxfId="6952">
      <totalsRowFormula>AVERAGE(Table2121418198598112[WR1 Recep])</totalsRowFormula>
    </tableColumn>
    <tableColumn id="11" xr3:uid="{12B2197A-6D7D-40AC-ACDB-F27B70995785}" name="WR1 RecY" totalsRowFunction="custom" dataDxfId="6951" totalsRowDxfId="6950">
      <totalsRowFormula>AVERAGE(Table2121418198598112[WR1 RecY])</totalsRowFormula>
    </tableColumn>
    <tableColumn id="12" xr3:uid="{9DCB78A2-36D8-4B21-AB96-07199A3A0F18}" name="WR2 Recep" totalsRowFunction="custom" dataDxfId="6949" totalsRowDxfId="6948">
      <totalsRowFormula>AVERAGE(Table2121418198598112[WR2 Recep])</totalsRowFormula>
    </tableColumn>
    <tableColumn id="13" xr3:uid="{69B99867-BCF4-4047-B3B5-86E4BE9C293E}" name="WR2 RecY" totalsRowFunction="custom" dataDxfId="6947" totalsRowDxfId="6946">
      <totalsRowFormula>AVERAGE(Table2121418198598112[WR2 RecY])</totalsRowFormula>
    </tableColumn>
    <tableColumn id="14" xr3:uid="{F072FC0A-6F57-4D5B-99FD-495AE183991B}" name="WR3 Recep" totalsRowFunction="custom" dataDxfId="6945" totalsRowDxfId="6944">
      <totalsRowFormula>AVERAGE(Table2121418198598112[WR3 Recep])</totalsRowFormula>
    </tableColumn>
    <tableColumn id="15" xr3:uid="{FD1EB796-44AA-49C3-9C8B-1AE6B3848E78}" name="WR3 RecY" totalsRowFunction="custom" dataDxfId="6943" totalsRowDxfId="6942">
      <totalsRowFormula>AVERAGE(Table2121418198598112[WR3 RecY])</totalsRowFormula>
    </tableColumn>
    <tableColumn id="16" xr3:uid="{47B1311D-179B-45B0-8DD6-9FA4A7F8C2D4}" name="WR4+ Recep" totalsRowFunction="custom" dataDxfId="6941" totalsRowDxfId="6940">
      <totalsRowFormula>AVERAGE(Table2121418198598112[WR4+ Recep])</totalsRowFormula>
    </tableColumn>
    <tableColumn id="17" xr3:uid="{37D7332E-58B8-477D-862D-76E5853BD8EA}" name="WR4+ RecY" totalsRowFunction="custom" dataDxfId="6939" totalsRowDxfId="6938">
      <totalsRowFormula>AVERAGE(Table2121418198598112[WR4+ RecY])</totalsRowFormula>
    </tableColumn>
    <tableColumn id="18" xr3:uid="{F1B092CD-07AF-4EEA-93DE-0B37C64EF45C}" name="TE1 Recep" totalsRowFunction="custom" dataDxfId="6937" totalsRowDxfId="6936">
      <totalsRowFormula>AVERAGE(Table2121418198598112[TE1 Recep])</totalsRowFormula>
    </tableColumn>
    <tableColumn id="19" xr3:uid="{2325226C-5AAB-4B23-AD63-19249CEC8658}" name="TE1 RecY" totalsRowFunction="custom" dataDxfId="6935" totalsRowDxfId="6934">
      <totalsRowFormula>AVERAGE(Table2121418198598112[TE1 RecY])</totalsRowFormula>
    </tableColumn>
    <tableColumn id="32" xr3:uid="{17D4B3A8-1CFB-41D4-A6B7-C1C53BC516D1}" name="TE2 Recep" totalsRowFunction="custom" dataDxfId="6933" totalsRowDxfId="6932">
      <totalsRowFormula>AVERAGE(Table2121418198598112[TE2 Recep])</totalsRowFormula>
    </tableColumn>
    <tableColumn id="33" xr3:uid="{EC4277EA-6888-4A28-97CC-4EBF2F9E6427}" name="TE2 RecY" totalsRowFunction="custom" dataDxfId="6931" totalsRowDxfId="6930">
      <totalsRowFormula>AVERAGE(Table2121418198598112[TE2 RecY])</totalsRowFormula>
    </tableColumn>
    <tableColumn id="20" xr3:uid="{9E82F7A3-388D-4FB2-83EB-A8BB4E149519}" name="QB TD" totalsRowFunction="custom" dataDxfId="6929" totalsRowDxfId="6928">
      <totalsRowFormula>AVERAGE(Table2121418198598112[QB TD])</totalsRowFormula>
    </tableColumn>
    <tableColumn id="21" xr3:uid="{90A2C35F-059C-4A25-876D-5552EB1A3E40}" name="RB1 TD" totalsRowFunction="custom" dataDxfId="6927" totalsRowDxfId="6926">
      <totalsRowFormula>AVERAGE(Table2121418198598112[RB1 TD])</totalsRowFormula>
    </tableColumn>
    <tableColumn id="34" xr3:uid="{9D1A2822-276D-47FA-92A4-AA7928A7047D}" name="RB2 TD" totalsRowFunction="custom" dataDxfId="6925" totalsRowDxfId="6924">
      <totalsRowFormula>AVERAGE(Table2121418198598112[RB2 TD])</totalsRowFormula>
    </tableColumn>
    <tableColumn id="22" xr3:uid="{A7AF10AB-BFCF-4046-AE37-1AB674439BB4}" name="WR1 TD" totalsRowFunction="custom" dataDxfId="6923" totalsRowDxfId="6922">
      <totalsRowFormula>AVERAGE(Table2121418198598112[WR1 TD])</totalsRowFormula>
    </tableColumn>
    <tableColumn id="23" xr3:uid="{4D8AA3E1-EF7F-4B11-AC55-11E127C07849}" name="WR2 TD" totalsRowFunction="custom" dataDxfId="6921" totalsRowDxfId="6920">
      <totalsRowFormula>AVERAGE(Table2121418198598112[WR2 TD])</totalsRowFormula>
    </tableColumn>
    <tableColumn id="24" xr3:uid="{30EBA243-4A43-444D-B05B-BFBFEC5BCCD5}" name="WR3 TD" totalsRowFunction="custom" dataDxfId="6919" totalsRowDxfId="6918">
      <totalsRowFormula>AVERAGE(Table2121418198598112[WR3 TD])</totalsRowFormula>
    </tableColumn>
    <tableColumn id="25" xr3:uid="{636F5857-DF0B-4837-B6A9-4B40E48D8F22}" name="WR4+ TD" totalsRowFunction="custom" dataDxfId="6917" totalsRowDxfId="6916">
      <totalsRowFormula>AVERAGE(Table2121418198598112[WR4+ TD])</totalsRowFormula>
    </tableColumn>
    <tableColumn id="26" xr3:uid="{4F5B63E1-B812-4D7D-BAD3-16389A4AF37D}" name="TE1 TD" totalsRowFunction="custom" dataDxfId="6915" totalsRowDxfId="6914">
      <totalsRowFormula>AVERAGE(Table2121418198598112[TE1 TD])</totalsRowFormula>
    </tableColumn>
    <tableColumn id="35" xr3:uid="{B8F4DC3F-4A42-4F10-B579-661A1CAC6761}" name="TE2 TD" totalsRowFunction="custom" dataDxfId="6913" totalsRowDxfId="6912">
      <totalsRowFormula>AVERAGE(Table2121418198598112[TE2 TD])</totalsRowFormula>
    </tableColumn>
    <tableColumn id="27" xr3:uid="{AE11BA46-B2F2-4E8C-8712-7A8CEFE897E8}" name="D/ST TD" totalsRowFunction="custom" dataDxfId="6911" totalsRowDxfId="6910">
      <totalsRowFormula>AVERAGE(Table2121418198598112[D/ST TD])</totalsRowFormula>
    </tableColumn>
    <tableColumn id="30" xr3:uid="{929E0B5E-8F8C-4AA8-B81F-589E8EA6B13C}" name="QB P+R" totalsRowFunction="custom" dataDxfId="6909" totalsRowDxfId="6908">
      <calculatedColumnFormula>Table2121418198598112[[#This Row],[QB PY]]+Table2121418198598112[[#This Row],[QB RY]]</calculatedColumnFormula>
      <totalsRowFormula>AVERAGE(Table2121418198598112[QB P+R])</totalsRowFormula>
    </tableColumn>
    <tableColumn id="31" xr3:uid="{501ADC7A-C19A-4540-B0A5-9B093D3D2013}" name="RB R+R" totalsRowFunction="custom" dataDxfId="6907" totalsRowDxfId="6906">
      <calculatedColumnFormula>Table2121418198598112[[#This Row],[RB1 RY]]+Table2121418198598112[[#This Row],[RB2+ RY]]+Table2121418198598112[[#This Row],[RB1 RecY]]+Table2121418198598112[[#This Row],[RB2 RecY]]</calculatedColumnFormula>
      <totalsRowFormula>AVERAGE(Table2121418198598112[RB R+R])</totalsRowFormula>
    </tableColumn>
  </tableColumns>
  <tableStyleInfo name="TableStyleLight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AD513E3-F2B1-4279-8060-DC6B2A77FD43}" name="Table2121418198598113" displayName="Table2121418198598113" ref="B508:AJ527" totalsRowCount="1" headerRowDxfId="6905" dataDxfId="6903" totalsRowDxfId="6902" headerRowBorderDxfId="6904" totalsRowBorderDxfId="6901">
  <autoFilter ref="B508:AJ526" xr:uid="{2AD513E3-F2B1-4279-8060-DC6B2A77FD43}"/>
  <tableColumns count="35">
    <tableColumn id="1" xr3:uid="{0381DB5F-3D82-4C39-87AB-C4038AA2A2E0}" name="Week" totalsRowLabel="Average" totalsRowDxfId="6900"/>
    <tableColumn id="2" xr3:uid="{7A88BB8E-EEBC-422E-976B-1423DDE475AC}" name="QB PY" totalsRowFunction="custom" dataDxfId="6899" totalsRowDxfId="6898">
      <totalsRowFormula>AVERAGE(Table2121418198598113[QB PY])</totalsRowFormula>
    </tableColumn>
    <tableColumn id="3" xr3:uid="{E6F69737-1ABC-4CE9-A1C7-4DDF7D422943}" name="P TD" totalsRowFunction="custom" dataDxfId="6897" totalsRowDxfId="6896">
      <totalsRowFormula>AVERAGE(Table2121418198598113[P TD])</totalsRowFormula>
    </tableColumn>
    <tableColumn id="4" xr3:uid="{3E7CD2CF-1AA1-41DB-9E15-2D433CE46EDC}" name="QB RY" totalsRowFunction="custom" dataDxfId="6895" totalsRowDxfId="6894">
      <totalsRowFormula>AVERAGE(Table2121418198598113[QB RY])</totalsRowFormula>
    </tableColumn>
    <tableColumn id="5" xr3:uid="{6733C5F8-80A3-44DD-B4E6-4CA95389890B}" name="RB1 RY" totalsRowFunction="custom" dataDxfId="6893" totalsRowDxfId="6892">
      <totalsRowFormula>AVERAGE(Table2121418198598113[RB1 RY])</totalsRowFormula>
    </tableColumn>
    <tableColumn id="6" xr3:uid="{96952503-E1EC-46D4-AD22-952A8012C840}" name="RB2+ RY" totalsRowFunction="custom" dataDxfId="6891" totalsRowDxfId="6890">
      <totalsRowFormula>AVERAGE(Table2121418198598113[RB2+ RY])</totalsRowFormula>
    </tableColumn>
    <tableColumn id="7" xr3:uid="{24FE9AE1-2282-42D0-BB72-C116F734EFB5}" name="WR RY" totalsRowFunction="custom" dataDxfId="6889" totalsRowDxfId="6888">
      <totalsRowFormula>AVERAGE(Table2121418198598113[WR RY])</totalsRowFormula>
    </tableColumn>
    <tableColumn id="8" xr3:uid="{C0DAAA7B-5FD2-4E6E-B3B5-1CCD3A6032BD}" name="RB1 Recep" totalsRowFunction="custom" dataDxfId="6887" totalsRowDxfId="6886">
      <totalsRowFormula>AVERAGE(Table2121418198598113[RB1 Recep])</totalsRowFormula>
    </tableColumn>
    <tableColumn id="9" xr3:uid="{56AFD6AC-7DBE-4DDC-BFC2-6FDFCF1B397B}" name="RB1 RecY" totalsRowFunction="custom" dataDxfId="6885" totalsRowDxfId="6884">
      <totalsRowFormula>AVERAGE(Table2121418198598113[RB1 RecY])</totalsRowFormula>
    </tableColumn>
    <tableColumn id="29" xr3:uid="{2DE34880-8D2C-4683-B09A-A8EBE1B6443F}" name="RB2 Recep" totalsRowFunction="custom" dataDxfId="6883" totalsRowDxfId="6882">
      <totalsRowFormula>AVERAGE(Table2121418198598113[RB2 Recep])</totalsRowFormula>
    </tableColumn>
    <tableColumn id="28" xr3:uid="{37048505-3230-4120-B8A1-14053469884D}" name="RB2 RecY" totalsRowFunction="custom" dataDxfId="6881" totalsRowDxfId="6880">
      <totalsRowFormula>AVERAGE(Table2121418198598113[RB2 RecY])</totalsRowFormula>
    </tableColumn>
    <tableColumn id="10" xr3:uid="{B09EC646-DD59-4F3B-B934-EF379E415117}" name="WR1 Recep" totalsRowFunction="custom" dataDxfId="6879" totalsRowDxfId="6878">
      <totalsRowFormula>AVERAGE(Table2121418198598113[WR1 Recep])</totalsRowFormula>
    </tableColumn>
    <tableColumn id="11" xr3:uid="{69580B85-A1D6-4CA0-9DC2-7B41BB9F22D3}" name="WR1 RecY" totalsRowFunction="custom" dataDxfId="6877" totalsRowDxfId="6876">
      <totalsRowFormula>AVERAGE(Table2121418198598113[WR1 RecY])</totalsRowFormula>
    </tableColumn>
    <tableColumn id="12" xr3:uid="{FD406BDB-DF8D-4FB6-B7CF-907B60FDF66B}" name="WR2 Recep" totalsRowFunction="custom" dataDxfId="6875" totalsRowDxfId="6874">
      <totalsRowFormula>AVERAGE(Table2121418198598113[WR2 Recep])</totalsRowFormula>
    </tableColumn>
    <tableColumn id="13" xr3:uid="{17AE3CD8-E6BA-4B2B-B2B6-D6D3D4FEFB8C}" name="WR2 RecY" totalsRowFunction="custom" dataDxfId="6873" totalsRowDxfId="6872">
      <totalsRowFormula>AVERAGE(Table2121418198598113[WR2 RecY])</totalsRowFormula>
    </tableColumn>
    <tableColumn id="14" xr3:uid="{1A5F135A-03F6-4B3E-9671-393D3A7DD5A1}" name="WR3 Recep" totalsRowFunction="custom" dataDxfId="6871" totalsRowDxfId="6870">
      <totalsRowFormula>AVERAGE(Table2121418198598113[WR3 Recep])</totalsRowFormula>
    </tableColumn>
    <tableColumn id="15" xr3:uid="{13382811-0E4A-4BC9-B5F0-97206D363AB3}" name="WR3 RecY" totalsRowFunction="custom" dataDxfId="6869" totalsRowDxfId="6868">
      <totalsRowFormula>AVERAGE(Table2121418198598113[WR3 RecY])</totalsRowFormula>
    </tableColumn>
    <tableColumn id="16" xr3:uid="{FE71B0BF-963B-45DD-A60F-CBFED893A63A}" name="WR4+ Recep" totalsRowFunction="custom" dataDxfId="6867" totalsRowDxfId="6866">
      <totalsRowFormula>AVERAGE(Table2121418198598113[WR4+ Recep])</totalsRowFormula>
    </tableColumn>
    <tableColumn id="17" xr3:uid="{F2C588C2-8E8F-47B9-ACFF-A63B7E8F4F07}" name="WR4+ RecY" totalsRowFunction="custom" dataDxfId="6865" totalsRowDxfId="6864">
      <totalsRowFormula>AVERAGE(Table2121418198598113[WR4+ RecY])</totalsRowFormula>
    </tableColumn>
    <tableColumn id="18" xr3:uid="{D4AA92CF-FB3D-4993-8273-1D3C59C0808F}" name="TE1 Recep" totalsRowFunction="custom" dataDxfId="6863" totalsRowDxfId="6862">
      <totalsRowFormula>AVERAGE(Table2121418198598113[TE1 Recep])</totalsRowFormula>
    </tableColumn>
    <tableColumn id="19" xr3:uid="{FD15A7ED-B10E-40EC-8E3B-A28C9B67CB9E}" name="TE1 RecY" totalsRowFunction="custom" dataDxfId="6861" totalsRowDxfId="6860">
      <totalsRowFormula>AVERAGE(Table2121418198598113[TE1 RecY])</totalsRowFormula>
    </tableColumn>
    <tableColumn id="32" xr3:uid="{8F8B2DED-63BF-4880-8999-261F03B350C3}" name="TE2 Recep" totalsRowFunction="custom" dataDxfId="6859" totalsRowDxfId="6858">
      <totalsRowFormula>AVERAGE(Table2121418198598113[TE2 Recep])</totalsRowFormula>
    </tableColumn>
    <tableColumn id="33" xr3:uid="{BC9F66BA-C49D-4A39-83FA-AA285D784565}" name="TE2 RecY" totalsRowFunction="custom" dataDxfId="6857" totalsRowDxfId="6856">
      <totalsRowFormula>AVERAGE(Table2121418198598113[TE2 RecY])</totalsRowFormula>
    </tableColumn>
    <tableColumn id="20" xr3:uid="{4428DEF0-025D-4951-9AB9-69CE099858F5}" name="QB TD" totalsRowFunction="custom" dataDxfId="6855" totalsRowDxfId="6854">
      <totalsRowFormula>AVERAGE(Table2121418198598113[QB TD])</totalsRowFormula>
    </tableColumn>
    <tableColumn id="21" xr3:uid="{E35FDC3A-75A9-4145-B70D-660BD2E979BD}" name="RB1 TD" totalsRowFunction="custom" dataDxfId="6853" totalsRowDxfId="6852">
      <totalsRowFormula>AVERAGE(Table2121418198598113[RB1 TD])</totalsRowFormula>
    </tableColumn>
    <tableColumn id="34" xr3:uid="{C03E6334-AE1B-4107-A7B0-F6D9202060D4}" name="RB2 TD" totalsRowFunction="custom" dataDxfId="6851" totalsRowDxfId="6850">
      <totalsRowFormula>AVERAGE(Table2121418198598113[RB2 TD])</totalsRowFormula>
    </tableColumn>
    <tableColumn id="22" xr3:uid="{B949515D-2084-4DF8-B49E-A03BDABBD5FB}" name="WR1 TD" totalsRowFunction="custom" dataDxfId="6849" totalsRowDxfId="6848">
      <totalsRowFormula>AVERAGE(Table2121418198598113[WR1 TD])</totalsRowFormula>
    </tableColumn>
    <tableColumn id="23" xr3:uid="{37D5767C-DEBF-4CBC-A8CE-D5F3F8ADC4EF}" name="WR2 TD" totalsRowFunction="custom" dataDxfId="6847" totalsRowDxfId="6846">
      <totalsRowFormula>AVERAGE(Table2121418198598113[WR2 TD])</totalsRowFormula>
    </tableColumn>
    <tableColumn id="24" xr3:uid="{06BF2A66-DEDC-477C-8B25-0AF2743F3CD6}" name="WR3 TD" totalsRowFunction="custom" dataDxfId="6845" totalsRowDxfId="6844">
      <totalsRowFormula>AVERAGE(Table2121418198598113[WR3 TD])</totalsRowFormula>
    </tableColumn>
    <tableColumn id="25" xr3:uid="{8DC8EC6A-4C9D-49C1-8700-8F51530671EA}" name="WR4+ TD" totalsRowFunction="custom" dataDxfId="6843" totalsRowDxfId="6842">
      <totalsRowFormula>AVERAGE(Table2121418198598113[WR4+ TD])</totalsRowFormula>
    </tableColumn>
    <tableColumn id="26" xr3:uid="{7357999F-2EBD-4BC7-AB60-2BF58BAD7F25}" name="TE1 TD" totalsRowFunction="custom" dataDxfId="6841" totalsRowDxfId="6840">
      <totalsRowFormula>AVERAGE(Table2121418198598113[TE1 TD])</totalsRowFormula>
    </tableColumn>
    <tableColumn id="35" xr3:uid="{527AED76-DC61-458F-911F-FC7B34252932}" name="TE2 TD" totalsRowFunction="custom" dataDxfId="6839" totalsRowDxfId="6838">
      <totalsRowFormula>AVERAGE(Table2121418198598113[TE2 TD])</totalsRowFormula>
    </tableColumn>
    <tableColumn id="27" xr3:uid="{C214A4C6-14B3-4BE2-8E29-61C34E44DFB6}" name="D/ST TD" totalsRowFunction="custom" dataDxfId="6837" totalsRowDxfId="6836">
      <totalsRowFormula>AVERAGE(Table2121418198598113[D/ST TD])</totalsRowFormula>
    </tableColumn>
    <tableColumn id="30" xr3:uid="{D21B213D-2AAD-4A76-8532-267C9AD72905}" name="QB P+R" totalsRowFunction="custom" dataDxfId="6835" totalsRowDxfId="6834">
      <calculatedColumnFormula>Table2121418198598113[[#This Row],[QB PY]]+Table2121418198598113[[#This Row],[QB RY]]</calculatedColumnFormula>
      <totalsRowFormula>AVERAGE(Table2121418198598113[QB P+R])</totalsRowFormula>
    </tableColumn>
    <tableColumn id="31" xr3:uid="{EABDCAA0-4B46-485B-95A9-4975B182C7E4}" name="RB R+R" totalsRowFunction="custom" dataDxfId="6833" totalsRowDxfId="6832">
      <calculatedColumnFormula>Table2121418198598113[[#This Row],[RB1 RY]]+Table2121418198598113[[#This Row],[RB2+ RY]]+Table2121418198598113[[#This Row],[RB1 RecY]]+Table2121418198598113[[#This Row],[RB2 RecY]]</calculatedColumnFormula>
      <totalsRowFormula>AVERAGE(Table2121418198598113[RB R+R])</totalsRowFormula>
    </tableColumn>
  </tableColumns>
  <tableStyleInfo name="TableStyleLight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10EA9F8-88BE-4E85-8739-FD50F9E8172D}" name="Table2121418198598114" displayName="Table2121418198598114" ref="B530:AJ549" totalsRowCount="1" headerRowDxfId="6831" dataDxfId="6829" totalsRowDxfId="6828" headerRowBorderDxfId="6830" totalsRowBorderDxfId="6827">
  <autoFilter ref="B530:AJ548" xr:uid="{E10EA9F8-88BE-4E85-8739-FD50F9E8172D}"/>
  <tableColumns count="35">
    <tableColumn id="1" xr3:uid="{ED154547-462C-4D00-9DE0-F9BF3FEA3809}" name="Week" totalsRowLabel="Average" totalsRowDxfId="6826"/>
    <tableColumn id="2" xr3:uid="{E27C0245-E965-46B0-AB3C-1FD04AAB1E59}" name="QB PY" totalsRowFunction="custom" dataDxfId="6825" totalsRowDxfId="6824">
      <totalsRowFormula>AVERAGE(Table2121418198598114[QB PY])</totalsRowFormula>
    </tableColumn>
    <tableColumn id="3" xr3:uid="{CD079989-969C-42DF-BD32-BE820370FF37}" name="P TD" totalsRowFunction="custom" dataDxfId="6823" totalsRowDxfId="6822">
      <totalsRowFormula>AVERAGE(Table2121418198598114[P TD])</totalsRowFormula>
    </tableColumn>
    <tableColumn id="4" xr3:uid="{D5034274-557E-4C35-BA2E-D4A97E4ECF80}" name="QB RY" totalsRowFunction="custom" dataDxfId="6821" totalsRowDxfId="6820">
      <totalsRowFormula>AVERAGE(Table2121418198598114[QB RY])</totalsRowFormula>
    </tableColumn>
    <tableColumn id="5" xr3:uid="{5CC3E3D1-AB72-4F38-94E9-9A676BC62BF8}" name="RB1 RY" totalsRowFunction="custom" dataDxfId="6819" totalsRowDxfId="6818">
      <totalsRowFormula>AVERAGE(Table2121418198598114[RB1 RY])</totalsRowFormula>
    </tableColumn>
    <tableColumn id="6" xr3:uid="{1B05D375-4AF2-457D-88B2-BCDDCF2D9C55}" name="RB2+ RY" totalsRowFunction="custom" dataDxfId="6817" totalsRowDxfId="6816">
      <totalsRowFormula>AVERAGE(Table2121418198598114[RB2+ RY])</totalsRowFormula>
    </tableColumn>
    <tableColumn id="7" xr3:uid="{5480DE72-110B-4E83-9B17-19ACA4EF7CAC}" name="WR RY" totalsRowFunction="custom" dataDxfId="6815" totalsRowDxfId="6814">
      <totalsRowFormula>AVERAGE(Table2121418198598114[WR RY])</totalsRowFormula>
    </tableColumn>
    <tableColumn id="8" xr3:uid="{A6A26ECE-D774-4037-8CB9-DF92D89D7A51}" name="RB1 Recep" totalsRowFunction="custom" dataDxfId="6813" totalsRowDxfId="6812">
      <totalsRowFormula>AVERAGE(Table2121418198598114[RB1 Recep])</totalsRowFormula>
    </tableColumn>
    <tableColumn id="9" xr3:uid="{C83D3854-C5C4-439A-B85B-B4872FBE4741}" name="RB1 RecY" totalsRowFunction="custom" dataDxfId="6811" totalsRowDxfId="6810">
      <totalsRowFormula>AVERAGE(Table2121418198598114[RB1 RecY])</totalsRowFormula>
    </tableColumn>
    <tableColumn id="29" xr3:uid="{3028E45B-B5BD-4F2E-957F-6D5ADB488B85}" name="RB2 Recep" totalsRowFunction="custom" dataDxfId="6809" totalsRowDxfId="6808">
      <totalsRowFormula>AVERAGE(Table2121418198598114[RB2 Recep])</totalsRowFormula>
    </tableColumn>
    <tableColumn id="28" xr3:uid="{06A24BF9-A6D7-4447-9A57-B10B42287749}" name="RB2 RecY" totalsRowFunction="custom" dataDxfId="6807" totalsRowDxfId="6806">
      <totalsRowFormula>AVERAGE(Table2121418198598114[RB2 RecY])</totalsRowFormula>
    </tableColumn>
    <tableColumn id="10" xr3:uid="{5E8ABE2C-7B5E-4DFA-87D6-644FD5395163}" name="WR1 Recep" totalsRowFunction="custom" dataDxfId="6805" totalsRowDxfId="6804">
      <totalsRowFormula>AVERAGE(Table2121418198598114[WR1 Recep])</totalsRowFormula>
    </tableColumn>
    <tableColumn id="11" xr3:uid="{70B6055A-BA27-46AE-8717-67F28C292F9C}" name="WR1 RecY" totalsRowFunction="custom" dataDxfId="6803" totalsRowDxfId="6802">
      <totalsRowFormula>AVERAGE(Table2121418198598114[WR1 RecY])</totalsRowFormula>
    </tableColumn>
    <tableColumn id="12" xr3:uid="{ACDCF90F-4D50-4025-A724-517D226C4AA4}" name="WR2 Recep" totalsRowFunction="custom" dataDxfId="6801" totalsRowDxfId="6800">
      <totalsRowFormula>AVERAGE(Table2121418198598114[WR2 Recep])</totalsRowFormula>
    </tableColumn>
    <tableColumn id="13" xr3:uid="{B152257B-9949-4B12-B2A9-0B39CD71FA05}" name="WR2 RecY" totalsRowFunction="custom" dataDxfId="6799" totalsRowDxfId="6798">
      <totalsRowFormula>AVERAGE(Table2121418198598114[WR2 RecY])</totalsRowFormula>
    </tableColumn>
    <tableColumn id="14" xr3:uid="{EDEF766D-1995-45C8-967B-5911B87A75FB}" name="WR3 Recep" totalsRowFunction="custom" dataDxfId="6797" totalsRowDxfId="6796">
      <totalsRowFormula>AVERAGE(Table2121418198598114[WR3 Recep])</totalsRowFormula>
    </tableColumn>
    <tableColumn id="15" xr3:uid="{F9183A1C-1A2E-4C2A-B0E3-D3A887C05C08}" name="WR3 RecY" totalsRowFunction="custom" dataDxfId="6795" totalsRowDxfId="6794">
      <totalsRowFormula>AVERAGE(Table2121418198598114[WR3 RecY])</totalsRowFormula>
    </tableColumn>
    <tableColumn id="16" xr3:uid="{A8831711-E7C3-44C2-8B30-226A83E67BFA}" name="WR4+ Recep" totalsRowFunction="custom" dataDxfId="6793" totalsRowDxfId="6792">
      <totalsRowFormula>AVERAGE(Table2121418198598114[WR4+ Recep])</totalsRowFormula>
    </tableColumn>
    <tableColumn id="17" xr3:uid="{2CC151ED-4EE0-4E45-8131-685964CD8C99}" name="WR4+ RecY" totalsRowFunction="custom" dataDxfId="6791" totalsRowDxfId="6790">
      <totalsRowFormula>AVERAGE(Table2121418198598114[WR4+ RecY])</totalsRowFormula>
    </tableColumn>
    <tableColumn id="18" xr3:uid="{F0F79AC2-5D84-410A-8B43-2A9370A21616}" name="TE1 Recep" totalsRowFunction="custom" dataDxfId="6789" totalsRowDxfId="6788">
      <totalsRowFormula>AVERAGE(Table2121418198598114[TE1 Recep])</totalsRowFormula>
    </tableColumn>
    <tableColumn id="19" xr3:uid="{28D654B9-5934-4196-B79A-0FD6016A654A}" name="TE1 RecY" totalsRowFunction="custom" dataDxfId="6787" totalsRowDxfId="6786">
      <totalsRowFormula>AVERAGE(Table2121418198598114[TE1 RecY])</totalsRowFormula>
    </tableColumn>
    <tableColumn id="32" xr3:uid="{606D9ECC-97CE-41C3-BF2D-E23E59EAEC59}" name="TE2 Recep" totalsRowFunction="custom" dataDxfId="6785" totalsRowDxfId="6784">
      <totalsRowFormula>AVERAGE(Table2121418198598114[TE2 Recep])</totalsRowFormula>
    </tableColumn>
    <tableColumn id="33" xr3:uid="{C157F058-D7D9-42D1-9FDE-D2C2AE47E692}" name="TE2 RecY" totalsRowFunction="custom" dataDxfId="6783" totalsRowDxfId="6782">
      <totalsRowFormula>AVERAGE(Table2121418198598114[TE2 RecY])</totalsRowFormula>
    </tableColumn>
    <tableColumn id="20" xr3:uid="{53CE3087-F94D-4A3B-BD05-B99EEB399946}" name="QB TD" totalsRowFunction="custom" dataDxfId="6781" totalsRowDxfId="6780">
      <totalsRowFormula>AVERAGE(Table2121418198598114[QB TD])</totalsRowFormula>
    </tableColumn>
    <tableColumn id="21" xr3:uid="{203169B5-D9B2-40DE-B6D2-80B6A8D6C3E5}" name="RB1 TD" totalsRowFunction="custom" dataDxfId="6779" totalsRowDxfId="6778">
      <totalsRowFormula>AVERAGE(Table2121418198598114[RB1 TD])</totalsRowFormula>
    </tableColumn>
    <tableColumn id="34" xr3:uid="{763081F9-9113-432D-9930-27A0C27DFA53}" name="RB2 TD" totalsRowFunction="custom" dataDxfId="6777" totalsRowDxfId="6776">
      <totalsRowFormula>AVERAGE(Table2121418198598114[RB2 TD])</totalsRowFormula>
    </tableColumn>
    <tableColumn id="22" xr3:uid="{0AC604D3-7181-4EB5-AE24-93C2C8F7619F}" name="WR1 TD" totalsRowFunction="custom" dataDxfId="6775" totalsRowDxfId="6774">
      <totalsRowFormula>AVERAGE(Table2121418198598114[WR1 TD])</totalsRowFormula>
    </tableColumn>
    <tableColumn id="23" xr3:uid="{E2E671AC-85A2-492F-890B-3DF84C7A8257}" name="WR2 TD" totalsRowFunction="custom" dataDxfId="6773" totalsRowDxfId="6772">
      <totalsRowFormula>AVERAGE(Table2121418198598114[WR2 TD])</totalsRowFormula>
    </tableColumn>
    <tableColumn id="24" xr3:uid="{D7568D21-114F-4EF1-A878-35C37883B20C}" name="WR3 TD" totalsRowFunction="custom" dataDxfId="6771" totalsRowDxfId="6770">
      <totalsRowFormula>AVERAGE(Table2121418198598114[WR3 TD])</totalsRowFormula>
    </tableColumn>
    <tableColumn id="25" xr3:uid="{90878182-9CF0-4A72-9BE1-9A18442FE8E6}" name="WR4+ TD" totalsRowFunction="custom" dataDxfId="6769" totalsRowDxfId="6768">
      <totalsRowFormula>AVERAGE(Table2121418198598114[WR4+ TD])</totalsRowFormula>
    </tableColumn>
    <tableColumn id="26" xr3:uid="{26CDBBB9-20B3-4033-9995-8B23DCEF7CB5}" name="TE1 TD" totalsRowFunction="custom" dataDxfId="6767" totalsRowDxfId="6766">
      <totalsRowFormula>AVERAGE(Table2121418198598114[TE1 TD])</totalsRowFormula>
    </tableColumn>
    <tableColumn id="35" xr3:uid="{CB966CC1-959D-4B8D-B9D0-E5E92A2B454F}" name="TE2 TD" totalsRowFunction="custom" dataDxfId="6765" totalsRowDxfId="6764">
      <totalsRowFormula>AVERAGE(Table2121418198598114[TE2 TD])</totalsRowFormula>
    </tableColumn>
    <tableColumn id="27" xr3:uid="{3455CEDE-F119-4409-A300-A5A2A026AD29}" name="D/ST TD" totalsRowFunction="custom" dataDxfId="6763" totalsRowDxfId="6762">
      <totalsRowFormula>AVERAGE(Table2121418198598114[D/ST TD])</totalsRowFormula>
    </tableColumn>
    <tableColumn id="30" xr3:uid="{63F7D7CB-0A5B-49E5-A26F-382726EB3EA6}" name="QB P+R" totalsRowFunction="custom" dataDxfId="6761" totalsRowDxfId="6760">
      <calculatedColumnFormula>Table2121418198598114[[#This Row],[QB PY]]+Table2121418198598114[[#This Row],[QB RY]]</calculatedColumnFormula>
      <totalsRowFormula>AVERAGE(Table2121418198598114[QB P+R])</totalsRowFormula>
    </tableColumn>
    <tableColumn id="31" xr3:uid="{3A37F459-A46F-4992-B45D-EF40F00F7138}" name="RB R+R" totalsRowFunction="custom" dataDxfId="6759" totalsRowDxfId="6758">
      <calculatedColumnFormula>Table2121418198598114[[#This Row],[RB1 RY]]+Table2121418198598114[[#This Row],[RB2+ RY]]+Table2121418198598114[[#This Row],[RB1 RecY]]+Table2121418198598114[[#This Row],[RB2 RecY]]</calculatedColumnFormula>
      <totalsRowFormula>AVERAGE(Table2121418198598114[RB R+R])</totalsRowFormula>
    </tableColumn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2414443-78B9-42D8-96AA-6C6E23D99D64}" name="Table2121418198598115" displayName="Table2121418198598115" ref="B574:AJ593" totalsRowCount="1" headerRowDxfId="6757" dataDxfId="6755" totalsRowDxfId="6754" headerRowBorderDxfId="6756" totalsRowBorderDxfId="6753">
  <autoFilter ref="B574:AJ592" xr:uid="{12414443-78B9-42D8-96AA-6C6E23D99D64}"/>
  <tableColumns count="35">
    <tableColumn id="1" xr3:uid="{0DB4D21B-3B75-4299-AD2E-1B7B12FD560C}" name="Week" totalsRowLabel="Average" totalsRowDxfId="6752"/>
    <tableColumn id="2" xr3:uid="{DEB0F9F2-779D-4E92-B694-DC123342E13A}" name="QB PY" totalsRowFunction="custom" dataDxfId="6751" totalsRowDxfId="6750">
      <totalsRowFormula>AVERAGE(Table2121418198598115[QB PY])</totalsRowFormula>
    </tableColumn>
    <tableColumn id="3" xr3:uid="{6D9F7E8C-A4B8-430E-A043-787D9692547C}" name="P TD" totalsRowFunction="custom" dataDxfId="6749" totalsRowDxfId="6748">
      <totalsRowFormula>AVERAGE(Table2121418198598115[P TD])</totalsRowFormula>
    </tableColumn>
    <tableColumn id="4" xr3:uid="{D7813F88-36A9-479F-BED8-57D0C2E011D3}" name="QB RY" totalsRowFunction="custom" dataDxfId="6747" totalsRowDxfId="6746">
      <totalsRowFormula>AVERAGE(Table2121418198598115[QB RY])</totalsRowFormula>
    </tableColumn>
    <tableColumn id="5" xr3:uid="{A2AA12D7-2C3E-4CD4-92AE-9D5768182F26}" name="RB1 RY" totalsRowFunction="custom" dataDxfId="6745" totalsRowDxfId="6744">
      <totalsRowFormula>AVERAGE(Table2121418198598115[RB1 RY])</totalsRowFormula>
    </tableColumn>
    <tableColumn id="6" xr3:uid="{261E22B9-EBF3-4F1C-9D9F-73552B0EF36D}" name="RB2+ RY" totalsRowFunction="custom" dataDxfId="6743" totalsRowDxfId="6742">
      <totalsRowFormula>AVERAGE(Table2121418198598115[RB2+ RY])</totalsRowFormula>
    </tableColumn>
    <tableColumn id="7" xr3:uid="{C0E4B99D-BDD9-48F2-BF33-39F3471B8F7F}" name="WR RY" totalsRowFunction="custom" dataDxfId="6741" totalsRowDxfId="6740">
      <totalsRowFormula>AVERAGE(Table2121418198598115[WR RY])</totalsRowFormula>
    </tableColumn>
    <tableColumn id="8" xr3:uid="{7C8560A3-DD9E-493C-81A9-2D323BC8E68E}" name="RB1 Recep" totalsRowFunction="custom" dataDxfId="6739" totalsRowDxfId="6738">
      <totalsRowFormula>AVERAGE(Table2121418198598115[RB1 Recep])</totalsRowFormula>
    </tableColumn>
    <tableColumn id="9" xr3:uid="{D53DD229-8C3B-47D4-AADA-DFD63D1E7210}" name="RB1 RecY" totalsRowFunction="custom" dataDxfId="6737" totalsRowDxfId="6736">
      <totalsRowFormula>AVERAGE(Table2121418198598115[RB1 RecY])</totalsRowFormula>
    </tableColumn>
    <tableColumn id="29" xr3:uid="{DA8C5856-0935-499C-BB37-CD79F7341918}" name="RB2 Recep" totalsRowFunction="custom" dataDxfId="6735" totalsRowDxfId="6734">
      <totalsRowFormula>AVERAGE(Table2121418198598115[RB2 Recep])</totalsRowFormula>
    </tableColumn>
    <tableColumn id="28" xr3:uid="{DE4BB7D6-EF22-4875-91D5-B65713167A4B}" name="RB2 RecY" totalsRowFunction="custom" dataDxfId="6733" totalsRowDxfId="6732">
      <totalsRowFormula>AVERAGE(Table2121418198598115[RB2 RecY])</totalsRowFormula>
    </tableColumn>
    <tableColumn id="10" xr3:uid="{9FB91C20-872E-426C-AF7B-920A270F0260}" name="WR1 Recep" totalsRowFunction="custom" dataDxfId="6731" totalsRowDxfId="6730">
      <totalsRowFormula>AVERAGE(Table2121418198598115[WR1 Recep])</totalsRowFormula>
    </tableColumn>
    <tableColumn id="11" xr3:uid="{7B7F77CC-FAAD-4DF1-8DD2-6769360D80AD}" name="WR1 RecY" totalsRowFunction="custom" dataDxfId="6729" totalsRowDxfId="6728">
      <totalsRowFormula>AVERAGE(Table2121418198598115[WR1 RecY])</totalsRowFormula>
    </tableColumn>
    <tableColumn id="12" xr3:uid="{DF132A2A-0ACC-4C3E-9F83-C047E659F15B}" name="WR2 Recep" totalsRowFunction="custom" dataDxfId="6727" totalsRowDxfId="6726">
      <totalsRowFormula>AVERAGE(Table2121418198598115[WR2 Recep])</totalsRowFormula>
    </tableColumn>
    <tableColumn id="13" xr3:uid="{22ED850D-6BC5-4674-812A-CD74A62289DD}" name="WR2 RecY" totalsRowFunction="custom" dataDxfId="6725" totalsRowDxfId="6724">
      <totalsRowFormula>AVERAGE(Table2121418198598115[WR2 RecY])</totalsRowFormula>
    </tableColumn>
    <tableColumn id="14" xr3:uid="{4AFC3DEC-CAEF-4589-8371-E1B86052E400}" name="WR3 Recep" totalsRowFunction="custom" dataDxfId="6723" totalsRowDxfId="6722">
      <totalsRowFormula>AVERAGE(Table2121418198598115[WR3 Recep])</totalsRowFormula>
    </tableColumn>
    <tableColumn id="15" xr3:uid="{AA2B0C55-E6D4-495C-9E01-7EE2F28F5C17}" name="WR3 RecY" totalsRowFunction="custom" dataDxfId="6721" totalsRowDxfId="6720">
      <totalsRowFormula>AVERAGE(Table2121418198598115[WR3 RecY])</totalsRowFormula>
    </tableColumn>
    <tableColumn id="16" xr3:uid="{0A3B01F2-8FD2-432F-B1C9-704065A37E69}" name="WR4+ Recep" totalsRowFunction="custom" dataDxfId="6719" totalsRowDxfId="6718">
      <totalsRowFormula>AVERAGE(Table2121418198598115[WR4+ Recep])</totalsRowFormula>
    </tableColumn>
    <tableColumn id="17" xr3:uid="{E3F95D27-66F6-423E-BD7E-117A66C64A3B}" name="WR4+ RecY" totalsRowFunction="custom" dataDxfId="6717" totalsRowDxfId="6716">
      <totalsRowFormula>AVERAGE(Table2121418198598115[WR4+ RecY])</totalsRowFormula>
    </tableColumn>
    <tableColumn id="18" xr3:uid="{B63CC676-FB23-4054-8A40-CED7FB16ADCB}" name="TE1 Recep" totalsRowFunction="custom" dataDxfId="6715" totalsRowDxfId="6714">
      <totalsRowFormula>AVERAGE(Table2121418198598115[TE1 Recep])</totalsRowFormula>
    </tableColumn>
    <tableColumn id="19" xr3:uid="{6FDCDBEB-08DB-4438-BE68-47022E96F38F}" name="TE1 RecY" totalsRowFunction="custom" dataDxfId="6713" totalsRowDxfId="6712">
      <totalsRowFormula>AVERAGE(Table2121418198598115[TE1 RecY])</totalsRowFormula>
    </tableColumn>
    <tableColumn id="32" xr3:uid="{5BBF45F6-BD73-4FF7-AD2F-8C6A426F8F41}" name="TE2 Recep" totalsRowFunction="custom" dataDxfId="6711" totalsRowDxfId="6710">
      <totalsRowFormula>AVERAGE(Table2121418198598115[TE2 Recep])</totalsRowFormula>
    </tableColumn>
    <tableColumn id="33" xr3:uid="{B0E1B4DA-954B-4C1E-9A98-296FBE840F59}" name="TE2 RecY" totalsRowFunction="custom" dataDxfId="6709" totalsRowDxfId="6708">
      <totalsRowFormula>AVERAGE(Table2121418198598115[TE2 RecY])</totalsRowFormula>
    </tableColumn>
    <tableColumn id="20" xr3:uid="{70B9828A-3EBA-4023-A65E-ED4B712B0D4E}" name="QB TD" totalsRowFunction="custom" dataDxfId="6707" totalsRowDxfId="6706">
      <totalsRowFormula>AVERAGE(Table2121418198598115[QB TD])</totalsRowFormula>
    </tableColumn>
    <tableColumn id="21" xr3:uid="{AFFB6650-B493-49C2-BC91-7AA938E10C3F}" name="RB1 TD" totalsRowFunction="custom" dataDxfId="6705" totalsRowDxfId="6704">
      <totalsRowFormula>AVERAGE(Table2121418198598115[RB1 TD])</totalsRowFormula>
    </tableColumn>
    <tableColumn id="34" xr3:uid="{FFE183A4-0242-4AE1-B79E-1D864641FF4E}" name="RB2 TD" totalsRowFunction="custom" dataDxfId="6703" totalsRowDxfId="6702">
      <totalsRowFormula>AVERAGE(Table2121418198598115[RB2 TD])</totalsRowFormula>
    </tableColumn>
    <tableColumn id="22" xr3:uid="{6BC9437D-21FB-4BD5-99D1-EE7462F54367}" name="WR1 TD" totalsRowFunction="custom" dataDxfId="6701" totalsRowDxfId="6700">
      <totalsRowFormula>AVERAGE(Table2121418198598115[WR1 TD])</totalsRowFormula>
    </tableColumn>
    <tableColumn id="23" xr3:uid="{28E4930A-9534-4391-A5C5-AF670AF95D0B}" name="WR2 TD" totalsRowFunction="custom" dataDxfId="6699" totalsRowDxfId="6698">
      <totalsRowFormula>AVERAGE(Table2121418198598115[WR2 TD])</totalsRowFormula>
    </tableColumn>
    <tableColumn id="24" xr3:uid="{3CFA097B-2829-4AF2-8DC8-E1FCF2574CAA}" name="WR3 TD" totalsRowFunction="custom" dataDxfId="6697" totalsRowDxfId="6696">
      <totalsRowFormula>AVERAGE(Table2121418198598115[WR3 TD])</totalsRowFormula>
    </tableColumn>
    <tableColumn id="25" xr3:uid="{9696EEA1-063A-4C94-B472-63D6ECD27B1E}" name="WR4+ TD" totalsRowFunction="custom" dataDxfId="6695" totalsRowDxfId="6694">
      <totalsRowFormula>AVERAGE(Table2121418198598115[WR4+ TD])</totalsRowFormula>
    </tableColumn>
    <tableColumn id="26" xr3:uid="{375F807F-3D8C-4C1A-8571-CE450D23F6EE}" name="TE1 TD" totalsRowFunction="custom" dataDxfId="6693" totalsRowDxfId="6692">
      <totalsRowFormula>AVERAGE(Table2121418198598115[TE1 TD])</totalsRowFormula>
    </tableColumn>
    <tableColumn id="35" xr3:uid="{4F1D983A-0BAB-4C77-B2D1-6A8541F2418B}" name="TE2 TD" totalsRowFunction="custom" dataDxfId="6691" totalsRowDxfId="6690">
      <totalsRowFormula>AVERAGE(Table2121418198598115[TE2 TD])</totalsRowFormula>
    </tableColumn>
    <tableColumn id="27" xr3:uid="{EBB8964B-6553-4D2A-AE25-646FC15EBB22}" name="D/ST TD" totalsRowFunction="custom" dataDxfId="6689" totalsRowDxfId="6688">
      <totalsRowFormula>AVERAGE(Table2121418198598115[D/ST TD])</totalsRowFormula>
    </tableColumn>
    <tableColumn id="30" xr3:uid="{890A5E78-7A41-4DE1-B462-B8CD84442438}" name="QB P+R" totalsRowFunction="custom" dataDxfId="6687" totalsRowDxfId="6686">
      <calculatedColumnFormula>Table2121418198598115[[#This Row],[QB PY]]+Table2121418198598115[[#This Row],[QB RY]]</calculatedColumnFormula>
      <totalsRowFormula>AVERAGE(Table2121418198598115[QB P+R])</totalsRowFormula>
    </tableColumn>
    <tableColumn id="31" xr3:uid="{9D7C3046-AA4F-4A25-B9FA-F6D08AF226DE}" name="RB R+R" totalsRowFunction="custom" dataDxfId="6685" totalsRowDxfId="6684">
      <calculatedColumnFormula>Table2121418198598115[[#This Row],[RB1 RY]]+Table2121418198598115[[#This Row],[RB2+ RY]]+Table2121418198598115[[#This Row],[RB1 RecY]]+Table2121418198598115[[#This Row],[RB2 RecY]]</calculatedColumnFormula>
      <totalsRowFormula>AVERAGE(Table2121418198598115[RB R+R])</totalsRowFormula>
    </tableColumn>
  </tableColumns>
  <tableStyleInfo name="TableStyleLight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93164F8-F702-493B-85C7-AD61542EEDE0}" name="Table2121418198598116" displayName="Table2121418198598116" ref="B596:AJ615" totalsRowCount="1" headerRowDxfId="6683" dataDxfId="6681" totalsRowDxfId="6680" headerRowBorderDxfId="6682" totalsRowBorderDxfId="6679">
  <autoFilter ref="B596:AJ614" xr:uid="{593164F8-F702-493B-85C7-AD61542EEDE0}"/>
  <tableColumns count="35">
    <tableColumn id="1" xr3:uid="{CAD0C5BC-5BB3-49CC-BFA7-23ECD692AE64}" name="Week" totalsRowLabel="Average" totalsRowDxfId="6678"/>
    <tableColumn id="2" xr3:uid="{B679D955-2116-4E4A-9AAD-8770F5D0A1F5}" name="QB PY" totalsRowFunction="custom" dataDxfId="6677" totalsRowDxfId="6676">
      <totalsRowFormula>AVERAGE(Table2121418198598116[QB PY])</totalsRowFormula>
    </tableColumn>
    <tableColumn id="3" xr3:uid="{39E81937-EF5B-4830-838C-20A0BAA3E3FB}" name="P TD" totalsRowFunction="custom" dataDxfId="6675" totalsRowDxfId="6674">
      <totalsRowFormula>AVERAGE(Table2121418198598116[P TD])</totalsRowFormula>
    </tableColumn>
    <tableColumn id="4" xr3:uid="{483F36D8-514F-4E41-A7C5-8973056A905B}" name="QB RY" totalsRowFunction="custom" dataDxfId="6673" totalsRowDxfId="6672">
      <totalsRowFormula>AVERAGE(Table2121418198598116[QB RY])</totalsRowFormula>
    </tableColumn>
    <tableColumn id="5" xr3:uid="{4D46C1D9-BC18-4D37-B983-5E14E5939769}" name="RB1 RY" totalsRowFunction="custom" dataDxfId="6671" totalsRowDxfId="6670">
      <totalsRowFormula>AVERAGE(Table2121418198598116[RB1 RY])</totalsRowFormula>
    </tableColumn>
    <tableColumn id="6" xr3:uid="{74FDFACA-DC5D-402D-929B-45E8FCAC1AB8}" name="RB2+ RY" totalsRowFunction="custom" dataDxfId="6669" totalsRowDxfId="6668">
      <totalsRowFormula>AVERAGE(Table2121418198598116[RB2+ RY])</totalsRowFormula>
    </tableColumn>
    <tableColumn id="7" xr3:uid="{5F701C51-A9BE-4189-8B0B-03CBBA6ED4E5}" name="WR RY" totalsRowFunction="custom" dataDxfId="6667" totalsRowDxfId="6666">
      <totalsRowFormula>AVERAGE(Table2121418198598116[WR RY])</totalsRowFormula>
    </tableColumn>
    <tableColumn id="8" xr3:uid="{AC4E772C-3EE1-48CC-83AE-95929B88D8BA}" name="RB1 Recep" totalsRowFunction="custom" dataDxfId="6665" totalsRowDxfId="6664">
      <totalsRowFormula>AVERAGE(Table2121418198598116[RB1 Recep])</totalsRowFormula>
    </tableColumn>
    <tableColumn id="9" xr3:uid="{9A0347E2-4B99-40FB-9087-3DF0D3D3675E}" name="RB1 RecY" totalsRowFunction="custom" dataDxfId="6663" totalsRowDxfId="6662">
      <totalsRowFormula>AVERAGE(Table2121418198598116[RB1 RecY])</totalsRowFormula>
    </tableColumn>
    <tableColumn id="29" xr3:uid="{2A6C7A1B-AFEE-4842-AAF7-7D3123E22892}" name="RB2 Recep" totalsRowFunction="custom" dataDxfId="6661" totalsRowDxfId="6660">
      <totalsRowFormula>AVERAGE(Table2121418198598116[RB2 Recep])</totalsRowFormula>
    </tableColumn>
    <tableColumn id="28" xr3:uid="{E4BBA029-4812-4182-A798-2E9E29099561}" name="RB2 RecY" totalsRowFunction="custom" dataDxfId="6659" totalsRowDxfId="6658">
      <totalsRowFormula>AVERAGE(Table2121418198598116[RB2 RecY])</totalsRowFormula>
    </tableColumn>
    <tableColumn id="10" xr3:uid="{6227C422-4098-4C68-8FA6-6B3E1BA7E814}" name="WR1 Recep" totalsRowFunction="custom" dataDxfId="6657" totalsRowDxfId="6656">
      <totalsRowFormula>AVERAGE(Table2121418198598116[WR1 Recep])</totalsRowFormula>
    </tableColumn>
    <tableColumn id="11" xr3:uid="{E62B7130-2CB7-4224-B579-91DEA3707762}" name="WR1 RecY" totalsRowFunction="custom" dataDxfId="6655" totalsRowDxfId="6654">
      <totalsRowFormula>AVERAGE(Table2121418198598116[WR1 RecY])</totalsRowFormula>
    </tableColumn>
    <tableColumn id="12" xr3:uid="{D21C9CCE-9A22-43F4-824D-1D1A5008629B}" name="WR2 Recep" totalsRowFunction="custom" dataDxfId="6653" totalsRowDxfId="6652">
      <totalsRowFormula>AVERAGE(Table2121418198598116[WR2 Recep])</totalsRowFormula>
    </tableColumn>
    <tableColumn id="13" xr3:uid="{B5C9A3CC-AD6F-4279-B272-E4EAE4EDE4D0}" name="WR2 RecY" totalsRowFunction="custom" dataDxfId="6651" totalsRowDxfId="6650">
      <totalsRowFormula>AVERAGE(Table2121418198598116[WR2 RecY])</totalsRowFormula>
    </tableColumn>
    <tableColumn id="14" xr3:uid="{FCD1746D-9121-46D8-8B88-3CF32CE5388C}" name="WR3 Recep" totalsRowFunction="custom" dataDxfId="6649" totalsRowDxfId="6648">
      <totalsRowFormula>AVERAGE(Table2121418198598116[WR3 Recep])</totalsRowFormula>
    </tableColumn>
    <tableColumn id="15" xr3:uid="{331FCFB8-BA21-4EAC-9CD8-479FDFD02692}" name="WR3 RecY" totalsRowFunction="custom" dataDxfId="6647" totalsRowDxfId="6646">
      <totalsRowFormula>AVERAGE(Table2121418198598116[WR3 RecY])</totalsRowFormula>
    </tableColumn>
    <tableColumn id="16" xr3:uid="{BD9F078D-8F39-445D-A2DF-BBED38B9B35B}" name="WR4+ Recep" totalsRowFunction="custom" dataDxfId="6645" totalsRowDxfId="6644">
      <totalsRowFormula>AVERAGE(Table2121418198598116[WR4+ Recep])</totalsRowFormula>
    </tableColumn>
    <tableColumn id="17" xr3:uid="{E041CE0E-71B4-4169-A6C3-201C0679D2DE}" name="WR4+ RecY" totalsRowFunction="custom" dataDxfId="6643" totalsRowDxfId="6642">
      <totalsRowFormula>AVERAGE(Table2121418198598116[WR4+ RecY])</totalsRowFormula>
    </tableColumn>
    <tableColumn id="18" xr3:uid="{C778E1BF-2733-42EE-86DE-29BA743BBB9D}" name="TE1 Recep" totalsRowFunction="custom" dataDxfId="6641" totalsRowDxfId="6640">
      <totalsRowFormula>AVERAGE(Table2121418198598116[TE1 Recep])</totalsRowFormula>
    </tableColumn>
    <tableColumn id="19" xr3:uid="{58AA7E65-E38A-42E1-9203-B1054807A742}" name="TE1 RecY" totalsRowFunction="custom" dataDxfId="6639" totalsRowDxfId="6638">
      <totalsRowFormula>AVERAGE(Table2121418198598116[TE1 RecY])</totalsRowFormula>
    </tableColumn>
    <tableColumn id="32" xr3:uid="{9CD78865-6851-47AF-A8CE-04FF27277E1F}" name="TE2 Recep" totalsRowFunction="custom" dataDxfId="6637" totalsRowDxfId="6636">
      <totalsRowFormula>AVERAGE(Table2121418198598116[TE2 Recep])</totalsRowFormula>
    </tableColumn>
    <tableColumn id="33" xr3:uid="{E503C317-9FE2-4042-B8CD-FE4415138A11}" name="TE2 RecY" totalsRowFunction="custom" dataDxfId="6635" totalsRowDxfId="6634">
      <totalsRowFormula>AVERAGE(Table2121418198598116[TE2 RecY])</totalsRowFormula>
    </tableColumn>
    <tableColumn id="20" xr3:uid="{1F9A2E2E-8D12-40DC-9BFC-FBDCE14F0D54}" name="QB TD" totalsRowFunction="custom" dataDxfId="6633" totalsRowDxfId="6632">
      <totalsRowFormula>AVERAGE(Table2121418198598116[QB TD])</totalsRowFormula>
    </tableColumn>
    <tableColumn id="21" xr3:uid="{40FD33DC-6464-4382-8C0B-933D0CECD933}" name="RB1 TD" totalsRowFunction="custom" dataDxfId="6631" totalsRowDxfId="6630">
      <totalsRowFormula>AVERAGE(Table2121418198598116[RB1 TD])</totalsRowFormula>
    </tableColumn>
    <tableColumn id="34" xr3:uid="{0F7EA0FF-8221-4709-9729-364FA9EC2EBC}" name="RB2 TD" totalsRowFunction="custom" dataDxfId="6629" totalsRowDxfId="6628">
      <totalsRowFormula>AVERAGE(Table2121418198598116[RB2 TD])</totalsRowFormula>
    </tableColumn>
    <tableColumn id="22" xr3:uid="{BD023827-BC07-40D9-AABE-E491370ACA11}" name="WR1 TD" totalsRowFunction="custom" dataDxfId="6627" totalsRowDxfId="6626">
      <totalsRowFormula>AVERAGE(Table2121418198598116[WR1 TD])</totalsRowFormula>
    </tableColumn>
    <tableColumn id="23" xr3:uid="{B5DCB591-6158-4BB2-A7F0-2D6E55339AC4}" name="WR2 TD" totalsRowFunction="custom" dataDxfId="6625" totalsRowDxfId="6624">
      <totalsRowFormula>AVERAGE(Table2121418198598116[WR2 TD])</totalsRowFormula>
    </tableColumn>
    <tableColumn id="24" xr3:uid="{00634093-30C2-4F8C-BA31-6F452E2A2FD7}" name="WR3 TD" totalsRowFunction="custom" dataDxfId="6623" totalsRowDxfId="6622">
      <totalsRowFormula>AVERAGE(Table2121418198598116[WR3 TD])</totalsRowFormula>
    </tableColumn>
    <tableColumn id="25" xr3:uid="{3BF4ECCD-D243-47A1-A4E0-5C8A7036D861}" name="WR4+ TD" totalsRowFunction="custom" dataDxfId="6621" totalsRowDxfId="6620">
      <totalsRowFormula>AVERAGE(Table2121418198598116[WR4+ TD])</totalsRowFormula>
    </tableColumn>
    <tableColumn id="26" xr3:uid="{BBE357F7-B8B4-4694-9E7E-1CDF485B507F}" name="TE1 TD" totalsRowFunction="custom" dataDxfId="6619" totalsRowDxfId="6618">
      <totalsRowFormula>AVERAGE(Table2121418198598116[TE1 TD])</totalsRowFormula>
    </tableColumn>
    <tableColumn id="35" xr3:uid="{878C718A-0934-4719-B068-4B18DB427080}" name="TE2 TD" totalsRowFunction="custom" dataDxfId="6617" totalsRowDxfId="6616">
      <totalsRowFormula>AVERAGE(Table2121418198598116[TE2 TD])</totalsRowFormula>
    </tableColumn>
    <tableColumn id="27" xr3:uid="{93CA8E44-B5CD-4DCB-AF4F-C7A48570B143}" name="D/ST TD" totalsRowFunction="custom" dataDxfId="6615" totalsRowDxfId="6614">
      <totalsRowFormula>AVERAGE(Table2121418198598116[D/ST TD])</totalsRowFormula>
    </tableColumn>
    <tableColumn id="30" xr3:uid="{E08B3CCE-F066-40A5-BDB9-60F1FE5C2427}" name="QB P+R" totalsRowFunction="custom" dataDxfId="6613" totalsRowDxfId="6612">
      <calculatedColumnFormula>Table2121418198598116[[#This Row],[QB PY]]+Table2121418198598116[[#This Row],[QB RY]]</calculatedColumnFormula>
      <totalsRowFormula>AVERAGE(Table2121418198598116[QB P+R])</totalsRowFormula>
    </tableColumn>
    <tableColumn id="31" xr3:uid="{E1B2918E-4B54-47C4-994C-E190BFAA9AF6}" name="RB R+R" totalsRowFunction="custom" dataDxfId="6611" totalsRowDxfId="6610">
      <calculatedColumnFormula>Table2121418198598116[[#This Row],[RB1 RY]]+Table2121418198598116[[#This Row],[RB2+ RY]]+Table2121418198598116[[#This Row],[RB1 RecY]]+Table2121418198598116[[#This Row],[RB2 RecY]]</calculatedColumnFormula>
      <totalsRowFormula>AVERAGE(Table2121418198598116[RB R+R])</totalsRowFormula>
    </tableColumn>
  </tableColumns>
  <tableStyleInfo name="TableStyleLight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D46AEC2E-2116-4CEB-953A-8BEC8DE8A418}" name="Table2121418198598117" displayName="Table2121418198598117" ref="B618:AJ637" totalsRowCount="1" headerRowDxfId="6609" dataDxfId="6607" totalsRowDxfId="6606" headerRowBorderDxfId="6608" totalsRowBorderDxfId="6605">
  <autoFilter ref="B618:AJ636" xr:uid="{D46AEC2E-2116-4CEB-953A-8BEC8DE8A418}"/>
  <tableColumns count="35">
    <tableColumn id="1" xr3:uid="{9944DD3D-9076-4F97-B3F6-1453E55569AA}" name="Week" totalsRowLabel="Average" totalsRowDxfId="6604"/>
    <tableColumn id="2" xr3:uid="{F7A155F6-3DC8-449F-8FF8-3CADF566BA86}" name="QB PY" totalsRowFunction="custom" dataDxfId="6603" totalsRowDxfId="6602">
      <totalsRowFormula>AVERAGE(Table2121418198598117[QB PY])</totalsRowFormula>
    </tableColumn>
    <tableColumn id="3" xr3:uid="{D44CED83-81F9-4705-A1BE-9CA1A1F69E60}" name="P TD" totalsRowFunction="custom" dataDxfId="6601" totalsRowDxfId="6600">
      <totalsRowFormula>AVERAGE(Table2121418198598117[P TD])</totalsRowFormula>
    </tableColumn>
    <tableColumn id="4" xr3:uid="{C83F29E9-821B-47F0-95CB-089A7C349A76}" name="QB RY" totalsRowFunction="custom" dataDxfId="6599" totalsRowDxfId="6598">
      <totalsRowFormula>AVERAGE(Table2121418198598117[QB RY])</totalsRowFormula>
    </tableColumn>
    <tableColumn id="5" xr3:uid="{FFD89DB7-4F89-4E82-BE2A-91E39580752A}" name="RB1 RY" totalsRowFunction="custom" dataDxfId="6597" totalsRowDxfId="6596">
      <totalsRowFormula>AVERAGE(Table2121418198598117[RB1 RY])</totalsRowFormula>
    </tableColumn>
    <tableColumn id="6" xr3:uid="{290647B6-52EA-4209-BBAB-81446148E9E8}" name="RB2+ RY" totalsRowFunction="custom" dataDxfId="6595" totalsRowDxfId="6594">
      <totalsRowFormula>AVERAGE(Table2121418198598117[RB2+ RY])</totalsRowFormula>
    </tableColumn>
    <tableColumn id="7" xr3:uid="{32CC7496-B4D9-4418-AC7F-19F44383A5FD}" name="WR RY" totalsRowFunction="custom" dataDxfId="6593" totalsRowDxfId="6592">
      <totalsRowFormula>AVERAGE(Table2121418198598117[WR RY])</totalsRowFormula>
    </tableColumn>
    <tableColumn id="8" xr3:uid="{271CEEBD-EB07-4FE4-A8CD-89925FBD61D0}" name="RB1 Recep" totalsRowFunction="custom" dataDxfId="6591" totalsRowDxfId="6590">
      <totalsRowFormula>AVERAGE(Table2121418198598117[RB1 Recep])</totalsRowFormula>
    </tableColumn>
    <tableColumn id="9" xr3:uid="{806540D9-8250-410D-AD0D-1C1D97D7D2ED}" name="RB1 RecY" totalsRowFunction="custom" dataDxfId="6589" totalsRowDxfId="6588">
      <totalsRowFormula>AVERAGE(Table2121418198598117[RB1 RecY])</totalsRowFormula>
    </tableColumn>
    <tableColumn id="29" xr3:uid="{C83DAAD7-90D0-4348-B840-0316209A8F79}" name="RB2 Recep" totalsRowFunction="custom" dataDxfId="6587" totalsRowDxfId="6586">
      <totalsRowFormula>AVERAGE(Table2121418198598117[RB2 Recep])</totalsRowFormula>
    </tableColumn>
    <tableColumn id="28" xr3:uid="{3582A958-4C87-49B0-8269-9AC124183637}" name="RB2 RecY" totalsRowFunction="custom" dataDxfId="6585" totalsRowDxfId="6584">
      <totalsRowFormula>AVERAGE(Table2121418198598117[RB2 RecY])</totalsRowFormula>
    </tableColumn>
    <tableColumn id="10" xr3:uid="{05520078-3739-4824-883E-A432BDA9C36F}" name="WR1 Recep" totalsRowFunction="custom" dataDxfId="6583" totalsRowDxfId="6582">
      <totalsRowFormula>AVERAGE(Table2121418198598117[WR1 Recep])</totalsRowFormula>
    </tableColumn>
    <tableColumn id="11" xr3:uid="{74A3D2D6-6B78-4200-8D13-B3B050A20CB6}" name="WR1 RecY" totalsRowFunction="custom" dataDxfId="6581" totalsRowDxfId="6580">
      <totalsRowFormula>AVERAGE(Table2121418198598117[WR1 RecY])</totalsRowFormula>
    </tableColumn>
    <tableColumn id="12" xr3:uid="{C4A9A5B0-6E05-4AFA-A564-AE0664E7316A}" name="WR2 Recep" totalsRowFunction="custom" dataDxfId="6579" totalsRowDxfId="6578">
      <totalsRowFormula>AVERAGE(Table2121418198598117[WR2 Recep])</totalsRowFormula>
    </tableColumn>
    <tableColumn id="13" xr3:uid="{9B4D82BB-969E-4B74-A35A-2A6CD1EACEC4}" name="WR2 RecY" totalsRowFunction="custom" dataDxfId="6577" totalsRowDxfId="6576">
      <totalsRowFormula>AVERAGE(Table2121418198598117[WR2 RecY])</totalsRowFormula>
    </tableColumn>
    <tableColumn id="14" xr3:uid="{5ED5C9DF-BEBB-4F42-842A-42A5E303C0CF}" name="WR3 Recep" totalsRowFunction="custom" dataDxfId="6575" totalsRowDxfId="6574">
      <totalsRowFormula>AVERAGE(Table2121418198598117[WR3 Recep])</totalsRowFormula>
    </tableColumn>
    <tableColumn id="15" xr3:uid="{F6F29AB8-18B0-4AD1-9DA2-4BD01CDA5DE9}" name="WR3 RecY" totalsRowFunction="custom" dataDxfId="6573" totalsRowDxfId="6572">
      <totalsRowFormula>AVERAGE(Table2121418198598117[WR3 RecY])</totalsRowFormula>
    </tableColumn>
    <tableColumn id="16" xr3:uid="{D06769A9-B2D7-4D85-82E9-207C2D73AADF}" name="WR4+ Recep" totalsRowFunction="custom" dataDxfId="6571" totalsRowDxfId="6570">
      <totalsRowFormula>AVERAGE(Table2121418198598117[WR4+ Recep])</totalsRowFormula>
    </tableColumn>
    <tableColumn id="17" xr3:uid="{DE198855-27C0-4A48-9523-8D606A63EA53}" name="WR4+ RecY" totalsRowFunction="custom" dataDxfId="6569" totalsRowDxfId="6568">
      <totalsRowFormula>AVERAGE(Table2121418198598117[WR4+ RecY])</totalsRowFormula>
    </tableColumn>
    <tableColumn id="18" xr3:uid="{F35E10D0-7FC3-471C-B223-2849D53A575F}" name="TE1 Recep" totalsRowFunction="custom" dataDxfId="6567" totalsRowDxfId="6566">
      <totalsRowFormula>AVERAGE(Table2121418198598117[TE1 Recep])</totalsRowFormula>
    </tableColumn>
    <tableColumn id="19" xr3:uid="{2D0C8EAB-4002-4E4C-ACA2-57D857AAB711}" name="TE1 RecY" totalsRowFunction="custom" dataDxfId="6565" totalsRowDxfId="6564">
      <totalsRowFormula>AVERAGE(Table2121418198598117[TE1 RecY])</totalsRowFormula>
    </tableColumn>
    <tableColumn id="32" xr3:uid="{35F66877-DE3E-4DF7-A585-E32C5AD7FE54}" name="TE2 Recep" totalsRowFunction="custom" dataDxfId="6563" totalsRowDxfId="6562">
      <totalsRowFormula>AVERAGE(Table2121418198598117[TE2 Recep])</totalsRowFormula>
    </tableColumn>
    <tableColumn id="33" xr3:uid="{F6E7CEE5-0265-4508-ABB9-8559658B6945}" name="TE2 RecY" totalsRowFunction="custom" dataDxfId="6561" totalsRowDxfId="6560">
      <totalsRowFormula>AVERAGE(Table2121418198598117[TE2 RecY])</totalsRowFormula>
    </tableColumn>
    <tableColumn id="20" xr3:uid="{E0AAA503-4397-4E6B-A58C-A31EB8E95664}" name="QB TD" totalsRowFunction="custom" dataDxfId="6559" totalsRowDxfId="6558">
      <totalsRowFormula>AVERAGE(Table2121418198598117[QB TD])</totalsRowFormula>
    </tableColumn>
    <tableColumn id="21" xr3:uid="{CF7C1AEA-F8D1-4DEE-B2A0-9DF12DAA53AC}" name="RB1 TD" totalsRowFunction="custom" dataDxfId="6557" totalsRowDxfId="6556">
      <totalsRowFormula>AVERAGE(Table2121418198598117[RB1 TD])</totalsRowFormula>
    </tableColumn>
    <tableColumn id="34" xr3:uid="{F0BD6DAB-FB12-4D0A-8142-0141A654728F}" name="RB2 TD" totalsRowFunction="custom" dataDxfId="6555" totalsRowDxfId="6554">
      <totalsRowFormula>AVERAGE(Table2121418198598117[RB2 TD])</totalsRowFormula>
    </tableColumn>
    <tableColumn id="22" xr3:uid="{CDE489BE-7F01-46FA-9375-19BAC03070EC}" name="WR1 TD" totalsRowFunction="custom" dataDxfId="6553" totalsRowDxfId="6552">
      <totalsRowFormula>AVERAGE(Table2121418198598117[WR1 TD])</totalsRowFormula>
    </tableColumn>
    <tableColumn id="23" xr3:uid="{8483411E-DF46-4052-9471-BDC8942ECBBE}" name="WR2 TD" totalsRowFunction="custom" dataDxfId="6551" totalsRowDxfId="6550">
      <totalsRowFormula>AVERAGE(Table2121418198598117[WR2 TD])</totalsRowFormula>
    </tableColumn>
    <tableColumn id="24" xr3:uid="{01E86B10-0D9D-4858-A1EC-5CFDFBF32D9F}" name="WR3 TD" totalsRowFunction="custom" dataDxfId="6549" totalsRowDxfId="6548">
      <totalsRowFormula>AVERAGE(Table2121418198598117[WR3 TD])</totalsRowFormula>
    </tableColumn>
    <tableColumn id="25" xr3:uid="{70ED004F-7113-464A-954F-D88828DF303B}" name="WR4+ TD" totalsRowFunction="custom" dataDxfId="6547" totalsRowDxfId="6546">
      <totalsRowFormula>AVERAGE(Table2121418198598117[WR4+ TD])</totalsRowFormula>
    </tableColumn>
    <tableColumn id="26" xr3:uid="{1A5CD158-6A4F-43E0-9675-7F4C24C0BE12}" name="TE1 TD" totalsRowFunction="custom" dataDxfId="6545" totalsRowDxfId="6544">
      <totalsRowFormula>AVERAGE(Table2121418198598117[TE1 TD])</totalsRowFormula>
    </tableColumn>
    <tableColumn id="35" xr3:uid="{86C3E5C8-F958-4BFC-91BC-0D5312D58CD6}" name="TE2 TD" totalsRowFunction="custom" dataDxfId="6543" totalsRowDxfId="6542">
      <totalsRowFormula>AVERAGE(Table2121418198598117[TE2 TD])</totalsRowFormula>
    </tableColumn>
    <tableColumn id="27" xr3:uid="{A74F7B12-D721-480F-99EB-33F8E846792A}" name="D/ST TD" totalsRowFunction="custom" dataDxfId="6541" totalsRowDxfId="6540">
      <totalsRowFormula>AVERAGE(Table2121418198598117[D/ST TD])</totalsRowFormula>
    </tableColumn>
    <tableColumn id="30" xr3:uid="{4D759B63-75A2-499E-A495-8F351FED4368}" name="QB P+R" totalsRowFunction="custom" dataDxfId="6539" totalsRowDxfId="6538">
      <calculatedColumnFormula>Table2121418198598117[[#This Row],[QB PY]]+Table2121418198598117[[#This Row],[QB RY]]</calculatedColumnFormula>
      <totalsRowFormula>AVERAGE(Table2121418198598117[QB P+R])</totalsRowFormula>
    </tableColumn>
    <tableColumn id="31" xr3:uid="{76A29748-51EF-42EA-9232-3FD3885F18C7}" name="RB R+R" totalsRowFunction="custom" dataDxfId="6537" totalsRowDxfId="6536">
      <calculatedColumnFormula>Table2121418198598117[[#This Row],[RB1 RY]]+Table2121418198598117[[#This Row],[RB2+ RY]]+Table2121418198598117[[#This Row],[RB1 RecY]]+Table2121418198598117[[#This Row],[RB2 RecY]]</calculatedColumnFormula>
      <totalsRowFormula>AVERAGE(Table2121418198598117[RB R+R])</totalsRowFormula>
    </tableColumn>
  </tableColumns>
  <tableStyleInfo name="TableStyleLight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4B26E571-B923-4A3D-9C9C-93AA3C226D52}" name="Table2121418198598118" displayName="Table2121418198598118" ref="B640:AJ659" totalsRowCount="1" headerRowDxfId="6535" dataDxfId="6533" totalsRowDxfId="6532" headerRowBorderDxfId="6534" totalsRowBorderDxfId="6531">
  <autoFilter ref="B640:AJ658" xr:uid="{4B26E571-B923-4A3D-9C9C-93AA3C226D52}"/>
  <tableColumns count="35">
    <tableColumn id="1" xr3:uid="{DF50FB2D-44D3-40C8-9CA0-5AC6893CB2F9}" name="Week" totalsRowLabel="Average" totalsRowDxfId="6530"/>
    <tableColumn id="2" xr3:uid="{2EED597F-2280-4033-AC73-356B59AF6BA1}" name="QB PY" totalsRowFunction="custom" dataDxfId="6529" totalsRowDxfId="6528">
      <totalsRowFormula>AVERAGE(Table2121418198598118[QB PY])</totalsRowFormula>
    </tableColumn>
    <tableColumn id="3" xr3:uid="{F117A50B-24E7-4528-9522-E8014319CFD5}" name="P TD" totalsRowFunction="custom" dataDxfId="6527" totalsRowDxfId="6526">
      <totalsRowFormula>AVERAGE(Table2121418198598118[P TD])</totalsRowFormula>
    </tableColumn>
    <tableColumn id="4" xr3:uid="{189CF9C5-0A7B-4CEB-AF95-52D8CFE51B09}" name="QB RY" totalsRowFunction="custom" dataDxfId="6525" totalsRowDxfId="6524">
      <totalsRowFormula>AVERAGE(Table2121418198598118[QB RY])</totalsRowFormula>
    </tableColumn>
    <tableColumn id="5" xr3:uid="{9DCE5692-D8C4-49AA-8396-8DB1A77AACE1}" name="RB1 RY" totalsRowFunction="custom" dataDxfId="6523" totalsRowDxfId="6522">
      <totalsRowFormula>AVERAGE(Table2121418198598118[RB1 RY])</totalsRowFormula>
    </tableColumn>
    <tableColumn id="6" xr3:uid="{C25B1027-6B43-4409-AABC-DC94E8DFEEB3}" name="RB2+ RY" totalsRowFunction="custom" dataDxfId="6521" totalsRowDxfId="6520">
      <totalsRowFormula>AVERAGE(Table2121418198598118[RB2+ RY])</totalsRowFormula>
    </tableColumn>
    <tableColumn id="7" xr3:uid="{0CAA6B38-ADD3-4731-8BAB-5038F0D92C7E}" name="WR RY" totalsRowFunction="custom" dataDxfId="6519" totalsRowDxfId="6518">
      <totalsRowFormula>AVERAGE(Table2121418198598118[WR RY])</totalsRowFormula>
    </tableColumn>
    <tableColumn id="8" xr3:uid="{D13F1419-8BB7-43D0-8570-3B76F3DEF7CC}" name="RB1 Recep" totalsRowFunction="custom" dataDxfId="6517" totalsRowDxfId="6516">
      <totalsRowFormula>AVERAGE(Table2121418198598118[RB1 Recep])</totalsRowFormula>
    </tableColumn>
    <tableColumn id="9" xr3:uid="{022EB473-B4AA-4782-A2E7-A1916D504FA1}" name="RB1 RecY" totalsRowFunction="custom" dataDxfId="6515" totalsRowDxfId="6514">
      <totalsRowFormula>AVERAGE(Table2121418198598118[RB1 RecY])</totalsRowFormula>
    </tableColumn>
    <tableColumn id="29" xr3:uid="{ACA2ACD5-D9EF-49D6-A74E-2ED553FBA227}" name="RB2 Recep" totalsRowFunction="custom" dataDxfId="6513" totalsRowDxfId="6512">
      <totalsRowFormula>AVERAGE(Table2121418198598118[RB2 Recep])</totalsRowFormula>
    </tableColumn>
    <tableColumn id="28" xr3:uid="{938F4602-6E02-414B-A408-586743E6BF5B}" name="RB2 RecY" totalsRowFunction="custom" dataDxfId="6511" totalsRowDxfId="6510">
      <totalsRowFormula>AVERAGE(Table2121418198598118[RB2 RecY])</totalsRowFormula>
    </tableColumn>
    <tableColumn id="10" xr3:uid="{1AB9EA26-3E8E-4F03-90E3-9AE44524B379}" name="WR1 Recep" totalsRowFunction="custom" dataDxfId="6509" totalsRowDxfId="6508">
      <totalsRowFormula>AVERAGE(Table2121418198598118[WR1 Recep])</totalsRowFormula>
    </tableColumn>
    <tableColumn id="11" xr3:uid="{2A7A5EA8-A106-4A7B-8BAA-C0BFFF97EDF2}" name="WR1 RecY" totalsRowFunction="custom" dataDxfId="6507" totalsRowDxfId="6506">
      <totalsRowFormula>AVERAGE(Table2121418198598118[WR1 RecY])</totalsRowFormula>
    </tableColumn>
    <tableColumn id="12" xr3:uid="{3D6A67AF-38FE-4878-93D4-334B31EF15F6}" name="WR2 Recep" totalsRowFunction="custom" dataDxfId="6505" totalsRowDxfId="6504">
      <totalsRowFormula>AVERAGE(Table2121418198598118[WR2 Recep])</totalsRowFormula>
    </tableColumn>
    <tableColumn id="13" xr3:uid="{4A2D171C-F6B7-48E4-8621-36D2EF3C9261}" name="WR2 RecY" totalsRowFunction="custom" dataDxfId="6503" totalsRowDxfId="6502">
      <totalsRowFormula>AVERAGE(Table2121418198598118[WR2 RecY])</totalsRowFormula>
    </tableColumn>
    <tableColumn id="14" xr3:uid="{C3F0F434-AE6D-4FC0-A598-6E8FF3FC8F87}" name="WR3 Recep" totalsRowFunction="custom" dataDxfId="6501" totalsRowDxfId="6500">
      <totalsRowFormula>AVERAGE(Table2121418198598118[WR3 Recep])</totalsRowFormula>
    </tableColumn>
    <tableColumn id="15" xr3:uid="{DE42A10E-06B3-4443-BEE2-E1478630B905}" name="WR3 RecY" totalsRowFunction="custom" dataDxfId="6499" totalsRowDxfId="6498">
      <totalsRowFormula>AVERAGE(Table2121418198598118[WR3 RecY])</totalsRowFormula>
    </tableColumn>
    <tableColumn id="16" xr3:uid="{D5C7C9EF-A00E-4D99-8F70-624B0984CB71}" name="WR4+ Recep" totalsRowFunction="custom" dataDxfId="6497" totalsRowDxfId="6496">
      <totalsRowFormula>AVERAGE(Table2121418198598118[WR4+ Recep])</totalsRowFormula>
    </tableColumn>
    <tableColumn id="17" xr3:uid="{6FF2C1E4-DEA9-4278-BD4C-8AB9572D182A}" name="WR4+ RecY" totalsRowFunction="custom" dataDxfId="6495" totalsRowDxfId="6494">
      <totalsRowFormula>AVERAGE(Table2121418198598118[WR4+ RecY])</totalsRowFormula>
    </tableColumn>
    <tableColumn id="18" xr3:uid="{34FBEDA2-5799-4C92-B35E-D44461EA8A8A}" name="TE1 Recep" totalsRowFunction="custom" dataDxfId="6493" totalsRowDxfId="6492">
      <totalsRowFormula>AVERAGE(Table2121418198598118[TE1 Recep])</totalsRowFormula>
    </tableColumn>
    <tableColumn id="19" xr3:uid="{E6FB18C8-6820-4D47-8367-9FDF57382C6A}" name="TE1 RecY" totalsRowFunction="custom" dataDxfId="6491" totalsRowDxfId="6490">
      <totalsRowFormula>AVERAGE(Table2121418198598118[TE1 RecY])</totalsRowFormula>
    </tableColumn>
    <tableColumn id="32" xr3:uid="{473D2334-6AEC-44E6-8725-34C8CD7B9B87}" name="TE2 Recep" totalsRowFunction="custom" dataDxfId="6489" totalsRowDxfId="6488">
      <totalsRowFormula>AVERAGE(Table2121418198598118[TE2 Recep])</totalsRowFormula>
    </tableColumn>
    <tableColumn id="33" xr3:uid="{0FCBB395-FF2F-4680-BF89-D32D4CF8469C}" name="TE2 RecY" totalsRowFunction="custom" dataDxfId="6487" totalsRowDxfId="6486">
      <totalsRowFormula>AVERAGE(Table2121418198598118[TE2 RecY])</totalsRowFormula>
    </tableColumn>
    <tableColumn id="20" xr3:uid="{F651CE51-48F2-4289-9096-46F1AFD374A1}" name="QB TD" totalsRowFunction="custom" dataDxfId="6485" totalsRowDxfId="6484">
      <totalsRowFormula>AVERAGE(Table2121418198598118[QB TD])</totalsRowFormula>
    </tableColumn>
    <tableColumn id="21" xr3:uid="{B0C76BED-10EC-4EA2-906D-D50D9544407E}" name="RB1 TD" totalsRowFunction="custom" dataDxfId="6483" totalsRowDxfId="6482">
      <totalsRowFormula>AVERAGE(Table2121418198598118[RB1 TD])</totalsRowFormula>
    </tableColumn>
    <tableColumn id="34" xr3:uid="{CC12C024-BD3C-49C5-8EB3-767463168DC2}" name="RB2 TD" totalsRowFunction="custom" dataDxfId="6481" totalsRowDxfId="6480">
      <totalsRowFormula>AVERAGE(Table2121418198598118[RB2 TD])</totalsRowFormula>
    </tableColumn>
    <tableColumn id="22" xr3:uid="{FCC175CE-ED2A-4246-80BF-AD83231E198C}" name="WR1 TD" totalsRowFunction="custom" dataDxfId="6479" totalsRowDxfId="6478">
      <totalsRowFormula>AVERAGE(Table2121418198598118[WR1 TD])</totalsRowFormula>
    </tableColumn>
    <tableColumn id="23" xr3:uid="{F65E4777-DF0C-4A19-8025-BD789199E343}" name="WR2 TD" totalsRowFunction="custom" dataDxfId="6477" totalsRowDxfId="6476">
      <totalsRowFormula>AVERAGE(Table2121418198598118[WR2 TD])</totalsRowFormula>
    </tableColumn>
    <tableColumn id="24" xr3:uid="{E5F558E0-0069-4598-8EAF-F4DAE21604E1}" name="WR3 TD" totalsRowFunction="custom" dataDxfId="6475" totalsRowDxfId="6474">
      <totalsRowFormula>AVERAGE(Table2121418198598118[WR3 TD])</totalsRowFormula>
    </tableColumn>
    <tableColumn id="25" xr3:uid="{3E0E7E2C-8582-4DBD-A860-57A2178EC880}" name="WR4+ TD" totalsRowFunction="custom" dataDxfId="6473" totalsRowDxfId="6472">
      <totalsRowFormula>AVERAGE(Table2121418198598118[WR4+ TD])</totalsRowFormula>
    </tableColumn>
    <tableColumn id="26" xr3:uid="{0ED67EEB-0670-460C-94FA-5043F32004FD}" name="TE1 TD" totalsRowFunction="custom" dataDxfId="6471" totalsRowDxfId="6470">
      <totalsRowFormula>AVERAGE(Table2121418198598118[TE1 TD])</totalsRowFormula>
    </tableColumn>
    <tableColumn id="35" xr3:uid="{984DE5B6-30E0-483A-9A7C-54308063BA0B}" name="TE2 TD" totalsRowFunction="custom" dataDxfId="6469" totalsRowDxfId="6468">
      <totalsRowFormula>AVERAGE(Table2121418198598118[TE2 TD])</totalsRowFormula>
    </tableColumn>
    <tableColumn id="27" xr3:uid="{23A55F9E-17F2-48B1-81D0-FDA1E5891F39}" name="D/ST TD" totalsRowFunction="custom" dataDxfId="6467" totalsRowDxfId="6466">
      <totalsRowFormula>AVERAGE(Table2121418198598118[D/ST TD])</totalsRowFormula>
    </tableColumn>
    <tableColumn id="30" xr3:uid="{3C12B076-7C6D-4D41-A80F-E60D3DCD3B5C}" name="QB P+R" totalsRowFunction="custom" dataDxfId="6465" totalsRowDxfId="6464">
      <calculatedColumnFormula>Table2121418198598118[[#This Row],[QB PY]]+Table2121418198598118[[#This Row],[QB RY]]</calculatedColumnFormula>
      <totalsRowFormula>AVERAGE(Table2121418198598118[QB P+R])</totalsRowFormula>
    </tableColumn>
    <tableColumn id="31" xr3:uid="{CE5D78CF-DFA0-4AE0-BB4D-6384CE74B2AB}" name="RB R+R" totalsRowFunction="custom" dataDxfId="6463" totalsRowDxfId="6462">
      <calculatedColumnFormula>Table2121418198598118[[#This Row],[RB1 RY]]+Table2121418198598118[[#This Row],[RB2+ RY]]+Table2121418198598118[[#This Row],[RB1 RecY]]+Table2121418198598118[[#This Row],[RB2 RecY]]</calculatedColumnFormula>
      <totalsRowFormula>AVERAGE(Table2121418198598118[RB R+R])</totalsRowFormula>
    </tableColumn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166E907-CB94-40FF-914A-7FC948B0ECFB}" name="Table2121418198598119" displayName="Table2121418198598119" ref="B662:AJ681" totalsRowCount="1" headerRowDxfId="6461" dataDxfId="6459" totalsRowDxfId="6458" headerRowBorderDxfId="6460" totalsRowBorderDxfId="6457">
  <autoFilter ref="B662:AJ680" xr:uid="{B166E907-CB94-40FF-914A-7FC948B0ECFB}"/>
  <tableColumns count="35">
    <tableColumn id="1" xr3:uid="{97389F13-4F13-4B0B-AF9E-53C0A15B9024}" name="Week" totalsRowLabel="Average" totalsRowDxfId="6456"/>
    <tableColumn id="2" xr3:uid="{77CCD8FB-7178-4F35-BF6F-9B20B71F2B80}" name="QB PY" totalsRowFunction="custom" dataDxfId="6455" totalsRowDxfId="6454">
      <totalsRowFormula>AVERAGE(Table2121418198598119[QB PY])</totalsRowFormula>
    </tableColumn>
    <tableColumn id="3" xr3:uid="{6F8B45E2-62BD-4D23-A34B-7D7892A20436}" name="P TD" totalsRowFunction="custom" dataDxfId="6453" totalsRowDxfId="6452">
      <totalsRowFormula>AVERAGE(Table2121418198598119[P TD])</totalsRowFormula>
    </tableColumn>
    <tableColumn id="4" xr3:uid="{72A47B69-EF05-4724-A6C1-4172C983B4FA}" name="QB RY" totalsRowFunction="custom" dataDxfId="6451" totalsRowDxfId="6450">
      <totalsRowFormula>AVERAGE(Table2121418198598119[QB RY])</totalsRowFormula>
    </tableColumn>
    <tableColumn id="5" xr3:uid="{66BF40E6-D985-4EEE-8F2A-703D2C5784F5}" name="RB1 RY" totalsRowFunction="custom" dataDxfId="6449" totalsRowDxfId="6448">
      <totalsRowFormula>AVERAGE(Table2121418198598119[RB1 RY])</totalsRowFormula>
    </tableColumn>
    <tableColumn id="6" xr3:uid="{59FD1D6B-5ADB-409E-8CA5-B70C6A365F53}" name="RB2+ RY" totalsRowFunction="custom" dataDxfId="6447" totalsRowDxfId="6446">
      <totalsRowFormula>AVERAGE(Table2121418198598119[RB2+ RY])</totalsRowFormula>
    </tableColumn>
    <tableColumn id="7" xr3:uid="{529B95A1-56AF-4A2A-83A8-53BD704CB893}" name="WR RY" totalsRowFunction="custom" dataDxfId="6445" totalsRowDxfId="6444">
      <totalsRowFormula>AVERAGE(Table2121418198598119[WR RY])</totalsRowFormula>
    </tableColumn>
    <tableColumn id="8" xr3:uid="{1A685DED-B81E-4399-A0A7-E8B9452C6203}" name="RB1 Recep" totalsRowFunction="custom" dataDxfId="6443" totalsRowDxfId="6442">
      <totalsRowFormula>AVERAGE(Table2121418198598119[RB1 Recep])</totalsRowFormula>
    </tableColumn>
    <tableColumn id="9" xr3:uid="{3A691CF8-ABD8-46D4-9819-E71EE0DFF1F9}" name="RB1 RecY" totalsRowFunction="custom" dataDxfId="6441" totalsRowDxfId="6440">
      <totalsRowFormula>AVERAGE(Table2121418198598119[RB1 RecY])</totalsRowFormula>
    </tableColumn>
    <tableColumn id="29" xr3:uid="{D2ED3AFE-B989-4A05-9430-96BD1E471AC4}" name="RB2 Recep" totalsRowFunction="custom" dataDxfId="6439" totalsRowDxfId="6438">
      <totalsRowFormula>AVERAGE(Table2121418198598119[RB2 Recep])</totalsRowFormula>
    </tableColumn>
    <tableColumn id="28" xr3:uid="{F6C32AC5-9874-47FC-A44C-BB131971BE27}" name="RB2 RecY" totalsRowFunction="custom" dataDxfId="6437" totalsRowDxfId="6436">
      <totalsRowFormula>AVERAGE(Table2121418198598119[RB2 RecY])</totalsRowFormula>
    </tableColumn>
    <tableColumn id="10" xr3:uid="{AC3264B0-3058-4EFA-8CA3-ADAB5ABBDAF4}" name="WR1 Recep" totalsRowFunction="custom" dataDxfId="6435" totalsRowDxfId="6434">
      <totalsRowFormula>AVERAGE(Table2121418198598119[WR1 Recep])</totalsRowFormula>
    </tableColumn>
    <tableColumn id="11" xr3:uid="{210FE22C-582E-48FD-9EA2-D0E251CE6CE6}" name="WR1 RecY" totalsRowFunction="custom" dataDxfId="6433" totalsRowDxfId="6432">
      <totalsRowFormula>AVERAGE(Table2121418198598119[WR1 RecY])</totalsRowFormula>
    </tableColumn>
    <tableColumn id="12" xr3:uid="{5C8AB375-9C70-44F9-AC9F-B5E19887B448}" name="WR2 Recep" totalsRowFunction="custom" dataDxfId="6431" totalsRowDxfId="6430">
      <totalsRowFormula>AVERAGE(Table2121418198598119[WR2 Recep])</totalsRowFormula>
    </tableColumn>
    <tableColumn id="13" xr3:uid="{A61D0BCE-D68C-444C-805F-3015015B267C}" name="WR2 RecY" totalsRowFunction="custom" dataDxfId="6429" totalsRowDxfId="6428">
      <totalsRowFormula>AVERAGE(Table2121418198598119[WR2 RecY])</totalsRowFormula>
    </tableColumn>
    <tableColumn id="14" xr3:uid="{1F14A763-E7B3-4EA9-87AE-DB782821DC30}" name="WR3 Recep" totalsRowFunction="custom" dataDxfId="6427" totalsRowDxfId="6426">
      <totalsRowFormula>AVERAGE(Table2121418198598119[WR3 Recep])</totalsRowFormula>
    </tableColumn>
    <tableColumn id="15" xr3:uid="{9DEAC832-059F-42DA-9FEC-ADDA527F1815}" name="WR3 RecY" totalsRowFunction="custom" dataDxfId="6425" totalsRowDxfId="6424">
      <totalsRowFormula>AVERAGE(Table2121418198598119[WR3 RecY])</totalsRowFormula>
    </tableColumn>
    <tableColumn id="16" xr3:uid="{63B6C176-0538-447C-9F24-63820572D820}" name="WR4+ Recep" totalsRowFunction="custom" dataDxfId="6423" totalsRowDxfId="6422">
      <totalsRowFormula>AVERAGE(Table2121418198598119[WR4+ Recep])</totalsRowFormula>
    </tableColumn>
    <tableColumn id="17" xr3:uid="{43EF3B3A-B12F-45B6-9983-BDB65B11C5CB}" name="WR4+ RecY" totalsRowFunction="custom" dataDxfId="6421" totalsRowDxfId="6420">
      <totalsRowFormula>AVERAGE(Table2121418198598119[WR4+ RecY])</totalsRowFormula>
    </tableColumn>
    <tableColumn id="18" xr3:uid="{76699C67-AD80-405B-B1AC-29E97A187804}" name="TE1 Recep" totalsRowFunction="custom" dataDxfId="6419" totalsRowDxfId="6418">
      <totalsRowFormula>AVERAGE(Table2121418198598119[TE1 Recep])</totalsRowFormula>
    </tableColumn>
    <tableColumn id="19" xr3:uid="{2F5369E8-DB02-4588-9CB5-C3FB5475C133}" name="TE1 RecY" totalsRowFunction="custom" dataDxfId="6417" totalsRowDxfId="6416">
      <totalsRowFormula>AVERAGE(Table2121418198598119[TE1 RecY])</totalsRowFormula>
    </tableColumn>
    <tableColumn id="32" xr3:uid="{0DB8523C-5FE2-4A86-8960-B08124F512DA}" name="TE2 Recep" totalsRowFunction="custom" dataDxfId="6415" totalsRowDxfId="6414">
      <totalsRowFormula>AVERAGE(Table2121418198598119[TE2 Recep])</totalsRowFormula>
    </tableColumn>
    <tableColumn id="33" xr3:uid="{6DF385D5-2682-4FE3-9055-0CCDCEC49014}" name="TE2 RecY" totalsRowFunction="custom" dataDxfId="6413" totalsRowDxfId="6412">
      <totalsRowFormula>AVERAGE(Table2121418198598119[TE2 RecY])</totalsRowFormula>
    </tableColumn>
    <tableColumn id="20" xr3:uid="{2966E029-EAC7-4183-A7F0-BB0FA214E93F}" name="QB TD" totalsRowFunction="custom" dataDxfId="6411" totalsRowDxfId="6410">
      <totalsRowFormula>AVERAGE(Table2121418198598119[QB TD])</totalsRowFormula>
    </tableColumn>
    <tableColumn id="21" xr3:uid="{EEB8B37A-3FE2-4118-8C31-D84A17844A17}" name="RB1 TD" totalsRowFunction="custom" dataDxfId="6409" totalsRowDxfId="6408">
      <totalsRowFormula>AVERAGE(Table2121418198598119[RB1 TD])</totalsRowFormula>
    </tableColumn>
    <tableColumn id="34" xr3:uid="{23C310BA-AC6E-4F34-8B9C-62FD07F1CC54}" name="RB2 TD" totalsRowFunction="custom" dataDxfId="6407" totalsRowDxfId="6406">
      <totalsRowFormula>AVERAGE(Table2121418198598119[RB2 TD])</totalsRowFormula>
    </tableColumn>
    <tableColumn id="22" xr3:uid="{7E90003F-D7DE-4734-936C-0B812A59E6FE}" name="WR1 TD" totalsRowFunction="custom" dataDxfId="6405" totalsRowDxfId="6404">
      <totalsRowFormula>AVERAGE(Table2121418198598119[WR1 TD])</totalsRowFormula>
    </tableColumn>
    <tableColumn id="23" xr3:uid="{16820683-91DB-40ED-900C-73F07B2588E5}" name="WR2 TD" totalsRowFunction="custom" dataDxfId="6403" totalsRowDxfId="6402">
      <totalsRowFormula>AVERAGE(Table2121418198598119[WR2 TD])</totalsRowFormula>
    </tableColumn>
    <tableColumn id="24" xr3:uid="{715FF723-2144-40F5-BCCC-ABA253B9C92E}" name="WR3 TD" totalsRowFunction="custom" dataDxfId="6401" totalsRowDxfId="6400">
      <totalsRowFormula>AVERAGE(Table2121418198598119[WR3 TD])</totalsRowFormula>
    </tableColumn>
    <tableColumn id="25" xr3:uid="{720B7910-0990-4E54-B2E7-BC6A1C72D228}" name="WR4+ TD" totalsRowFunction="custom" dataDxfId="6399" totalsRowDxfId="6398">
      <totalsRowFormula>AVERAGE(Table2121418198598119[WR4+ TD])</totalsRowFormula>
    </tableColumn>
    <tableColumn id="26" xr3:uid="{9693939D-1AFC-4238-BF02-9078964D410F}" name="TE1 TD" totalsRowFunction="custom" dataDxfId="6397" totalsRowDxfId="6396">
      <totalsRowFormula>AVERAGE(Table2121418198598119[TE1 TD])</totalsRowFormula>
    </tableColumn>
    <tableColumn id="35" xr3:uid="{FE562724-15C9-4C53-83A0-4C1CC23DB0E9}" name="TE2 TD" totalsRowFunction="custom" dataDxfId="6395" totalsRowDxfId="6394">
      <totalsRowFormula>AVERAGE(Table2121418198598119[TE2 TD])</totalsRowFormula>
    </tableColumn>
    <tableColumn id="27" xr3:uid="{A0F0362C-AF87-400E-961D-78A979890872}" name="D/ST TD" totalsRowFunction="custom" dataDxfId="6393" totalsRowDxfId="6392">
      <totalsRowFormula>AVERAGE(Table2121418198598119[D/ST TD])</totalsRowFormula>
    </tableColumn>
    <tableColumn id="30" xr3:uid="{9F860A37-2732-4C43-AB70-0F6791079E8A}" name="QB P+R" totalsRowFunction="custom" dataDxfId="6391" totalsRowDxfId="6390">
      <calculatedColumnFormula>Table2121418198598119[[#This Row],[QB PY]]+Table2121418198598119[[#This Row],[QB RY]]</calculatedColumnFormula>
      <totalsRowFormula>AVERAGE(Table2121418198598119[QB P+R])</totalsRowFormula>
    </tableColumn>
    <tableColumn id="31" xr3:uid="{66361D03-962B-4377-9463-A9FB4DB33548}" name="RB R+R" totalsRowFunction="custom" dataDxfId="6389" totalsRowDxfId="6388">
      <calculatedColumnFormula>Table2121418198598119[[#This Row],[RB1 RY]]+Table2121418198598119[[#This Row],[RB2+ RY]]+Table2121418198598119[[#This Row],[RB1 RecY]]+Table2121418198598119[[#This Row],[RB2 RecY]]</calculatedColumnFormula>
      <totalsRowFormula>AVERAGE(Table2121418198598119[RB R+R])</totalsRowFormula>
    </tableColumn>
  </tableColumns>
  <tableStyleInfo name="TableStyleLight8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21309B4D-53B5-4722-84A9-7B71E961BDA7}" name="Table2121418198598121" displayName="Table2121418198598121" ref="B684:AJ703" totalsRowCount="1" headerRowDxfId="6387" dataDxfId="6385" totalsRowDxfId="6384" headerRowBorderDxfId="6386" totalsRowBorderDxfId="6383">
  <autoFilter ref="B684:AJ702" xr:uid="{21309B4D-53B5-4722-84A9-7B71E961BDA7}"/>
  <tableColumns count="35">
    <tableColumn id="1" xr3:uid="{A93FA19A-8ED3-4A60-800A-D4945D820A4F}" name="Week" totalsRowLabel="Average" totalsRowDxfId="6382"/>
    <tableColumn id="2" xr3:uid="{8D9DEE02-4A52-43D3-A7C3-79FD951A3ADA}" name="QB PY" totalsRowFunction="custom" dataDxfId="6381" totalsRowDxfId="6380">
      <totalsRowFormula>AVERAGE(Table2121418198598121[QB PY])</totalsRowFormula>
    </tableColumn>
    <tableColumn id="3" xr3:uid="{DE9C1A76-B3D4-47F7-AA64-A4B8B71C4BBA}" name="P TD" totalsRowFunction="custom" dataDxfId="6379" totalsRowDxfId="6378">
      <totalsRowFormula>AVERAGE(Table2121418198598121[P TD])</totalsRowFormula>
    </tableColumn>
    <tableColumn id="4" xr3:uid="{A4B1548C-F3FD-42A8-B931-61253B510C6B}" name="QB RY" totalsRowFunction="custom" dataDxfId="6377" totalsRowDxfId="6376">
      <totalsRowFormula>AVERAGE(Table2121418198598121[QB RY])</totalsRowFormula>
    </tableColumn>
    <tableColumn id="5" xr3:uid="{30BEB3C4-6369-4460-A4C6-88C590FC3210}" name="RB1 RY" totalsRowFunction="custom" dataDxfId="6375" totalsRowDxfId="6374">
      <totalsRowFormula>AVERAGE(Table2121418198598121[RB1 RY])</totalsRowFormula>
    </tableColumn>
    <tableColumn id="6" xr3:uid="{9FC4ABC7-15E3-43C0-A68B-41F8539378A3}" name="RB2+ RY" totalsRowFunction="custom" dataDxfId="6373" totalsRowDxfId="6372">
      <totalsRowFormula>AVERAGE(Table2121418198598121[RB2+ RY])</totalsRowFormula>
    </tableColumn>
    <tableColumn id="7" xr3:uid="{A2BD663A-E80F-4840-972D-977A0D8990B1}" name="WR RY" totalsRowFunction="custom" dataDxfId="6371" totalsRowDxfId="6370">
      <totalsRowFormula>AVERAGE(Table2121418198598121[WR RY])</totalsRowFormula>
    </tableColumn>
    <tableColumn id="8" xr3:uid="{CEDEA93C-24E0-472D-814D-ACBC8F84DED8}" name="RB1 Recep" totalsRowFunction="custom" dataDxfId="6369" totalsRowDxfId="6368">
      <totalsRowFormula>AVERAGE(Table2121418198598121[RB1 Recep])</totalsRowFormula>
    </tableColumn>
    <tableColumn id="9" xr3:uid="{1766CE9B-099F-43A1-883E-6007BEB5B762}" name="RB1 RecY" totalsRowFunction="custom" dataDxfId="6367" totalsRowDxfId="6366">
      <totalsRowFormula>AVERAGE(Table2121418198598121[RB1 RecY])</totalsRowFormula>
    </tableColumn>
    <tableColumn id="29" xr3:uid="{ADD7DE80-0850-49A9-8484-EDA683E5679B}" name="RB2 Recep" totalsRowFunction="custom" dataDxfId="6365" totalsRowDxfId="6364">
      <totalsRowFormula>AVERAGE(Table2121418198598121[RB2 Recep])</totalsRowFormula>
    </tableColumn>
    <tableColumn id="28" xr3:uid="{996857FD-CFBB-414F-BDBB-6306059BD2C6}" name="RB2 RecY" totalsRowFunction="custom" dataDxfId="6363" totalsRowDxfId="6362">
      <totalsRowFormula>AVERAGE(Table2121418198598121[RB2 RecY])</totalsRowFormula>
    </tableColumn>
    <tableColumn id="10" xr3:uid="{8CDDBBF9-8C7A-4D29-8408-8B58FB48DE36}" name="WR1 Recep" totalsRowFunction="custom" dataDxfId="6361" totalsRowDxfId="6360">
      <totalsRowFormula>AVERAGE(Table2121418198598121[WR1 Recep])</totalsRowFormula>
    </tableColumn>
    <tableColumn id="11" xr3:uid="{E1D9C4C1-517E-4C7E-BAEE-964F9B6E8B65}" name="WR1 RecY" totalsRowFunction="custom" dataDxfId="6359" totalsRowDxfId="6358">
      <totalsRowFormula>AVERAGE(Table2121418198598121[WR1 RecY])</totalsRowFormula>
    </tableColumn>
    <tableColumn id="12" xr3:uid="{D8B6C6F2-0FB5-44A7-9573-071BECB3AC46}" name="WR2 Recep" totalsRowFunction="custom" dataDxfId="6357" totalsRowDxfId="6356">
      <totalsRowFormula>AVERAGE(Table2121418198598121[WR2 Recep])</totalsRowFormula>
    </tableColumn>
    <tableColumn id="13" xr3:uid="{2EA7B8A1-B61B-4872-8F2D-74C83A90C427}" name="WR2 RecY" totalsRowFunction="custom" dataDxfId="6355" totalsRowDxfId="6354">
      <totalsRowFormula>AVERAGE(Table2121418198598121[WR2 RecY])</totalsRowFormula>
    </tableColumn>
    <tableColumn id="14" xr3:uid="{AD83E53F-10E7-4E01-B9FF-A79A8FF71B9F}" name="WR3 Recep" totalsRowFunction="custom" dataDxfId="6353" totalsRowDxfId="6352">
      <totalsRowFormula>AVERAGE(Table2121418198598121[WR3 Recep])</totalsRowFormula>
    </tableColumn>
    <tableColumn id="15" xr3:uid="{C09694E6-AB48-4B40-B787-F5BC97DA8706}" name="WR3 RecY" totalsRowFunction="custom" dataDxfId="6351" totalsRowDxfId="6350">
      <totalsRowFormula>AVERAGE(Table2121418198598121[WR3 RecY])</totalsRowFormula>
    </tableColumn>
    <tableColumn id="16" xr3:uid="{363608A3-E489-418E-AB5F-DEAB5932BB57}" name="WR4+ Recep" totalsRowFunction="custom" dataDxfId="6349" totalsRowDxfId="6348">
      <totalsRowFormula>AVERAGE(Table2121418198598121[WR4+ Recep])</totalsRowFormula>
    </tableColumn>
    <tableColumn id="17" xr3:uid="{2F9B564F-4A84-415E-ABD1-B6B3C44CD8B6}" name="WR4+ RecY" totalsRowFunction="custom" dataDxfId="6347" totalsRowDxfId="6346">
      <totalsRowFormula>AVERAGE(Table2121418198598121[WR4+ RecY])</totalsRowFormula>
    </tableColumn>
    <tableColumn id="18" xr3:uid="{1392B6C7-CB07-449F-B45F-190FB4393746}" name="TE1 Recep" totalsRowFunction="custom" dataDxfId="6345" totalsRowDxfId="6344">
      <totalsRowFormula>AVERAGE(Table2121418198598121[TE1 Recep])</totalsRowFormula>
    </tableColumn>
    <tableColumn id="19" xr3:uid="{2D4F011F-9AAE-4EF6-8AA0-3138A46CFCA0}" name="TE1 RecY" totalsRowFunction="custom" dataDxfId="6343" totalsRowDxfId="6342">
      <totalsRowFormula>AVERAGE(Table2121418198598121[TE1 RecY])</totalsRowFormula>
    </tableColumn>
    <tableColumn id="32" xr3:uid="{DFC73426-C5B2-4BA9-A555-C4070B56F7C5}" name="TE2 Recep" totalsRowFunction="custom" dataDxfId="6341" totalsRowDxfId="6340">
      <totalsRowFormula>AVERAGE(Table2121418198598121[TE2 Recep])</totalsRowFormula>
    </tableColumn>
    <tableColumn id="33" xr3:uid="{EA39733F-177D-4419-8E3B-057B5CC7A214}" name="TE2 RecY" totalsRowFunction="custom" dataDxfId="6339" totalsRowDxfId="6338">
      <totalsRowFormula>AVERAGE(Table2121418198598121[TE2 RecY])</totalsRowFormula>
    </tableColumn>
    <tableColumn id="20" xr3:uid="{DDEC7513-6925-4C56-A6B2-F938E1A52478}" name="QB TD" totalsRowFunction="custom" dataDxfId="6337" totalsRowDxfId="6336">
      <totalsRowFormula>AVERAGE(Table2121418198598121[QB TD])</totalsRowFormula>
    </tableColumn>
    <tableColumn id="21" xr3:uid="{4DBF2CD3-695C-4062-A05C-AFC9D56B1B3C}" name="RB1 TD" totalsRowFunction="custom" dataDxfId="6335" totalsRowDxfId="6334">
      <totalsRowFormula>AVERAGE(Table2121418198598121[RB1 TD])</totalsRowFormula>
    </tableColumn>
    <tableColumn id="34" xr3:uid="{577AEE87-8666-49B9-B614-ADCDDEF8625D}" name="RB2 TD" totalsRowFunction="custom" dataDxfId="6333" totalsRowDxfId="6332">
      <totalsRowFormula>AVERAGE(Table2121418198598121[RB2 TD])</totalsRowFormula>
    </tableColumn>
    <tableColumn id="22" xr3:uid="{046EDD9F-8E25-414D-837F-2C151BE13387}" name="WR1 TD" totalsRowFunction="custom" dataDxfId="6331" totalsRowDxfId="6330">
      <totalsRowFormula>AVERAGE(Table2121418198598121[WR1 TD])</totalsRowFormula>
    </tableColumn>
    <tableColumn id="23" xr3:uid="{320CEFD3-EB1B-43B5-8DCE-21579936E009}" name="WR2 TD" totalsRowFunction="custom" dataDxfId="6329" totalsRowDxfId="6328">
      <totalsRowFormula>AVERAGE(Table2121418198598121[WR2 TD])</totalsRowFormula>
    </tableColumn>
    <tableColumn id="24" xr3:uid="{C30CA853-38A2-44B3-86F4-04D4CAA06EFF}" name="WR3 TD" totalsRowFunction="custom" dataDxfId="6327" totalsRowDxfId="6326">
      <totalsRowFormula>AVERAGE(Table2121418198598121[WR3 TD])</totalsRowFormula>
    </tableColumn>
    <tableColumn id="25" xr3:uid="{7B0AD770-9A7B-4958-B1F3-CE213C79E145}" name="WR4+ TD" totalsRowFunction="custom" dataDxfId="6325" totalsRowDxfId="6324">
      <totalsRowFormula>AVERAGE(Table2121418198598121[WR4+ TD])</totalsRowFormula>
    </tableColumn>
    <tableColumn id="26" xr3:uid="{B4E4CD3C-0551-4437-827E-474BE40191A7}" name="TE1 TD" totalsRowFunction="custom" dataDxfId="6323" totalsRowDxfId="6322">
      <totalsRowFormula>AVERAGE(Table2121418198598121[TE1 TD])</totalsRowFormula>
    </tableColumn>
    <tableColumn id="35" xr3:uid="{F425EA7E-9D6D-4E2A-BD28-F6DB74469366}" name="TE2 TD" totalsRowFunction="custom" dataDxfId="6321" totalsRowDxfId="6320">
      <totalsRowFormula>AVERAGE(Table2121418198598121[TE2 TD])</totalsRowFormula>
    </tableColumn>
    <tableColumn id="27" xr3:uid="{3A82D614-4B27-4DF3-9640-B1B6AE9D32E8}" name="D/ST TD" totalsRowFunction="custom" dataDxfId="6319" totalsRowDxfId="6318">
      <totalsRowFormula>AVERAGE(Table2121418198598121[D/ST TD])</totalsRowFormula>
    </tableColumn>
    <tableColumn id="30" xr3:uid="{F00DA9ED-9172-4949-9299-1BFFE5626C07}" name="QB P+R" totalsRowFunction="custom" dataDxfId="6317" totalsRowDxfId="6316">
      <calculatedColumnFormula>Table2121418198598121[[#This Row],[QB PY]]+Table2121418198598121[[#This Row],[QB RY]]</calculatedColumnFormula>
      <totalsRowFormula>AVERAGE(Table2121418198598121[QB P+R])</totalsRowFormula>
    </tableColumn>
    <tableColumn id="31" xr3:uid="{329416BF-6EF1-4852-8E20-709702047E0F}" name="RB R+R" totalsRowFunction="custom" dataDxfId="6315" totalsRowDxfId="6314">
      <calculatedColumnFormula>Table2121418198598121[[#This Row],[RB1 RY]]+Table2121418198598121[[#This Row],[RB2+ RY]]+Table2121418198598121[[#This Row],[RB1 RecY]]+Table2121418198598121[[#This Row],[RB2 RecY]]</calculatedColumnFormula>
      <totalsRowFormula>AVERAGE(Table2121418198598121[RB R+R])</totalsRowFormula>
    </tableColumn>
  </tableColumns>
  <tableStyleInfo name="TableStyleLight8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A549E2-1878-4B94-BBEA-E5C0D0B53185}" name="Table9" displayName="Table9" ref="A2:AD34" totalsRowShown="0" headerRowDxfId="6249" dataDxfId="6248" tableBorderDxfId="6247">
  <autoFilter ref="A2:AD34" xr:uid="{AFA549E2-1878-4B94-BBEA-E5C0D0B53185}"/>
  <sortState xmlns:xlrd2="http://schemas.microsoft.com/office/spreadsheetml/2017/richdata2" ref="A3:AD34">
    <sortCondition ref="A2:A34"/>
  </sortState>
  <tableColumns count="30">
    <tableColumn id="1" xr3:uid="{D8B71AEC-734C-49C2-873C-8C51443CEE5B}" name="Defense" dataDxfId="6246"/>
    <tableColumn id="2" xr3:uid="{32A53A5F-7E19-40F2-A227-A18356015489}" name="QBP" dataDxfId="6245"/>
    <tableColumn id="3" xr3:uid="{B2186C85-5FB5-41E8-B3BF-EBAAE086DC82}" name="PTD" dataDxfId="6244"/>
    <tableColumn id="28" xr3:uid="{160DC3F6-A699-473A-952A-297BB7DB713A}" name="QBP+R" dataDxfId="6243"/>
    <tableColumn id="4" xr3:uid="{50853956-F5D3-4D7B-9405-F12B7C60521D}" name="QBR" dataDxfId="6242"/>
    <tableColumn id="30" xr3:uid="{F06D2E2F-006D-4E35-84AF-C7BB2E9135E0}" name="RBR" dataDxfId="6241">
      <calculatedColumnFormula>Table9[[#This Row],[RB1R]]+Table9[[#This Row],[RB2+]]</calculatedColumnFormula>
    </tableColumn>
    <tableColumn id="5" xr3:uid="{5FD49653-8359-4157-91FB-DC66ECC74CD8}" name="RB1R" dataDxfId="6240"/>
    <tableColumn id="6" xr3:uid="{4DA17D54-F484-4076-99E1-B28ADA6B5F68}" name="RB2+" dataDxfId="6239"/>
    <tableColumn id="29" xr3:uid="{912B5B3A-911F-405F-965B-D4B562E2576E}" name="RBR+R" dataDxfId="6238"/>
    <tableColumn id="7" xr3:uid="{C4EFD97C-996D-4EB3-96B9-9248F5398107}" name="WRR" dataDxfId="6237"/>
    <tableColumn id="8" xr3:uid="{B9A3244D-2491-4C75-8C32-B99F6CFB0180}" name="RBC" dataDxfId="6236"/>
    <tableColumn id="9" xr3:uid="{2CF6C9B0-5BA8-4B94-AEBF-245232C6C215}" name="RBY" dataDxfId="6235"/>
    <tableColumn id="10" xr3:uid="{AF1043B4-0C42-4CB7-8DBF-E426A8F706AF}" name="WR1C" dataDxfId="6234"/>
    <tableColumn id="11" xr3:uid="{757F5252-4992-41DA-ADD4-F517F82F24C8}" name="WR1Y" dataDxfId="6233"/>
    <tableColumn id="12" xr3:uid="{43906992-BACD-41FE-8A02-3C52685B5579}" name="WR2C" dataDxfId="6232"/>
    <tableColumn id="13" xr3:uid="{E0452A16-E50A-45DA-B512-D3D158E76825}" name="WR2Y" dataDxfId="6231"/>
    <tableColumn id="14" xr3:uid="{1EDA2C15-7CD4-4DAF-869B-A9FAD91ED535}" name="WR3C" dataDxfId="6230"/>
    <tableColumn id="15" xr3:uid="{F9E8206C-2982-4000-8B28-026C8B7F062B}" name="WR3Y" dataDxfId="6229"/>
    <tableColumn id="16" xr3:uid="{90DC94F5-38F9-44BB-BF1C-66BE1DD0E51F}" name="WR4+C" dataDxfId="6228"/>
    <tableColumn id="17" xr3:uid="{CEA2D427-9DF2-4C70-9BCE-36E06B7E7FA2}" name="WR4+Y" dataDxfId="6227"/>
    <tableColumn id="18" xr3:uid="{4375C62D-DE59-43A6-8609-D141104C42CB}" name="TEC" dataDxfId="6226"/>
    <tableColumn id="19" xr3:uid="{216D2695-3ADB-430B-8101-57972DA08B35}" name="TEY" dataDxfId="6225"/>
    <tableColumn id="20" xr3:uid="{7DD8CA1E-6C0E-4CCA-A500-5ECE98FCB2F3}" name="QB" dataDxfId="6224"/>
    <tableColumn id="21" xr3:uid="{45173142-D6E1-40DF-908E-3F9EBDB5BD20}" name="RB" dataDxfId="6223"/>
    <tableColumn id="22" xr3:uid="{FD920B94-69F4-4CD5-BEA7-F82902CDC893}" name="WR1" dataDxfId="6222"/>
    <tableColumn id="23" xr3:uid="{BB9BA57C-4299-4557-8A97-FAAE18F041FC}" name="WR2" dataDxfId="6221"/>
    <tableColumn id="24" xr3:uid="{CC651EB4-6B5E-4ACB-81F6-E5E5B01F20D9}" name="WR3" dataDxfId="6220"/>
    <tableColumn id="25" xr3:uid="{75DD8B09-8F70-463B-BE37-6E818CCBB64A}" name="WR4+" dataDxfId="6219"/>
    <tableColumn id="26" xr3:uid="{E3E7B4BF-A3E3-4171-A89E-93D50CB153DC}" name="TE" dataDxfId="6218"/>
    <tableColumn id="27" xr3:uid="{5728E346-F9A7-466A-91E2-5EC08A70B1DC}" name="D/ST" dataDxfId="6217"/>
  </tableColumns>
  <tableStyleInfo name="TableStyleMedium15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4ED9355-D8BD-4B2D-8E2B-88B392AE0012}" name="Table42" displayName="Table42" ref="A36:AD68" totalsRowShown="0" headerRowDxfId="6216" dataDxfId="6214" headerRowBorderDxfId="6215" tableBorderDxfId="6213">
  <autoFilter ref="A36:AD68" xr:uid="{54ED9355-D8BD-4B2D-8E2B-88B392AE0012}"/>
  <sortState xmlns:xlrd2="http://schemas.microsoft.com/office/spreadsheetml/2017/richdata2" ref="A37:AD68">
    <sortCondition ref="A36:A68"/>
  </sortState>
  <tableColumns count="30">
    <tableColumn id="1" xr3:uid="{F265786A-A2DE-479B-9EF6-F0C3F77ABA6E}" name="Defense" dataDxfId="6212"/>
    <tableColumn id="2" xr3:uid="{50500355-9DC8-4E15-91C4-EF0CADBCB76A}" name="QBP" dataDxfId="6211">
      <calculatedColumnFormula>RANK(B3,Table9[QBP])</calculatedColumnFormula>
    </tableColumn>
    <tableColumn id="3" xr3:uid="{0EA70C6E-7FA8-4E48-8C04-794B4E5883A8}" name="PTD" dataDxfId="6210">
      <calculatedColumnFormula>RANK(C3,Table9[PTD])</calculatedColumnFormula>
    </tableColumn>
    <tableColumn id="28" xr3:uid="{C7A7F869-946F-438E-88D5-9D98AFD9658C}" name="QBP+R" dataDxfId="6209">
      <calculatedColumnFormula>RANK(D3,Table9[QBP+R])</calculatedColumnFormula>
    </tableColumn>
    <tableColumn id="4" xr3:uid="{D4A28E82-B348-409F-AA94-A679877749AC}" name="QBR" dataDxfId="6208">
      <calculatedColumnFormula>RANK(E3,Table9[QBR])</calculatedColumnFormula>
    </tableColumn>
    <tableColumn id="31" xr3:uid="{FEE3FB3B-F2A5-4EA1-853E-BF3CAA165A0B}" name="RBR" dataDxfId="6207">
      <calculatedColumnFormula>RANK(F3,Table9[RBR])</calculatedColumnFormula>
    </tableColumn>
    <tableColumn id="5" xr3:uid="{DC5D86E7-0ADC-496B-9F59-738CF9AAB4D7}" name="RB1R" dataDxfId="6206">
      <calculatedColumnFormula>RANK(G3,Table9[RB1R])</calculatedColumnFormula>
    </tableColumn>
    <tableColumn id="6" xr3:uid="{D6C1315F-6626-4CF7-98A9-31F5E65F0473}" name="RB2+" dataDxfId="6205">
      <calculatedColumnFormula>RANK(H3,Table9[RB2+])</calculatedColumnFormula>
    </tableColumn>
    <tableColumn id="29" xr3:uid="{B4CAB2FC-60FD-4429-A238-60AD661A7740}" name="RBR+R" dataDxfId="6204">
      <calculatedColumnFormula>RANK(I3,Table9[RBR+R])</calculatedColumnFormula>
    </tableColumn>
    <tableColumn id="7" xr3:uid="{ADA51555-CD72-4AD9-869C-A42036EE38B6}" name="WRR" dataDxfId="6203">
      <calculatedColumnFormula>RANK(J3,Table9[WRR])</calculatedColumnFormula>
    </tableColumn>
    <tableColumn id="8" xr3:uid="{37A79B41-7BB2-483B-8A63-D360C4C2F5CD}" name="RBC" dataDxfId="6202">
      <calculatedColumnFormula>RANK(K3,Table9[RBC])</calculatedColumnFormula>
    </tableColumn>
    <tableColumn id="9" xr3:uid="{FB5DB201-C654-404D-8B33-3DBB0E3EF03F}" name="RBY" dataDxfId="6201">
      <calculatedColumnFormula>RANK(L3,Table9[RBY])</calculatedColumnFormula>
    </tableColumn>
    <tableColumn id="10" xr3:uid="{1D85C49B-9948-40DA-8954-8A45713F55BD}" name="WR1C" dataDxfId="6200">
      <calculatedColumnFormula>RANK(M3,Table9[WR1C])</calculatedColumnFormula>
    </tableColumn>
    <tableColumn id="11" xr3:uid="{17F6C4F9-1EB1-42A7-A132-96401B80B928}" name="WR1Y" dataDxfId="6199">
      <calculatedColumnFormula>RANK(N3,Table9[WR1Y])</calculatedColumnFormula>
    </tableColumn>
    <tableColumn id="12" xr3:uid="{D3B58831-54FB-4E8E-8402-2B62D899AB20}" name="WR2C" dataDxfId="6198">
      <calculatedColumnFormula>RANK(O3,Table9[WR2C])</calculatedColumnFormula>
    </tableColumn>
    <tableColumn id="13" xr3:uid="{08AE53EE-6739-4B76-B6BF-2AE6442BD425}" name="WR2Y" dataDxfId="6197">
      <calculatedColumnFormula>RANK(P3,Table9[WR2Y])</calculatedColumnFormula>
    </tableColumn>
    <tableColumn id="14" xr3:uid="{6DAA8A90-76A5-4FFE-8055-7CBFD666876C}" name="WR3C" dataDxfId="6196">
      <calculatedColumnFormula>RANK(Q3,Table9[WR3C])</calculatedColumnFormula>
    </tableColumn>
    <tableColumn id="15" xr3:uid="{FDA7D2C2-0A7E-4E13-98BC-127D57D28459}" name="WR3Y" dataDxfId="6195">
      <calculatedColumnFormula>RANK(R3,Table9[WR3Y])</calculatedColumnFormula>
    </tableColumn>
    <tableColumn id="16" xr3:uid="{F743D692-A13A-41B5-BCCD-FFADE26ED242}" name="WR4+C" dataDxfId="6194">
      <calculatedColumnFormula>RANK(S3,Table9[WR4+C])</calculatedColumnFormula>
    </tableColumn>
    <tableColumn id="17" xr3:uid="{8A99FD81-2601-4110-A131-DE0A3002D4BD}" name="WR4+Y" dataDxfId="6193">
      <calculatedColumnFormula>RANK(T3,Table9[WR4+Y])</calculatedColumnFormula>
    </tableColumn>
    <tableColumn id="18" xr3:uid="{8D79AA2C-4E47-4A99-9FE4-C6E0DE51C556}" name="TEC" dataDxfId="6192">
      <calculatedColumnFormula>RANK(U3,Table9[TEC])</calculatedColumnFormula>
    </tableColumn>
    <tableColumn id="19" xr3:uid="{6ABE05D5-CD8D-4A0F-9C87-B44577154ADB}" name="TEY" dataDxfId="6191">
      <calculatedColumnFormula>RANK(V3,Table9[TEY])</calculatedColumnFormula>
    </tableColumn>
    <tableColumn id="20" xr3:uid="{A132681A-1A22-424D-962E-941098CB1C92}" name="QB" dataDxfId="6190">
      <calculatedColumnFormula>RANK(W3,Table9[QB])</calculatedColumnFormula>
    </tableColumn>
    <tableColumn id="21" xr3:uid="{3540EEFF-33E8-4F4B-83F3-C8E64BFEE4CE}" name="RB" dataDxfId="6189">
      <calculatedColumnFormula>RANK(X3,Table9[RB])</calculatedColumnFormula>
    </tableColumn>
    <tableColumn id="22" xr3:uid="{026DE9C2-035F-4B85-A831-851CA36E4F81}" name="WR1" dataDxfId="6188">
      <calculatedColumnFormula>RANK(Y3,Table9[WR1])</calculatedColumnFormula>
    </tableColumn>
    <tableColumn id="23" xr3:uid="{FF74B328-A2A3-41B8-8D75-DC7BABEA47FC}" name="WR2" dataDxfId="6187">
      <calculatedColumnFormula>RANK(Z3,Table9[WR2])</calculatedColumnFormula>
    </tableColumn>
    <tableColumn id="24" xr3:uid="{90FA6855-5212-4DFB-AE47-769BC3B6535E}" name="WR3" dataDxfId="6186">
      <calculatedColumnFormula>RANK(AA3,Table9[WR3])</calculatedColumnFormula>
    </tableColumn>
    <tableColumn id="25" xr3:uid="{24FF7A13-1C45-4729-BBB3-197982F66552}" name="WR4+" dataDxfId="6185">
      <calculatedColumnFormula>RANK(AB3,Table9[WR4+])</calculatedColumnFormula>
    </tableColumn>
    <tableColumn id="26" xr3:uid="{ECFDA7EE-EC7B-417F-A3E9-B122EA05F70C}" name="TE" dataDxfId="6184">
      <calculatedColumnFormula>RANK(AC3,Table9[TE])</calculatedColumnFormula>
    </tableColumn>
    <tableColumn id="27" xr3:uid="{709C62B7-DBF8-434E-9E69-83E26E157ECB}" name="D/ST" dataDxfId="6183">
      <calculatedColumnFormula>RANK(AD3,Table9[D/ST])</calculatedColumnFormula>
    </tableColumn>
  </tableColumns>
  <tableStyleInfo name="TableStyleMedium15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F180254-2B68-47B4-BCAB-B97CFDA4132E}" name="Table948" displayName="Table948" ref="A2:AD34" totalsRowShown="0" headerRowDxfId="6118" dataDxfId="6117" tableBorderDxfId="6116">
  <autoFilter ref="A2:AD34" xr:uid="{AFA549E2-1878-4B94-BBEA-E5C0D0B53185}"/>
  <sortState xmlns:xlrd2="http://schemas.microsoft.com/office/spreadsheetml/2017/richdata2" ref="A3:AD34">
    <sortCondition ref="A2:A34"/>
  </sortState>
  <tableColumns count="30">
    <tableColumn id="1" xr3:uid="{E210F3EE-7F79-479A-91AB-59C73DAFE390}" name="Defense" dataDxfId="6115"/>
    <tableColumn id="2" xr3:uid="{5F22E241-D99B-4F4B-945B-78248A6BC310}" name="QBP" dataDxfId="6114"/>
    <tableColumn id="3" xr3:uid="{58A8A3F9-211B-4456-A433-7EBC3032282E}" name="PTD" dataDxfId="6113"/>
    <tableColumn id="28" xr3:uid="{6DC7A8FA-D5F3-4082-965B-62FB090E211E}" name="QBP+R" dataDxfId="6112"/>
    <tableColumn id="4" xr3:uid="{8661E4C2-A969-4F90-9830-0D30EA8607A9}" name="QBR" dataDxfId="6111"/>
    <tableColumn id="30" xr3:uid="{95AFDA89-E3A9-4324-8043-28DC39FFE547}" name="RBR" dataDxfId="6110">
      <calculatedColumnFormula>Table948[[#This Row],[RB1R]]+Table948[[#This Row],[RB2+]]</calculatedColumnFormula>
    </tableColumn>
    <tableColumn id="5" xr3:uid="{BF202153-FD27-4E73-9627-4FC3AF725B47}" name="RB1R" dataDxfId="6109"/>
    <tableColumn id="6" xr3:uid="{988777D2-A438-4F90-9870-6F63A3F732D3}" name="RB2+" dataDxfId="6108"/>
    <tableColumn id="29" xr3:uid="{316F4885-261C-49E8-A0A9-ABED9E968867}" name="RBR+R" dataDxfId="6107"/>
    <tableColumn id="7" xr3:uid="{40C01F7D-F20E-49E9-A5AA-BAE0C46C8A33}" name="WRR" dataDxfId="6106"/>
    <tableColumn id="8" xr3:uid="{4F64FE0B-655B-4037-B130-D8F7FA029D11}" name="RBC" dataDxfId="6105"/>
    <tableColumn id="9" xr3:uid="{C5D58175-1271-4A35-9425-00B305725638}" name="RBY" dataDxfId="6104"/>
    <tableColumn id="10" xr3:uid="{016E7439-4725-44E7-8BC7-54EFEDC13236}" name="WR1C" dataDxfId="6103"/>
    <tableColumn id="11" xr3:uid="{ED43BF3A-5BC3-43EC-AA0B-AE925A505B55}" name="WR1Y" dataDxfId="6102"/>
    <tableColumn id="12" xr3:uid="{06EF60AC-CE16-40D5-90E3-11D3E0597535}" name="WR2C" dataDxfId="6101"/>
    <tableColumn id="13" xr3:uid="{3EE60AAF-4DE6-475B-97CD-753CD37058F3}" name="WR2Y" dataDxfId="6100"/>
    <tableColumn id="14" xr3:uid="{CBDECB0C-D2E9-412C-A9C3-AE0F817FFF3B}" name="WR3C" dataDxfId="6099"/>
    <tableColumn id="15" xr3:uid="{1F3DF712-A31D-44A4-8C17-7309ABF76340}" name="WR3Y" dataDxfId="6098"/>
    <tableColumn id="16" xr3:uid="{540D1701-F511-4793-9416-4B561D2D482C}" name="WR4+C" dataDxfId="6097"/>
    <tableColumn id="17" xr3:uid="{AFFB68DD-6B3A-47D7-9AA1-A22EC3584B3B}" name="WR4+Y" dataDxfId="6096"/>
    <tableColumn id="18" xr3:uid="{A830E1C8-29A3-454D-9095-520FB621862A}" name="TEC" dataDxfId="6095"/>
    <tableColumn id="19" xr3:uid="{9B37F9BE-EA48-4DC5-B260-5851D3F36682}" name="TEY" dataDxfId="6094"/>
    <tableColumn id="20" xr3:uid="{4125D801-2EA5-4AA5-B9CD-DFB64D6B82BD}" name="QB" dataDxfId="6093"/>
    <tableColumn id="21" xr3:uid="{539488A9-0FD1-40E7-8633-6CAAA6FA8F97}" name="RB" dataDxfId="6092"/>
    <tableColumn id="22" xr3:uid="{49A60EAD-40FD-4599-ABB9-56985F740A2F}" name="WR1" dataDxfId="6091"/>
    <tableColumn id="23" xr3:uid="{2572CBC8-B130-4F6F-B228-B2EB9F2116A3}" name="WR2" dataDxfId="6090"/>
    <tableColumn id="24" xr3:uid="{7FF33485-85FF-4902-99D6-EB403F555B1F}" name="WR3" dataDxfId="6089"/>
    <tableColumn id="25" xr3:uid="{B90ADA68-89B0-4D69-8CF4-0F2B0CDC9D0F}" name="WR4+" dataDxfId="6088"/>
    <tableColumn id="26" xr3:uid="{C89FE891-262E-46D2-A773-55F0DF480026}" name="TE" dataDxfId="6087"/>
    <tableColumn id="27" xr3:uid="{AA0B95F3-59FD-4979-AD8D-3ACA7A4B03BE}" name="D/ST" dataDxfId="6086"/>
  </tableColumns>
  <tableStyleInfo name="TableStyleMedium15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C3AE7CB-B389-47DB-88B5-52F1EBD445BB}" name="Table4249" displayName="Table4249" ref="A36:AD68" totalsRowShown="0" headerRowDxfId="6085" dataDxfId="6083" headerRowBorderDxfId="6084" tableBorderDxfId="6082">
  <autoFilter ref="A36:AD68" xr:uid="{54ED9355-D8BD-4B2D-8E2B-88B392AE0012}"/>
  <sortState xmlns:xlrd2="http://schemas.microsoft.com/office/spreadsheetml/2017/richdata2" ref="A37:AD68">
    <sortCondition ref="A36:A68"/>
  </sortState>
  <tableColumns count="30">
    <tableColumn id="1" xr3:uid="{8B9C64B8-998B-4A2E-A4EC-6D57F4AE9989}" name="Defense" dataDxfId="6081"/>
    <tableColumn id="2" xr3:uid="{C9AC8101-B60E-4969-9AF9-4E8CD20EA22F}" name="QBP" dataDxfId="6080">
      <calculatedColumnFormula>RANK(B3,Table948[QBP])</calculatedColumnFormula>
    </tableColumn>
    <tableColumn id="3" xr3:uid="{A79C1E3D-7AF4-47E2-9C66-8C068A5F2187}" name="PTD" dataDxfId="6079">
      <calculatedColumnFormula>RANK(C3,Table948[PTD])</calculatedColumnFormula>
    </tableColumn>
    <tableColumn id="28" xr3:uid="{FFBEB208-F798-4737-B20C-90E530C5941E}" name="QBP+R" dataDxfId="6078">
      <calculatedColumnFormula>RANK(D3,Table948[QBP+R])</calculatedColumnFormula>
    </tableColumn>
    <tableColumn id="4" xr3:uid="{78B32574-6F83-4229-9FC4-150DBAEC7D56}" name="QBR" dataDxfId="6077">
      <calculatedColumnFormula>RANK(E3,Table948[QBR])</calculatedColumnFormula>
    </tableColumn>
    <tableColumn id="31" xr3:uid="{AA89BFA8-B8D0-410B-897E-B8CA083620D1}" name="RBR" dataDxfId="6076">
      <calculatedColumnFormula>RANK(F3,Table948[RBR])</calculatedColumnFormula>
    </tableColumn>
    <tableColumn id="5" xr3:uid="{F4531FEA-874F-4E8F-9B23-F5904ED98CAB}" name="RB1R" dataDxfId="6075">
      <calculatedColumnFormula>RANK(G3,Table948[RB1R])</calculatedColumnFormula>
    </tableColumn>
    <tableColumn id="6" xr3:uid="{C735F6D0-3472-4416-A2C2-4B6F9441AE95}" name="RB2+" dataDxfId="6074">
      <calculatedColumnFormula>RANK(H3,Table948[RB2+])</calculatedColumnFormula>
    </tableColumn>
    <tableColumn id="29" xr3:uid="{018F71CC-C7C0-4675-81CC-8AEAE69B45F8}" name="RBR+R" dataDxfId="6073">
      <calculatedColumnFormula>RANK(I3,Table948[RBR+R])</calculatedColumnFormula>
    </tableColumn>
    <tableColumn id="7" xr3:uid="{97EFF1B3-A172-477E-B99F-7AF2F496C001}" name="WRR" dataDxfId="6072">
      <calculatedColumnFormula>RANK(J3,Table948[WRR])</calculatedColumnFormula>
    </tableColumn>
    <tableColumn id="8" xr3:uid="{EDAC9CE8-E52A-40B3-9166-BA91A2E7784D}" name="RBC" dataDxfId="6071">
      <calculatedColumnFormula>RANK(K3,Table948[RBC])</calculatedColumnFormula>
    </tableColumn>
    <tableColumn id="9" xr3:uid="{DAD6CC5D-8DBD-4DF1-89F1-5F2A9F82967A}" name="RBY" dataDxfId="6070">
      <calculatedColumnFormula>RANK(L3,Table948[RBY])</calculatedColumnFormula>
    </tableColumn>
    <tableColumn id="10" xr3:uid="{CF7F0DC9-CCBA-46A3-B86C-3B09BF105492}" name="WR1C" dataDxfId="6069">
      <calculatedColumnFormula>RANK(M3,Table948[WR1C])</calculatedColumnFormula>
    </tableColumn>
    <tableColumn id="11" xr3:uid="{AD0C3235-BBA0-4EF4-8A83-8159CCD7A78F}" name="WR1Y" dataDxfId="6068">
      <calculatedColumnFormula>RANK(N3,Table948[WR1Y])</calculatedColumnFormula>
    </tableColumn>
    <tableColumn id="12" xr3:uid="{17A0BB42-6679-4D31-AC87-26B43A1DA894}" name="WR2C" dataDxfId="6067">
      <calculatedColumnFormula>RANK(O3,Table948[WR2C])</calculatedColumnFormula>
    </tableColumn>
    <tableColumn id="13" xr3:uid="{F3ED7B4F-88BC-4ED0-837A-EA2475B1A1C3}" name="WR2Y" dataDxfId="6066">
      <calculatedColumnFormula>RANK(P3,Table948[WR2Y])</calculatedColumnFormula>
    </tableColumn>
    <tableColumn id="14" xr3:uid="{0898A2FE-AEE5-4FD2-AF67-AA0DE937F0B9}" name="WR3C" dataDxfId="6065">
      <calculatedColumnFormula>RANK(Q3,Table948[WR3C])</calculatedColumnFormula>
    </tableColumn>
    <tableColumn id="15" xr3:uid="{17F5A558-A28A-476D-9E44-F81DC06074BF}" name="WR3Y" dataDxfId="6064">
      <calculatedColumnFormula>RANK(R3,Table948[WR3Y])</calculatedColumnFormula>
    </tableColumn>
    <tableColumn id="16" xr3:uid="{F9BE7E6B-1EC0-4E52-A6FF-DEAED1A72AD9}" name="WR4+C" dataDxfId="6063">
      <calculatedColumnFormula>RANK(S3,Table948[WR4+C])</calculatedColumnFormula>
    </tableColumn>
    <tableColumn id="17" xr3:uid="{846D4E3C-7440-4682-933D-9A6EA83F2468}" name="WR4+Y" dataDxfId="6062">
      <calculatedColumnFormula>RANK(T3,Table948[WR4+Y])</calculatedColumnFormula>
    </tableColumn>
    <tableColumn id="18" xr3:uid="{BC5ED4C6-32BE-4F00-AC68-42390A965AAF}" name="TEC" dataDxfId="6061">
      <calculatedColumnFormula>RANK(U3,Table948[TEC])</calculatedColumnFormula>
    </tableColumn>
    <tableColumn id="19" xr3:uid="{0500A969-B1DC-46E0-8315-36688AA419EF}" name="TEY" dataDxfId="6060">
      <calculatedColumnFormula>RANK(V3,Table948[TEY])</calculatedColumnFormula>
    </tableColumn>
    <tableColumn id="20" xr3:uid="{3E693B71-2A7E-472E-9B37-260372F96068}" name="QB" dataDxfId="6059">
      <calculatedColumnFormula>RANK(W3,Table948[QB])</calculatedColumnFormula>
    </tableColumn>
    <tableColumn id="21" xr3:uid="{E4362EC4-F09A-4E94-8D4D-3C359AE3E054}" name="RB" dataDxfId="6058">
      <calculatedColumnFormula>RANK(X3,Table948[RB])</calculatedColumnFormula>
    </tableColumn>
    <tableColumn id="22" xr3:uid="{81EAF682-E17B-47A5-8480-37393F95E4A0}" name="WR1" dataDxfId="6057">
      <calculatedColumnFormula>RANK(Y3,Table948[WR1])</calculatedColumnFormula>
    </tableColumn>
    <tableColumn id="23" xr3:uid="{A598E1F3-072E-45C4-95D7-7C7027FF7068}" name="WR2" dataDxfId="6056">
      <calculatedColumnFormula>RANK(Z3,Table948[WR2])</calculatedColumnFormula>
    </tableColumn>
    <tableColumn id="24" xr3:uid="{BC6608F7-12B6-4A13-819D-906ACDCD3FEE}" name="WR3" dataDxfId="6055">
      <calculatedColumnFormula>RANK(AA3,Table948[WR3])</calculatedColumnFormula>
    </tableColumn>
    <tableColumn id="25" xr3:uid="{61AA10B4-747A-443B-92FD-0F64FD8E64E6}" name="WR4+" dataDxfId="6054">
      <calculatedColumnFormula>RANK(AB3,Table948[WR4+])</calculatedColumnFormula>
    </tableColumn>
    <tableColumn id="26" xr3:uid="{E932A364-A004-49A9-9FDF-C006DF30BE84}" name="TE" dataDxfId="6053">
      <calculatedColumnFormula>RANK(AC3,Table948[TE])</calculatedColumnFormula>
    </tableColumn>
    <tableColumn id="27" xr3:uid="{34F1B082-CCB5-4992-8C80-93B42ABF9A59}" name="D/ST" dataDxfId="6052">
      <calculatedColumnFormula>RANK(AD3,Table948[D/ST])</calculatedColumnFormula>
    </tableColumn>
  </tableColumns>
  <tableStyleInfo name="TableStyleMedium15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4951FC1-F133-422A-AA1F-202DC5260800}" name="Table49" displayName="Table49" ref="A2:D22" totalsRowShown="0" headerRowDxfId="4971" dataDxfId="4970">
  <autoFilter ref="A2:D22" xr:uid="{04951FC1-F133-422A-AA1F-202DC5260800}"/>
  <sortState xmlns:xlrd2="http://schemas.microsoft.com/office/spreadsheetml/2017/richdata2" ref="A3:D22">
    <sortCondition ref="C2:C22"/>
  </sortState>
  <tableColumns count="4">
    <tableColumn id="1" xr3:uid="{2AA195AE-2E4F-4EF1-9A2C-6B55396125CE}" name="Player" dataDxfId="4969"/>
    <tableColumn id="2" xr3:uid="{003FC4DE-E81F-46D4-8C60-5370BD542C71}" name="Team" dataDxfId="4968"/>
    <tableColumn id="3" xr3:uid="{5E21E1E2-3781-41A3-B053-D42077E1F962}" name="Pos." dataDxfId="4967"/>
    <tableColumn id="4" xr3:uid="{1A94FF65-24BB-4D5C-AD57-F4723B70AEA5}" name="Inj?" dataDxfId="4966"/>
  </tableColumns>
  <tableStyleInfo name="TableStyleMedium15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21289AE-77BE-473E-93C1-2F11D75A1FCB}" name="Table4951" displayName="Table4951" ref="F2:I22" totalsRowShown="0" headerRowDxfId="4965" dataDxfId="4964">
  <autoFilter ref="F2:I22" xr:uid="{A21289AE-77BE-473E-93C1-2F11D75A1FCB}"/>
  <sortState xmlns:xlrd2="http://schemas.microsoft.com/office/spreadsheetml/2017/richdata2" ref="F3:I22">
    <sortCondition ref="H2:H22"/>
  </sortState>
  <tableColumns count="4">
    <tableColumn id="1" xr3:uid="{CA3BB046-2A78-4E40-85AB-C16C339F3404}" name="Player" dataDxfId="4963"/>
    <tableColumn id="2" xr3:uid="{04A50663-B75F-4C9F-B0C8-01F753B442A2}" name="Team" dataDxfId="4962"/>
    <tableColumn id="3" xr3:uid="{A1E15F69-7610-4EBD-A0BF-24DC5661A83D}" name="Pos." dataDxfId="4961"/>
    <tableColumn id="4" xr3:uid="{B79D1892-5BB5-4F99-B072-FFC00A597901}" name="Inj?" dataDxfId="4960"/>
  </tableColumns>
  <tableStyleInfo name="TableStyleMedium15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7974A86-09CD-4DA5-BBD9-EEE0640BC5C6}" name="Table4952" displayName="Table4952" ref="K2:N22" totalsRowShown="0" headerRowDxfId="4959" dataDxfId="4958">
  <autoFilter ref="K2:N22" xr:uid="{47974A86-09CD-4DA5-BBD9-EEE0640BC5C6}"/>
  <sortState xmlns:xlrd2="http://schemas.microsoft.com/office/spreadsheetml/2017/richdata2" ref="K3:N22">
    <sortCondition ref="M2:M22"/>
  </sortState>
  <tableColumns count="4">
    <tableColumn id="1" xr3:uid="{8BF893FB-B150-4A98-9491-06118676A6D7}" name="Player" dataDxfId="4957"/>
    <tableColumn id="2" xr3:uid="{96824C9E-8D42-4790-8F4D-E6CF20F50EDE}" name="Team" dataDxfId="4956"/>
    <tableColumn id="3" xr3:uid="{2BEA1221-8875-4AED-B625-F7C8F90B9F63}" name="Pos." dataDxfId="4955"/>
    <tableColumn id="4" xr3:uid="{817F0B1F-88A1-4415-818D-53936D32D2D1}" name="Inj?" dataDxfId="4954"/>
  </tableColumns>
  <tableStyleInfo name="TableStyleMedium15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FD84C22-C5F3-44C2-99E4-D61599DB69A4}" name="Table4953" displayName="Table4953" ref="P2:S22" totalsRowShown="0" headerRowDxfId="4953" dataDxfId="4952">
  <autoFilter ref="P2:S22" xr:uid="{AFD84C22-C5F3-44C2-99E4-D61599DB69A4}"/>
  <sortState xmlns:xlrd2="http://schemas.microsoft.com/office/spreadsheetml/2017/richdata2" ref="P3:S22">
    <sortCondition ref="R2:R22"/>
  </sortState>
  <tableColumns count="4">
    <tableColumn id="1" xr3:uid="{203E738C-E51B-484F-927F-6533145490DE}" name="Player" dataDxfId="4951"/>
    <tableColumn id="2" xr3:uid="{C97AD2A3-7352-44D9-82E1-4E487020E150}" name="Team" dataDxfId="4950"/>
    <tableColumn id="3" xr3:uid="{B8B65334-9F28-4F97-8CBF-EADE4D86C468}" name="Pos." dataDxfId="4949"/>
    <tableColumn id="4" xr3:uid="{B633C1BB-A353-4FD4-A976-3C9F1EB8A5AE}" name="Inj?" dataDxfId="4948"/>
  </tableColumns>
  <tableStyleInfo name="TableStyleMedium15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E075A02-6822-4F87-8578-2015E970AAA8}" name="Table4954" displayName="Table4954" ref="U2:X22" totalsRowShown="0" headerRowDxfId="4947" dataDxfId="4946">
  <autoFilter ref="U2:X22" xr:uid="{4E075A02-6822-4F87-8578-2015E970AAA8}"/>
  <sortState xmlns:xlrd2="http://schemas.microsoft.com/office/spreadsheetml/2017/richdata2" ref="U3:X22">
    <sortCondition ref="W2:W22"/>
  </sortState>
  <tableColumns count="4">
    <tableColumn id="1" xr3:uid="{C6E16320-95AB-438D-A403-75D3F6742934}" name="Player" dataDxfId="4945"/>
    <tableColumn id="2" xr3:uid="{760B18CB-AA2C-42CD-B9D8-AEFD01424AFA}" name="Team" dataDxfId="4944"/>
    <tableColumn id="3" xr3:uid="{32B76953-E9D2-471A-99C7-333D0BB2A964}" name="Pos." dataDxfId="4943"/>
    <tableColumn id="4" xr3:uid="{6C1B5391-2FBD-4F29-A8F4-AAD80A7E3F3E}" name="Inj?" dataDxfId="4942"/>
  </tableColumns>
  <tableStyleInfo name="TableStyleMedium15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E79DC26-0EED-4B17-9B5C-77C3460928A9}" name="Table495457" displayName="Table495457" ref="Z2:AC22" totalsRowShown="0" headerRowDxfId="4941" dataDxfId="4940">
  <autoFilter ref="Z2:AC22" xr:uid="{CE79DC26-0EED-4B17-9B5C-77C3460928A9}"/>
  <sortState xmlns:xlrd2="http://schemas.microsoft.com/office/spreadsheetml/2017/richdata2" ref="Z3:AC22">
    <sortCondition ref="AB2:AB22"/>
  </sortState>
  <tableColumns count="4">
    <tableColumn id="1" xr3:uid="{02B36E91-3DBE-482C-BD8B-2B9F18A2AC78}" name="Player" dataDxfId="4939"/>
    <tableColumn id="2" xr3:uid="{0212153F-94D6-4DE2-928C-9D689178C184}" name="Team" dataDxfId="4938"/>
    <tableColumn id="3" xr3:uid="{FFC344B6-C2AD-4544-959E-49019594DF37}" name="Pos." dataDxfId="4937"/>
    <tableColumn id="4" xr3:uid="{BE2EBD27-4892-464C-A919-4880B8C2EDBE}" name="Inj?" dataDxfId="4936"/>
  </tableColumns>
  <tableStyleInfo name="TableStyleMedium15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8D24AD2-9096-457F-A192-3DFD43D660EE}" name="Table49545756" displayName="Table49545756" ref="AE2:AH22" totalsRowShown="0" headerRowDxfId="4935" dataDxfId="4934">
  <autoFilter ref="AE2:AH22" xr:uid="{A8D24AD2-9096-457F-A192-3DFD43D660EE}"/>
  <sortState xmlns:xlrd2="http://schemas.microsoft.com/office/spreadsheetml/2017/richdata2" ref="AE3:AH22">
    <sortCondition ref="AG2:AG22"/>
  </sortState>
  <tableColumns count="4">
    <tableColumn id="1" xr3:uid="{7D8A9A53-4F9C-4613-B5D6-924F99F81101}" name="Player" dataDxfId="4933"/>
    <tableColumn id="2" xr3:uid="{AE958834-1E58-46DD-9E5D-66889E3A9440}" name="Team" dataDxfId="4932"/>
    <tableColumn id="3" xr3:uid="{F0680430-EF8B-43B2-ADEF-4C51839F4C2F}" name="Pos." dataDxfId="4931"/>
    <tableColumn id="4" xr3:uid="{03E2D491-B76C-44EC-96F9-A39C1C64FA92}" name="Inj?" dataDxfId="4930"/>
  </tableColumns>
  <tableStyleInfo name="TableStyleMedium15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2B30889-3775-4B5B-B0A9-69E636A78B3E}" name="Table49545757" displayName="Table49545757" ref="AJ2:AM22" totalsRowShown="0" headerRowDxfId="4929" dataDxfId="4928">
  <autoFilter ref="AJ2:AM22" xr:uid="{52B30889-3775-4B5B-B0A9-69E636A78B3E}"/>
  <sortState xmlns:xlrd2="http://schemas.microsoft.com/office/spreadsheetml/2017/richdata2" ref="AJ3:AM22">
    <sortCondition ref="AL2:AL22"/>
  </sortState>
  <tableColumns count="4">
    <tableColumn id="1" xr3:uid="{143FB053-6683-4BE9-AA95-D569D61172B0}" name="Player" dataDxfId="4927"/>
    <tableColumn id="2" xr3:uid="{3DD950B4-4682-4406-AD68-7259A1F7D2A6}" name="Team" dataDxfId="4926"/>
    <tableColumn id="3" xr3:uid="{254C6366-3791-4AD0-881A-58E29C222649}" name="Pos." dataDxfId="4925"/>
    <tableColumn id="4" xr3:uid="{6CFA265B-0C94-4040-B5BB-F2EC499583FC}" name="Inj?" dataDxfId="4924"/>
  </tableColumns>
  <tableStyleInfo name="TableStyleMedium15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9F67566-4740-4DF8-8122-32BCEA5EB243}" name="Table4958" displayName="Table4958" ref="A25:D45" totalsRowShown="0" headerRowDxfId="4923" dataDxfId="4922">
  <autoFilter ref="A25:D45" xr:uid="{99F67566-4740-4DF8-8122-32BCEA5EB243}"/>
  <sortState xmlns:xlrd2="http://schemas.microsoft.com/office/spreadsheetml/2017/richdata2" ref="A26:D45">
    <sortCondition ref="C25:C45"/>
  </sortState>
  <tableColumns count="4">
    <tableColumn id="1" xr3:uid="{29102998-100A-4D5E-8307-962B02779F8A}" name="Player" dataDxfId="4921"/>
    <tableColumn id="2" xr3:uid="{1A481B88-0798-4B80-8B5E-FD835190FA5E}" name="Team" dataDxfId="4920"/>
    <tableColumn id="3" xr3:uid="{E095EDA7-4330-4EA5-952C-A6D23E800C2A}" name="Pos." dataDxfId="4919"/>
    <tableColumn id="4" xr3:uid="{9A5516C9-0FB3-417F-AE6D-471ACB684CF0}" name="Inj?" dataDxfId="4918"/>
  </tableColumns>
  <tableStyleInfo name="TableStyleMedium15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B63A514-D9BE-4934-8614-2AC49AC4D84B}" name="Table495859" displayName="Table495859" ref="F25:I45" totalsRowShown="0" headerRowDxfId="4917" dataDxfId="4916">
  <autoFilter ref="F25:I45" xr:uid="{9B63A514-D9BE-4934-8614-2AC49AC4D84B}"/>
  <sortState xmlns:xlrd2="http://schemas.microsoft.com/office/spreadsheetml/2017/richdata2" ref="F26:I45">
    <sortCondition ref="H25:H45"/>
  </sortState>
  <tableColumns count="4">
    <tableColumn id="1" xr3:uid="{A817D711-2421-416E-A2C5-4D0AED0FF345}" name="Player" dataDxfId="4915"/>
    <tableColumn id="2" xr3:uid="{EB19932A-AA25-4ED9-A8E3-541F99EC4F14}" name="Team" dataDxfId="4914"/>
    <tableColumn id="3" xr3:uid="{01F150EB-84D8-46BF-87A2-809704AFFAC6}" name="Pos." dataDxfId="4913"/>
    <tableColumn id="4" xr3:uid="{E177AA88-EF07-4859-810B-41B4FAD42A19}" name="Inj?" dataDxfId="4912"/>
  </tableColumns>
  <tableStyleInfo name="TableStyleMedium15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E24BB4F-157E-4085-8E7F-2BECA626DD0A}" name="Table495860" displayName="Table495860" ref="K25:N45" totalsRowShown="0" headerRowDxfId="4911" dataDxfId="4910">
  <autoFilter ref="K25:N45" xr:uid="{5E24BB4F-157E-4085-8E7F-2BECA626DD0A}"/>
  <sortState xmlns:xlrd2="http://schemas.microsoft.com/office/spreadsheetml/2017/richdata2" ref="K26:N45">
    <sortCondition ref="M25:M45"/>
  </sortState>
  <tableColumns count="4">
    <tableColumn id="1" xr3:uid="{6B33C787-3121-4557-BB1F-CF01B33ACD5B}" name="Player" dataDxfId="4909"/>
    <tableColumn id="2" xr3:uid="{F50856D1-23B0-49B2-BAA9-3213672696F4}" name="Team" dataDxfId="4908"/>
    <tableColumn id="3" xr3:uid="{E890192F-06D6-4238-87E2-0DE6977475E6}" name="Pos." dataDxfId="4907"/>
    <tableColumn id="4" xr3:uid="{EE6B3CAB-1291-4CCC-9486-4F03BE830C9A}" name="Inj?" dataDxfId="4906"/>
  </tableColumns>
  <tableStyleInfo name="TableStyleMedium15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D9DCB951-724F-4615-BA80-A1BF44290DB1}" name="Table495861" displayName="Table495861" ref="P25:S45" totalsRowShown="0" headerRowDxfId="4905" dataDxfId="4904">
  <autoFilter ref="P25:S45" xr:uid="{D9DCB951-724F-4615-BA80-A1BF44290DB1}"/>
  <sortState xmlns:xlrd2="http://schemas.microsoft.com/office/spreadsheetml/2017/richdata2" ref="P26:S45">
    <sortCondition ref="R25:R45"/>
  </sortState>
  <tableColumns count="4">
    <tableColumn id="1" xr3:uid="{2339DB29-9465-4B49-8EC9-3DAB5EF3F950}" name="Player" dataDxfId="4903"/>
    <tableColumn id="2" xr3:uid="{97CFFA29-C8AF-4BEF-8A7C-8A7216374844}" name="Team" dataDxfId="4902"/>
    <tableColumn id="3" xr3:uid="{2F1C790E-272F-4EE9-BE45-147DFB57D49B}" name="Pos." dataDxfId="4901"/>
    <tableColumn id="4" xr3:uid="{A48CB244-D064-43FD-98B0-88A43698EAA4}" name="Inj?" dataDxfId="4900"/>
  </tableColumns>
  <tableStyleInfo name="TableStyleMedium15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D90269E-8F8B-42D3-B9E8-C953298A4D05}" name="Table495862" displayName="Table495862" ref="U25:X45" totalsRowShown="0" headerRowDxfId="4899" dataDxfId="4898">
  <autoFilter ref="U25:X45" xr:uid="{3D90269E-8F8B-42D3-B9E8-C953298A4D05}"/>
  <sortState xmlns:xlrd2="http://schemas.microsoft.com/office/spreadsheetml/2017/richdata2" ref="U26:X45">
    <sortCondition ref="W25:W45"/>
  </sortState>
  <tableColumns count="4">
    <tableColumn id="1" xr3:uid="{5997A97A-5866-41F4-859F-4F456964EFA4}" name="Player" dataDxfId="4897"/>
    <tableColumn id="2" xr3:uid="{3BCC96D1-C08F-4289-89E5-0E402ED93195}" name="Team" dataDxfId="4896"/>
    <tableColumn id="3" xr3:uid="{A781704B-071C-41D5-840C-56BBD45B07F0}" name="Pos." dataDxfId="4895"/>
    <tableColumn id="4" xr3:uid="{6670A38E-D620-4CAE-9C6B-9078D377B36A}" name="Inj?" dataDxfId="4894"/>
  </tableColumns>
  <tableStyleInfo name="TableStyleMedium15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8B75F2E-245A-498E-A992-A3A33D9C6357}" name="Table495863" displayName="Table495863" ref="Z25:AC45" totalsRowShown="0" headerRowDxfId="4893" dataDxfId="4892">
  <autoFilter ref="Z25:AC45" xr:uid="{18B75F2E-245A-498E-A992-A3A33D9C6357}"/>
  <sortState xmlns:xlrd2="http://schemas.microsoft.com/office/spreadsheetml/2017/richdata2" ref="Z26:AC45">
    <sortCondition ref="AB25:AB45"/>
  </sortState>
  <tableColumns count="4">
    <tableColumn id="1" xr3:uid="{08720994-E741-48A1-A4C9-D438ED9ED57F}" name="Player" dataDxfId="4891"/>
    <tableColumn id="2" xr3:uid="{B3410ACE-5E56-484C-BBC4-6A04783D5919}" name="Team" dataDxfId="4890"/>
    <tableColumn id="3" xr3:uid="{A7366611-57A3-4286-82AB-89C2CAB04722}" name="Pos." dataDxfId="4889"/>
    <tableColumn id="4" xr3:uid="{F80D5359-8557-495D-8DF1-E6CBE1BDBF4B}" name="Inj?" dataDxfId="4888"/>
  </tableColumns>
  <tableStyleInfo name="TableStyleMedium15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602C415-830D-46DB-BA64-C85DFBB8B7AC}" name="Table495864" displayName="Table495864" ref="AE25:AH45" totalsRowShown="0" headerRowDxfId="4887" dataDxfId="4886">
  <autoFilter ref="AE25:AH45" xr:uid="{4602C415-830D-46DB-BA64-C85DFBB8B7AC}"/>
  <sortState xmlns:xlrd2="http://schemas.microsoft.com/office/spreadsheetml/2017/richdata2" ref="AE26:AH45">
    <sortCondition ref="AG25:AG45"/>
  </sortState>
  <tableColumns count="4">
    <tableColumn id="1" xr3:uid="{03CDBE30-7151-4A42-9369-B65232CA8952}" name="Player" dataDxfId="4885"/>
    <tableColumn id="2" xr3:uid="{EB35715E-4FB5-4098-8FE7-ADEBD1A966BE}" name="Team" dataDxfId="4884"/>
    <tableColumn id="3" xr3:uid="{EB52AF9B-B88C-47FA-B6D2-E5D7FE501644}" name="Pos." dataDxfId="4883"/>
    <tableColumn id="4" xr3:uid="{3D6D18EC-5E09-4450-9A45-622A0485BE59}" name="Inj?" dataDxfId="4882"/>
  </tableColumns>
  <tableStyleInfo name="TableStyleMedium15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06890EE-C258-41FF-B788-412F8F95EBE9}" name="Table495865" displayName="Table495865" ref="AJ25:AM45" totalsRowShown="0" headerRowDxfId="4881" dataDxfId="4880">
  <autoFilter ref="AJ25:AM45" xr:uid="{A06890EE-C258-41FF-B788-412F8F95EBE9}"/>
  <sortState xmlns:xlrd2="http://schemas.microsoft.com/office/spreadsheetml/2017/richdata2" ref="AJ26:AM45">
    <sortCondition ref="AL25:AL45"/>
  </sortState>
  <tableColumns count="4">
    <tableColumn id="1" xr3:uid="{9D9686F1-3AB6-4BF5-9C06-84FF6AB3F253}" name="Player" dataDxfId="4879"/>
    <tableColumn id="2" xr3:uid="{322E0F76-7F6B-47FB-9345-5382B8F84202}" name="Team" dataDxfId="4878"/>
    <tableColumn id="3" xr3:uid="{1AF43657-1F9B-4C2B-823E-1E265328A8C4}" name="Pos." dataDxfId="4877"/>
    <tableColumn id="4" xr3:uid="{E9EEE114-2C3F-495A-B9EA-EA13E4D77ABC}" name="Inj?" dataDxfId="4876"/>
  </tableColumns>
  <tableStyleInfo name="TableStyleMedium15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905E52-8625-4D9D-B61D-215E13E7A785}" name="Table495866" displayName="Table495866" ref="A48:D68" totalsRowShown="0" headerRowDxfId="4875" dataDxfId="4874">
  <autoFilter ref="A48:D68" xr:uid="{6E905E52-8625-4D9D-B61D-215E13E7A785}"/>
  <sortState xmlns:xlrd2="http://schemas.microsoft.com/office/spreadsheetml/2017/richdata2" ref="A49:D68">
    <sortCondition ref="C48:C68"/>
  </sortState>
  <tableColumns count="4">
    <tableColumn id="1" xr3:uid="{B412BE43-BEF4-4ADA-88AE-B6B48DF00926}" name="Player" dataDxfId="4873"/>
    <tableColumn id="2" xr3:uid="{E7120497-2AA3-4164-B669-4F04A3F10058}" name="Team" dataDxfId="4872"/>
    <tableColumn id="3" xr3:uid="{B6A6F50A-6B1D-4193-A326-3449B5363896}" name="Pos." dataDxfId="4871"/>
    <tableColumn id="4" xr3:uid="{15E366A7-8EB5-4E5A-8E32-651B6ADF6EC3}" name="Inj?" dataDxfId="4870"/>
  </tableColumns>
  <tableStyleInfo name="TableStyleMedium15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1DDAF62-E27C-401F-ABDA-09D8D00720B5}" name="Table49585967" displayName="Table49585967" ref="F48:I68" totalsRowShown="0" headerRowDxfId="4869" dataDxfId="4868">
  <autoFilter ref="F48:I68" xr:uid="{21DDAF62-E27C-401F-ABDA-09D8D00720B5}"/>
  <sortState xmlns:xlrd2="http://schemas.microsoft.com/office/spreadsheetml/2017/richdata2" ref="F49:I68">
    <sortCondition ref="H48:H68"/>
  </sortState>
  <tableColumns count="4">
    <tableColumn id="1" xr3:uid="{2E879658-6695-4F95-A728-182556A898CB}" name="Player" dataDxfId="4867"/>
    <tableColumn id="2" xr3:uid="{9161FD7F-F78A-4FE0-8380-B29735E50C5F}" name="Team" dataDxfId="4866"/>
    <tableColumn id="3" xr3:uid="{888E39A8-848E-4400-805C-303449B3A5D1}" name="Pos." dataDxfId="4865"/>
    <tableColumn id="4" xr3:uid="{5D636C15-A959-4710-BB6E-F8F8CBD0ECC1}" name="Inj?" dataDxfId="4864"/>
  </tableColumns>
  <tableStyleInfo name="TableStyleMedium15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D23DED8-4B25-4F36-B7A8-3177C4CFF30A}" name="Table49586068" displayName="Table49586068" ref="K48:N68" totalsRowShown="0" headerRowDxfId="4863" dataDxfId="4862">
  <autoFilter ref="K48:N68" xr:uid="{3D23DED8-4B25-4F36-B7A8-3177C4CFF30A}"/>
  <sortState xmlns:xlrd2="http://schemas.microsoft.com/office/spreadsheetml/2017/richdata2" ref="K49:N68">
    <sortCondition ref="M48:M68"/>
  </sortState>
  <tableColumns count="4">
    <tableColumn id="1" xr3:uid="{B0C49E35-A8F5-4305-A40F-4A426FE9BFD4}" name="Player" dataDxfId="4861"/>
    <tableColumn id="2" xr3:uid="{74742002-3671-4888-9D4C-04EEC1D07028}" name="Team" dataDxfId="4860"/>
    <tableColumn id="3" xr3:uid="{B60CEA43-29E9-4D95-9D91-F197FCB3C702}" name="Pos." dataDxfId="4859"/>
    <tableColumn id="4" xr3:uid="{69B20185-DB42-4DAC-92A8-55C04BCC8856}" name="Inj?" dataDxfId="4858"/>
  </tableColumns>
  <tableStyleInfo name="TableStyleMedium15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495C8AF-6B0F-40C1-B82C-1A7CA4B55B38}" name="Table49586169" displayName="Table49586169" ref="P48:S68" totalsRowShown="0" headerRowDxfId="4857" dataDxfId="4856">
  <autoFilter ref="P48:S68" xr:uid="{9495C8AF-6B0F-40C1-B82C-1A7CA4B55B38}"/>
  <sortState xmlns:xlrd2="http://schemas.microsoft.com/office/spreadsheetml/2017/richdata2" ref="P49:S68">
    <sortCondition ref="R48:R68"/>
  </sortState>
  <tableColumns count="4">
    <tableColumn id="1" xr3:uid="{3F19B899-4084-4DBA-9332-09F65A9FB25E}" name="Player" dataDxfId="4855"/>
    <tableColumn id="2" xr3:uid="{93423C99-A879-47F1-9D2B-A10A8E1F9680}" name="Team" dataDxfId="4854"/>
    <tableColumn id="3" xr3:uid="{1E23BD06-6039-4204-A787-43CE2DD90904}" name="Pos." dataDxfId="4853"/>
    <tableColumn id="4" xr3:uid="{A01E405D-7943-4E6E-BA8D-75E54B4F2E5A}" name="Inj?" dataDxfId="4852"/>
  </tableColumns>
  <tableStyleInfo name="TableStyleMedium15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BFB4EDA-68B1-41C3-B31F-815AD9929FCC}" name="Table49586270" displayName="Table49586270" ref="U48:X68" totalsRowShown="0" headerRowDxfId="4851" dataDxfId="4850">
  <autoFilter ref="U48:X68" xr:uid="{EBFB4EDA-68B1-41C3-B31F-815AD9929FCC}"/>
  <sortState xmlns:xlrd2="http://schemas.microsoft.com/office/spreadsheetml/2017/richdata2" ref="U49:X68">
    <sortCondition ref="W48:W68"/>
  </sortState>
  <tableColumns count="4">
    <tableColumn id="1" xr3:uid="{2C65C2B0-14AE-4CEF-B7A3-4E8BAB9DB899}" name="Player" dataDxfId="4849"/>
    <tableColumn id="2" xr3:uid="{2D88ED1E-B6BD-42B5-8389-9C59D1DCEE6A}" name="Team" dataDxfId="4848"/>
    <tableColumn id="3" xr3:uid="{C2F77382-E1E3-48CA-8427-D2B8FBD8A441}" name="Pos." dataDxfId="4847"/>
    <tableColumn id="4" xr3:uid="{61FE8FDC-65A3-42BF-894C-6C2520C21737}" name="Inj?" dataDxfId="4846"/>
  </tableColumns>
  <tableStyleInfo name="TableStyleMedium15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CFE5B76-4EE4-4276-A8F4-8F8D4E6271F1}" name="Table49586371" displayName="Table49586371" ref="Z48:AC68" totalsRowShown="0" headerRowDxfId="4845" dataDxfId="4844">
  <autoFilter ref="Z48:AC68" xr:uid="{0CFE5B76-4EE4-4276-A8F4-8F8D4E6271F1}"/>
  <sortState xmlns:xlrd2="http://schemas.microsoft.com/office/spreadsheetml/2017/richdata2" ref="Z49:AC68">
    <sortCondition ref="AB48:AB68"/>
  </sortState>
  <tableColumns count="4">
    <tableColumn id="1" xr3:uid="{BA9D1BCF-C090-48BB-ACBC-02A5F68AEA91}" name="Player" dataDxfId="4843"/>
    <tableColumn id="2" xr3:uid="{D3B3AE1E-AF25-404A-96AF-B48FB41442B9}" name="Team" dataDxfId="4842"/>
    <tableColumn id="3" xr3:uid="{1F7180DD-BE18-469F-83D9-23DCE354FEAE}" name="Pos." dataDxfId="4841"/>
    <tableColumn id="4" xr3:uid="{D3EBB7AF-28AE-40BE-BC27-8B948508B61B}" name="Inj?" dataDxfId="4840"/>
  </tableColumns>
  <tableStyleInfo name="TableStyleMedium15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F560A3D6-5646-4058-9CCB-CA3676E4EF1B}" name="Table49586472" displayName="Table49586472" ref="AE48:AH68" totalsRowShown="0" headerRowDxfId="4839" dataDxfId="4838">
  <autoFilter ref="AE48:AH68" xr:uid="{F560A3D6-5646-4058-9CCB-CA3676E4EF1B}"/>
  <sortState xmlns:xlrd2="http://schemas.microsoft.com/office/spreadsheetml/2017/richdata2" ref="AE49:AH68">
    <sortCondition ref="AG48:AG68"/>
  </sortState>
  <tableColumns count="4">
    <tableColumn id="1" xr3:uid="{13AE9B0B-793A-4503-BDA6-C552072220C0}" name="Player" dataDxfId="4837"/>
    <tableColumn id="2" xr3:uid="{370E72F1-F421-44F1-AC5F-2FC2BC10A119}" name="Team" dataDxfId="4836"/>
    <tableColumn id="3" xr3:uid="{AFC1B316-506D-4764-8B01-8826C17C97DD}" name="Pos." dataDxfId="4835"/>
    <tableColumn id="4" xr3:uid="{E01FD3F0-5E04-4A9E-BD8C-C08BAD1AA9B9}" name="Inj?" dataDxfId="4834"/>
  </tableColumns>
  <tableStyleInfo name="TableStyleMedium15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93A0CED-3113-478E-9138-A35DB389C64F}" name="Table49586573" displayName="Table49586573" ref="AJ48:AM68" totalsRowShown="0" headerRowDxfId="4833" dataDxfId="4832">
  <autoFilter ref="AJ48:AM68" xr:uid="{493A0CED-3113-478E-9138-A35DB389C64F}"/>
  <sortState xmlns:xlrd2="http://schemas.microsoft.com/office/spreadsheetml/2017/richdata2" ref="AJ49:AM68">
    <sortCondition ref="AL48:AL68"/>
  </sortState>
  <tableColumns count="4">
    <tableColumn id="1" xr3:uid="{6EFB7D8C-B36C-4319-AC1D-1B05BFB73A80}" name="Player" dataDxfId="4831"/>
    <tableColumn id="2" xr3:uid="{351350FF-B6DA-4811-834F-DC8CEB86E777}" name="Team" dataDxfId="4830"/>
    <tableColumn id="3" xr3:uid="{7B3C1EAB-6A81-40AE-8EC1-CA732A04C54B}" name="Pos." dataDxfId="4829"/>
    <tableColumn id="4" xr3:uid="{ACB23CB0-8B26-487D-ABAB-51B2B9A471DF}" name="Inj?" dataDxfId="4828"/>
  </tableColumns>
  <tableStyleInfo name="TableStyleMedium15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5E24445-72AD-4263-B429-91EA3383DE8C}" name="Table495874" displayName="Table495874" ref="A71:D91" totalsRowShown="0" headerRowDxfId="4827" dataDxfId="4826">
  <autoFilter ref="A71:D91" xr:uid="{45E24445-72AD-4263-B429-91EA3383DE8C}"/>
  <sortState xmlns:xlrd2="http://schemas.microsoft.com/office/spreadsheetml/2017/richdata2" ref="A72:D91">
    <sortCondition ref="C71:C91"/>
  </sortState>
  <tableColumns count="4">
    <tableColumn id="1" xr3:uid="{9A5D4DB0-3649-4AE4-8AE6-D34B3A7DFF67}" name="Player" dataDxfId="4825"/>
    <tableColumn id="2" xr3:uid="{9704DC10-E3A6-4E89-942D-A9E7172192DC}" name="Team" dataDxfId="4824"/>
    <tableColumn id="3" xr3:uid="{48640B96-E441-4366-9CA2-F64B65948840}" name="Pos." dataDxfId="4823"/>
    <tableColumn id="4" xr3:uid="{04E9670F-F954-4B7C-A7C7-DEBD9D86BBB8}" name="Inj?" dataDxfId="4822"/>
  </tableColumns>
  <tableStyleInfo name="TableStyleMedium15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326138AB-CD6F-4A6A-BD78-74D94D348E58}" name="Table49585975" displayName="Table49585975" ref="F71:I91" totalsRowShown="0" headerRowDxfId="4821" dataDxfId="4820">
  <autoFilter ref="F71:I91" xr:uid="{326138AB-CD6F-4A6A-BD78-74D94D348E58}"/>
  <sortState xmlns:xlrd2="http://schemas.microsoft.com/office/spreadsheetml/2017/richdata2" ref="F72:I86">
    <sortCondition ref="H71:H86"/>
  </sortState>
  <tableColumns count="4">
    <tableColumn id="1" xr3:uid="{1A7CA1AD-536C-4BA4-86EC-11CADD1CBB1B}" name="Player" dataDxfId="4819"/>
    <tableColumn id="2" xr3:uid="{588473A8-8B9F-4218-BD63-14CEF9B34FB3}" name="Team" dataDxfId="4818"/>
    <tableColumn id="3" xr3:uid="{6044436B-8B31-4328-8931-A594EFEE7372}" name="Pos." dataDxfId="4817"/>
    <tableColumn id="4" xr3:uid="{11221688-2935-4519-940F-50E81C6B413B}" name="Inj?" dataDxfId="4816"/>
  </tableColumns>
  <tableStyleInfo name="TableStyleMedium15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5FF31296-68D7-4F3E-BDD3-DC025F91A56E}" name="Table49586076" displayName="Table49586076" ref="K71:N91" totalsRowShown="0" headerRowDxfId="4815" dataDxfId="4814">
  <autoFilter ref="K71:N91" xr:uid="{5FF31296-68D7-4F3E-BDD3-DC025F91A56E}"/>
  <sortState xmlns:xlrd2="http://schemas.microsoft.com/office/spreadsheetml/2017/richdata2" ref="K72:N91">
    <sortCondition ref="M71:M91"/>
  </sortState>
  <tableColumns count="4">
    <tableColumn id="1" xr3:uid="{2F153B49-30F3-44F4-8523-A5E6284C1B28}" name="Player" dataDxfId="4813"/>
    <tableColumn id="2" xr3:uid="{76272A2D-1CAD-4BCE-BD9D-75B6E2E6477A}" name="Team" dataDxfId="4812"/>
    <tableColumn id="3" xr3:uid="{6E2A0485-B4AB-4736-A6BE-247B73B9959B}" name="Pos." dataDxfId="4811"/>
    <tableColumn id="4" xr3:uid="{86B56052-0B30-4D4C-82B0-E6DB97DE353D}" name="Inj?" dataDxfId="4810"/>
  </tableColumns>
  <tableStyleInfo name="TableStyleMedium15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7BE8533-AF8C-4C75-88AF-DFAFD1BA05D8}" name="Table49586177" displayName="Table49586177" ref="P71:S91" totalsRowShown="0" headerRowDxfId="4809" dataDxfId="4808">
  <autoFilter ref="P71:S91" xr:uid="{D7BE8533-AF8C-4C75-88AF-DFAFD1BA05D8}"/>
  <sortState xmlns:xlrd2="http://schemas.microsoft.com/office/spreadsheetml/2017/richdata2" ref="P72:S91">
    <sortCondition ref="R71:R91"/>
  </sortState>
  <tableColumns count="4">
    <tableColumn id="1" xr3:uid="{5FEA3CEB-5BCC-4E31-9D0F-C52A48E7E580}" name="Player" dataDxfId="4807"/>
    <tableColumn id="2" xr3:uid="{DEA85930-EB70-4102-9D6F-7183721610CC}" name="Team" dataDxfId="4806"/>
    <tableColumn id="3" xr3:uid="{05D05784-0B00-436B-96E1-6FB4A6258838}" name="Pos." dataDxfId="4805"/>
    <tableColumn id="4" xr3:uid="{6C4E3FEF-E6C2-4493-8C94-0BD7A0193B9A}" name="Inj?" dataDxfId="4804"/>
  </tableColumns>
  <tableStyleInfo name="TableStyleMedium15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83698F5-0995-4BB5-AA65-63E1501F7658}" name="Table49586278" displayName="Table49586278" ref="U71:X91" totalsRowShown="0" headerRowDxfId="4803" dataDxfId="4802">
  <autoFilter ref="U71:X91" xr:uid="{383698F5-0995-4BB5-AA65-63E1501F7658}"/>
  <sortState xmlns:xlrd2="http://schemas.microsoft.com/office/spreadsheetml/2017/richdata2" ref="U72:X91">
    <sortCondition ref="W71:W91"/>
  </sortState>
  <tableColumns count="4">
    <tableColumn id="1" xr3:uid="{422E08C9-E017-4121-B6BC-FBA12AD2399E}" name="Player" dataDxfId="4801"/>
    <tableColumn id="2" xr3:uid="{ADD00BBD-DECD-4EA3-87C2-A00A83012C1C}" name="Team" dataDxfId="4800"/>
    <tableColumn id="3" xr3:uid="{82BA5F0F-7E54-4E6B-BFB8-2F3C6DDB6D08}" name="Pos." dataDxfId="4799"/>
    <tableColumn id="4" xr3:uid="{429E4B44-9E83-4F1E-AC65-A2845C0B898D}" name="Inj?" dataDxfId="4798"/>
  </tableColumns>
  <tableStyleInfo name="TableStyleMedium15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BD8DE3CB-2EA2-4A04-B544-E705BA52FDF3}" name="Table49586379" displayName="Table49586379" ref="Z71:AC91" totalsRowShown="0" headerRowDxfId="4797" dataDxfId="4796">
  <autoFilter ref="Z71:AC91" xr:uid="{BD8DE3CB-2EA2-4A04-B544-E705BA52FDF3}"/>
  <sortState xmlns:xlrd2="http://schemas.microsoft.com/office/spreadsheetml/2017/richdata2" ref="Z72:AC91">
    <sortCondition ref="AB71:AB91"/>
  </sortState>
  <tableColumns count="4">
    <tableColumn id="1" xr3:uid="{EB43853F-9609-494E-9D23-ACA9A240D8F4}" name="Player" dataDxfId="4795"/>
    <tableColumn id="2" xr3:uid="{7E79CF7B-B72C-48AC-8BC5-EEBB75466CDD}" name="Team" dataDxfId="4794"/>
    <tableColumn id="3" xr3:uid="{65F7F653-0EAB-415F-BC9B-3C0749FE221B}" name="Pos." dataDxfId="4793"/>
    <tableColumn id="4" xr3:uid="{9804B2AC-A3AB-48B1-A289-A8CB820387AC}" name="Inj?" dataDxfId="4792"/>
  </tableColumns>
  <tableStyleInfo name="TableStyleMedium15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DEC20A6-FF70-48FA-85CD-78F061FECEB5}" name="Table49586480" displayName="Table49586480" ref="AE71:AH91" totalsRowShown="0" headerRowDxfId="4791" dataDxfId="4790">
  <autoFilter ref="AE71:AH91" xr:uid="{FDEC20A6-FF70-48FA-85CD-78F061FECEB5}"/>
  <sortState xmlns:xlrd2="http://schemas.microsoft.com/office/spreadsheetml/2017/richdata2" ref="AE72:AH91">
    <sortCondition ref="AG71:AG91"/>
  </sortState>
  <tableColumns count="4">
    <tableColumn id="1" xr3:uid="{589F1BA9-8805-4E52-BC83-C31E004EA287}" name="Player" dataDxfId="4789"/>
    <tableColumn id="2" xr3:uid="{790F719A-C8A9-4F0F-9084-07F97D7D8960}" name="Team" dataDxfId="4788"/>
    <tableColumn id="3" xr3:uid="{E4CD1D38-C985-4131-88CD-5045703BFB16}" name="Pos." dataDxfId="4787"/>
    <tableColumn id="4" xr3:uid="{8E5FCA51-BED6-4692-9604-2AD234312ECD}" name="Inj?" dataDxfId="4786"/>
  </tableColumns>
  <tableStyleInfo name="TableStyleMedium15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653FAF8F-C1DC-4E12-A2FA-7198E00F1D6D}" name="Table49586581" displayName="Table49586581" ref="AJ71:AM91" totalsRowShown="0" headerRowDxfId="4785" dataDxfId="4784">
  <autoFilter ref="AJ71:AM91" xr:uid="{653FAF8F-C1DC-4E12-A2FA-7198E00F1D6D}"/>
  <sortState xmlns:xlrd2="http://schemas.microsoft.com/office/spreadsheetml/2017/richdata2" ref="AJ72:AM91">
    <sortCondition ref="AL71:AL91"/>
  </sortState>
  <tableColumns count="4">
    <tableColumn id="1" xr3:uid="{370C89AE-B38E-47D1-9F20-7749A7C62BCA}" name="Player" dataDxfId="4783"/>
    <tableColumn id="2" xr3:uid="{9BA14D9B-045D-4D46-9FE2-32DDCB0AC04B}" name="Team" dataDxfId="4782"/>
    <tableColumn id="3" xr3:uid="{AA430452-3298-4EB3-A2DE-67F1B85EE5E4}" name="Pos." dataDxfId="4781"/>
    <tableColumn id="4" xr3:uid="{0C90A322-205C-4F19-9907-5CCF0D21A430}" name="Inj?" dataDxfId="4780"/>
  </tableColumns>
  <tableStyleInfo name="TableStyleMedium15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9E2C2240-C960-4E20-971F-59EC3101229F}" name="Table1199094" displayName="Table1199094" ref="P1:U212" totalsRowShown="0" headerRowDxfId="4419" dataDxfId="4417" headerRowBorderDxfId="4418" tableBorderDxfId="4416">
  <autoFilter ref="P1:U212" xr:uid="{660BE14B-C37F-4F17-8FF2-0FCF54D6E730}"/>
  <sortState xmlns:xlrd2="http://schemas.microsoft.com/office/spreadsheetml/2017/richdata2" ref="P2:U212">
    <sortCondition ref="R1:R212"/>
  </sortState>
  <tableColumns count="6">
    <tableColumn id="1" xr3:uid="{2418B49A-99E6-48BD-8F7D-3A3B906B018A}" name="Player" dataDxfId="4415"/>
    <tableColumn id="2" xr3:uid="{9435E451-FBE3-4B4E-ACAF-E6F8DD2E607E}" name="Team" dataDxfId="4414"/>
    <tableColumn id="3" xr3:uid="{3AA9F349-57C3-4864-8306-063E2484D9DE}" name="Pos." dataDxfId="4413"/>
    <tableColumn id="4" xr3:uid="{0AC68FAE-A7E1-4869-AAE9-979F670F1E9F}" name="Inj?" dataDxfId="4412"/>
    <tableColumn id="5" xr3:uid="{74723B47-260C-4CF0-B666-31F709AB6584}" name="Opp" dataDxfId="4411"/>
    <tableColumn id="6" xr3:uid="{6570CE63-DB08-4AB0-9DD8-AEA7454E0354}" name="*" dataDxfId="4410">
      <calculatedColumnFormula array="1">_xlfn.XLOOKUP(Table1199094[[#This Row],[Opp]],Table77[DEF],'2024 fSZN'!$H$37:$H$68)</calculatedColumnFormula>
    </tableColumn>
  </tableColumns>
  <tableStyleInfo name="TableStyleMedium15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99DC70A-5268-40E2-81FA-94A6A69A14DC}" name="Table1209195" displayName="Table1209195" ref="W1:AB117" totalsRowShown="0" headerRowDxfId="4409" dataDxfId="4407" headerRowBorderDxfId="4408" tableBorderDxfId="4406">
  <autoFilter ref="W1:AB117" xr:uid="{6A28EDD9-4E46-4894-9F75-CFCEE8A957DB}"/>
  <sortState xmlns:xlrd2="http://schemas.microsoft.com/office/spreadsheetml/2017/richdata2" ref="W2:AB117">
    <sortCondition ref="Y1:Y117"/>
  </sortState>
  <tableColumns count="6">
    <tableColumn id="1" xr3:uid="{9FB57C8E-1502-420E-87D4-61D6E9D2A7E6}" name="Player" dataDxfId="4405"/>
    <tableColumn id="2" xr3:uid="{8BFDCC2F-2662-4A28-8C2B-5CD3EAA7357E}" name="Team" dataDxfId="4404"/>
    <tableColumn id="3" xr3:uid="{0CC54EA2-6157-4346-8265-921FAB6CF592}" name="Pos." dataDxfId="4403"/>
    <tableColumn id="4" xr3:uid="{5B4745C6-3AA7-4E21-8AA3-AF236311F4C0}" name="Inj?" dataDxfId="4402"/>
    <tableColumn id="5" xr3:uid="{BF09B0B3-EDD4-4488-AC25-3DE5EC46BB81}" name="Opp" dataDxfId="4401"/>
    <tableColumn id="6" xr3:uid="{C79CB470-79DF-4DB4-86BB-ABF402DF5AB7}" name="*" dataDxfId="4400">
      <calculatedColumnFormula array="1">_xlfn.XLOOKUP(Table1209195[[#This Row],[Opp]],Table845[DEF],'2024 fSZN'!$W$37:$W$68)</calculatedColumnFormula>
    </tableColumn>
  </tableColumns>
  <tableStyleInfo name="TableStyleMedium15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5BDE9BD-5AD4-4377-ACA7-58943F050A04}" name="Table1189296" displayName="Table1189296" ref="I1:N124" totalsRowShown="0" headerRowDxfId="4399" dataDxfId="4397" headerRowBorderDxfId="4398" tableBorderDxfId="4396">
  <autoFilter ref="I1:N124" xr:uid="{32258A05-D632-45C6-B7E3-336790DDFFAB}"/>
  <sortState xmlns:xlrd2="http://schemas.microsoft.com/office/spreadsheetml/2017/richdata2" ref="I2:N124">
    <sortCondition ref="K1:K124"/>
  </sortState>
  <tableColumns count="6">
    <tableColumn id="1" xr3:uid="{5606E4CC-5895-406A-A23E-AF4B756F5DF8}" name="Player" dataDxfId="4395"/>
    <tableColumn id="2" xr3:uid="{4079528E-09F6-4873-9D56-D51EA6F5C66B}" name="Team" dataDxfId="4394"/>
    <tableColumn id="3" xr3:uid="{AFB5F646-140D-45EE-B925-D8E05286BB72}" name="Pos." dataDxfId="4393"/>
    <tableColumn id="4" xr3:uid="{8535AB8E-42EE-4579-BAFA-A49E040D5A8D}" name="Inj?" dataDxfId="4392"/>
    <tableColumn id="5" xr3:uid="{1DABB2D4-44B9-4BB6-A28C-8FFB9D6B37FF}" name="Opp" dataDxfId="4391"/>
    <tableColumn id="6" xr3:uid="{B046F546-5AB5-4FD6-B803-00D3EA2D204E}" name="*" dataDxfId="4390">
      <calculatedColumnFormula array="1">_xlfn.XLOOKUP(Table1189296[[#This Row],[Opp]],Table46[DEF],'2024 fSZN'!$Y$3:$Y$34)</calculatedColumnFormula>
    </tableColumn>
  </tableColumns>
  <tableStyleInfo name="TableStyleMedium15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0C893A3-3CBD-4E1C-B6FA-47CB6F1C0630}" name="Table1179397" displayName="Table1179397" ref="B1:G86" totalsRowShown="0" headerRowDxfId="4389" dataDxfId="4387" headerRowBorderDxfId="4388" tableBorderDxfId="4386">
  <autoFilter ref="B1:G86" xr:uid="{1A098BAD-ACEE-46DC-A93E-D379350A5D76}"/>
  <sortState xmlns:xlrd2="http://schemas.microsoft.com/office/spreadsheetml/2017/richdata2" ref="B2:G86">
    <sortCondition ref="D1:D86"/>
  </sortState>
  <tableColumns count="6">
    <tableColumn id="1" xr3:uid="{678517AC-46A0-49A1-8555-EE455D9F03D5}" name="Player" dataDxfId="4385"/>
    <tableColumn id="2" xr3:uid="{F7340A1A-4D39-465E-8E4E-D23E13AC0DC7}" name="Team" dataDxfId="4384"/>
    <tableColumn id="3" xr3:uid="{7DDAA5B7-FA9A-404B-872B-F3A1FF0EF72B}" name="Pos." dataDxfId="4383"/>
    <tableColumn id="4" xr3:uid="{866ADA84-EA5B-488E-B924-A59697A7D2DA}" name="Inj?" dataDxfId="4382"/>
    <tableColumn id="6" xr3:uid="{E0B750F1-B9C1-4C7C-8031-02C3872886BA}" name="Opp" dataDxfId="4381"/>
    <tableColumn id="7" xr3:uid="{96EDC953-7C1A-4103-9151-638CF0548F34}" name="*" dataDxfId="4380">
      <calculatedColumnFormula array="1">_xlfn.XLOOKUP(Table1179397[[#This Row],[Opp]],Table14[DEF],'2024 fSZN'!$G$3:$G$34)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13" Type="http://schemas.openxmlformats.org/officeDocument/2006/relationships/table" Target="../tables/table27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12" Type="http://schemas.openxmlformats.org/officeDocument/2006/relationships/table" Target="../tables/table26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5" Type="http://schemas.openxmlformats.org/officeDocument/2006/relationships/table" Target="../tables/table19.xml"/><Relationship Id="rId15" Type="http://schemas.openxmlformats.org/officeDocument/2006/relationships/table" Target="../tables/table2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Relationship Id="rId14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13" Type="http://schemas.openxmlformats.org/officeDocument/2006/relationships/table" Target="../tables/table59.xml"/><Relationship Id="rId18" Type="http://schemas.openxmlformats.org/officeDocument/2006/relationships/table" Target="../tables/table64.xml"/><Relationship Id="rId26" Type="http://schemas.openxmlformats.org/officeDocument/2006/relationships/table" Target="../tables/table72.xml"/><Relationship Id="rId3" Type="http://schemas.openxmlformats.org/officeDocument/2006/relationships/table" Target="../tables/table49.xml"/><Relationship Id="rId21" Type="http://schemas.openxmlformats.org/officeDocument/2006/relationships/table" Target="../tables/table67.xml"/><Relationship Id="rId7" Type="http://schemas.openxmlformats.org/officeDocument/2006/relationships/table" Target="../tables/table53.xml"/><Relationship Id="rId12" Type="http://schemas.openxmlformats.org/officeDocument/2006/relationships/table" Target="../tables/table58.xml"/><Relationship Id="rId17" Type="http://schemas.openxmlformats.org/officeDocument/2006/relationships/table" Target="../tables/table63.xml"/><Relationship Id="rId25" Type="http://schemas.openxmlformats.org/officeDocument/2006/relationships/table" Target="../tables/table71.xml"/><Relationship Id="rId33" Type="http://schemas.openxmlformats.org/officeDocument/2006/relationships/table" Target="../tables/table79.xml"/><Relationship Id="rId2" Type="http://schemas.openxmlformats.org/officeDocument/2006/relationships/table" Target="../tables/table48.xml"/><Relationship Id="rId16" Type="http://schemas.openxmlformats.org/officeDocument/2006/relationships/table" Target="../tables/table62.xml"/><Relationship Id="rId20" Type="http://schemas.openxmlformats.org/officeDocument/2006/relationships/table" Target="../tables/table66.xml"/><Relationship Id="rId29" Type="http://schemas.openxmlformats.org/officeDocument/2006/relationships/table" Target="../tables/table7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52.xml"/><Relationship Id="rId11" Type="http://schemas.openxmlformats.org/officeDocument/2006/relationships/table" Target="../tables/table57.xml"/><Relationship Id="rId24" Type="http://schemas.openxmlformats.org/officeDocument/2006/relationships/table" Target="../tables/table70.xml"/><Relationship Id="rId32" Type="http://schemas.openxmlformats.org/officeDocument/2006/relationships/table" Target="../tables/table78.xml"/><Relationship Id="rId5" Type="http://schemas.openxmlformats.org/officeDocument/2006/relationships/table" Target="../tables/table51.xml"/><Relationship Id="rId15" Type="http://schemas.openxmlformats.org/officeDocument/2006/relationships/table" Target="../tables/table61.xml"/><Relationship Id="rId23" Type="http://schemas.openxmlformats.org/officeDocument/2006/relationships/table" Target="../tables/table69.xml"/><Relationship Id="rId28" Type="http://schemas.openxmlformats.org/officeDocument/2006/relationships/table" Target="../tables/table74.xml"/><Relationship Id="rId10" Type="http://schemas.openxmlformats.org/officeDocument/2006/relationships/table" Target="../tables/table56.xml"/><Relationship Id="rId19" Type="http://schemas.openxmlformats.org/officeDocument/2006/relationships/table" Target="../tables/table65.xml"/><Relationship Id="rId31" Type="http://schemas.openxmlformats.org/officeDocument/2006/relationships/table" Target="../tables/table77.xml"/><Relationship Id="rId4" Type="http://schemas.openxmlformats.org/officeDocument/2006/relationships/table" Target="../tables/table50.xml"/><Relationship Id="rId9" Type="http://schemas.openxmlformats.org/officeDocument/2006/relationships/table" Target="../tables/table55.xml"/><Relationship Id="rId14" Type="http://schemas.openxmlformats.org/officeDocument/2006/relationships/table" Target="../tables/table60.xml"/><Relationship Id="rId22" Type="http://schemas.openxmlformats.org/officeDocument/2006/relationships/table" Target="../tables/table68.xml"/><Relationship Id="rId27" Type="http://schemas.openxmlformats.org/officeDocument/2006/relationships/table" Target="../tables/table73.xml"/><Relationship Id="rId30" Type="http://schemas.openxmlformats.org/officeDocument/2006/relationships/table" Target="../tables/table7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3.xml"/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1.xml"/><Relationship Id="rId13" Type="http://schemas.openxmlformats.org/officeDocument/2006/relationships/table" Target="../tables/table96.xml"/><Relationship Id="rId18" Type="http://schemas.openxmlformats.org/officeDocument/2006/relationships/table" Target="../tables/table101.xml"/><Relationship Id="rId26" Type="http://schemas.openxmlformats.org/officeDocument/2006/relationships/table" Target="../tables/table109.xml"/><Relationship Id="rId3" Type="http://schemas.openxmlformats.org/officeDocument/2006/relationships/table" Target="../tables/table86.xml"/><Relationship Id="rId21" Type="http://schemas.openxmlformats.org/officeDocument/2006/relationships/table" Target="../tables/table104.xml"/><Relationship Id="rId7" Type="http://schemas.openxmlformats.org/officeDocument/2006/relationships/table" Target="../tables/table90.xml"/><Relationship Id="rId12" Type="http://schemas.openxmlformats.org/officeDocument/2006/relationships/table" Target="../tables/table95.xml"/><Relationship Id="rId17" Type="http://schemas.openxmlformats.org/officeDocument/2006/relationships/table" Target="../tables/table100.xml"/><Relationship Id="rId25" Type="http://schemas.openxmlformats.org/officeDocument/2006/relationships/table" Target="../tables/table108.xml"/><Relationship Id="rId2" Type="http://schemas.openxmlformats.org/officeDocument/2006/relationships/table" Target="../tables/table85.xml"/><Relationship Id="rId16" Type="http://schemas.openxmlformats.org/officeDocument/2006/relationships/table" Target="../tables/table99.xml"/><Relationship Id="rId20" Type="http://schemas.openxmlformats.org/officeDocument/2006/relationships/table" Target="../tables/table103.xml"/><Relationship Id="rId29" Type="http://schemas.openxmlformats.org/officeDocument/2006/relationships/table" Target="../tables/table112.xml"/><Relationship Id="rId1" Type="http://schemas.openxmlformats.org/officeDocument/2006/relationships/table" Target="../tables/table84.xml"/><Relationship Id="rId6" Type="http://schemas.openxmlformats.org/officeDocument/2006/relationships/table" Target="../tables/table89.xml"/><Relationship Id="rId11" Type="http://schemas.openxmlformats.org/officeDocument/2006/relationships/table" Target="../tables/table94.xml"/><Relationship Id="rId24" Type="http://schemas.openxmlformats.org/officeDocument/2006/relationships/table" Target="../tables/table107.xml"/><Relationship Id="rId32" Type="http://schemas.openxmlformats.org/officeDocument/2006/relationships/table" Target="../tables/table115.xml"/><Relationship Id="rId5" Type="http://schemas.openxmlformats.org/officeDocument/2006/relationships/table" Target="../tables/table88.xml"/><Relationship Id="rId15" Type="http://schemas.openxmlformats.org/officeDocument/2006/relationships/table" Target="../tables/table98.xml"/><Relationship Id="rId23" Type="http://schemas.openxmlformats.org/officeDocument/2006/relationships/table" Target="../tables/table106.xml"/><Relationship Id="rId28" Type="http://schemas.openxmlformats.org/officeDocument/2006/relationships/table" Target="../tables/table111.xml"/><Relationship Id="rId10" Type="http://schemas.openxmlformats.org/officeDocument/2006/relationships/table" Target="../tables/table93.xml"/><Relationship Id="rId19" Type="http://schemas.openxmlformats.org/officeDocument/2006/relationships/table" Target="../tables/table102.xml"/><Relationship Id="rId31" Type="http://schemas.openxmlformats.org/officeDocument/2006/relationships/table" Target="../tables/table114.xml"/><Relationship Id="rId4" Type="http://schemas.openxmlformats.org/officeDocument/2006/relationships/table" Target="../tables/table87.xml"/><Relationship Id="rId9" Type="http://schemas.openxmlformats.org/officeDocument/2006/relationships/table" Target="../tables/table92.xml"/><Relationship Id="rId14" Type="http://schemas.openxmlformats.org/officeDocument/2006/relationships/table" Target="../tables/table97.xml"/><Relationship Id="rId22" Type="http://schemas.openxmlformats.org/officeDocument/2006/relationships/table" Target="../tables/table105.xml"/><Relationship Id="rId27" Type="http://schemas.openxmlformats.org/officeDocument/2006/relationships/table" Target="../tables/table110.xml"/><Relationship Id="rId30" Type="http://schemas.openxmlformats.org/officeDocument/2006/relationships/table" Target="../tables/table11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8.xml"/><Relationship Id="rId2" Type="http://schemas.openxmlformats.org/officeDocument/2006/relationships/table" Target="../tables/table117.xml"/><Relationship Id="rId1" Type="http://schemas.openxmlformats.org/officeDocument/2006/relationships/table" Target="../tables/table116.xml"/><Relationship Id="rId4" Type="http://schemas.openxmlformats.org/officeDocument/2006/relationships/table" Target="../tables/table1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FC3-5048-4DBF-A017-F044F56CA908}">
  <sheetPr>
    <pageSetUpPr fitToPage="1"/>
  </sheetPr>
  <dimension ref="B2:G448"/>
  <sheetViews>
    <sheetView zoomScale="130" zoomScaleNormal="130" workbookViewId="0">
      <selection activeCell="K93" sqref="K93"/>
    </sheetView>
  </sheetViews>
  <sheetFormatPr defaultRowHeight="14.5" x14ac:dyDescent="0.35"/>
  <cols>
    <col min="2" max="2" width="20.26953125" bestFit="1" customWidth="1"/>
    <col min="3" max="3" width="12.1796875" bestFit="1" customWidth="1"/>
    <col min="4" max="4" width="9.90625" bestFit="1" customWidth="1"/>
    <col min="5" max="5" width="12.36328125" bestFit="1" customWidth="1"/>
    <col min="6" max="6" width="9.1796875" style="166" bestFit="1" customWidth="1"/>
    <col min="7" max="7" width="12.1796875" bestFit="1" customWidth="1"/>
  </cols>
  <sheetData>
    <row r="2" spans="2:7" x14ac:dyDescent="0.35">
      <c r="B2" s="70" t="s">
        <v>107</v>
      </c>
      <c r="C2" s="70" t="s">
        <v>742</v>
      </c>
      <c r="D2" s="70" t="s">
        <v>58</v>
      </c>
      <c r="E2" s="70" t="s">
        <v>743</v>
      </c>
      <c r="F2" s="165" t="s">
        <v>744</v>
      </c>
      <c r="G2" s="70" t="s">
        <v>745</v>
      </c>
    </row>
    <row r="3" spans="2:7" hidden="1" x14ac:dyDescent="0.35">
      <c r="B3" s="70" t="s">
        <v>885</v>
      </c>
      <c r="C3" s="97" t="s">
        <v>70</v>
      </c>
      <c r="D3" s="21" t="s">
        <v>42</v>
      </c>
      <c r="E3" s="167">
        <v>33970</v>
      </c>
      <c r="F3" s="165">
        <v>45658</v>
      </c>
      <c r="G3" s="168">
        <f t="shared" ref="G3:G7" ca="1" si="0">TODAY()-F3</f>
        <v>558</v>
      </c>
    </row>
    <row r="4" spans="2:7" hidden="1" x14ac:dyDescent="0.35">
      <c r="B4" s="70" t="s">
        <v>868</v>
      </c>
      <c r="C4" s="97" t="s">
        <v>70</v>
      </c>
      <c r="D4" s="21" t="s">
        <v>42</v>
      </c>
      <c r="E4" s="167">
        <v>36168</v>
      </c>
      <c r="F4" s="165">
        <v>45665</v>
      </c>
      <c r="G4" s="168">
        <f t="shared" ca="1" si="0"/>
        <v>551</v>
      </c>
    </row>
    <row r="5" spans="2:7" hidden="1" x14ac:dyDescent="0.35">
      <c r="B5" s="70" t="s">
        <v>1108</v>
      </c>
      <c r="C5" s="97" t="s">
        <v>65</v>
      </c>
      <c r="D5" s="21" t="s">
        <v>32</v>
      </c>
      <c r="E5" s="167">
        <v>36888</v>
      </c>
      <c r="F5" s="165">
        <v>46019</v>
      </c>
      <c r="G5" s="168">
        <f t="shared" ca="1" si="0"/>
        <v>197</v>
      </c>
    </row>
    <row r="6" spans="2:7" hidden="1" x14ac:dyDescent="0.35">
      <c r="B6" s="164" t="s">
        <v>852</v>
      </c>
      <c r="C6" s="174" t="s">
        <v>70</v>
      </c>
      <c r="D6" s="175" t="s">
        <v>39</v>
      </c>
      <c r="E6" s="176">
        <v>36887</v>
      </c>
      <c r="F6" s="177">
        <v>46018</v>
      </c>
      <c r="G6" s="178">
        <f t="shared" ca="1" si="0"/>
        <v>198</v>
      </c>
    </row>
    <row r="7" spans="2:7" hidden="1" x14ac:dyDescent="0.35">
      <c r="B7" s="70" t="s">
        <v>896</v>
      </c>
      <c r="C7" s="97" t="s">
        <v>759</v>
      </c>
      <c r="D7" s="21" t="s">
        <v>753</v>
      </c>
      <c r="E7" s="167">
        <v>32138</v>
      </c>
      <c r="F7" s="165">
        <v>46018</v>
      </c>
      <c r="G7" s="168">
        <f t="shared" ca="1" si="0"/>
        <v>198</v>
      </c>
    </row>
    <row r="8" spans="2:7" x14ac:dyDescent="0.35">
      <c r="B8" s="70" t="s">
        <v>989</v>
      </c>
      <c r="C8" s="97" t="s">
        <v>64</v>
      </c>
      <c r="D8" s="21" t="s">
        <v>52</v>
      </c>
      <c r="E8" s="167">
        <v>36899</v>
      </c>
      <c r="F8" s="165">
        <v>45665</v>
      </c>
      <c r="G8" s="168">
        <f t="shared" ref="G8:G71" ca="1" si="1">TODAY()-F8</f>
        <v>551</v>
      </c>
    </row>
    <row r="9" spans="2:7" hidden="1" x14ac:dyDescent="0.35">
      <c r="B9" s="70" t="s">
        <v>929</v>
      </c>
      <c r="C9" s="97" t="s">
        <v>64</v>
      </c>
      <c r="D9" s="21" t="s">
        <v>30</v>
      </c>
      <c r="E9" s="167">
        <v>36174</v>
      </c>
      <c r="F9" s="165">
        <v>45671</v>
      </c>
      <c r="G9" s="168">
        <f t="shared" ca="1" si="1"/>
        <v>545</v>
      </c>
    </row>
    <row r="10" spans="2:7" hidden="1" x14ac:dyDescent="0.35">
      <c r="B10" s="164" t="s">
        <v>930</v>
      </c>
      <c r="C10" s="174" t="s">
        <v>64</v>
      </c>
      <c r="D10" s="175" t="s">
        <v>56</v>
      </c>
      <c r="E10" s="176">
        <v>35059</v>
      </c>
      <c r="F10" s="177">
        <v>46017</v>
      </c>
      <c r="G10" s="178">
        <f t="shared" ca="1" si="1"/>
        <v>199</v>
      </c>
    </row>
    <row r="11" spans="2:7" x14ac:dyDescent="0.35">
      <c r="B11" s="70" t="s">
        <v>909</v>
      </c>
      <c r="C11" s="97" t="s">
        <v>65</v>
      </c>
      <c r="D11" s="21" t="s">
        <v>46</v>
      </c>
      <c r="E11" s="167">
        <v>34725</v>
      </c>
      <c r="F11" s="165">
        <v>45683</v>
      </c>
      <c r="G11" s="168">
        <f t="shared" ca="1" si="1"/>
        <v>533</v>
      </c>
    </row>
    <row r="12" spans="2:7" hidden="1" x14ac:dyDescent="0.35">
      <c r="B12" s="70" t="s">
        <v>776</v>
      </c>
      <c r="C12" s="97" t="s">
        <v>759</v>
      </c>
      <c r="D12" s="21" t="s">
        <v>37</v>
      </c>
      <c r="E12" s="167">
        <v>34363</v>
      </c>
      <c r="F12" s="165">
        <v>45686</v>
      </c>
      <c r="G12" s="168">
        <f t="shared" ca="1" si="1"/>
        <v>530</v>
      </c>
    </row>
    <row r="13" spans="2:7" hidden="1" x14ac:dyDescent="0.35">
      <c r="B13" s="70" t="s">
        <v>888</v>
      </c>
      <c r="C13" s="97" t="s">
        <v>750</v>
      </c>
      <c r="D13" s="21" t="s">
        <v>29</v>
      </c>
      <c r="E13" s="167">
        <v>35054</v>
      </c>
      <c r="F13" s="165">
        <v>46012</v>
      </c>
      <c r="G13" s="168">
        <f t="shared" ca="1" si="1"/>
        <v>204</v>
      </c>
    </row>
    <row r="14" spans="2:7" hidden="1" x14ac:dyDescent="0.35">
      <c r="B14" s="70" t="s">
        <v>1000</v>
      </c>
      <c r="C14" s="169" t="s">
        <v>750</v>
      </c>
      <c r="D14" s="170" t="s">
        <v>55</v>
      </c>
      <c r="E14" s="171">
        <v>34688</v>
      </c>
      <c r="F14" s="172">
        <v>46011</v>
      </c>
      <c r="G14" s="173">
        <f t="shared" ca="1" si="1"/>
        <v>205</v>
      </c>
    </row>
    <row r="15" spans="2:7" hidden="1" x14ac:dyDescent="0.35">
      <c r="B15" s="70" t="s">
        <v>1075</v>
      </c>
      <c r="C15" s="169" t="s">
        <v>750</v>
      </c>
      <c r="D15" s="170" t="s">
        <v>32</v>
      </c>
      <c r="E15" s="171">
        <v>36879</v>
      </c>
      <c r="F15" s="172">
        <v>46010</v>
      </c>
      <c r="G15" s="173">
        <f t="shared" ca="1" si="1"/>
        <v>206</v>
      </c>
    </row>
    <row r="16" spans="2:7" hidden="1" x14ac:dyDescent="0.35">
      <c r="B16" s="70" t="s">
        <v>1059</v>
      </c>
      <c r="C16" s="169" t="s">
        <v>65</v>
      </c>
      <c r="D16" s="170" t="s">
        <v>56</v>
      </c>
      <c r="E16" s="171">
        <v>36878</v>
      </c>
      <c r="F16" s="172">
        <v>46009</v>
      </c>
      <c r="G16" s="173">
        <f t="shared" ca="1" si="1"/>
        <v>207</v>
      </c>
    </row>
    <row r="17" spans="2:7" hidden="1" x14ac:dyDescent="0.35">
      <c r="B17" s="164" t="s">
        <v>1103</v>
      </c>
      <c r="C17" s="174" t="s">
        <v>750</v>
      </c>
      <c r="D17" s="175" t="s">
        <v>43</v>
      </c>
      <c r="E17" s="176">
        <v>37608</v>
      </c>
      <c r="F17" s="177">
        <v>46009</v>
      </c>
      <c r="G17" s="178">
        <f t="shared" ca="1" si="1"/>
        <v>207</v>
      </c>
    </row>
    <row r="18" spans="2:7" hidden="1" x14ac:dyDescent="0.35">
      <c r="B18" s="70" t="s">
        <v>1060</v>
      </c>
      <c r="C18" s="97" t="s">
        <v>64</v>
      </c>
      <c r="D18" s="21" t="s">
        <v>30</v>
      </c>
      <c r="E18" s="167">
        <v>36922</v>
      </c>
      <c r="F18" s="165">
        <v>45688</v>
      </c>
      <c r="G18" s="168">
        <f t="shared" ca="1" si="1"/>
        <v>528</v>
      </c>
    </row>
    <row r="19" spans="2:7" hidden="1" x14ac:dyDescent="0.35">
      <c r="B19" s="70" t="s">
        <v>837</v>
      </c>
      <c r="C19" s="97" t="s">
        <v>750</v>
      </c>
      <c r="D19" s="21" t="s">
        <v>17</v>
      </c>
      <c r="E19" s="167">
        <v>36559</v>
      </c>
      <c r="F19" s="165">
        <v>45691</v>
      </c>
      <c r="G19" s="168">
        <f t="shared" ca="1" si="1"/>
        <v>525</v>
      </c>
    </row>
    <row r="20" spans="2:7" hidden="1" x14ac:dyDescent="0.35">
      <c r="B20" s="70" t="s">
        <v>752</v>
      </c>
      <c r="C20" s="169" t="s">
        <v>64</v>
      </c>
      <c r="D20" s="170" t="s">
        <v>753</v>
      </c>
      <c r="E20" s="171">
        <v>35779</v>
      </c>
      <c r="F20" s="172">
        <v>46006</v>
      </c>
      <c r="G20" s="173">
        <f t="shared" ca="1" si="1"/>
        <v>210</v>
      </c>
    </row>
    <row r="21" spans="2:7" hidden="1" x14ac:dyDescent="0.35">
      <c r="B21" s="70" t="s">
        <v>1076</v>
      </c>
      <c r="C21" s="97" t="s">
        <v>64</v>
      </c>
      <c r="D21" s="21" t="s">
        <v>34</v>
      </c>
      <c r="E21" s="167">
        <v>36926</v>
      </c>
      <c r="F21" s="165">
        <v>45692</v>
      </c>
      <c r="G21" s="168">
        <f t="shared" ca="1" si="1"/>
        <v>524</v>
      </c>
    </row>
    <row r="22" spans="2:7" hidden="1" x14ac:dyDescent="0.35">
      <c r="B22" s="70" t="s">
        <v>845</v>
      </c>
      <c r="C22" s="97" t="s">
        <v>70</v>
      </c>
      <c r="D22" s="21" t="s">
        <v>34</v>
      </c>
      <c r="E22" s="167">
        <v>35466</v>
      </c>
      <c r="F22" s="165">
        <v>45693</v>
      </c>
      <c r="G22" s="168">
        <f t="shared" ca="1" si="1"/>
        <v>523</v>
      </c>
    </row>
    <row r="23" spans="2:7" hidden="1" x14ac:dyDescent="0.35">
      <c r="B23" s="70" t="s">
        <v>1014</v>
      </c>
      <c r="C23" s="169" t="s">
        <v>750</v>
      </c>
      <c r="D23" s="170" t="s">
        <v>55</v>
      </c>
      <c r="E23" s="171">
        <v>37239</v>
      </c>
      <c r="F23" s="172">
        <v>46005</v>
      </c>
      <c r="G23" s="173">
        <f t="shared" ca="1" si="1"/>
        <v>211</v>
      </c>
    </row>
    <row r="24" spans="2:7" hidden="1" x14ac:dyDescent="0.35">
      <c r="B24" s="70" t="s">
        <v>913</v>
      </c>
      <c r="C24" s="169" t="s">
        <v>70</v>
      </c>
      <c r="D24" s="170" t="s">
        <v>43</v>
      </c>
      <c r="E24" s="171">
        <v>37603</v>
      </c>
      <c r="F24" s="172">
        <v>46004</v>
      </c>
      <c r="G24" s="173">
        <f t="shared" ca="1" si="1"/>
        <v>212</v>
      </c>
    </row>
    <row r="25" spans="2:7" x14ac:dyDescent="0.35">
      <c r="B25" s="70" t="s">
        <v>906</v>
      </c>
      <c r="C25" s="97" t="s">
        <v>750</v>
      </c>
      <c r="D25" s="21" t="s">
        <v>52</v>
      </c>
      <c r="E25" s="167">
        <v>37293</v>
      </c>
      <c r="F25" s="165">
        <v>45694</v>
      </c>
      <c r="G25" s="168">
        <f t="shared" ca="1" si="1"/>
        <v>522</v>
      </c>
    </row>
    <row r="26" spans="2:7" hidden="1" x14ac:dyDescent="0.35">
      <c r="B26" s="70" t="s">
        <v>987</v>
      </c>
      <c r="C26" s="169" t="s">
        <v>750</v>
      </c>
      <c r="D26" s="170" t="s">
        <v>47</v>
      </c>
      <c r="E26" s="171">
        <v>35776</v>
      </c>
      <c r="F26" s="172">
        <v>46003</v>
      </c>
      <c r="G26" s="173">
        <f t="shared" ca="1" si="1"/>
        <v>213</v>
      </c>
    </row>
    <row r="27" spans="2:7" hidden="1" x14ac:dyDescent="0.35">
      <c r="B27" s="70" t="s">
        <v>1160</v>
      </c>
      <c r="C27" s="97" t="s">
        <v>750</v>
      </c>
      <c r="D27" s="21" t="s">
        <v>34</v>
      </c>
      <c r="E27" s="167">
        <v>37658</v>
      </c>
      <c r="F27" s="165">
        <v>45694</v>
      </c>
      <c r="G27" s="168">
        <f t="shared" ca="1" si="1"/>
        <v>522</v>
      </c>
    </row>
    <row r="28" spans="2:7" hidden="1" x14ac:dyDescent="0.35">
      <c r="B28" s="70" t="s">
        <v>746</v>
      </c>
      <c r="C28" s="169" t="s">
        <v>65</v>
      </c>
      <c r="D28" s="170" t="s">
        <v>0</v>
      </c>
      <c r="E28" s="171">
        <v>33949</v>
      </c>
      <c r="F28" s="172">
        <v>46002</v>
      </c>
      <c r="G28" s="173">
        <f t="shared" ca="1" si="1"/>
        <v>214</v>
      </c>
    </row>
    <row r="29" spans="2:7" hidden="1" x14ac:dyDescent="0.35">
      <c r="B29" s="70" t="s">
        <v>827</v>
      </c>
      <c r="C29" s="169" t="s">
        <v>65</v>
      </c>
      <c r="D29" s="170" t="s">
        <v>31</v>
      </c>
      <c r="E29" s="171">
        <v>35409</v>
      </c>
      <c r="F29" s="172">
        <v>46001</v>
      </c>
      <c r="G29" s="173">
        <f t="shared" ca="1" si="1"/>
        <v>215</v>
      </c>
    </row>
    <row r="30" spans="2:7" hidden="1" x14ac:dyDescent="0.35">
      <c r="B30" s="70" t="s">
        <v>986</v>
      </c>
      <c r="C30" s="97" t="s">
        <v>65</v>
      </c>
      <c r="D30" s="21" t="s">
        <v>42</v>
      </c>
      <c r="E30" s="167">
        <v>32180</v>
      </c>
      <c r="F30" s="165">
        <v>45695</v>
      </c>
      <c r="G30" s="168">
        <f t="shared" ca="1" si="1"/>
        <v>521</v>
      </c>
    </row>
    <row r="31" spans="2:7" hidden="1" x14ac:dyDescent="0.35">
      <c r="B31" s="70" t="s">
        <v>772</v>
      </c>
      <c r="C31" s="97" t="s">
        <v>64</v>
      </c>
      <c r="D31" s="21" t="s">
        <v>34</v>
      </c>
      <c r="E31" s="167">
        <v>36563</v>
      </c>
      <c r="F31" s="165">
        <v>45695</v>
      </c>
      <c r="G31" s="168">
        <f t="shared" ca="1" si="1"/>
        <v>521</v>
      </c>
    </row>
    <row r="32" spans="2:7" hidden="1" x14ac:dyDescent="0.35">
      <c r="B32" s="70" t="s">
        <v>758</v>
      </c>
      <c r="C32" s="97" t="s">
        <v>759</v>
      </c>
      <c r="D32" s="21" t="s">
        <v>17</v>
      </c>
      <c r="E32" s="167">
        <v>35475</v>
      </c>
      <c r="F32" s="165">
        <v>45702</v>
      </c>
      <c r="G32" s="168">
        <f t="shared" ca="1" si="1"/>
        <v>514</v>
      </c>
    </row>
    <row r="33" spans="2:7" hidden="1" x14ac:dyDescent="0.35">
      <c r="B33" s="70" t="s">
        <v>1187</v>
      </c>
      <c r="C33" s="169" t="s">
        <v>750</v>
      </c>
      <c r="D33" s="170" t="s">
        <v>54</v>
      </c>
      <c r="E33" s="171">
        <v>37232</v>
      </c>
      <c r="F33" s="172">
        <v>45998</v>
      </c>
      <c r="G33" s="173">
        <f t="shared" ca="1" si="1"/>
        <v>218</v>
      </c>
    </row>
    <row r="34" spans="2:7" x14ac:dyDescent="0.35">
      <c r="B34" s="70" t="s">
        <v>1144</v>
      </c>
      <c r="C34" s="97" t="s">
        <v>750</v>
      </c>
      <c r="D34" s="21" t="s">
        <v>52</v>
      </c>
      <c r="E34" s="167">
        <v>37301</v>
      </c>
      <c r="F34" s="165">
        <v>45702</v>
      </c>
      <c r="G34" s="168">
        <f t="shared" ca="1" si="1"/>
        <v>514</v>
      </c>
    </row>
    <row r="35" spans="2:7" hidden="1" x14ac:dyDescent="0.35">
      <c r="B35" s="70" t="s">
        <v>813</v>
      </c>
      <c r="C35" s="169" t="s">
        <v>70</v>
      </c>
      <c r="D35" s="170" t="s">
        <v>50</v>
      </c>
      <c r="E35" s="171">
        <v>36133</v>
      </c>
      <c r="F35" s="172">
        <v>45995</v>
      </c>
      <c r="G35" s="173">
        <f t="shared" ca="1" si="1"/>
        <v>221</v>
      </c>
    </row>
    <row r="36" spans="2:7" hidden="1" x14ac:dyDescent="0.35">
      <c r="B36" s="70" t="s">
        <v>801</v>
      </c>
      <c r="C36" s="97" t="s">
        <v>64</v>
      </c>
      <c r="D36" s="21" t="s">
        <v>45</v>
      </c>
      <c r="E36" s="167">
        <v>34670</v>
      </c>
      <c r="F36" s="165">
        <v>45993</v>
      </c>
      <c r="G36" s="168">
        <f t="shared" ca="1" si="1"/>
        <v>223</v>
      </c>
    </row>
    <row r="37" spans="2:7" hidden="1" x14ac:dyDescent="0.35">
      <c r="B37" s="70" t="s">
        <v>1001</v>
      </c>
      <c r="C37" s="97" t="s">
        <v>750</v>
      </c>
      <c r="D37" s="21" t="s">
        <v>53</v>
      </c>
      <c r="E37" s="167">
        <v>37302</v>
      </c>
      <c r="F37" s="165">
        <v>45703</v>
      </c>
      <c r="G37" s="168">
        <f t="shared" ca="1" si="1"/>
        <v>513</v>
      </c>
    </row>
    <row r="38" spans="2:7" hidden="1" x14ac:dyDescent="0.35">
      <c r="B38" s="70" t="s">
        <v>1147</v>
      </c>
      <c r="C38" s="97" t="s">
        <v>64</v>
      </c>
      <c r="D38" s="21" t="s">
        <v>43</v>
      </c>
      <c r="E38" s="167">
        <v>37957</v>
      </c>
      <c r="F38" s="165">
        <v>45993</v>
      </c>
      <c r="G38" s="168">
        <f t="shared" ca="1" si="1"/>
        <v>223</v>
      </c>
    </row>
    <row r="39" spans="2:7" hidden="1" x14ac:dyDescent="0.35">
      <c r="B39" s="70" t="s">
        <v>952</v>
      </c>
      <c r="C39" s="97" t="s">
        <v>750</v>
      </c>
      <c r="D39" s="21" t="s">
        <v>43</v>
      </c>
      <c r="E39" s="167">
        <v>37590</v>
      </c>
      <c r="F39" s="165">
        <v>45991</v>
      </c>
      <c r="G39" s="168">
        <f t="shared" ca="1" si="1"/>
        <v>225</v>
      </c>
    </row>
    <row r="40" spans="2:7" x14ac:dyDescent="0.35">
      <c r="B40" s="70" t="s">
        <v>970</v>
      </c>
      <c r="C40" s="97" t="s">
        <v>64</v>
      </c>
      <c r="D40" s="21" t="s">
        <v>46</v>
      </c>
      <c r="E40" s="167">
        <v>35849</v>
      </c>
      <c r="F40" s="165">
        <v>45711</v>
      </c>
      <c r="G40" s="168">
        <f t="shared" ca="1" si="1"/>
        <v>505</v>
      </c>
    </row>
    <row r="41" spans="2:7" hidden="1" x14ac:dyDescent="0.35">
      <c r="B41" s="70" t="s">
        <v>938</v>
      </c>
      <c r="C41" s="97" t="s">
        <v>65</v>
      </c>
      <c r="D41" s="21" t="s">
        <v>48</v>
      </c>
      <c r="E41" s="167">
        <v>32476</v>
      </c>
      <c r="F41" s="165">
        <v>45990</v>
      </c>
      <c r="G41" s="168">
        <f t="shared" ca="1" si="1"/>
        <v>226</v>
      </c>
    </row>
    <row r="42" spans="2:7" hidden="1" x14ac:dyDescent="0.35">
      <c r="B42" s="70" t="s">
        <v>1028</v>
      </c>
      <c r="C42" s="97" t="s">
        <v>750</v>
      </c>
      <c r="D42" s="21" t="s">
        <v>16</v>
      </c>
      <c r="E42" s="167">
        <v>36493</v>
      </c>
      <c r="F42" s="165">
        <v>45990</v>
      </c>
      <c r="G42" s="168">
        <f t="shared" ca="1" si="1"/>
        <v>226</v>
      </c>
    </row>
    <row r="43" spans="2:7" hidden="1" x14ac:dyDescent="0.35">
      <c r="B43" s="70" t="s">
        <v>1082</v>
      </c>
      <c r="C43" s="97" t="s">
        <v>65</v>
      </c>
      <c r="D43" s="21" t="s">
        <v>34</v>
      </c>
      <c r="E43" s="167">
        <v>36581</v>
      </c>
      <c r="F43" s="165">
        <v>45713</v>
      </c>
      <c r="G43" s="168">
        <f t="shared" ca="1" si="1"/>
        <v>503</v>
      </c>
    </row>
    <row r="44" spans="2:7" hidden="1" x14ac:dyDescent="0.35">
      <c r="B44" s="70" t="s">
        <v>1041</v>
      </c>
      <c r="C44" s="97" t="s">
        <v>70</v>
      </c>
      <c r="D44" s="21" t="s">
        <v>35</v>
      </c>
      <c r="E44" s="167">
        <v>36126</v>
      </c>
      <c r="F44" s="165">
        <v>45988</v>
      </c>
      <c r="G44" s="168">
        <f t="shared" ca="1" si="1"/>
        <v>228</v>
      </c>
    </row>
    <row r="45" spans="2:7" hidden="1" x14ac:dyDescent="0.35">
      <c r="B45" s="70" t="s">
        <v>940</v>
      </c>
      <c r="C45" s="97" t="s">
        <v>750</v>
      </c>
      <c r="D45" s="21" t="s">
        <v>41</v>
      </c>
      <c r="E45" s="167">
        <v>37315</v>
      </c>
      <c r="F45" s="165">
        <v>45716</v>
      </c>
      <c r="G45" s="168">
        <f t="shared" ca="1" si="1"/>
        <v>500</v>
      </c>
    </row>
    <row r="46" spans="2:7" hidden="1" x14ac:dyDescent="0.35">
      <c r="B46" s="70" t="s">
        <v>1085</v>
      </c>
      <c r="C46" s="97" t="s">
        <v>759</v>
      </c>
      <c r="D46" s="21" t="s">
        <v>42</v>
      </c>
      <c r="E46" s="167">
        <v>37322</v>
      </c>
      <c r="F46" s="165">
        <v>45723</v>
      </c>
      <c r="G46" s="168">
        <f t="shared" ca="1" si="1"/>
        <v>493</v>
      </c>
    </row>
    <row r="47" spans="2:7" hidden="1" x14ac:dyDescent="0.35">
      <c r="B47" s="70" t="s">
        <v>1135</v>
      </c>
      <c r="C47" s="97" t="s">
        <v>750</v>
      </c>
      <c r="D47" s="21" t="s">
        <v>44</v>
      </c>
      <c r="E47" s="167">
        <v>36124</v>
      </c>
      <c r="F47" s="165">
        <v>45986</v>
      </c>
      <c r="G47" s="168">
        <f t="shared" ca="1" si="1"/>
        <v>230</v>
      </c>
    </row>
    <row r="48" spans="2:7" hidden="1" x14ac:dyDescent="0.35">
      <c r="B48" s="70" t="s">
        <v>833</v>
      </c>
      <c r="C48" s="97" t="s">
        <v>759</v>
      </c>
      <c r="D48" s="21" t="s">
        <v>56</v>
      </c>
      <c r="E48" s="167">
        <v>36487</v>
      </c>
      <c r="F48" s="165">
        <v>45984</v>
      </c>
      <c r="G48" s="168">
        <f t="shared" ca="1" si="1"/>
        <v>232</v>
      </c>
    </row>
    <row r="49" spans="2:7" hidden="1" x14ac:dyDescent="0.35">
      <c r="B49" s="70" t="s">
        <v>880</v>
      </c>
      <c r="C49" s="97" t="s">
        <v>750</v>
      </c>
      <c r="D49" s="21" t="s">
        <v>39</v>
      </c>
      <c r="E49" s="167">
        <v>34296</v>
      </c>
      <c r="F49" s="165">
        <v>45984</v>
      </c>
      <c r="G49" s="168">
        <f t="shared" ca="1" si="1"/>
        <v>232</v>
      </c>
    </row>
    <row r="50" spans="2:7" hidden="1" x14ac:dyDescent="0.35">
      <c r="B50" s="70" t="s">
        <v>907</v>
      </c>
      <c r="C50" s="97" t="s">
        <v>64</v>
      </c>
      <c r="D50" s="21" t="s">
        <v>48</v>
      </c>
      <c r="E50" s="167">
        <v>36487</v>
      </c>
      <c r="F50" s="165">
        <v>45984</v>
      </c>
      <c r="G50" s="168">
        <f t="shared" ca="1" si="1"/>
        <v>232</v>
      </c>
    </row>
    <row r="51" spans="2:7" hidden="1" x14ac:dyDescent="0.35">
      <c r="B51" s="70" t="s">
        <v>968</v>
      </c>
      <c r="C51" s="97" t="s">
        <v>750</v>
      </c>
      <c r="D51" s="21" t="s">
        <v>40</v>
      </c>
      <c r="E51" s="167">
        <v>35391</v>
      </c>
      <c r="F51" s="165">
        <v>45983</v>
      </c>
      <c r="G51" s="168">
        <f t="shared" ca="1" si="1"/>
        <v>233</v>
      </c>
    </row>
    <row r="52" spans="2:7" hidden="1" x14ac:dyDescent="0.35">
      <c r="B52" s="70" t="s">
        <v>983</v>
      </c>
      <c r="C52" s="97" t="s">
        <v>70</v>
      </c>
      <c r="D52" s="21" t="s">
        <v>0</v>
      </c>
      <c r="E52" s="167">
        <v>36486</v>
      </c>
      <c r="F52" s="165">
        <v>45983</v>
      </c>
      <c r="G52" s="168">
        <f t="shared" ca="1" si="1"/>
        <v>233</v>
      </c>
    </row>
    <row r="53" spans="2:7" hidden="1" x14ac:dyDescent="0.35">
      <c r="B53" s="70" t="s">
        <v>1047</v>
      </c>
      <c r="C53" s="97" t="s">
        <v>750</v>
      </c>
      <c r="D53" s="21" t="s">
        <v>36</v>
      </c>
      <c r="E53" s="167">
        <v>37217</v>
      </c>
      <c r="F53" s="165">
        <v>45983</v>
      </c>
      <c r="G53" s="168">
        <f t="shared" ca="1" si="1"/>
        <v>233</v>
      </c>
    </row>
    <row r="54" spans="2:7" hidden="1" x14ac:dyDescent="0.35">
      <c r="B54" s="70" t="s">
        <v>1024</v>
      </c>
      <c r="C54" s="97" t="s">
        <v>759</v>
      </c>
      <c r="D54" s="21" t="s">
        <v>753</v>
      </c>
      <c r="E54" s="167">
        <v>32833</v>
      </c>
      <c r="F54" s="165">
        <v>45982</v>
      </c>
      <c r="G54" s="168">
        <f t="shared" ca="1" si="1"/>
        <v>234</v>
      </c>
    </row>
    <row r="55" spans="2:7" hidden="1" x14ac:dyDescent="0.35">
      <c r="B55" s="70" t="s">
        <v>1031</v>
      </c>
      <c r="C55" s="97" t="s">
        <v>70</v>
      </c>
      <c r="D55" s="21" t="s">
        <v>31</v>
      </c>
      <c r="E55" s="167">
        <v>35754</v>
      </c>
      <c r="F55" s="165">
        <v>45981</v>
      </c>
      <c r="G55" s="168">
        <f t="shared" ca="1" si="1"/>
        <v>235</v>
      </c>
    </row>
    <row r="56" spans="2:7" hidden="1" x14ac:dyDescent="0.35">
      <c r="B56" s="70" t="s">
        <v>1124</v>
      </c>
      <c r="C56" s="97" t="s">
        <v>64</v>
      </c>
      <c r="D56" s="21" t="s">
        <v>41</v>
      </c>
      <c r="E56" s="167">
        <v>35863</v>
      </c>
      <c r="F56" s="165">
        <v>45725</v>
      </c>
      <c r="G56" s="168">
        <f t="shared" ca="1" si="1"/>
        <v>491</v>
      </c>
    </row>
    <row r="57" spans="2:7" hidden="1" x14ac:dyDescent="0.35">
      <c r="B57" s="70" t="s">
        <v>1150</v>
      </c>
      <c r="C57" s="97" t="s">
        <v>65</v>
      </c>
      <c r="D57" s="21" t="s">
        <v>41</v>
      </c>
      <c r="E57" s="167">
        <v>35864</v>
      </c>
      <c r="F57" s="165">
        <v>45726</v>
      </c>
      <c r="G57" s="168">
        <f t="shared" ca="1" si="1"/>
        <v>490</v>
      </c>
    </row>
    <row r="58" spans="2:7" hidden="1" x14ac:dyDescent="0.35">
      <c r="B58" s="70" t="s">
        <v>971</v>
      </c>
      <c r="C58" s="97" t="s">
        <v>759</v>
      </c>
      <c r="D58" s="21" t="s">
        <v>44</v>
      </c>
      <c r="E58" s="167">
        <v>35019</v>
      </c>
      <c r="F58" s="165">
        <v>45977</v>
      </c>
      <c r="G58" s="168">
        <f t="shared" ca="1" si="1"/>
        <v>239</v>
      </c>
    </row>
    <row r="59" spans="2:7" hidden="1" x14ac:dyDescent="0.35">
      <c r="B59" s="70" t="s">
        <v>1044</v>
      </c>
      <c r="C59" s="97" t="s">
        <v>70</v>
      </c>
      <c r="D59" s="21" t="s">
        <v>30</v>
      </c>
      <c r="E59" s="167">
        <v>36229</v>
      </c>
      <c r="F59" s="165">
        <v>45726</v>
      </c>
      <c r="G59" s="168">
        <f t="shared" ca="1" si="1"/>
        <v>490</v>
      </c>
    </row>
    <row r="60" spans="2:7" hidden="1" x14ac:dyDescent="0.35">
      <c r="B60" s="70" t="s">
        <v>1023</v>
      </c>
      <c r="C60" s="97" t="s">
        <v>64</v>
      </c>
      <c r="D60" s="21" t="s">
        <v>16</v>
      </c>
      <c r="E60" s="167">
        <v>35748</v>
      </c>
      <c r="F60" s="165">
        <v>45975</v>
      </c>
      <c r="G60" s="168">
        <f t="shared" ca="1" si="1"/>
        <v>241</v>
      </c>
    </row>
    <row r="61" spans="2:7" hidden="1" x14ac:dyDescent="0.35">
      <c r="B61" s="70" t="s">
        <v>1122</v>
      </c>
      <c r="C61" s="97" t="s">
        <v>750</v>
      </c>
      <c r="D61" s="21" t="s">
        <v>50</v>
      </c>
      <c r="E61" s="167">
        <v>36113</v>
      </c>
      <c r="F61" s="165">
        <v>45975</v>
      </c>
      <c r="G61" s="168">
        <f t="shared" ca="1" si="1"/>
        <v>241</v>
      </c>
    </row>
    <row r="62" spans="2:7" hidden="1" x14ac:dyDescent="0.35">
      <c r="B62" s="70" t="s">
        <v>945</v>
      </c>
      <c r="C62" s="97" t="s">
        <v>64</v>
      </c>
      <c r="D62" s="21" t="s">
        <v>51</v>
      </c>
      <c r="E62" s="167">
        <v>36233</v>
      </c>
      <c r="F62" s="165">
        <v>45730</v>
      </c>
      <c r="G62" s="168">
        <f t="shared" ca="1" si="1"/>
        <v>486</v>
      </c>
    </row>
    <row r="63" spans="2:7" hidden="1" x14ac:dyDescent="0.35">
      <c r="B63" s="70" t="s">
        <v>1093</v>
      </c>
      <c r="C63" s="97" t="s">
        <v>759</v>
      </c>
      <c r="D63" s="21" t="s">
        <v>53</v>
      </c>
      <c r="E63" s="167">
        <v>34408</v>
      </c>
      <c r="F63" s="165">
        <v>45731</v>
      </c>
      <c r="G63" s="168">
        <f t="shared" ca="1" si="1"/>
        <v>485</v>
      </c>
    </row>
    <row r="64" spans="2:7" hidden="1" x14ac:dyDescent="0.35">
      <c r="B64" s="70" t="s">
        <v>892</v>
      </c>
      <c r="C64" s="97" t="s">
        <v>759</v>
      </c>
      <c r="D64" s="21" t="s">
        <v>51</v>
      </c>
      <c r="E64" s="167">
        <v>33313</v>
      </c>
      <c r="F64" s="165">
        <v>45732</v>
      </c>
      <c r="G64" s="168">
        <f t="shared" ca="1" si="1"/>
        <v>484</v>
      </c>
    </row>
    <row r="65" spans="2:7" hidden="1" x14ac:dyDescent="0.35">
      <c r="B65" s="70" t="s">
        <v>814</v>
      </c>
      <c r="C65" s="97" t="s">
        <v>64</v>
      </c>
      <c r="D65" s="21" t="s">
        <v>41</v>
      </c>
      <c r="E65" s="167">
        <v>37696</v>
      </c>
      <c r="F65" s="165">
        <v>45732</v>
      </c>
      <c r="G65" s="168">
        <f t="shared" ca="1" si="1"/>
        <v>484</v>
      </c>
    </row>
    <row r="66" spans="2:7" hidden="1" x14ac:dyDescent="0.35">
      <c r="B66" s="70" t="s">
        <v>877</v>
      </c>
      <c r="C66" s="97" t="s">
        <v>70</v>
      </c>
      <c r="D66" s="21" t="s">
        <v>56</v>
      </c>
      <c r="E66" s="167">
        <v>33187</v>
      </c>
      <c r="F66" s="165">
        <v>45971</v>
      </c>
      <c r="G66" s="168">
        <f t="shared" ca="1" si="1"/>
        <v>245</v>
      </c>
    </row>
    <row r="67" spans="2:7" hidden="1" x14ac:dyDescent="0.35">
      <c r="B67" s="70" t="s">
        <v>1092</v>
      </c>
      <c r="C67" s="97" t="s">
        <v>750</v>
      </c>
      <c r="D67" s="21" t="s">
        <v>39</v>
      </c>
      <c r="E67" s="167">
        <v>35378</v>
      </c>
      <c r="F67" s="165">
        <v>45970</v>
      </c>
      <c r="G67" s="168">
        <f t="shared" ca="1" si="1"/>
        <v>246</v>
      </c>
    </row>
    <row r="68" spans="2:7" hidden="1" x14ac:dyDescent="0.35">
      <c r="B68" s="70" t="s">
        <v>1081</v>
      </c>
      <c r="C68" s="97" t="s">
        <v>759</v>
      </c>
      <c r="D68" s="21" t="s">
        <v>753</v>
      </c>
      <c r="E68" s="167">
        <v>36104</v>
      </c>
      <c r="F68" s="165">
        <v>45966</v>
      </c>
      <c r="G68" s="168">
        <f t="shared" ca="1" si="1"/>
        <v>250</v>
      </c>
    </row>
    <row r="69" spans="2:7" hidden="1" x14ac:dyDescent="0.35">
      <c r="B69" s="70" t="s">
        <v>836</v>
      </c>
      <c r="C69" s="97" t="s">
        <v>70</v>
      </c>
      <c r="D69" s="21" t="s">
        <v>36</v>
      </c>
      <c r="E69" s="167">
        <v>36833</v>
      </c>
      <c r="F69" s="165">
        <v>45964</v>
      </c>
      <c r="G69" s="168">
        <f t="shared" ca="1" si="1"/>
        <v>252</v>
      </c>
    </row>
    <row r="70" spans="2:7" hidden="1" x14ac:dyDescent="0.35">
      <c r="B70" s="70" t="s">
        <v>787</v>
      </c>
      <c r="C70" s="97" t="s">
        <v>70</v>
      </c>
      <c r="D70" s="21" t="s">
        <v>40</v>
      </c>
      <c r="E70" s="167">
        <v>36832</v>
      </c>
      <c r="F70" s="165">
        <v>45963</v>
      </c>
      <c r="G70" s="168">
        <f t="shared" ca="1" si="1"/>
        <v>253</v>
      </c>
    </row>
    <row r="71" spans="2:7" hidden="1" x14ac:dyDescent="0.35">
      <c r="B71" s="70" t="s">
        <v>1186</v>
      </c>
      <c r="C71" s="97" t="s">
        <v>65</v>
      </c>
      <c r="D71" s="21" t="s">
        <v>36</v>
      </c>
      <c r="E71" s="167">
        <v>36101</v>
      </c>
      <c r="F71" s="165">
        <v>45963</v>
      </c>
      <c r="G71" s="168">
        <f t="shared" ca="1" si="1"/>
        <v>253</v>
      </c>
    </row>
    <row r="72" spans="2:7" hidden="1" x14ac:dyDescent="0.35">
      <c r="B72" s="70" t="s">
        <v>873</v>
      </c>
      <c r="C72" s="97" t="s">
        <v>750</v>
      </c>
      <c r="D72" s="21" t="s">
        <v>53</v>
      </c>
      <c r="E72" s="167">
        <v>35871</v>
      </c>
      <c r="F72" s="165">
        <v>45733</v>
      </c>
      <c r="G72" s="168">
        <f t="shared" ref="G72:G135" ca="1" si="2">TODAY()-F72</f>
        <v>483</v>
      </c>
    </row>
    <row r="73" spans="2:7" hidden="1" x14ac:dyDescent="0.35">
      <c r="B73" s="70" t="s">
        <v>1161</v>
      </c>
      <c r="C73" s="97" t="s">
        <v>750</v>
      </c>
      <c r="D73" s="21" t="s">
        <v>39</v>
      </c>
      <c r="E73" s="167">
        <v>36465</v>
      </c>
      <c r="F73" s="165">
        <v>45962</v>
      </c>
      <c r="G73" s="168">
        <f t="shared" ca="1" si="2"/>
        <v>254</v>
      </c>
    </row>
    <row r="74" spans="2:7" hidden="1" x14ac:dyDescent="0.35">
      <c r="B74" s="70" t="s">
        <v>966</v>
      </c>
      <c r="C74" s="97" t="s">
        <v>64</v>
      </c>
      <c r="D74" s="21" t="s">
        <v>753</v>
      </c>
      <c r="E74" s="167">
        <v>37194</v>
      </c>
      <c r="F74" s="165">
        <v>45960</v>
      </c>
      <c r="G74" s="168">
        <f t="shared" ca="1" si="2"/>
        <v>256</v>
      </c>
    </row>
    <row r="75" spans="2:7" hidden="1" x14ac:dyDescent="0.35">
      <c r="B75" s="70" t="s">
        <v>981</v>
      </c>
      <c r="C75" s="97" t="s">
        <v>65</v>
      </c>
      <c r="D75" s="21" t="s">
        <v>56</v>
      </c>
      <c r="E75" s="167">
        <v>34272</v>
      </c>
      <c r="F75" s="165">
        <v>45960</v>
      </c>
      <c r="G75" s="168">
        <f t="shared" ca="1" si="2"/>
        <v>256</v>
      </c>
    </row>
    <row r="76" spans="2:7" hidden="1" x14ac:dyDescent="0.35">
      <c r="B76" s="70" t="s">
        <v>1142</v>
      </c>
      <c r="C76" s="97" t="s">
        <v>750</v>
      </c>
      <c r="D76" s="21" t="s">
        <v>29</v>
      </c>
      <c r="E76" s="167">
        <v>37194</v>
      </c>
      <c r="F76" s="165">
        <v>45960</v>
      </c>
      <c r="G76" s="168">
        <f t="shared" ca="1" si="2"/>
        <v>256</v>
      </c>
    </row>
    <row r="77" spans="2:7" hidden="1" x14ac:dyDescent="0.35">
      <c r="B77" s="70" t="s">
        <v>849</v>
      </c>
      <c r="C77" s="97" t="s">
        <v>750</v>
      </c>
      <c r="D77" s="21" t="s">
        <v>15</v>
      </c>
      <c r="E77" s="167">
        <v>35732</v>
      </c>
      <c r="F77" s="165">
        <v>45959</v>
      </c>
      <c r="G77" s="168">
        <f t="shared" ca="1" si="2"/>
        <v>257</v>
      </c>
    </row>
    <row r="78" spans="2:7" hidden="1" x14ac:dyDescent="0.35">
      <c r="B78" s="70" t="s">
        <v>749</v>
      </c>
      <c r="C78" s="97" t="s">
        <v>750</v>
      </c>
      <c r="D78" s="21" t="s">
        <v>37</v>
      </c>
      <c r="E78" s="167">
        <v>36238</v>
      </c>
      <c r="F78" s="165">
        <v>45735</v>
      </c>
      <c r="G78" s="168">
        <f t="shared" ca="1" si="2"/>
        <v>481</v>
      </c>
    </row>
    <row r="79" spans="2:7" hidden="1" x14ac:dyDescent="0.35">
      <c r="B79" s="70" t="s">
        <v>1052</v>
      </c>
      <c r="C79" s="97" t="s">
        <v>65</v>
      </c>
      <c r="D79" s="21" t="s">
        <v>29</v>
      </c>
      <c r="E79" s="167">
        <v>32079</v>
      </c>
      <c r="F79" s="165">
        <v>45959</v>
      </c>
      <c r="G79" s="168">
        <f t="shared" ca="1" si="2"/>
        <v>257</v>
      </c>
    </row>
    <row r="80" spans="2:7" hidden="1" x14ac:dyDescent="0.35">
      <c r="B80" s="70" t="s">
        <v>1170</v>
      </c>
      <c r="C80" s="97" t="s">
        <v>64</v>
      </c>
      <c r="D80" s="21" t="s">
        <v>32</v>
      </c>
      <c r="E80" s="167">
        <v>37923</v>
      </c>
      <c r="F80" s="165">
        <v>45959</v>
      </c>
      <c r="G80" s="168">
        <f t="shared" ca="1" si="2"/>
        <v>257</v>
      </c>
    </row>
    <row r="81" spans="2:7" hidden="1" x14ac:dyDescent="0.35">
      <c r="B81" s="70" t="s">
        <v>822</v>
      </c>
      <c r="C81" s="97" t="s">
        <v>750</v>
      </c>
      <c r="D81" s="21" t="s">
        <v>34</v>
      </c>
      <c r="E81" s="167">
        <v>37334</v>
      </c>
      <c r="F81" s="165">
        <v>45735</v>
      </c>
      <c r="G81" s="168">
        <f t="shared" ca="1" si="2"/>
        <v>481</v>
      </c>
    </row>
    <row r="82" spans="2:7" hidden="1" x14ac:dyDescent="0.35">
      <c r="B82" s="70" t="s">
        <v>840</v>
      </c>
      <c r="C82" s="97" t="s">
        <v>750</v>
      </c>
      <c r="D82" s="21" t="s">
        <v>33</v>
      </c>
      <c r="E82" s="167">
        <v>36460</v>
      </c>
      <c r="F82" s="165">
        <v>45957</v>
      </c>
      <c r="G82" s="168">
        <f t="shared" ca="1" si="2"/>
        <v>259</v>
      </c>
    </row>
    <row r="83" spans="2:7" hidden="1" x14ac:dyDescent="0.35">
      <c r="B83" s="70" t="s">
        <v>1029</v>
      </c>
      <c r="C83" s="97" t="s">
        <v>70</v>
      </c>
      <c r="D83" s="21" t="s">
        <v>0</v>
      </c>
      <c r="E83" s="167">
        <v>36826</v>
      </c>
      <c r="F83" s="165">
        <v>45957</v>
      </c>
      <c r="G83" s="168">
        <f t="shared" ca="1" si="2"/>
        <v>259</v>
      </c>
    </row>
    <row r="84" spans="2:7" hidden="1" x14ac:dyDescent="0.35">
      <c r="B84" s="70" t="s">
        <v>855</v>
      </c>
      <c r="C84" s="97" t="s">
        <v>64</v>
      </c>
      <c r="D84" s="21" t="s">
        <v>55</v>
      </c>
      <c r="E84" s="167">
        <v>36825</v>
      </c>
      <c r="F84" s="165">
        <v>45956</v>
      </c>
      <c r="G84" s="168">
        <f t="shared" ca="1" si="2"/>
        <v>260</v>
      </c>
    </row>
    <row r="85" spans="2:7" hidden="1" x14ac:dyDescent="0.35">
      <c r="B85" s="70" t="s">
        <v>773</v>
      </c>
      <c r="C85" s="97" t="s">
        <v>64</v>
      </c>
      <c r="D85" s="21" t="s">
        <v>53</v>
      </c>
      <c r="E85" s="167">
        <v>36241</v>
      </c>
      <c r="F85" s="165">
        <v>45738</v>
      </c>
      <c r="G85" s="168">
        <f t="shared" ca="1" si="2"/>
        <v>478</v>
      </c>
    </row>
    <row r="86" spans="2:7" hidden="1" x14ac:dyDescent="0.35">
      <c r="B86" s="70" t="s">
        <v>796</v>
      </c>
      <c r="C86" s="97" t="s">
        <v>64</v>
      </c>
      <c r="D86" s="21" t="s">
        <v>54</v>
      </c>
      <c r="E86" s="167">
        <v>37189</v>
      </c>
      <c r="F86" s="165">
        <v>45955</v>
      </c>
      <c r="G86" s="168">
        <f t="shared" ca="1" si="2"/>
        <v>261</v>
      </c>
    </row>
    <row r="87" spans="2:7" hidden="1" x14ac:dyDescent="0.35">
      <c r="B87" s="70" t="s">
        <v>1064</v>
      </c>
      <c r="C87" s="97" t="s">
        <v>750</v>
      </c>
      <c r="D87" s="21" t="s">
        <v>51</v>
      </c>
      <c r="E87" s="167">
        <v>36243</v>
      </c>
      <c r="F87" s="165">
        <v>45740</v>
      </c>
      <c r="G87" s="168">
        <f t="shared" ca="1" si="2"/>
        <v>476</v>
      </c>
    </row>
    <row r="88" spans="2:7" hidden="1" x14ac:dyDescent="0.35">
      <c r="B88" s="70" t="s">
        <v>890</v>
      </c>
      <c r="C88" s="97" t="s">
        <v>759</v>
      </c>
      <c r="D88" s="21" t="s">
        <v>42</v>
      </c>
      <c r="E88" s="167">
        <v>37342</v>
      </c>
      <c r="F88" s="165">
        <v>45743</v>
      </c>
      <c r="G88" s="168">
        <f t="shared" ca="1" si="2"/>
        <v>473</v>
      </c>
    </row>
    <row r="89" spans="2:7" hidden="1" x14ac:dyDescent="0.35">
      <c r="B89" s="70" t="s">
        <v>808</v>
      </c>
      <c r="C89" s="97" t="s">
        <v>64</v>
      </c>
      <c r="D89" s="21" t="s">
        <v>33</v>
      </c>
      <c r="E89" s="167">
        <v>37553</v>
      </c>
      <c r="F89" s="165">
        <v>45954</v>
      </c>
      <c r="G89" s="168">
        <f t="shared" ca="1" si="2"/>
        <v>262</v>
      </c>
    </row>
    <row r="90" spans="2:7" hidden="1" x14ac:dyDescent="0.35">
      <c r="B90" s="70" t="s">
        <v>1109</v>
      </c>
      <c r="C90" s="97" t="s">
        <v>750</v>
      </c>
      <c r="D90" s="21" t="s">
        <v>35</v>
      </c>
      <c r="E90" s="167">
        <v>36457</v>
      </c>
      <c r="F90" s="165">
        <v>45954</v>
      </c>
      <c r="G90" s="168">
        <f t="shared" ca="1" si="2"/>
        <v>262</v>
      </c>
    </row>
    <row r="91" spans="2:7" hidden="1" x14ac:dyDescent="0.35">
      <c r="B91" s="70" t="s">
        <v>912</v>
      </c>
      <c r="C91" s="97" t="s">
        <v>64</v>
      </c>
      <c r="D91" s="21" t="s">
        <v>53</v>
      </c>
      <c r="E91" s="167">
        <v>38075</v>
      </c>
      <c r="F91" s="165">
        <v>45745</v>
      </c>
      <c r="G91" s="168">
        <f t="shared" ca="1" si="2"/>
        <v>471</v>
      </c>
    </row>
    <row r="92" spans="2:7" hidden="1" x14ac:dyDescent="0.35">
      <c r="B92" s="70" t="s">
        <v>1152</v>
      </c>
      <c r="C92" s="97" t="s">
        <v>750</v>
      </c>
      <c r="D92" s="21" t="s">
        <v>17</v>
      </c>
      <c r="E92" s="167">
        <v>36251</v>
      </c>
      <c r="F92" s="165">
        <v>45748</v>
      </c>
      <c r="G92" s="168">
        <f t="shared" ca="1" si="2"/>
        <v>468</v>
      </c>
    </row>
    <row r="93" spans="2:7" x14ac:dyDescent="0.35">
      <c r="B93" s="70" t="s">
        <v>882</v>
      </c>
      <c r="C93" s="97" t="s">
        <v>70</v>
      </c>
      <c r="D93" s="21" t="s">
        <v>52</v>
      </c>
      <c r="E93" s="167">
        <v>37716</v>
      </c>
      <c r="F93" s="165">
        <v>45752</v>
      </c>
      <c r="G93" s="168">
        <f t="shared" ca="1" si="2"/>
        <v>464</v>
      </c>
    </row>
    <row r="94" spans="2:7" hidden="1" x14ac:dyDescent="0.35">
      <c r="B94" s="70" t="s">
        <v>865</v>
      </c>
      <c r="C94" s="97" t="s">
        <v>70</v>
      </c>
      <c r="D94" s="21" t="s">
        <v>30</v>
      </c>
      <c r="E94" s="167">
        <v>38086</v>
      </c>
      <c r="F94" s="165">
        <v>45756</v>
      </c>
      <c r="G94" s="168">
        <f t="shared" ca="1" si="2"/>
        <v>460</v>
      </c>
    </row>
    <row r="95" spans="2:7" hidden="1" x14ac:dyDescent="0.35">
      <c r="B95" s="70" t="s">
        <v>768</v>
      </c>
      <c r="C95" s="97" t="s">
        <v>750</v>
      </c>
      <c r="D95" s="21" t="s">
        <v>30</v>
      </c>
      <c r="E95" s="167">
        <v>35534</v>
      </c>
      <c r="F95" s="165">
        <v>45761</v>
      </c>
      <c r="G95" s="168">
        <f t="shared" ca="1" si="2"/>
        <v>455</v>
      </c>
    </row>
    <row r="96" spans="2:7" hidden="1" x14ac:dyDescent="0.35">
      <c r="B96" s="70" t="s">
        <v>774</v>
      </c>
      <c r="C96" s="97" t="s">
        <v>759</v>
      </c>
      <c r="D96" s="21" t="s">
        <v>0</v>
      </c>
      <c r="E96" s="167">
        <v>36448</v>
      </c>
      <c r="F96" s="165">
        <v>45945</v>
      </c>
      <c r="G96" s="168">
        <f t="shared" ca="1" si="2"/>
        <v>271</v>
      </c>
    </row>
    <row r="97" spans="2:7" hidden="1" x14ac:dyDescent="0.35">
      <c r="B97" s="70" t="s">
        <v>984</v>
      </c>
      <c r="C97" s="97" t="s">
        <v>750</v>
      </c>
      <c r="D97" s="21" t="s">
        <v>31</v>
      </c>
      <c r="E97" s="167">
        <v>36448</v>
      </c>
      <c r="F97" s="165">
        <v>45945</v>
      </c>
      <c r="G97" s="168">
        <f t="shared" ca="1" si="2"/>
        <v>271</v>
      </c>
    </row>
    <row r="98" spans="2:7" hidden="1" x14ac:dyDescent="0.35">
      <c r="B98" s="70" t="s">
        <v>1015</v>
      </c>
      <c r="C98" s="97" t="s">
        <v>750</v>
      </c>
      <c r="D98" s="21" t="s">
        <v>48</v>
      </c>
      <c r="E98" s="167">
        <v>35353</v>
      </c>
      <c r="F98" s="165">
        <v>45945</v>
      </c>
      <c r="G98" s="168">
        <f t="shared" ca="1" si="2"/>
        <v>271</v>
      </c>
    </row>
    <row r="99" spans="2:7" hidden="1" x14ac:dyDescent="0.35">
      <c r="B99" s="70" t="s">
        <v>757</v>
      </c>
      <c r="C99" s="97" t="s">
        <v>65</v>
      </c>
      <c r="D99" s="21" t="s">
        <v>35</v>
      </c>
      <c r="E99" s="167">
        <v>34621</v>
      </c>
      <c r="F99" s="165">
        <v>45944</v>
      </c>
      <c r="G99" s="168">
        <f t="shared" ca="1" si="2"/>
        <v>272</v>
      </c>
    </row>
    <row r="100" spans="2:7" hidden="1" x14ac:dyDescent="0.35">
      <c r="B100" s="70" t="s">
        <v>926</v>
      </c>
      <c r="C100" s="97" t="s">
        <v>750</v>
      </c>
      <c r="D100" s="21" t="s">
        <v>54</v>
      </c>
      <c r="E100" s="167">
        <v>37543</v>
      </c>
      <c r="F100" s="165">
        <v>45944</v>
      </c>
      <c r="G100" s="168">
        <f t="shared" ca="1" si="2"/>
        <v>272</v>
      </c>
    </row>
    <row r="101" spans="2:7" hidden="1" x14ac:dyDescent="0.35">
      <c r="B101" s="70" t="s">
        <v>878</v>
      </c>
      <c r="C101" s="97" t="s">
        <v>64</v>
      </c>
      <c r="D101" s="21" t="s">
        <v>44</v>
      </c>
      <c r="E101" s="167">
        <v>37177</v>
      </c>
      <c r="F101" s="165">
        <v>45943</v>
      </c>
      <c r="G101" s="168">
        <f t="shared" ca="1" si="2"/>
        <v>273</v>
      </c>
    </row>
    <row r="102" spans="2:7" hidden="1" x14ac:dyDescent="0.35">
      <c r="B102" s="70" t="s">
        <v>1078</v>
      </c>
      <c r="C102" s="97" t="s">
        <v>750</v>
      </c>
      <c r="D102" s="21" t="s">
        <v>49</v>
      </c>
      <c r="E102" s="167">
        <v>37175</v>
      </c>
      <c r="F102" s="165">
        <v>45941</v>
      </c>
      <c r="G102" s="168">
        <f t="shared" ca="1" si="2"/>
        <v>275</v>
      </c>
    </row>
    <row r="103" spans="2:7" hidden="1" x14ac:dyDescent="0.35">
      <c r="B103" s="70" t="s">
        <v>1066</v>
      </c>
      <c r="C103" s="97" t="s">
        <v>750</v>
      </c>
      <c r="D103" s="21" t="s">
        <v>41</v>
      </c>
      <c r="E103" s="167">
        <v>33721</v>
      </c>
      <c r="F103" s="165">
        <v>45774</v>
      </c>
      <c r="G103" s="168">
        <f t="shared" ca="1" si="2"/>
        <v>442</v>
      </c>
    </row>
    <row r="104" spans="2:7" hidden="1" x14ac:dyDescent="0.35">
      <c r="B104" s="70" t="s">
        <v>1120</v>
      </c>
      <c r="C104" s="97" t="s">
        <v>65</v>
      </c>
      <c r="D104" s="21" t="s">
        <v>43</v>
      </c>
      <c r="E104" s="167">
        <v>33156</v>
      </c>
      <c r="F104" s="165">
        <v>45940</v>
      </c>
      <c r="G104" s="168">
        <f t="shared" ca="1" si="2"/>
        <v>276</v>
      </c>
    </row>
    <row r="105" spans="2:7" hidden="1" x14ac:dyDescent="0.35">
      <c r="B105" s="70" t="s">
        <v>953</v>
      </c>
      <c r="C105" s="97" t="s">
        <v>70</v>
      </c>
      <c r="D105" s="21" t="s">
        <v>49</v>
      </c>
      <c r="E105" s="167">
        <v>36077</v>
      </c>
      <c r="F105" s="165">
        <v>45939</v>
      </c>
      <c r="G105" s="168">
        <f t="shared" ca="1" si="2"/>
        <v>277</v>
      </c>
    </row>
    <row r="106" spans="2:7" x14ac:dyDescent="0.35">
      <c r="B106" s="70" t="s">
        <v>1165</v>
      </c>
      <c r="C106" s="97" t="s">
        <v>70</v>
      </c>
      <c r="D106" s="21" t="s">
        <v>52</v>
      </c>
      <c r="E106" s="167">
        <v>37379</v>
      </c>
      <c r="F106" s="165">
        <v>45780</v>
      </c>
      <c r="G106" s="168">
        <f t="shared" ca="1" si="2"/>
        <v>436</v>
      </c>
    </row>
    <row r="107" spans="2:7" hidden="1" x14ac:dyDescent="0.35">
      <c r="B107" s="70" t="s">
        <v>783</v>
      </c>
      <c r="C107" s="97" t="s">
        <v>750</v>
      </c>
      <c r="D107" s="21" t="s">
        <v>49</v>
      </c>
      <c r="E107" s="167">
        <v>37537</v>
      </c>
      <c r="F107" s="165">
        <v>45938</v>
      </c>
      <c r="G107" s="168">
        <f t="shared" ca="1" si="2"/>
        <v>278</v>
      </c>
    </row>
    <row r="108" spans="2:7" hidden="1" x14ac:dyDescent="0.35">
      <c r="B108" s="70" t="s">
        <v>951</v>
      </c>
      <c r="C108" s="97" t="s">
        <v>750</v>
      </c>
      <c r="D108" s="21" t="s">
        <v>39</v>
      </c>
      <c r="E108" s="167">
        <v>37537</v>
      </c>
      <c r="F108" s="165">
        <v>45938</v>
      </c>
      <c r="G108" s="168">
        <f t="shared" ca="1" si="2"/>
        <v>278</v>
      </c>
    </row>
    <row r="109" spans="2:7" hidden="1" x14ac:dyDescent="0.35">
      <c r="B109" s="70" t="s">
        <v>871</v>
      </c>
      <c r="C109" s="97" t="s">
        <v>64</v>
      </c>
      <c r="D109" s="21" t="s">
        <v>37</v>
      </c>
      <c r="E109" s="167">
        <v>34458</v>
      </c>
      <c r="F109" s="165">
        <v>45781</v>
      </c>
      <c r="G109" s="168">
        <f t="shared" ca="1" si="2"/>
        <v>435</v>
      </c>
    </row>
    <row r="110" spans="2:7" hidden="1" x14ac:dyDescent="0.35">
      <c r="B110" s="70" t="s">
        <v>897</v>
      </c>
      <c r="C110" s="97" t="s">
        <v>70</v>
      </c>
      <c r="D110" s="21" t="s">
        <v>15</v>
      </c>
      <c r="E110" s="167">
        <v>36805</v>
      </c>
      <c r="F110" s="165">
        <v>45936</v>
      </c>
      <c r="G110" s="168">
        <f t="shared" ca="1" si="2"/>
        <v>280</v>
      </c>
    </row>
    <row r="111" spans="2:7" hidden="1" x14ac:dyDescent="0.35">
      <c r="B111" s="70" t="s">
        <v>979</v>
      </c>
      <c r="C111" s="97" t="s">
        <v>65</v>
      </c>
      <c r="D111" s="21" t="s">
        <v>39</v>
      </c>
      <c r="E111" s="167">
        <v>36439</v>
      </c>
      <c r="F111" s="165">
        <v>45936</v>
      </c>
      <c r="G111" s="168">
        <f t="shared" ca="1" si="2"/>
        <v>280</v>
      </c>
    </row>
    <row r="112" spans="2:7" hidden="1" x14ac:dyDescent="0.35">
      <c r="B112" s="70" t="s">
        <v>942</v>
      </c>
      <c r="C112" s="97" t="s">
        <v>70</v>
      </c>
      <c r="D112" s="21" t="s">
        <v>40</v>
      </c>
      <c r="E112" s="167">
        <v>32786</v>
      </c>
      <c r="F112" s="165">
        <v>45935</v>
      </c>
      <c r="G112" s="168">
        <f t="shared" ca="1" si="2"/>
        <v>281</v>
      </c>
    </row>
    <row r="113" spans="2:7" hidden="1" x14ac:dyDescent="0.35">
      <c r="B113" s="70" t="s">
        <v>996</v>
      </c>
      <c r="C113" s="97" t="s">
        <v>750</v>
      </c>
      <c r="D113" s="21" t="s">
        <v>38</v>
      </c>
      <c r="E113" s="167">
        <v>35708</v>
      </c>
      <c r="F113" s="165">
        <v>45935</v>
      </c>
      <c r="G113" s="168">
        <f t="shared" ca="1" si="2"/>
        <v>281</v>
      </c>
    </row>
    <row r="114" spans="2:7" hidden="1" x14ac:dyDescent="0.35">
      <c r="B114" s="70" t="s">
        <v>764</v>
      </c>
      <c r="C114" s="97" t="s">
        <v>64</v>
      </c>
      <c r="D114" s="21" t="s">
        <v>55</v>
      </c>
      <c r="E114" s="167">
        <v>37533</v>
      </c>
      <c r="F114" s="165">
        <v>45934</v>
      </c>
      <c r="G114" s="168">
        <f t="shared" ca="1" si="2"/>
        <v>282</v>
      </c>
    </row>
    <row r="115" spans="2:7" hidden="1" x14ac:dyDescent="0.35">
      <c r="B115" s="70" t="s">
        <v>751</v>
      </c>
      <c r="C115" s="97" t="s">
        <v>70</v>
      </c>
      <c r="D115" s="21" t="s">
        <v>31</v>
      </c>
      <c r="E115" s="167">
        <v>34975</v>
      </c>
      <c r="F115" s="165">
        <v>45933</v>
      </c>
      <c r="G115" s="168">
        <f t="shared" ca="1" si="2"/>
        <v>283</v>
      </c>
    </row>
    <row r="116" spans="2:7" hidden="1" x14ac:dyDescent="0.35">
      <c r="B116" s="70" t="s">
        <v>927</v>
      </c>
      <c r="C116" s="97" t="s">
        <v>759</v>
      </c>
      <c r="D116" s="21" t="s">
        <v>41</v>
      </c>
      <c r="E116" s="167">
        <v>36652</v>
      </c>
      <c r="F116" s="165">
        <v>45783</v>
      </c>
      <c r="G116" s="168">
        <f t="shared" ca="1" si="2"/>
        <v>433</v>
      </c>
    </row>
    <row r="117" spans="2:7" hidden="1" x14ac:dyDescent="0.35">
      <c r="B117" s="70" t="s">
        <v>803</v>
      </c>
      <c r="C117" s="97" t="s">
        <v>759</v>
      </c>
      <c r="D117" s="21" t="s">
        <v>753</v>
      </c>
      <c r="E117" s="167">
        <v>33147</v>
      </c>
      <c r="F117" s="165">
        <v>45931</v>
      </c>
      <c r="G117" s="168">
        <f t="shared" ca="1" si="2"/>
        <v>285</v>
      </c>
    </row>
    <row r="118" spans="2:7" x14ac:dyDescent="0.35">
      <c r="B118" s="70" t="s">
        <v>875</v>
      </c>
      <c r="C118" s="97" t="s">
        <v>750</v>
      </c>
      <c r="D118" s="21" t="s">
        <v>46</v>
      </c>
      <c r="E118" s="167">
        <v>37383</v>
      </c>
      <c r="F118" s="165">
        <v>45784</v>
      </c>
      <c r="G118" s="168">
        <f t="shared" ca="1" si="2"/>
        <v>432</v>
      </c>
    </row>
    <row r="119" spans="2:7" hidden="1" x14ac:dyDescent="0.35">
      <c r="B119" s="70" t="s">
        <v>810</v>
      </c>
      <c r="C119" s="97" t="s">
        <v>65</v>
      </c>
      <c r="D119" s="21" t="s">
        <v>47</v>
      </c>
      <c r="E119" s="167">
        <v>36797</v>
      </c>
      <c r="F119" s="165">
        <v>45928</v>
      </c>
      <c r="G119" s="168">
        <f t="shared" ca="1" si="2"/>
        <v>288</v>
      </c>
    </row>
    <row r="120" spans="2:7" hidden="1" x14ac:dyDescent="0.35">
      <c r="B120" s="70" t="s">
        <v>816</v>
      </c>
      <c r="C120" s="97" t="s">
        <v>70</v>
      </c>
      <c r="D120" s="21" t="s">
        <v>33</v>
      </c>
      <c r="E120" s="167">
        <v>36066</v>
      </c>
      <c r="F120" s="165">
        <v>45928</v>
      </c>
      <c r="G120" s="168">
        <f t="shared" ca="1" si="2"/>
        <v>288</v>
      </c>
    </row>
    <row r="121" spans="2:7" hidden="1" x14ac:dyDescent="0.35">
      <c r="B121" s="70" t="s">
        <v>825</v>
      </c>
      <c r="C121" s="97" t="s">
        <v>750</v>
      </c>
      <c r="D121" s="21" t="s">
        <v>43</v>
      </c>
      <c r="E121" s="167">
        <v>33875</v>
      </c>
      <c r="F121" s="165">
        <v>45928</v>
      </c>
      <c r="G121" s="168">
        <f t="shared" ca="1" si="2"/>
        <v>288</v>
      </c>
    </row>
    <row r="122" spans="2:7" hidden="1" x14ac:dyDescent="0.35">
      <c r="B122" s="70" t="s">
        <v>1139</v>
      </c>
      <c r="C122" s="97" t="s">
        <v>65</v>
      </c>
      <c r="D122" s="21" t="s">
        <v>47</v>
      </c>
      <c r="E122" s="167">
        <v>36431</v>
      </c>
      <c r="F122" s="165">
        <v>45928</v>
      </c>
      <c r="G122" s="168">
        <f t="shared" ca="1" si="2"/>
        <v>288</v>
      </c>
    </row>
    <row r="123" spans="2:7" hidden="1" x14ac:dyDescent="0.35">
      <c r="B123" s="70" t="s">
        <v>1107</v>
      </c>
      <c r="C123" s="97" t="s">
        <v>64</v>
      </c>
      <c r="D123" s="21" t="s">
        <v>56</v>
      </c>
      <c r="E123" s="167">
        <v>36795</v>
      </c>
      <c r="F123" s="165">
        <v>45926</v>
      </c>
      <c r="G123" s="168">
        <f t="shared" ca="1" si="2"/>
        <v>290</v>
      </c>
    </row>
    <row r="124" spans="2:7" hidden="1" x14ac:dyDescent="0.35">
      <c r="B124" s="70" t="s">
        <v>1045</v>
      </c>
      <c r="C124" s="97" t="s">
        <v>65</v>
      </c>
      <c r="D124" s="21" t="s">
        <v>41</v>
      </c>
      <c r="E124" s="167">
        <v>36655</v>
      </c>
      <c r="F124" s="165">
        <v>45786</v>
      </c>
      <c r="G124" s="168">
        <f t="shared" ca="1" si="2"/>
        <v>430</v>
      </c>
    </row>
    <row r="125" spans="2:7" hidden="1" x14ac:dyDescent="0.35">
      <c r="B125" s="70" t="s">
        <v>975</v>
      </c>
      <c r="C125" s="97" t="s">
        <v>750</v>
      </c>
      <c r="D125" s="21" t="s">
        <v>48</v>
      </c>
      <c r="E125" s="167">
        <v>37159</v>
      </c>
      <c r="F125" s="165">
        <v>45925</v>
      </c>
      <c r="G125" s="168">
        <f t="shared" ca="1" si="2"/>
        <v>291</v>
      </c>
    </row>
    <row r="126" spans="2:7" x14ac:dyDescent="0.35">
      <c r="B126" s="70" t="s">
        <v>1174</v>
      </c>
      <c r="C126" s="97" t="s">
        <v>759</v>
      </c>
      <c r="D126" s="21" t="s">
        <v>52</v>
      </c>
      <c r="E126" s="167">
        <v>33370</v>
      </c>
      <c r="F126" s="165">
        <v>45789</v>
      </c>
      <c r="G126" s="168">
        <f t="shared" ca="1" si="2"/>
        <v>427</v>
      </c>
    </row>
    <row r="127" spans="2:7" hidden="1" x14ac:dyDescent="0.35">
      <c r="B127" s="70" t="s">
        <v>828</v>
      </c>
      <c r="C127" s="97" t="s">
        <v>70</v>
      </c>
      <c r="D127" s="21" t="s">
        <v>42</v>
      </c>
      <c r="E127" s="167">
        <v>35932</v>
      </c>
      <c r="F127" s="165">
        <v>45794</v>
      </c>
      <c r="G127" s="168">
        <f t="shared" ca="1" si="2"/>
        <v>422</v>
      </c>
    </row>
    <row r="128" spans="2:7" hidden="1" x14ac:dyDescent="0.35">
      <c r="B128" s="70" t="s">
        <v>994</v>
      </c>
      <c r="C128" s="97" t="s">
        <v>750</v>
      </c>
      <c r="D128" s="21" t="s">
        <v>17</v>
      </c>
      <c r="E128" s="167">
        <v>37758</v>
      </c>
      <c r="F128" s="165">
        <v>45794</v>
      </c>
      <c r="G128" s="168">
        <f t="shared" ca="1" si="2"/>
        <v>422</v>
      </c>
    </row>
    <row r="129" spans="2:7" hidden="1" x14ac:dyDescent="0.35">
      <c r="B129" s="70" t="s">
        <v>1058</v>
      </c>
      <c r="C129" s="97" t="s">
        <v>70</v>
      </c>
      <c r="D129" s="21" t="s">
        <v>48</v>
      </c>
      <c r="E129" s="167">
        <v>36791</v>
      </c>
      <c r="F129" s="165">
        <v>45922</v>
      </c>
      <c r="G129" s="168">
        <f t="shared" ca="1" si="2"/>
        <v>294</v>
      </c>
    </row>
    <row r="130" spans="2:7" hidden="1" x14ac:dyDescent="0.35">
      <c r="B130" s="70" t="s">
        <v>1040</v>
      </c>
      <c r="C130" s="97" t="s">
        <v>65</v>
      </c>
      <c r="D130" s="21" t="s">
        <v>17</v>
      </c>
      <c r="E130" s="167">
        <v>35206</v>
      </c>
      <c r="F130" s="165">
        <v>45798</v>
      </c>
      <c r="G130" s="168">
        <f t="shared" ca="1" si="2"/>
        <v>418</v>
      </c>
    </row>
    <row r="131" spans="2:7" hidden="1" x14ac:dyDescent="0.35">
      <c r="B131" s="70" t="s">
        <v>1127</v>
      </c>
      <c r="C131" s="97" t="s">
        <v>70</v>
      </c>
      <c r="D131" s="21" t="s">
        <v>48</v>
      </c>
      <c r="E131" s="167">
        <v>37519</v>
      </c>
      <c r="F131" s="165">
        <v>45920</v>
      </c>
      <c r="G131" s="168">
        <f t="shared" ca="1" si="2"/>
        <v>296</v>
      </c>
    </row>
    <row r="132" spans="2:7" hidden="1" x14ac:dyDescent="0.35">
      <c r="B132" s="70" t="s">
        <v>770</v>
      </c>
      <c r="C132" s="97" t="s">
        <v>65</v>
      </c>
      <c r="D132" s="21" t="s">
        <v>50</v>
      </c>
      <c r="E132" s="167">
        <v>37518</v>
      </c>
      <c r="F132" s="165">
        <v>45919</v>
      </c>
      <c r="G132" s="168">
        <f t="shared" ca="1" si="2"/>
        <v>297</v>
      </c>
    </row>
    <row r="133" spans="2:7" hidden="1" x14ac:dyDescent="0.35">
      <c r="B133" s="70" t="s">
        <v>1039</v>
      </c>
      <c r="C133" s="97" t="s">
        <v>64</v>
      </c>
      <c r="D133" s="21" t="s">
        <v>43</v>
      </c>
      <c r="E133" s="167">
        <v>36421</v>
      </c>
      <c r="F133" s="165">
        <v>45918</v>
      </c>
      <c r="G133" s="168">
        <f t="shared" ca="1" si="2"/>
        <v>298</v>
      </c>
    </row>
    <row r="134" spans="2:7" hidden="1" x14ac:dyDescent="0.35">
      <c r="B134" s="70" t="s">
        <v>891</v>
      </c>
      <c r="C134" s="97" t="s">
        <v>65</v>
      </c>
      <c r="D134" s="21" t="s">
        <v>40</v>
      </c>
      <c r="E134" s="167">
        <v>34959</v>
      </c>
      <c r="F134" s="165">
        <v>45917</v>
      </c>
      <c r="G134" s="168">
        <f t="shared" ca="1" si="2"/>
        <v>299</v>
      </c>
    </row>
    <row r="135" spans="2:7" hidden="1" x14ac:dyDescent="0.35">
      <c r="B135" s="70" t="s">
        <v>993</v>
      </c>
      <c r="C135" s="97" t="s">
        <v>750</v>
      </c>
      <c r="D135" s="21" t="s">
        <v>42</v>
      </c>
      <c r="E135" s="167">
        <v>37040</v>
      </c>
      <c r="F135" s="165">
        <v>45806</v>
      </c>
      <c r="G135" s="168">
        <f t="shared" ca="1" si="2"/>
        <v>410</v>
      </c>
    </row>
    <row r="136" spans="2:7" hidden="1" x14ac:dyDescent="0.35">
      <c r="B136" s="70" t="s">
        <v>818</v>
      </c>
      <c r="C136" s="97" t="s">
        <v>750</v>
      </c>
      <c r="D136" s="21" t="s">
        <v>37</v>
      </c>
      <c r="E136" s="167">
        <v>36678</v>
      </c>
      <c r="F136" s="165">
        <v>45809</v>
      </c>
      <c r="G136" s="168">
        <f t="shared" ref="G136:G199" ca="1" si="3">TODAY()-F136</f>
        <v>407</v>
      </c>
    </row>
    <row r="137" spans="2:7" hidden="1" x14ac:dyDescent="0.35">
      <c r="B137" s="70" t="s">
        <v>1094</v>
      </c>
      <c r="C137" s="97" t="s">
        <v>65</v>
      </c>
      <c r="D137" s="21" t="s">
        <v>50</v>
      </c>
      <c r="E137" s="167">
        <v>36785</v>
      </c>
      <c r="F137" s="165">
        <v>45916</v>
      </c>
      <c r="G137" s="168">
        <f t="shared" ca="1" si="3"/>
        <v>300</v>
      </c>
    </row>
    <row r="138" spans="2:7" hidden="1" x14ac:dyDescent="0.35">
      <c r="B138" s="70" t="s">
        <v>1171</v>
      </c>
      <c r="C138" s="97" t="s">
        <v>64</v>
      </c>
      <c r="D138" s="21" t="s">
        <v>31</v>
      </c>
      <c r="E138" s="167">
        <v>34958</v>
      </c>
      <c r="F138" s="165">
        <v>45916</v>
      </c>
      <c r="G138" s="168">
        <f t="shared" ca="1" si="3"/>
        <v>300</v>
      </c>
    </row>
    <row r="139" spans="2:7" hidden="1" x14ac:dyDescent="0.35">
      <c r="B139" s="70" t="s">
        <v>791</v>
      </c>
      <c r="C139" s="97" t="s">
        <v>750</v>
      </c>
      <c r="D139" s="21" t="s">
        <v>56</v>
      </c>
      <c r="E139" s="167">
        <v>34957</v>
      </c>
      <c r="F139" s="165">
        <v>45915</v>
      </c>
      <c r="G139" s="168">
        <f t="shared" ca="1" si="3"/>
        <v>301</v>
      </c>
    </row>
    <row r="140" spans="2:7" hidden="1" x14ac:dyDescent="0.35">
      <c r="B140" s="70" t="s">
        <v>1021</v>
      </c>
      <c r="C140" s="97" t="s">
        <v>65</v>
      </c>
      <c r="D140" s="21" t="s">
        <v>32</v>
      </c>
      <c r="E140" s="167">
        <v>34956</v>
      </c>
      <c r="F140" s="165">
        <v>45914</v>
      </c>
      <c r="G140" s="168">
        <f t="shared" ca="1" si="3"/>
        <v>302</v>
      </c>
    </row>
    <row r="141" spans="2:7" hidden="1" x14ac:dyDescent="0.35">
      <c r="B141" s="70" t="s">
        <v>1074</v>
      </c>
      <c r="C141" s="97" t="s">
        <v>64</v>
      </c>
      <c r="D141" s="21" t="s">
        <v>32</v>
      </c>
      <c r="E141" s="167">
        <v>38244</v>
      </c>
      <c r="F141" s="165">
        <v>45914</v>
      </c>
      <c r="G141" s="168">
        <f t="shared" ca="1" si="3"/>
        <v>302</v>
      </c>
    </row>
    <row r="142" spans="2:7" hidden="1" x14ac:dyDescent="0.35">
      <c r="B142" s="70" t="s">
        <v>864</v>
      </c>
      <c r="C142" s="97" t="s">
        <v>65</v>
      </c>
      <c r="D142" s="21" t="s">
        <v>38</v>
      </c>
      <c r="E142" s="167">
        <v>37512</v>
      </c>
      <c r="F142" s="165">
        <v>45913</v>
      </c>
      <c r="G142" s="168">
        <f t="shared" ca="1" si="3"/>
        <v>303</v>
      </c>
    </row>
    <row r="143" spans="2:7" hidden="1" x14ac:dyDescent="0.35">
      <c r="B143" s="70" t="s">
        <v>874</v>
      </c>
      <c r="C143" s="97" t="s">
        <v>70</v>
      </c>
      <c r="D143" s="21" t="s">
        <v>31</v>
      </c>
      <c r="E143" s="167">
        <v>36782</v>
      </c>
      <c r="F143" s="165">
        <v>45913</v>
      </c>
      <c r="G143" s="168">
        <f t="shared" ca="1" si="3"/>
        <v>303</v>
      </c>
    </row>
    <row r="144" spans="2:7" hidden="1" x14ac:dyDescent="0.35">
      <c r="B144" s="70" t="s">
        <v>887</v>
      </c>
      <c r="C144" s="97" t="s">
        <v>70</v>
      </c>
      <c r="D144" s="21" t="s">
        <v>47</v>
      </c>
      <c r="E144" s="167">
        <v>35321</v>
      </c>
      <c r="F144" s="165">
        <v>45913</v>
      </c>
      <c r="G144" s="168">
        <f t="shared" ca="1" si="3"/>
        <v>303</v>
      </c>
    </row>
    <row r="145" spans="2:7" hidden="1" x14ac:dyDescent="0.35">
      <c r="B145" s="70" t="s">
        <v>1030</v>
      </c>
      <c r="C145" s="97" t="s">
        <v>750</v>
      </c>
      <c r="D145" s="21" t="s">
        <v>30</v>
      </c>
      <c r="E145" s="167">
        <v>37410</v>
      </c>
      <c r="F145" s="165">
        <v>45811</v>
      </c>
      <c r="G145" s="168">
        <f t="shared" ca="1" si="3"/>
        <v>405</v>
      </c>
    </row>
    <row r="146" spans="2:7" hidden="1" x14ac:dyDescent="0.35">
      <c r="B146" s="70" t="s">
        <v>959</v>
      </c>
      <c r="C146" s="97" t="s">
        <v>70</v>
      </c>
      <c r="D146" s="21" t="s">
        <v>44</v>
      </c>
      <c r="E146" s="167">
        <v>33860</v>
      </c>
      <c r="F146" s="165">
        <v>45913</v>
      </c>
      <c r="G146" s="168">
        <f t="shared" ca="1" si="3"/>
        <v>303</v>
      </c>
    </row>
    <row r="147" spans="2:7" x14ac:dyDescent="0.35">
      <c r="B147" s="70" t="s">
        <v>1046</v>
      </c>
      <c r="C147" s="97" t="s">
        <v>65</v>
      </c>
      <c r="D147" s="21" t="s">
        <v>52</v>
      </c>
      <c r="E147" s="167">
        <v>35586</v>
      </c>
      <c r="F147" s="165">
        <v>45813</v>
      </c>
      <c r="G147" s="168">
        <f t="shared" ca="1" si="3"/>
        <v>403</v>
      </c>
    </row>
    <row r="148" spans="2:7" hidden="1" x14ac:dyDescent="0.35">
      <c r="B148" s="70" t="s">
        <v>920</v>
      </c>
      <c r="C148" s="97" t="s">
        <v>64</v>
      </c>
      <c r="D148" s="21" t="s">
        <v>32</v>
      </c>
      <c r="E148" s="167">
        <v>36415</v>
      </c>
      <c r="F148" s="165">
        <v>45912</v>
      </c>
      <c r="G148" s="168">
        <f t="shared" ca="1" si="3"/>
        <v>304</v>
      </c>
    </row>
    <row r="149" spans="2:7" hidden="1" x14ac:dyDescent="0.35">
      <c r="B149" s="70" t="s">
        <v>1172</v>
      </c>
      <c r="C149" s="97" t="s">
        <v>750</v>
      </c>
      <c r="D149" s="21" t="s">
        <v>29</v>
      </c>
      <c r="E149" s="167">
        <v>37511</v>
      </c>
      <c r="F149" s="165">
        <v>45912</v>
      </c>
      <c r="G149" s="168">
        <f t="shared" ca="1" si="3"/>
        <v>304</v>
      </c>
    </row>
    <row r="150" spans="2:7" hidden="1" x14ac:dyDescent="0.35">
      <c r="B150" s="70" t="s">
        <v>939</v>
      </c>
      <c r="C150" s="97" t="s">
        <v>750</v>
      </c>
      <c r="D150" s="21" t="s">
        <v>16</v>
      </c>
      <c r="E150" s="167">
        <v>36780</v>
      </c>
      <c r="F150" s="165">
        <v>45911</v>
      </c>
      <c r="G150" s="168">
        <f t="shared" ca="1" si="3"/>
        <v>305</v>
      </c>
    </row>
    <row r="151" spans="2:7" hidden="1" x14ac:dyDescent="0.35">
      <c r="B151" s="70" t="s">
        <v>967</v>
      </c>
      <c r="C151" s="97" t="s">
        <v>64</v>
      </c>
      <c r="D151" s="21" t="s">
        <v>30</v>
      </c>
      <c r="E151" s="167">
        <v>37413</v>
      </c>
      <c r="F151" s="165">
        <v>45814</v>
      </c>
      <c r="G151" s="168">
        <f t="shared" ca="1" si="3"/>
        <v>402</v>
      </c>
    </row>
    <row r="152" spans="2:7" hidden="1" x14ac:dyDescent="0.35">
      <c r="B152" s="70" t="s">
        <v>1017</v>
      </c>
      <c r="C152" s="97" t="s">
        <v>70</v>
      </c>
      <c r="D152" s="21" t="s">
        <v>55</v>
      </c>
      <c r="E152" s="167">
        <v>36411</v>
      </c>
      <c r="F152" s="165">
        <v>45908</v>
      </c>
      <c r="G152" s="168">
        <f t="shared" ca="1" si="3"/>
        <v>308</v>
      </c>
    </row>
    <row r="153" spans="2:7" hidden="1" x14ac:dyDescent="0.35">
      <c r="B153" s="70" t="s">
        <v>804</v>
      </c>
      <c r="C153" s="97" t="s">
        <v>70</v>
      </c>
      <c r="D153" s="21" t="s">
        <v>16</v>
      </c>
      <c r="E153" s="167">
        <v>34948</v>
      </c>
      <c r="F153" s="165">
        <v>45906</v>
      </c>
      <c r="G153" s="168">
        <f t="shared" ca="1" si="3"/>
        <v>310</v>
      </c>
    </row>
    <row r="154" spans="2:7" hidden="1" x14ac:dyDescent="0.35">
      <c r="B154" s="70" t="s">
        <v>860</v>
      </c>
      <c r="C154" s="97" t="s">
        <v>70</v>
      </c>
      <c r="D154" s="21" t="s">
        <v>55</v>
      </c>
      <c r="E154" s="167">
        <v>37505</v>
      </c>
      <c r="F154" s="165">
        <v>45906</v>
      </c>
      <c r="G154" s="168">
        <f t="shared" ca="1" si="3"/>
        <v>310</v>
      </c>
    </row>
    <row r="155" spans="2:7" hidden="1" x14ac:dyDescent="0.35">
      <c r="B155" s="70" t="s">
        <v>1086</v>
      </c>
      <c r="C155" s="97" t="s">
        <v>64</v>
      </c>
      <c r="D155" s="21" t="s">
        <v>53</v>
      </c>
      <c r="E155" s="167">
        <v>35223</v>
      </c>
      <c r="F155" s="165">
        <v>45815</v>
      </c>
      <c r="G155" s="168">
        <f t="shared" ca="1" si="3"/>
        <v>401</v>
      </c>
    </row>
    <row r="156" spans="2:7" hidden="1" x14ac:dyDescent="0.35">
      <c r="B156" s="70" t="s">
        <v>1055</v>
      </c>
      <c r="C156" s="97" t="s">
        <v>64</v>
      </c>
      <c r="D156" s="21" t="s">
        <v>47</v>
      </c>
      <c r="E156" s="167">
        <v>37870</v>
      </c>
      <c r="F156" s="165">
        <v>45906</v>
      </c>
      <c r="G156" s="168">
        <f t="shared" ca="1" si="3"/>
        <v>310</v>
      </c>
    </row>
    <row r="157" spans="2:7" hidden="1" x14ac:dyDescent="0.35">
      <c r="B157" s="70" t="s">
        <v>963</v>
      </c>
      <c r="C157" s="97" t="s">
        <v>65</v>
      </c>
      <c r="D157" s="21" t="s">
        <v>30</v>
      </c>
      <c r="E157" s="167">
        <v>36685</v>
      </c>
      <c r="F157" s="165">
        <v>45816</v>
      </c>
      <c r="G157" s="168">
        <f t="shared" ca="1" si="3"/>
        <v>400</v>
      </c>
    </row>
    <row r="158" spans="2:7" hidden="1" x14ac:dyDescent="0.35">
      <c r="B158" s="70" t="s">
        <v>1111</v>
      </c>
      <c r="C158" s="97" t="s">
        <v>70</v>
      </c>
      <c r="D158" s="21" t="s">
        <v>37</v>
      </c>
      <c r="E158" s="167">
        <v>36689</v>
      </c>
      <c r="F158" s="165">
        <v>45820</v>
      </c>
      <c r="G158" s="168">
        <f t="shared" ca="1" si="3"/>
        <v>396</v>
      </c>
    </row>
    <row r="159" spans="2:7" hidden="1" x14ac:dyDescent="0.35">
      <c r="B159" s="70" t="s">
        <v>914</v>
      </c>
      <c r="C159" s="97" t="s">
        <v>64</v>
      </c>
      <c r="D159" s="21" t="s">
        <v>48</v>
      </c>
      <c r="E159" s="167">
        <v>35676</v>
      </c>
      <c r="F159" s="165">
        <v>45903</v>
      </c>
      <c r="G159" s="168">
        <f t="shared" ca="1" si="3"/>
        <v>313</v>
      </c>
    </row>
    <row r="160" spans="2:7" x14ac:dyDescent="0.35">
      <c r="B160" s="70" t="s">
        <v>760</v>
      </c>
      <c r="C160" s="97" t="s">
        <v>750</v>
      </c>
      <c r="D160" s="21" t="s">
        <v>52</v>
      </c>
      <c r="E160" s="167">
        <v>34135</v>
      </c>
      <c r="F160" s="165">
        <v>45823</v>
      </c>
      <c r="G160" s="168">
        <f t="shared" ca="1" si="3"/>
        <v>393</v>
      </c>
    </row>
    <row r="161" spans="2:7" hidden="1" x14ac:dyDescent="0.35">
      <c r="B161" s="70" t="s">
        <v>1110</v>
      </c>
      <c r="C161" s="97" t="s">
        <v>70</v>
      </c>
      <c r="D161" s="21" t="s">
        <v>36</v>
      </c>
      <c r="E161" s="167">
        <v>36771</v>
      </c>
      <c r="F161" s="165">
        <v>45902</v>
      </c>
      <c r="G161" s="168">
        <f t="shared" ca="1" si="3"/>
        <v>314</v>
      </c>
    </row>
    <row r="162" spans="2:7" hidden="1" x14ac:dyDescent="0.35">
      <c r="B162" s="70" t="s">
        <v>1117</v>
      </c>
      <c r="C162" s="97" t="s">
        <v>65</v>
      </c>
      <c r="D162" s="21" t="s">
        <v>43</v>
      </c>
      <c r="E162" s="167">
        <v>36039</v>
      </c>
      <c r="F162" s="165">
        <v>45901</v>
      </c>
      <c r="G162" s="168">
        <f t="shared" ca="1" si="3"/>
        <v>315</v>
      </c>
    </row>
    <row r="163" spans="2:7" hidden="1" x14ac:dyDescent="0.35">
      <c r="B163" s="70" t="s">
        <v>1054</v>
      </c>
      <c r="C163" s="97" t="s">
        <v>750</v>
      </c>
      <c r="D163" s="21" t="s">
        <v>51</v>
      </c>
      <c r="E163" s="167">
        <v>37061</v>
      </c>
      <c r="F163" s="165">
        <v>45827</v>
      </c>
      <c r="G163" s="168">
        <f t="shared" ca="1" si="3"/>
        <v>389</v>
      </c>
    </row>
    <row r="164" spans="2:7" x14ac:dyDescent="0.35">
      <c r="B164" s="70" t="s">
        <v>1011</v>
      </c>
      <c r="C164" s="97" t="s">
        <v>64</v>
      </c>
      <c r="D164" s="21" t="s">
        <v>52</v>
      </c>
      <c r="E164" s="167">
        <v>36333</v>
      </c>
      <c r="F164" s="165">
        <v>45830</v>
      </c>
      <c r="G164" s="168">
        <f t="shared" ca="1" si="3"/>
        <v>386</v>
      </c>
    </row>
    <row r="165" spans="2:7" hidden="1" x14ac:dyDescent="0.35">
      <c r="B165" s="70" t="s">
        <v>844</v>
      </c>
      <c r="C165" s="97" t="s">
        <v>64</v>
      </c>
      <c r="D165" s="21" t="s">
        <v>50</v>
      </c>
      <c r="E165" s="167">
        <v>37133</v>
      </c>
      <c r="F165" s="165">
        <v>45899</v>
      </c>
      <c r="G165" s="168">
        <f t="shared" ca="1" si="3"/>
        <v>317</v>
      </c>
    </row>
    <row r="166" spans="2:7" hidden="1" x14ac:dyDescent="0.35">
      <c r="B166" s="70" t="s">
        <v>1057</v>
      </c>
      <c r="C166" s="97" t="s">
        <v>64</v>
      </c>
      <c r="D166" s="21" t="s">
        <v>50</v>
      </c>
      <c r="E166" s="167">
        <v>37497</v>
      </c>
      <c r="F166" s="165">
        <v>45898</v>
      </c>
      <c r="G166" s="168">
        <f t="shared" ca="1" si="3"/>
        <v>318</v>
      </c>
    </row>
    <row r="167" spans="2:7" x14ac:dyDescent="0.35">
      <c r="B167" s="70" t="s">
        <v>883</v>
      </c>
      <c r="C167" s="97" t="s">
        <v>64</v>
      </c>
      <c r="D167" s="21" t="s">
        <v>46</v>
      </c>
      <c r="E167" s="167">
        <v>35969</v>
      </c>
      <c r="F167" s="165">
        <v>45831</v>
      </c>
      <c r="G167" s="168">
        <f t="shared" ca="1" si="3"/>
        <v>385</v>
      </c>
    </row>
    <row r="168" spans="2:7" hidden="1" x14ac:dyDescent="0.35">
      <c r="B168" s="70" t="s">
        <v>769</v>
      </c>
      <c r="C168" s="97" t="s">
        <v>64</v>
      </c>
      <c r="D168" s="21" t="s">
        <v>38</v>
      </c>
      <c r="E168" s="167">
        <v>37859</v>
      </c>
      <c r="F168" s="165">
        <v>45895</v>
      </c>
      <c r="G168" s="168">
        <f t="shared" ca="1" si="3"/>
        <v>321</v>
      </c>
    </row>
    <row r="169" spans="2:7" hidden="1" x14ac:dyDescent="0.35">
      <c r="B169" s="70" t="s">
        <v>1056</v>
      </c>
      <c r="C169" s="97" t="s">
        <v>70</v>
      </c>
      <c r="D169" s="21" t="s">
        <v>41</v>
      </c>
      <c r="E169" s="167">
        <v>37797</v>
      </c>
      <c r="F169" s="165">
        <v>45833</v>
      </c>
      <c r="G169" s="168">
        <f t="shared" ca="1" si="3"/>
        <v>383</v>
      </c>
    </row>
    <row r="170" spans="2:7" hidden="1" x14ac:dyDescent="0.35">
      <c r="B170" s="70" t="s">
        <v>982</v>
      </c>
      <c r="C170" s="97" t="s">
        <v>750</v>
      </c>
      <c r="D170" s="21" t="s">
        <v>49</v>
      </c>
      <c r="E170" s="167">
        <v>36032</v>
      </c>
      <c r="F170" s="165">
        <v>45894</v>
      </c>
      <c r="G170" s="168">
        <f t="shared" ca="1" si="3"/>
        <v>322</v>
      </c>
    </row>
    <row r="171" spans="2:7" hidden="1" x14ac:dyDescent="0.35">
      <c r="B171" s="70" t="s">
        <v>1181</v>
      </c>
      <c r="C171" s="97" t="s">
        <v>70</v>
      </c>
      <c r="D171" s="21" t="s">
        <v>47</v>
      </c>
      <c r="E171" s="167">
        <v>33108</v>
      </c>
      <c r="F171" s="165">
        <v>45892</v>
      </c>
      <c r="G171" s="168">
        <f t="shared" ca="1" si="3"/>
        <v>324</v>
      </c>
    </row>
    <row r="172" spans="2:7" hidden="1" x14ac:dyDescent="0.35">
      <c r="B172" s="70" t="s">
        <v>1126</v>
      </c>
      <c r="C172" s="97" t="s">
        <v>750</v>
      </c>
      <c r="D172" s="21" t="s">
        <v>45</v>
      </c>
      <c r="E172" s="167">
        <v>33107</v>
      </c>
      <c r="F172" s="165">
        <v>45891</v>
      </c>
      <c r="G172" s="168">
        <f t="shared" ca="1" si="3"/>
        <v>325</v>
      </c>
    </row>
    <row r="173" spans="2:7" hidden="1" x14ac:dyDescent="0.35">
      <c r="B173" s="70" t="s">
        <v>853</v>
      </c>
      <c r="C173" s="97" t="s">
        <v>64</v>
      </c>
      <c r="D173" s="21" t="s">
        <v>53</v>
      </c>
      <c r="E173" s="167">
        <v>36705</v>
      </c>
      <c r="F173" s="165">
        <v>45836</v>
      </c>
      <c r="G173" s="168">
        <f t="shared" ca="1" si="3"/>
        <v>380</v>
      </c>
    </row>
    <row r="174" spans="2:7" hidden="1" x14ac:dyDescent="0.35">
      <c r="B174" s="70" t="s">
        <v>1178</v>
      </c>
      <c r="C174" s="97" t="s">
        <v>750</v>
      </c>
      <c r="D174" s="21" t="s">
        <v>54</v>
      </c>
      <c r="E174" s="167">
        <v>34202</v>
      </c>
      <c r="F174" s="165">
        <v>45890</v>
      </c>
      <c r="G174" s="168">
        <f t="shared" ca="1" si="3"/>
        <v>326</v>
      </c>
    </row>
    <row r="175" spans="2:7" hidden="1" x14ac:dyDescent="0.35">
      <c r="B175" s="70" t="s">
        <v>1006</v>
      </c>
      <c r="C175" s="97" t="s">
        <v>64</v>
      </c>
      <c r="D175" s="21" t="s">
        <v>54</v>
      </c>
      <c r="E175" s="167">
        <v>37487</v>
      </c>
      <c r="F175" s="165">
        <v>45888</v>
      </c>
      <c r="G175" s="168">
        <f t="shared" ca="1" si="3"/>
        <v>328</v>
      </c>
    </row>
    <row r="176" spans="2:7" hidden="1" x14ac:dyDescent="0.35">
      <c r="B176" s="70" t="s">
        <v>1013</v>
      </c>
      <c r="C176" s="97" t="s">
        <v>70</v>
      </c>
      <c r="D176" s="21" t="s">
        <v>39</v>
      </c>
      <c r="E176" s="167">
        <v>36026</v>
      </c>
      <c r="F176" s="165">
        <v>45888</v>
      </c>
      <c r="G176" s="168">
        <f t="shared" ca="1" si="3"/>
        <v>328</v>
      </c>
    </row>
    <row r="177" spans="2:7" hidden="1" x14ac:dyDescent="0.35">
      <c r="B177" s="70" t="s">
        <v>1113</v>
      </c>
      <c r="C177" s="97" t="s">
        <v>65</v>
      </c>
      <c r="D177" s="21" t="s">
        <v>15</v>
      </c>
      <c r="E177" s="167">
        <v>32374</v>
      </c>
      <c r="F177" s="165">
        <v>45888</v>
      </c>
      <c r="G177" s="168">
        <f t="shared" ca="1" si="3"/>
        <v>328</v>
      </c>
    </row>
    <row r="178" spans="2:7" hidden="1" x14ac:dyDescent="0.35">
      <c r="B178" s="70" t="s">
        <v>921</v>
      </c>
      <c r="C178" s="97" t="s">
        <v>70</v>
      </c>
      <c r="D178" s="21" t="s">
        <v>37</v>
      </c>
      <c r="E178" s="167">
        <v>37071</v>
      </c>
      <c r="F178" s="165">
        <v>45837</v>
      </c>
      <c r="G178" s="168">
        <f t="shared" ca="1" si="3"/>
        <v>379</v>
      </c>
    </row>
    <row r="179" spans="2:7" hidden="1" x14ac:dyDescent="0.35">
      <c r="B179" s="70" t="s">
        <v>1123</v>
      </c>
      <c r="C179" s="97" t="s">
        <v>759</v>
      </c>
      <c r="D179" s="21" t="s">
        <v>34</v>
      </c>
      <c r="E179" s="167">
        <v>34522</v>
      </c>
      <c r="F179" s="165">
        <v>45845</v>
      </c>
      <c r="G179" s="168">
        <f t="shared" ca="1" si="3"/>
        <v>371</v>
      </c>
    </row>
    <row r="180" spans="2:7" hidden="1" x14ac:dyDescent="0.35">
      <c r="B180" s="70" t="s">
        <v>997</v>
      </c>
      <c r="C180" s="97" t="s">
        <v>759</v>
      </c>
      <c r="D180" s="21" t="s">
        <v>39</v>
      </c>
      <c r="E180" s="167">
        <v>37850</v>
      </c>
      <c r="F180" s="165">
        <v>45886</v>
      </c>
      <c r="G180" s="168">
        <f t="shared" ca="1" si="3"/>
        <v>330</v>
      </c>
    </row>
    <row r="181" spans="2:7" hidden="1" x14ac:dyDescent="0.35">
      <c r="B181" s="70" t="s">
        <v>790</v>
      </c>
      <c r="C181" s="97" t="s">
        <v>70</v>
      </c>
      <c r="D181" s="21" t="s">
        <v>41</v>
      </c>
      <c r="E181" s="167">
        <v>35254</v>
      </c>
      <c r="F181" s="165">
        <v>45846</v>
      </c>
      <c r="G181" s="168">
        <f t="shared" ca="1" si="3"/>
        <v>370</v>
      </c>
    </row>
    <row r="182" spans="2:7" hidden="1" x14ac:dyDescent="0.35">
      <c r="B182" s="70" t="s">
        <v>841</v>
      </c>
      <c r="C182" s="97" t="s">
        <v>64</v>
      </c>
      <c r="D182" s="21" t="s">
        <v>47</v>
      </c>
      <c r="E182" s="167">
        <v>37845</v>
      </c>
      <c r="F182" s="165">
        <v>45881</v>
      </c>
      <c r="G182" s="168">
        <f t="shared" ca="1" si="3"/>
        <v>335</v>
      </c>
    </row>
    <row r="183" spans="2:7" hidden="1" x14ac:dyDescent="0.35">
      <c r="B183" s="70" t="s">
        <v>964</v>
      </c>
      <c r="C183" s="97" t="s">
        <v>750</v>
      </c>
      <c r="D183" s="21" t="s">
        <v>38</v>
      </c>
      <c r="E183" s="167">
        <v>37115</v>
      </c>
      <c r="F183" s="165">
        <v>45881</v>
      </c>
      <c r="G183" s="168">
        <f t="shared" ca="1" si="3"/>
        <v>335</v>
      </c>
    </row>
    <row r="184" spans="2:7" hidden="1" x14ac:dyDescent="0.35">
      <c r="B184" s="70" t="s">
        <v>754</v>
      </c>
      <c r="C184" s="97" t="s">
        <v>750</v>
      </c>
      <c r="D184" s="21" t="s">
        <v>0</v>
      </c>
      <c r="E184" s="167">
        <v>37479</v>
      </c>
      <c r="F184" s="165">
        <v>45880</v>
      </c>
      <c r="G184" s="168">
        <f t="shared" ca="1" si="3"/>
        <v>336</v>
      </c>
    </row>
    <row r="185" spans="2:7" hidden="1" x14ac:dyDescent="0.35">
      <c r="B185" s="70" t="s">
        <v>995</v>
      </c>
      <c r="C185" s="97" t="s">
        <v>70</v>
      </c>
      <c r="D185" s="21" t="s">
        <v>53</v>
      </c>
      <c r="E185" s="167">
        <v>36349</v>
      </c>
      <c r="F185" s="165">
        <v>45846</v>
      </c>
      <c r="G185" s="168">
        <f t="shared" ca="1" si="3"/>
        <v>370</v>
      </c>
    </row>
    <row r="186" spans="2:7" hidden="1" x14ac:dyDescent="0.35">
      <c r="B186" s="70" t="s">
        <v>1098</v>
      </c>
      <c r="C186" s="97" t="s">
        <v>70</v>
      </c>
      <c r="D186" s="21" t="s">
        <v>49</v>
      </c>
      <c r="E186" s="167">
        <v>36749</v>
      </c>
      <c r="F186" s="165">
        <v>45880</v>
      </c>
      <c r="G186" s="168">
        <f t="shared" ca="1" si="3"/>
        <v>336</v>
      </c>
    </row>
    <row r="187" spans="2:7" hidden="1" x14ac:dyDescent="0.35">
      <c r="B187" s="70" t="s">
        <v>1102</v>
      </c>
      <c r="C187" s="97" t="s">
        <v>750</v>
      </c>
      <c r="D187" s="21" t="s">
        <v>53</v>
      </c>
      <c r="E187" s="167">
        <v>35621</v>
      </c>
      <c r="F187" s="165">
        <v>45848</v>
      </c>
      <c r="G187" s="168">
        <f t="shared" ca="1" si="3"/>
        <v>368</v>
      </c>
    </row>
    <row r="188" spans="2:7" hidden="1" x14ac:dyDescent="0.35">
      <c r="B188" s="70" t="s">
        <v>944</v>
      </c>
      <c r="C188" s="97" t="s">
        <v>750</v>
      </c>
      <c r="D188" s="21" t="s">
        <v>35</v>
      </c>
      <c r="E188" s="167">
        <v>34554</v>
      </c>
      <c r="F188" s="165">
        <v>45877</v>
      </c>
      <c r="G188" s="168">
        <f t="shared" ca="1" si="3"/>
        <v>339</v>
      </c>
    </row>
    <row r="189" spans="2:7" hidden="1" x14ac:dyDescent="0.35">
      <c r="B189" s="70" t="s">
        <v>856</v>
      </c>
      <c r="C189" s="97" t="s">
        <v>65</v>
      </c>
      <c r="D189" s="21" t="s">
        <v>50</v>
      </c>
      <c r="E189" s="167">
        <v>36014</v>
      </c>
      <c r="F189" s="165">
        <v>45876</v>
      </c>
      <c r="G189" s="168">
        <f t="shared" ca="1" si="3"/>
        <v>340</v>
      </c>
    </row>
    <row r="190" spans="2:7" hidden="1" x14ac:dyDescent="0.35">
      <c r="B190" s="70" t="s">
        <v>943</v>
      </c>
      <c r="C190" s="97" t="s">
        <v>750</v>
      </c>
      <c r="D190" s="21" t="s">
        <v>40</v>
      </c>
      <c r="E190" s="167">
        <v>36745</v>
      </c>
      <c r="F190" s="165">
        <v>45876</v>
      </c>
      <c r="G190" s="168">
        <f t="shared" ca="1" si="3"/>
        <v>340</v>
      </c>
    </row>
    <row r="191" spans="2:7" hidden="1" x14ac:dyDescent="0.35">
      <c r="B191" s="70" t="s">
        <v>1037</v>
      </c>
      <c r="C191" s="97" t="s">
        <v>65</v>
      </c>
      <c r="D191" s="21" t="s">
        <v>0</v>
      </c>
      <c r="E191" s="167">
        <v>35649</v>
      </c>
      <c r="F191" s="165">
        <v>45876</v>
      </c>
      <c r="G191" s="168">
        <f t="shared" ca="1" si="3"/>
        <v>340</v>
      </c>
    </row>
    <row r="192" spans="2:7" hidden="1" x14ac:dyDescent="0.35">
      <c r="B192" s="70" t="s">
        <v>1084</v>
      </c>
      <c r="C192" s="97" t="s">
        <v>64</v>
      </c>
      <c r="D192" s="21" t="s">
        <v>40</v>
      </c>
      <c r="E192" s="167">
        <v>34917</v>
      </c>
      <c r="F192" s="165">
        <v>45875</v>
      </c>
      <c r="G192" s="168">
        <f t="shared" ca="1" si="3"/>
        <v>341</v>
      </c>
    </row>
    <row r="193" spans="2:7" hidden="1" x14ac:dyDescent="0.35">
      <c r="B193" s="70" t="s">
        <v>820</v>
      </c>
      <c r="C193" s="97" t="s">
        <v>64</v>
      </c>
      <c r="D193" s="21" t="s">
        <v>39</v>
      </c>
      <c r="E193" s="167">
        <v>38204</v>
      </c>
      <c r="F193" s="165">
        <v>45874</v>
      </c>
      <c r="G193" s="168">
        <f t="shared" ca="1" si="3"/>
        <v>342</v>
      </c>
    </row>
    <row r="194" spans="2:7" hidden="1" x14ac:dyDescent="0.35">
      <c r="B194" s="70" t="s">
        <v>766</v>
      </c>
      <c r="C194" s="97" t="s">
        <v>759</v>
      </c>
      <c r="D194" s="21" t="s">
        <v>16</v>
      </c>
      <c r="E194" s="167">
        <v>37107</v>
      </c>
      <c r="F194" s="165">
        <v>45873</v>
      </c>
      <c r="G194" s="168">
        <f t="shared" ca="1" si="3"/>
        <v>343</v>
      </c>
    </row>
    <row r="195" spans="2:7" hidden="1" x14ac:dyDescent="0.35">
      <c r="B195" s="70" t="s">
        <v>1002</v>
      </c>
      <c r="C195" s="97" t="s">
        <v>70</v>
      </c>
      <c r="D195" s="21" t="s">
        <v>37</v>
      </c>
      <c r="E195" s="167">
        <v>35257</v>
      </c>
      <c r="F195" s="165">
        <v>45849</v>
      </c>
      <c r="G195" s="168">
        <f t="shared" ca="1" si="3"/>
        <v>367</v>
      </c>
    </row>
    <row r="196" spans="2:7" hidden="1" x14ac:dyDescent="0.35">
      <c r="B196" s="70" t="s">
        <v>969</v>
      </c>
      <c r="C196" s="97" t="s">
        <v>70</v>
      </c>
      <c r="D196" s="21" t="s">
        <v>37</v>
      </c>
      <c r="E196" s="167">
        <v>36723</v>
      </c>
      <c r="F196" s="165">
        <v>45854</v>
      </c>
      <c r="G196" s="168">
        <f t="shared" ca="1" si="3"/>
        <v>362</v>
      </c>
    </row>
    <row r="197" spans="2:7" hidden="1" x14ac:dyDescent="0.35">
      <c r="B197" s="70" t="s">
        <v>851</v>
      </c>
      <c r="C197" s="97" t="s">
        <v>65</v>
      </c>
      <c r="D197" s="21" t="s">
        <v>44</v>
      </c>
      <c r="E197" s="167">
        <v>36375</v>
      </c>
      <c r="F197" s="165">
        <v>45872</v>
      </c>
      <c r="G197" s="168">
        <f t="shared" ca="1" si="3"/>
        <v>344</v>
      </c>
    </row>
    <row r="198" spans="2:7" hidden="1" x14ac:dyDescent="0.35">
      <c r="B198" s="70" t="s">
        <v>923</v>
      </c>
      <c r="C198" s="97" t="s">
        <v>759</v>
      </c>
      <c r="D198" s="21" t="s">
        <v>48</v>
      </c>
      <c r="E198" s="167">
        <v>34549</v>
      </c>
      <c r="F198" s="165">
        <v>45872</v>
      </c>
      <c r="G198" s="168">
        <f t="shared" ca="1" si="3"/>
        <v>344</v>
      </c>
    </row>
    <row r="199" spans="2:7" hidden="1" x14ac:dyDescent="0.35">
      <c r="B199" s="70" t="s">
        <v>1004</v>
      </c>
      <c r="C199" s="97" t="s">
        <v>65</v>
      </c>
      <c r="D199" s="21" t="s">
        <v>49</v>
      </c>
      <c r="E199" s="167">
        <v>32723</v>
      </c>
      <c r="F199" s="165">
        <v>45872</v>
      </c>
      <c r="G199" s="168">
        <f t="shared" ca="1" si="3"/>
        <v>344</v>
      </c>
    </row>
    <row r="200" spans="2:7" hidden="1" x14ac:dyDescent="0.35">
      <c r="B200" s="70" t="s">
        <v>1026</v>
      </c>
      <c r="C200" s="97" t="s">
        <v>750</v>
      </c>
      <c r="D200" s="21" t="s">
        <v>33</v>
      </c>
      <c r="E200" s="167">
        <v>35279</v>
      </c>
      <c r="F200" s="165">
        <v>45871</v>
      </c>
      <c r="G200" s="168">
        <f t="shared" ref="G200:G263" ca="1" si="4">TODAY()-F200</f>
        <v>345</v>
      </c>
    </row>
    <row r="201" spans="2:7" hidden="1" x14ac:dyDescent="0.35">
      <c r="B201" s="70" t="s">
        <v>991</v>
      </c>
      <c r="C201" s="97" t="s">
        <v>750</v>
      </c>
      <c r="D201" s="21" t="s">
        <v>36</v>
      </c>
      <c r="E201" s="167">
        <v>37834</v>
      </c>
      <c r="F201" s="165">
        <v>45870</v>
      </c>
      <c r="G201" s="168">
        <f t="shared" ca="1" si="4"/>
        <v>346</v>
      </c>
    </row>
    <row r="202" spans="2:7" hidden="1" x14ac:dyDescent="0.35">
      <c r="B202" s="70" t="s">
        <v>1177</v>
      </c>
      <c r="C202" s="97" t="s">
        <v>65</v>
      </c>
      <c r="D202" s="21" t="s">
        <v>51</v>
      </c>
      <c r="E202" s="167">
        <v>34897</v>
      </c>
      <c r="F202" s="165">
        <v>45855</v>
      </c>
      <c r="G202" s="168">
        <f t="shared" ca="1" si="4"/>
        <v>361</v>
      </c>
    </row>
    <row r="203" spans="2:7" hidden="1" x14ac:dyDescent="0.35">
      <c r="B203" s="70" t="s">
        <v>872</v>
      </c>
      <c r="C203" s="97" t="s">
        <v>65</v>
      </c>
      <c r="D203" s="21" t="s">
        <v>33</v>
      </c>
      <c r="E203" s="167">
        <v>34179</v>
      </c>
      <c r="F203" s="165">
        <v>45867</v>
      </c>
      <c r="G203" s="168">
        <f t="shared" ca="1" si="4"/>
        <v>349</v>
      </c>
    </row>
    <row r="204" spans="2:7" hidden="1" x14ac:dyDescent="0.35">
      <c r="B204" s="70" t="s">
        <v>1129</v>
      </c>
      <c r="C204" s="97" t="s">
        <v>759</v>
      </c>
      <c r="D204" s="21" t="s">
        <v>38</v>
      </c>
      <c r="E204" s="167">
        <v>34908</v>
      </c>
      <c r="F204" s="165">
        <v>45866</v>
      </c>
      <c r="G204" s="168">
        <f t="shared" ca="1" si="4"/>
        <v>350</v>
      </c>
    </row>
    <row r="205" spans="2:7" hidden="1" x14ac:dyDescent="0.35">
      <c r="B205" s="70" t="s">
        <v>1159</v>
      </c>
      <c r="C205" s="97" t="s">
        <v>750</v>
      </c>
      <c r="D205" s="21" t="s">
        <v>48</v>
      </c>
      <c r="E205" s="167">
        <v>37830</v>
      </c>
      <c r="F205" s="165">
        <v>45866</v>
      </c>
      <c r="G205" s="168">
        <f t="shared" ca="1" si="4"/>
        <v>350</v>
      </c>
    </row>
    <row r="206" spans="2:7" hidden="1" x14ac:dyDescent="0.35">
      <c r="B206" s="70" t="s">
        <v>782</v>
      </c>
      <c r="C206" s="97" t="s">
        <v>759</v>
      </c>
      <c r="D206" s="21" t="s">
        <v>36</v>
      </c>
      <c r="E206" s="167">
        <v>33444</v>
      </c>
      <c r="F206" s="165">
        <v>45863</v>
      </c>
      <c r="G206" s="168">
        <f t="shared" ca="1" si="4"/>
        <v>353</v>
      </c>
    </row>
    <row r="207" spans="2:7" hidden="1" x14ac:dyDescent="0.35">
      <c r="B207" s="70" t="s">
        <v>937</v>
      </c>
      <c r="C207" s="97" t="s">
        <v>64</v>
      </c>
      <c r="D207" s="21" t="s">
        <v>47</v>
      </c>
      <c r="E207" s="167">
        <v>34905</v>
      </c>
      <c r="F207" s="165">
        <v>45863</v>
      </c>
      <c r="G207" s="168">
        <f t="shared" ca="1" si="4"/>
        <v>353</v>
      </c>
    </row>
    <row r="208" spans="2:7" hidden="1" x14ac:dyDescent="0.35">
      <c r="B208" s="70" t="s">
        <v>1188</v>
      </c>
      <c r="C208" s="97" t="s">
        <v>65</v>
      </c>
      <c r="D208" s="21" t="s">
        <v>29</v>
      </c>
      <c r="E208" s="167">
        <v>37097</v>
      </c>
      <c r="F208" s="165">
        <v>45863</v>
      </c>
      <c r="G208" s="168">
        <f t="shared" ca="1" si="4"/>
        <v>353</v>
      </c>
    </row>
    <row r="209" spans="2:7" hidden="1" x14ac:dyDescent="0.35">
      <c r="B209" s="70" t="s">
        <v>1077</v>
      </c>
      <c r="C209" s="97" t="s">
        <v>750</v>
      </c>
      <c r="D209" s="21" t="s">
        <v>30</v>
      </c>
      <c r="E209" s="167">
        <v>35634</v>
      </c>
      <c r="F209" s="165">
        <v>45861</v>
      </c>
      <c r="G209" s="168">
        <f t="shared" ca="1" si="4"/>
        <v>355</v>
      </c>
    </row>
    <row r="210" spans="2:7" hidden="1" x14ac:dyDescent="0.35">
      <c r="B210" s="70" t="s">
        <v>1089</v>
      </c>
      <c r="C210" s="97" t="s">
        <v>750</v>
      </c>
      <c r="D210" s="21" t="s">
        <v>15</v>
      </c>
      <c r="E210" s="167">
        <v>37096</v>
      </c>
      <c r="F210" s="165">
        <v>45862</v>
      </c>
      <c r="G210" s="168">
        <f t="shared" ca="1" si="4"/>
        <v>354</v>
      </c>
    </row>
    <row r="211" spans="2:7" hidden="1" x14ac:dyDescent="0.35">
      <c r="B211" s="70" t="s">
        <v>1025</v>
      </c>
      <c r="C211" s="97" t="s">
        <v>64</v>
      </c>
      <c r="D211" s="21" t="s">
        <v>0</v>
      </c>
      <c r="E211" s="167">
        <v>37460</v>
      </c>
      <c r="F211" s="165">
        <v>45861</v>
      </c>
      <c r="G211" s="168">
        <f t="shared" ca="1" si="4"/>
        <v>355</v>
      </c>
    </row>
    <row r="212" spans="2:7" hidden="1" x14ac:dyDescent="0.35">
      <c r="B212" s="70" t="s">
        <v>866</v>
      </c>
      <c r="C212" s="97" t="s">
        <v>64</v>
      </c>
      <c r="D212" s="21" t="s">
        <v>37</v>
      </c>
      <c r="E212" s="167">
        <v>35270</v>
      </c>
      <c r="F212" s="165">
        <v>45862</v>
      </c>
      <c r="G212" s="168">
        <f t="shared" ca="1" si="4"/>
        <v>354</v>
      </c>
    </row>
    <row r="213" spans="2:7" hidden="1" x14ac:dyDescent="0.35">
      <c r="B213" s="70" t="s">
        <v>1176</v>
      </c>
      <c r="C213" s="97" t="s">
        <v>750</v>
      </c>
      <c r="D213" s="21" t="s">
        <v>49</v>
      </c>
      <c r="E213" s="167">
        <v>36729</v>
      </c>
      <c r="F213" s="165">
        <v>45860</v>
      </c>
      <c r="G213" s="168">
        <f t="shared" ca="1" si="4"/>
        <v>356</v>
      </c>
    </row>
    <row r="214" spans="2:7" hidden="1" x14ac:dyDescent="0.35">
      <c r="B214" s="70" t="s">
        <v>800</v>
      </c>
      <c r="C214" s="97" t="s">
        <v>64</v>
      </c>
      <c r="D214" s="21" t="s">
        <v>29</v>
      </c>
      <c r="E214" s="167">
        <v>37823</v>
      </c>
      <c r="F214" s="165">
        <v>45859</v>
      </c>
      <c r="G214" s="168">
        <f t="shared" ca="1" si="4"/>
        <v>357</v>
      </c>
    </row>
    <row r="215" spans="2:7" hidden="1" x14ac:dyDescent="0.35">
      <c r="B215" s="70" t="s">
        <v>802</v>
      </c>
      <c r="C215" s="97" t="s">
        <v>759</v>
      </c>
      <c r="D215" s="21" t="s">
        <v>31</v>
      </c>
      <c r="E215" s="167">
        <v>36362</v>
      </c>
      <c r="F215" s="165">
        <v>45859</v>
      </c>
      <c r="G215" s="168">
        <f t="shared" ca="1" si="4"/>
        <v>357</v>
      </c>
    </row>
    <row r="216" spans="2:7" hidden="1" x14ac:dyDescent="0.35">
      <c r="B216" s="70" t="s">
        <v>830</v>
      </c>
      <c r="C216" s="97" t="s">
        <v>70</v>
      </c>
      <c r="D216" s="21" t="s">
        <v>32</v>
      </c>
      <c r="E216" s="167">
        <v>38188</v>
      </c>
      <c r="F216" s="165">
        <v>45858</v>
      </c>
      <c r="G216" s="168">
        <f t="shared" ca="1" si="4"/>
        <v>358</v>
      </c>
    </row>
    <row r="217" spans="2:7" hidden="1" x14ac:dyDescent="0.35">
      <c r="B217" s="70" t="s">
        <v>1038</v>
      </c>
      <c r="C217" s="97" t="s">
        <v>750</v>
      </c>
      <c r="D217" s="21" t="s">
        <v>49</v>
      </c>
      <c r="E217" s="167">
        <v>36725</v>
      </c>
      <c r="F217" s="165">
        <v>45856</v>
      </c>
      <c r="G217" s="168">
        <f t="shared" ca="1" si="4"/>
        <v>360</v>
      </c>
    </row>
    <row r="218" spans="2:7" hidden="1" x14ac:dyDescent="0.35">
      <c r="B218" s="70" t="s">
        <v>928</v>
      </c>
      <c r="C218" s="97" t="s">
        <v>64</v>
      </c>
      <c r="D218" s="21" t="s">
        <v>45</v>
      </c>
      <c r="E218" s="167">
        <v>36358</v>
      </c>
      <c r="F218" s="165">
        <v>45855</v>
      </c>
      <c r="G218" s="168">
        <f t="shared" ca="1" si="4"/>
        <v>361</v>
      </c>
    </row>
    <row r="219" spans="2:7" hidden="1" x14ac:dyDescent="0.35">
      <c r="B219" s="70" t="s">
        <v>910</v>
      </c>
      <c r="C219" s="97" t="s">
        <v>70</v>
      </c>
      <c r="D219" s="21" t="s">
        <v>41</v>
      </c>
      <c r="E219" s="167">
        <v>34910</v>
      </c>
      <c r="F219" s="165">
        <v>45868</v>
      </c>
      <c r="G219" s="168">
        <f t="shared" ca="1" si="4"/>
        <v>348</v>
      </c>
    </row>
    <row r="220" spans="2:7" hidden="1" x14ac:dyDescent="0.35">
      <c r="B220" s="70" t="s">
        <v>789</v>
      </c>
      <c r="C220" s="97" t="s">
        <v>750</v>
      </c>
      <c r="D220" s="21" t="s">
        <v>53</v>
      </c>
      <c r="E220" s="167">
        <v>34915</v>
      </c>
      <c r="F220" s="165">
        <v>45873</v>
      </c>
      <c r="G220" s="168">
        <f t="shared" ca="1" si="4"/>
        <v>343</v>
      </c>
    </row>
    <row r="221" spans="2:7" hidden="1" x14ac:dyDescent="0.35">
      <c r="B221" s="70" t="s">
        <v>905</v>
      </c>
      <c r="C221" s="97" t="s">
        <v>759</v>
      </c>
      <c r="D221" s="21" t="s">
        <v>40</v>
      </c>
      <c r="E221" s="167">
        <v>34894</v>
      </c>
      <c r="F221" s="165">
        <v>45852</v>
      </c>
      <c r="G221" s="168">
        <f t="shared" ca="1" si="4"/>
        <v>364</v>
      </c>
    </row>
    <row r="222" spans="2:7" x14ac:dyDescent="0.35">
      <c r="B222" s="70" t="s">
        <v>780</v>
      </c>
      <c r="C222" s="97" t="s">
        <v>750</v>
      </c>
      <c r="D222" s="21" t="s">
        <v>52</v>
      </c>
      <c r="E222" s="167">
        <v>36011</v>
      </c>
      <c r="F222" s="165">
        <v>45873</v>
      </c>
      <c r="G222" s="168">
        <f t="shared" ca="1" si="4"/>
        <v>343</v>
      </c>
    </row>
    <row r="223" spans="2:7" hidden="1" x14ac:dyDescent="0.35">
      <c r="B223" s="70" t="s">
        <v>899</v>
      </c>
      <c r="C223" s="97" t="s">
        <v>70</v>
      </c>
      <c r="D223" s="21" t="s">
        <v>32</v>
      </c>
      <c r="E223" s="167">
        <v>35256</v>
      </c>
      <c r="F223" s="165">
        <v>45848</v>
      </c>
      <c r="G223" s="168">
        <f t="shared" ca="1" si="4"/>
        <v>368</v>
      </c>
    </row>
    <row r="224" spans="2:7" hidden="1" x14ac:dyDescent="0.35">
      <c r="B224" s="70" t="s">
        <v>1096</v>
      </c>
      <c r="C224" s="97" t="s">
        <v>759</v>
      </c>
      <c r="D224" s="21" t="s">
        <v>17</v>
      </c>
      <c r="E224" s="167">
        <v>30904</v>
      </c>
      <c r="F224" s="165">
        <v>45879</v>
      </c>
      <c r="G224" s="168">
        <f t="shared" ca="1" si="4"/>
        <v>337</v>
      </c>
    </row>
    <row r="225" spans="2:7" hidden="1" x14ac:dyDescent="0.35">
      <c r="B225" s="70" t="s">
        <v>795</v>
      </c>
      <c r="C225" s="97" t="s">
        <v>64</v>
      </c>
      <c r="D225" s="21" t="s">
        <v>29</v>
      </c>
      <c r="E225" s="167">
        <v>38177</v>
      </c>
      <c r="F225" s="165">
        <v>45847</v>
      </c>
      <c r="G225" s="168">
        <f t="shared" ca="1" si="4"/>
        <v>369</v>
      </c>
    </row>
    <row r="226" spans="2:7" hidden="1" x14ac:dyDescent="0.35">
      <c r="B226" s="70" t="s">
        <v>960</v>
      </c>
      <c r="C226" s="97" t="s">
        <v>750</v>
      </c>
      <c r="D226" s="21" t="s">
        <v>17</v>
      </c>
      <c r="E226" s="167">
        <v>35288</v>
      </c>
      <c r="F226" s="165">
        <v>45880</v>
      </c>
      <c r="G226" s="168">
        <f t="shared" ca="1" si="4"/>
        <v>336</v>
      </c>
    </row>
    <row r="227" spans="2:7" hidden="1" x14ac:dyDescent="0.35">
      <c r="B227" s="70" t="s">
        <v>962</v>
      </c>
      <c r="C227" s="97" t="s">
        <v>64</v>
      </c>
      <c r="D227" s="21" t="s">
        <v>51</v>
      </c>
      <c r="E227" s="167">
        <v>37847</v>
      </c>
      <c r="F227" s="165">
        <v>45883</v>
      </c>
      <c r="G227" s="168">
        <f t="shared" ca="1" si="4"/>
        <v>333</v>
      </c>
    </row>
    <row r="228" spans="2:7" hidden="1" x14ac:dyDescent="0.35">
      <c r="B228" s="70" t="s">
        <v>1140</v>
      </c>
      <c r="C228" s="97" t="s">
        <v>750</v>
      </c>
      <c r="D228" s="21" t="s">
        <v>15</v>
      </c>
      <c r="E228" s="167">
        <v>36349</v>
      </c>
      <c r="F228" s="165">
        <v>45846</v>
      </c>
      <c r="G228" s="168">
        <f t="shared" ca="1" si="4"/>
        <v>370</v>
      </c>
    </row>
    <row r="229" spans="2:7" hidden="1" x14ac:dyDescent="0.35">
      <c r="B229" s="70" t="s">
        <v>850</v>
      </c>
      <c r="C229" s="97" t="s">
        <v>70</v>
      </c>
      <c r="D229" s="21" t="s">
        <v>51</v>
      </c>
      <c r="E229" s="167">
        <v>37120</v>
      </c>
      <c r="F229" s="165">
        <v>45886</v>
      </c>
      <c r="G229" s="168">
        <f t="shared" ca="1" si="4"/>
        <v>330</v>
      </c>
    </row>
    <row r="230" spans="2:7" hidden="1" x14ac:dyDescent="0.35">
      <c r="B230" s="70" t="s">
        <v>1083</v>
      </c>
      <c r="C230" s="97" t="s">
        <v>70</v>
      </c>
      <c r="D230" s="21" t="s">
        <v>43</v>
      </c>
      <c r="E230" s="167">
        <v>37078</v>
      </c>
      <c r="F230" s="165">
        <v>45844</v>
      </c>
      <c r="G230" s="168">
        <f t="shared" ca="1" si="4"/>
        <v>372</v>
      </c>
    </row>
    <row r="231" spans="2:7" hidden="1" x14ac:dyDescent="0.35">
      <c r="B231" s="70" t="s">
        <v>839</v>
      </c>
      <c r="C231" s="97" t="s">
        <v>750</v>
      </c>
      <c r="D231" s="21" t="s">
        <v>753</v>
      </c>
      <c r="E231" s="167">
        <v>35251</v>
      </c>
      <c r="F231" s="165">
        <v>45843</v>
      </c>
      <c r="G231" s="168">
        <f t="shared" ca="1" si="4"/>
        <v>373</v>
      </c>
    </row>
    <row r="232" spans="2:7" hidden="1" x14ac:dyDescent="0.35">
      <c r="B232" s="70" t="s">
        <v>297</v>
      </c>
      <c r="C232" s="97" t="s">
        <v>70</v>
      </c>
      <c r="D232" s="21" t="s">
        <v>45</v>
      </c>
      <c r="E232" s="167">
        <v>35614</v>
      </c>
      <c r="F232" s="165">
        <v>45841</v>
      </c>
      <c r="G232" s="168">
        <f t="shared" ca="1" si="4"/>
        <v>375</v>
      </c>
    </row>
    <row r="233" spans="2:7" hidden="1" x14ac:dyDescent="0.35">
      <c r="B233" s="70" t="s">
        <v>340</v>
      </c>
      <c r="C233" s="97" t="s">
        <v>750</v>
      </c>
      <c r="D233" s="21" t="s">
        <v>50</v>
      </c>
      <c r="E233" s="167">
        <v>35611</v>
      </c>
      <c r="F233" s="165">
        <v>45838</v>
      </c>
      <c r="G233" s="168">
        <f t="shared" ca="1" si="4"/>
        <v>378</v>
      </c>
    </row>
    <row r="234" spans="2:7" hidden="1" x14ac:dyDescent="0.35">
      <c r="B234" s="70" t="s">
        <v>985</v>
      </c>
      <c r="C234" s="97" t="s">
        <v>750</v>
      </c>
      <c r="D234" s="21" t="s">
        <v>17</v>
      </c>
      <c r="E234" s="167">
        <v>36390</v>
      </c>
      <c r="F234" s="165">
        <v>45887</v>
      </c>
      <c r="G234" s="168">
        <f t="shared" ca="1" si="4"/>
        <v>329</v>
      </c>
    </row>
    <row r="235" spans="2:7" hidden="1" x14ac:dyDescent="0.35">
      <c r="B235" s="70" t="s">
        <v>1145</v>
      </c>
      <c r="C235" s="97" t="s">
        <v>70</v>
      </c>
      <c r="D235" s="21" t="s">
        <v>51</v>
      </c>
      <c r="E235" s="167">
        <v>34933</v>
      </c>
      <c r="F235" s="165">
        <v>45891</v>
      </c>
      <c r="G235" s="168">
        <f t="shared" ca="1" si="4"/>
        <v>325</v>
      </c>
    </row>
    <row r="236" spans="2:7" hidden="1" x14ac:dyDescent="0.35">
      <c r="B236" s="70" t="s">
        <v>988</v>
      </c>
      <c r="C236" s="97" t="s">
        <v>750</v>
      </c>
      <c r="D236" s="21" t="s">
        <v>31</v>
      </c>
      <c r="E236" s="167">
        <v>37070</v>
      </c>
      <c r="F236" s="165">
        <v>45836</v>
      </c>
      <c r="G236" s="168">
        <f t="shared" ca="1" si="4"/>
        <v>380</v>
      </c>
    </row>
    <row r="237" spans="2:7" hidden="1" x14ac:dyDescent="0.35">
      <c r="B237" s="70" t="s">
        <v>824</v>
      </c>
      <c r="C237" s="97" t="s">
        <v>750</v>
      </c>
      <c r="D237" s="21" t="s">
        <v>47</v>
      </c>
      <c r="E237" s="167">
        <v>36704</v>
      </c>
      <c r="F237" s="165">
        <v>45835</v>
      </c>
      <c r="G237" s="168">
        <f t="shared" ca="1" si="4"/>
        <v>381</v>
      </c>
    </row>
    <row r="238" spans="2:7" hidden="1" x14ac:dyDescent="0.35">
      <c r="B238" s="70" t="s">
        <v>1104</v>
      </c>
      <c r="C238" s="97" t="s">
        <v>65</v>
      </c>
      <c r="D238" s="21" t="s">
        <v>55</v>
      </c>
      <c r="E238" s="167">
        <v>36338</v>
      </c>
      <c r="F238" s="165">
        <v>45835</v>
      </c>
      <c r="G238" s="168">
        <f t="shared" ca="1" si="4"/>
        <v>381</v>
      </c>
    </row>
    <row r="239" spans="2:7" hidden="1" x14ac:dyDescent="0.35">
      <c r="B239" s="70" t="s">
        <v>811</v>
      </c>
      <c r="C239" s="97" t="s">
        <v>64</v>
      </c>
      <c r="D239" s="21" t="s">
        <v>42</v>
      </c>
      <c r="E239" s="167">
        <v>36764</v>
      </c>
      <c r="F239" s="165">
        <v>45895</v>
      </c>
      <c r="G239" s="168">
        <f t="shared" ca="1" si="4"/>
        <v>321</v>
      </c>
    </row>
    <row r="240" spans="2:7" hidden="1" x14ac:dyDescent="0.35">
      <c r="B240" s="70" t="s">
        <v>1071</v>
      </c>
      <c r="C240" s="97" t="s">
        <v>64</v>
      </c>
      <c r="D240" s="21" t="s">
        <v>41</v>
      </c>
      <c r="E240" s="167">
        <v>37131</v>
      </c>
      <c r="F240" s="165">
        <v>45897</v>
      </c>
      <c r="G240" s="168">
        <f t="shared" ca="1" si="4"/>
        <v>319</v>
      </c>
    </row>
    <row r="241" spans="2:7" x14ac:dyDescent="0.35">
      <c r="B241" s="70" t="s">
        <v>798</v>
      </c>
      <c r="C241" s="97" t="s">
        <v>65</v>
      </c>
      <c r="D241" s="21" t="s">
        <v>46</v>
      </c>
      <c r="E241" s="167">
        <v>37498</v>
      </c>
      <c r="F241" s="165">
        <v>45899</v>
      </c>
      <c r="G241" s="168">
        <f t="shared" ca="1" si="4"/>
        <v>317</v>
      </c>
    </row>
    <row r="242" spans="2:7" hidden="1" x14ac:dyDescent="0.35">
      <c r="B242" s="70" t="s">
        <v>886</v>
      </c>
      <c r="C242" s="97" t="s">
        <v>64</v>
      </c>
      <c r="D242" s="21" t="s">
        <v>44</v>
      </c>
      <c r="E242" s="167">
        <v>35965</v>
      </c>
      <c r="F242" s="165">
        <v>45827</v>
      </c>
      <c r="G242" s="168">
        <f t="shared" ca="1" si="4"/>
        <v>389</v>
      </c>
    </row>
    <row r="243" spans="2:7" x14ac:dyDescent="0.35">
      <c r="B243" s="70" t="s">
        <v>1163</v>
      </c>
      <c r="C243" s="97" t="s">
        <v>750</v>
      </c>
      <c r="D243" s="21" t="s">
        <v>52</v>
      </c>
      <c r="E243" s="167">
        <v>36038</v>
      </c>
      <c r="F243" s="165">
        <v>45900</v>
      </c>
      <c r="G243" s="168">
        <f t="shared" ca="1" si="4"/>
        <v>316</v>
      </c>
    </row>
    <row r="244" spans="2:7" hidden="1" x14ac:dyDescent="0.35">
      <c r="B244" s="70" t="s">
        <v>1185</v>
      </c>
      <c r="C244" s="97" t="s">
        <v>750</v>
      </c>
      <c r="D244" s="21" t="s">
        <v>16</v>
      </c>
      <c r="E244" s="167">
        <v>37061</v>
      </c>
      <c r="F244" s="165">
        <v>45827</v>
      </c>
      <c r="G244" s="168">
        <f t="shared" ca="1" si="4"/>
        <v>389</v>
      </c>
    </row>
    <row r="245" spans="2:7" hidden="1" x14ac:dyDescent="0.35">
      <c r="B245" s="70" t="s">
        <v>835</v>
      </c>
      <c r="C245" s="97" t="s">
        <v>750</v>
      </c>
      <c r="D245" s="21" t="s">
        <v>36</v>
      </c>
      <c r="E245" s="167">
        <v>37058</v>
      </c>
      <c r="F245" s="165">
        <v>45824</v>
      </c>
      <c r="G245" s="168">
        <f t="shared" ca="1" si="4"/>
        <v>392</v>
      </c>
    </row>
    <row r="246" spans="2:7" hidden="1" x14ac:dyDescent="0.35">
      <c r="B246" s="70" t="s">
        <v>1049</v>
      </c>
      <c r="C246" s="97" t="s">
        <v>750</v>
      </c>
      <c r="D246" s="21" t="s">
        <v>56</v>
      </c>
      <c r="E246" s="167">
        <v>34136</v>
      </c>
      <c r="F246" s="165">
        <v>45824</v>
      </c>
      <c r="G246" s="168">
        <f t="shared" ca="1" si="4"/>
        <v>392</v>
      </c>
    </row>
    <row r="247" spans="2:7" hidden="1" x14ac:dyDescent="0.35">
      <c r="B247" s="70" t="s">
        <v>1099</v>
      </c>
      <c r="C247" s="97" t="s">
        <v>750</v>
      </c>
      <c r="D247" s="21" t="s">
        <v>45</v>
      </c>
      <c r="E247" s="167">
        <v>36327</v>
      </c>
      <c r="F247" s="165">
        <v>45824</v>
      </c>
      <c r="G247" s="168">
        <f t="shared" ca="1" si="4"/>
        <v>392</v>
      </c>
    </row>
    <row r="248" spans="2:7" hidden="1" x14ac:dyDescent="0.35">
      <c r="B248" s="70" t="s">
        <v>947</v>
      </c>
      <c r="C248" s="97" t="s">
        <v>70</v>
      </c>
      <c r="D248" s="21" t="s">
        <v>34</v>
      </c>
      <c r="E248" s="167">
        <v>34579</v>
      </c>
      <c r="F248" s="165">
        <v>45902</v>
      </c>
      <c r="G248" s="168">
        <f t="shared" ca="1" si="4"/>
        <v>314</v>
      </c>
    </row>
    <row r="249" spans="2:7" hidden="1" x14ac:dyDescent="0.35">
      <c r="B249" s="70" t="s">
        <v>1155</v>
      </c>
      <c r="C249" s="97" t="s">
        <v>64</v>
      </c>
      <c r="D249" s="21" t="s">
        <v>55</v>
      </c>
      <c r="E249" s="167">
        <v>37057</v>
      </c>
      <c r="F249" s="165">
        <v>45823</v>
      </c>
      <c r="G249" s="168">
        <f t="shared" ca="1" si="4"/>
        <v>393</v>
      </c>
    </row>
    <row r="250" spans="2:7" hidden="1" x14ac:dyDescent="0.35">
      <c r="B250" s="70" t="s">
        <v>869</v>
      </c>
      <c r="C250" s="97" t="s">
        <v>64</v>
      </c>
      <c r="D250" s="21" t="s">
        <v>29</v>
      </c>
      <c r="E250" s="167">
        <v>35960</v>
      </c>
      <c r="F250" s="165">
        <v>45822</v>
      </c>
      <c r="G250" s="168">
        <f t="shared" ca="1" si="4"/>
        <v>394</v>
      </c>
    </row>
    <row r="251" spans="2:7" hidden="1" x14ac:dyDescent="0.35">
      <c r="B251" s="70" t="s">
        <v>948</v>
      </c>
      <c r="C251" s="97" t="s">
        <v>70</v>
      </c>
      <c r="D251" s="21" t="s">
        <v>56</v>
      </c>
      <c r="E251" s="167">
        <v>37421</v>
      </c>
      <c r="F251" s="165">
        <v>45822</v>
      </c>
      <c r="G251" s="168">
        <f t="shared" ca="1" si="4"/>
        <v>394</v>
      </c>
    </row>
    <row r="252" spans="2:7" hidden="1" x14ac:dyDescent="0.35">
      <c r="B252" s="70" t="s">
        <v>902</v>
      </c>
      <c r="C252" s="97" t="s">
        <v>750</v>
      </c>
      <c r="D252" s="21" t="s">
        <v>37</v>
      </c>
      <c r="E252" s="167">
        <v>37503</v>
      </c>
      <c r="F252" s="165">
        <v>45904</v>
      </c>
      <c r="G252" s="168">
        <f t="shared" ca="1" si="4"/>
        <v>312</v>
      </c>
    </row>
    <row r="253" spans="2:7" hidden="1" x14ac:dyDescent="0.35">
      <c r="B253" s="70" t="s">
        <v>858</v>
      </c>
      <c r="C253" s="97" t="s">
        <v>64</v>
      </c>
      <c r="D253" s="21" t="s">
        <v>47</v>
      </c>
      <c r="E253" s="167">
        <v>37418</v>
      </c>
      <c r="F253" s="165">
        <v>45819</v>
      </c>
      <c r="G253" s="168">
        <f t="shared" ca="1" si="4"/>
        <v>397</v>
      </c>
    </row>
    <row r="254" spans="2:7" hidden="1" x14ac:dyDescent="0.35">
      <c r="B254" s="70" t="s">
        <v>924</v>
      </c>
      <c r="C254" s="97" t="s">
        <v>64</v>
      </c>
      <c r="D254" s="21" t="s">
        <v>29</v>
      </c>
      <c r="E254" s="167">
        <v>36322</v>
      </c>
      <c r="F254" s="165">
        <v>45819</v>
      </c>
      <c r="G254" s="168">
        <f t="shared" ca="1" si="4"/>
        <v>397</v>
      </c>
    </row>
    <row r="255" spans="2:7" hidden="1" x14ac:dyDescent="0.35">
      <c r="B255" s="70" t="s">
        <v>900</v>
      </c>
      <c r="C255" s="97" t="s">
        <v>65</v>
      </c>
      <c r="D255" s="21" t="s">
        <v>53</v>
      </c>
      <c r="E255" s="167">
        <v>36043</v>
      </c>
      <c r="F255" s="165">
        <v>45905</v>
      </c>
      <c r="G255" s="168">
        <f t="shared" ca="1" si="4"/>
        <v>311</v>
      </c>
    </row>
    <row r="256" spans="2:7" hidden="1" x14ac:dyDescent="0.35">
      <c r="B256" s="70" t="s">
        <v>919</v>
      </c>
      <c r="C256" s="97" t="s">
        <v>750</v>
      </c>
      <c r="D256" s="21" t="s">
        <v>41</v>
      </c>
      <c r="E256" s="167">
        <v>37140</v>
      </c>
      <c r="F256" s="165">
        <v>45906</v>
      </c>
      <c r="G256" s="168">
        <f t="shared" ca="1" si="4"/>
        <v>310</v>
      </c>
    </row>
    <row r="257" spans="2:7" hidden="1" x14ac:dyDescent="0.35">
      <c r="B257" s="70" t="s">
        <v>1115</v>
      </c>
      <c r="C257" s="97" t="s">
        <v>64</v>
      </c>
      <c r="D257" s="21" t="s">
        <v>35</v>
      </c>
      <c r="E257" s="167">
        <v>35588</v>
      </c>
      <c r="F257" s="165">
        <v>45815</v>
      </c>
      <c r="G257" s="168">
        <f t="shared" ca="1" si="4"/>
        <v>401</v>
      </c>
    </row>
    <row r="258" spans="2:7" hidden="1" x14ac:dyDescent="0.35">
      <c r="B258" s="70" t="s">
        <v>857</v>
      </c>
      <c r="C258" s="97" t="s">
        <v>750</v>
      </c>
      <c r="D258" s="21" t="s">
        <v>16</v>
      </c>
      <c r="E258" s="167">
        <v>33761</v>
      </c>
      <c r="F258" s="165">
        <v>45814</v>
      </c>
      <c r="G258" s="168">
        <f t="shared" ca="1" si="4"/>
        <v>402</v>
      </c>
    </row>
    <row r="259" spans="2:7" hidden="1" x14ac:dyDescent="0.35">
      <c r="B259" s="70" t="s">
        <v>1043</v>
      </c>
      <c r="C259" s="97" t="s">
        <v>750</v>
      </c>
      <c r="D259" s="21" t="s">
        <v>53</v>
      </c>
      <c r="E259" s="167">
        <v>36778</v>
      </c>
      <c r="F259" s="165">
        <v>45909</v>
      </c>
      <c r="G259" s="168">
        <f t="shared" ca="1" si="4"/>
        <v>307</v>
      </c>
    </row>
    <row r="260" spans="2:7" hidden="1" x14ac:dyDescent="0.35">
      <c r="B260" s="70" t="s">
        <v>1162</v>
      </c>
      <c r="C260" s="97" t="s">
        <v>65</v>
      </c>
      <c r="D260" s="21" t="s">
        <v>43</v>
      </c>
      <c r="E260" s="167">
        <v>35952</v>
      </c>
      <c r="F260" s="165">
        <v>45814</v>
      </c>
      <c r="G260" s="168">
        <f t="shared" ca="1" si="4"/>
        <v>402</v>
      </c>
    </row>
    <row r="261" spans="2:7" hidden="1" x14ac:dyDescent="0.35">
      <c r="B261" s="70" t="s">
        <v>898</v>
      </c>
      <c r="C261" s="97" t="s">
        <v>759</v>
      </c>
      <c r="D261" s="21" t="s">
        <v>53</v>
      </c>
      <c r="E261" s="167">
        <v>34955</v>
      </c>
      <c r="F261" s="165">
        <v>45913</v>
      </c>
      <c r="G261" s="168">
        <f t="shared" ca="1" si="4"/>
        <v>303</v>
      </c>
    </row>
    <row r="262" spans="2:7" hidden="1" x14ac:dyDescent="0.35">
      <c r="B262" s="70" t="s">
        <v>786</v>
      </c>
      <c r="C262" s="97" t="s">
        <v>750</v>
      </c>
      <c r="D262" s="21" t="s">
        <v>40</v>
      </c>
      <c r="E262" s="167">
        <v>35585</v>
      </c>
      <c r="F262" s="165">
        <v>45812</v>
      </c>
      <c r="G262" s="168">
        <f t="shared" ca="1" si="4"/>
        <v>404</v>
      </c>
    </row>
    <row r="263" spans="2:7" hidden="1" x14ac:dyDescent="0.35">
      <c r="B263" s="70" t="s">
        <v>854</v>
      </c>
      <c r="C263" s="97" t="s">
        <v>750</v>
      </c>
      <c r="D263" s="21" t="s">
        <v>55</v>
      </c>
      <c r="E263" s="167">
        <v>37775</v>
      </c>
      <c r="F263" s="165">
        <v>45811</v>
      </c>
      <c r="G263" s="168">
        <f t="shared" ca="1" si="4"/>
        <v>405</v>
      </c>
    </row>
    <row r="264" spans="2:7" hidden="1" x14ac:dyDescent="0.35">
      <c r="B264" s="70" t="s">
        <v>1020</v>
      </c>
      <c r="C264" s="97" t="s">
        <v>64</v>
      </c>
      <c r="D264" s="21" t="s">
        <v>34</v>
      </c>
      <c r="E264" s="167">
        <v>36782</v>
      </c>
      <c r="F264" s="165">
        <v>45913</v>
      </c>
      <c r="G264" s="168">
        <f t="shared" ref="G264:G327" ca="1" si="5">TODAY()-F264</f>
        <v>303</v>
      </c>
    </row>
    <row r="265" spans="2:7" hidden="1" x14ac:dyDescent="0.35">
      <c r="B265" s="70" t="s">
        <v>1131</v>
      </c>
      <c r="C265" s="97" t="s">
        <v>70</v>
      </c>
      <c r="D265" s="21" t="s">
        <v>29</v>
      </c>
      <c r="E265" s="167">
        <v>36679</v>
      </c>
      <c r="F265" s="165">
        <v>45810</v>
      </c>
      <c r="G265" s="168">
        <f t="shared" ca="1" si="5"/>
        <v>406</v>
      </c>
    </row>
    <row r="266" spans="2:7" x14ac:dyDescent="0.35">
      <c r="B266" s="70" t="s">
        <v>809</v>
      </c>
      <c r="C266" s="97" t="s">
        <v>750</v>
      </c>
      <c r="D266" s="21" t="s">
        <v>46</v>
      </c>
      <c r="E266" s="167">
        <v>34228</v>
      </c>
      <c r="F266" s="165">
        <v>45916</v>
      </c>
      <c r="G266" s="168">
        <f t="shared" ca="1" si="5"/>
        <v>300</v>
      </c>
    </row>
    <row r="267" spans="2:7" hidden="1" x14ac:dyDescent="0.35">
      <c r="B267" s="70" t="s">
        <v>1112</v>
      </c>
      <c r="C267" s="97" t="s">
        <v>64</v>
      </c>
      <c r="D267" s="21" t="s">
        <v>49</v>
      </c>
      <c r="E267" s="167">
        <v>37042</v>
      </c>
      <c r="F267" s="165">
        <v>45808</v>
      </c>
      <c r="G267" s="168">
        <f t="shared" ca="1" si="5"/>
        <v>408</v>
      </c>
    </row>
    <row r="268" spans="2:7" hidden="1" x14ac:dyDescent="0.35">
      <c r="B268" s="70" t="s">
        <v>1034</v>
      </c>
      <c r="C268" s="97" t="s">
        <v>64</v>
      </c>
      <c r="D268" s="21" t="s">
        <v>17</v>
      </c>
      <c r="E268" s="167">
        <v>35690</v>
      </c>
      <c r="F268" s="165">
        <v>45917</v>
      </c>
      <c r="G268" s="168">
        <f t="shared" ca="1" si="5"/>
        <v>299</v>
      </c>
    </row>
    <row r="269" spans="2:7" hidden="1" x14ac:dyDescent="0.35">
      <c r="B269" s="70" t="s">
        <v>1154</v>
      </c>
      <c r="C269" s="97" t="s">
        <v>750</v>
      </c>
      <c r="D269" s="21" t="s">
        <v>0</v>
      </c>
      <c r="E269" s="167">
        <v>35944</v>
      </c>
      <c r="F269" s="165">
        <v>45806</v>
      </c>
      <c r="G269" s="168">
        <f t="shared" ca="1" si="5"/>
        <v>410</v>
      </c>
    </row>
    <row r="270" spans="2:7" hidden="1" x14ac:dyDescent="0.35">
      <c r="B270" s="70" t="s">
        <v>884</v>
      </c>
      <c r="C270" s="97" t="s">
        <v>65</v>
      </c>
      <c r="D270" s="21" t="s">
        <v>38</v>
      </c>
      <c r="E270" s="167">
        <v>35577</v>
      </c>
      <c r="F270" s="165">
        <v>45804</v>
      </c>
      <c r="G270" s="168">
        <f t="shared" ca="1" si="5"/>
        <v>412</v>
      </c>
    </row>
    <row r="271" spans="2:7" hidden="1" x14ac:dyDescent="0.35">
      <c r="B271" s="70" t="s">
        <v>1101</v>
      </c>
      <c r="C271" s="97" t="s">
        <v>65</v>
      </c>
      <c r="D271" s="21" t="s">
        <v>36</v>
      </c>
      <c r="E271" s="167">
        <v>36305</v>
      </c>
      <c r="F271" s="165">
        <v>45802</v>
      </c>
      <c r="G271" s="168">
        <f t="shared" ca="1" si="5"/>
        <v>414</v>
      </c>
    </row>
    <row r="272" spans="2:7" hidden="1" x14ac:dyDescent="0.35">
      <c r="B272" s="70" t="s">
        <v>1148</v>
      </c>
      <c r="C272" s="97" t="s">
        <v>65</v>
      </c>
      <c r="D272" s="21" t="s">
        <v>55</v>
      </c>
      <c r="E272" s="167">
        <v>37401</v>
      </c>
      <c r="F272" s="165">
        <v>45802</v>
      </c>
      <c r="G272" s="168">
        <f t="shared" ca="1" si="5"/>
        <v>414</v>
      </c>
    </row>
    <row r="273" spans="2:7" hidden="1" x14ac:dyDescent="0.35">
      <c r="B273" s="70" t="s">
        <v>956</v>
      </c>
      <c r="C273" s="97" t="s">
        <v>64</v>
      </c>
      <c r="D273" s="21" t="s">
        <v>45</v>
      </c>
      <c r="E273" s="167">
        <v>36304</v>
      </c>
      <c r="F273" s="165">
        <v>45801</v>
      </c>
      <c r="G273" s="168">
        <f t="shared" ca="1" si="5"/>
        <v>415</v>
      </c>
    </row>
    <row r="274" spans="2:7" hidden="1" x14ac:dyDescent="0.35">
      <c r="B274" s="70" t="s">
        <v>1138</v>
      </c>
      <c r="C274" s="97" t="s">
        <v>70</v>
      </c>
      <c r="D274" s="21" t="s">
        <v>38</v>
      </c>
      <c r="E274" s="167">
        <v>37400</v>
      </c>
      <c r="F274" s="165">
        <v>45801</v>
      </c>
      <c r="G274" s="168">
        <f t="shared" ca="1" si="5"/>
        <v>415</v>
      </c>
    </row>
    <row r="275" spans="2:7" hidden="1" x14ac:dyDescent="0.35">
      <c r="B275" s="70" t="s">
        <v>861</v>
      </c>
      <c r="C275" s="97" t="s">
        <v>65</v>
      </c>
      <c r="D275" s="21" t="s">
        <v>38</v>
      </c>
      <c r="E275" s="167">
        <v>37398</v>
      </c>
      <c r="F275" s="165">
        <v>45799</v>
      </c>
      <c r="G275" s="168">
        <f t="shared" ca="1" si="5"/>
        <v>417</v>
      </c>
    </row>
    <row r="276" spans="2:7" hidden="1" x14ac:dyDescent="0.35">
      <c r="B276" s="70" t="s">
        <v>1137</v>
      </c>
      <c r="C276" s="97" t="s">
        <v>750</v>
      </c>
      <c r="D276" s="21" t="s">
        <v>53</v>
      </c>
      <c r="E276" s="167">
        <v>34598</v>
      </c>
      <c r="F276" s="165">
        <v>45921</v>
      </c>
      <c r="G276" s="168">
        <f t="shared" ca="1" si="5"/>
        <v>295</v>
      </c>
    </row>
    <row r="277" spans="2:7" hidden="1" x14ac:dyDescent="0.35">
      <c r="B277" s="70" t="s">
        <v>777</v>
      </c>
      <c r="C277" s="97" t="s">
        <v>750</v>
      </c>
      <c r="D277" s="21" t="s">
        <v>39</v>
      </c>
      <c r="E277" s="167">
        <v>37759</v>
      </c>
      <c r="F277" s="165">
        <v>45795</v>
      </c>
      <c r="G277" s="168">
        <f t="shared" ca="1" si="5"/>
        <v>421</v>
      </c>
    </row>
    <row r="278" spans="2:7" hidden="1" x14ac:dyDescent="0.35">
      <c r="B278" s="70" t="s">
        <v>1036</v>
      </c>
      <c r="C278" s="97" t="s">
        <v>750</v>
      </c>
      <c r="D278" s="21" t="s">
        <v>54</v>
      </c>
      <c r="E278" s="167">
        <v>37394</v>
      </c>
      <c r="F278" s="165">
        <v>45795</v>
      </c>
      <c r="G278" s="168">
        <f t="shared" ca="1" si="5"/>
        <v>421</v>
      </c>
    </row>
    <row r="279" spans="2:7" hidden="1" x14ac:dyDescent="0.35">
      <c r="B279" s="70" t="s">
        <v>870</v>
      </c>
      <c r="C279" s="97" t="s">
        <v>750</v>
      </c>
      <c r="D279" s="21" t="s">
        <v>17</v>
      </c>
      <c r="E279" s="167">
        <v>36425</v>
      </c>
      <c r="F279" s="165">
        <v>45922</v>
      </c>
      <c r="G279" s="168">
        <f t="shared" ca="1" si="5"/>
        <v>294</v>
      </c>
    </row>
    <row r="280" spans="2:7" hidden="1" x14ac:dyDescent="0.35">
      <c r="B280" s="70" t="s">
        <v>941</v>
      </c>
      <c r="C280" s="97" t="s">
        <v>64</v>
      </c>
      <c r="D280" s="21" t="s">
        <v>56</v>
      </c>
      <c r="E280" s="167">
        <v>34836</v>
      </c>
      <c r="F280" s="165">
        <v>45794</v>
      </c>
      <c r="G280" s="168">
        <f t="shared" ca="1" si="5"/>
        <v>422</v>
      </c>
    </row>
    <row r="281" spans="2:7" hidden="1" x14ac:dyDescent="0.35">
      <c r="B281" s="70" t="s">
        <v>931</v>
      </c>
      <c r="C281" s="97" t="s">
        <v>65</v>
      </c>
      <c r="D281" s="21" t="s">
        <v>51</v>
      </c>
      <c r="E281" s="167">
        <v>37158</v>
      </c>
      <c r="F281" s="165">
        <v>45924</v>
      </c>
      <c r="G281" s="168">
        <f t="shared" ca="1" si="5"/>
        <v>292</v>
      </c>
    </row>
    <row r="282" spans="2:7" hidden="1" x14ac:dyDescent="0.35">
      <c r="B282" s="70" t="s">
        <v>978</v>
      </c>
      <c r="C282" s="97" t="s">
        <v>65</v>
      </c>
      <c r="D282" s="21" t="s">
        <v>40</v>
      </c>
      <c r="E282" s="167">
        <v>35201</v>
      </c>
      <c r="F282" s="165">
        <v>45793</v>
      </c>
      <c r="G282" s="168">
        <f t="shared" ca="1" si="5"/>
        <v>423</v>
      </c>
    </row>
    <row r="283" spans="2:7" hidden="1" x14ac:dyDescent="0.35">
      <c r="B283" s="70" t="s">
        <v>862</v>
      </c>
      <c r="C283" s="97" t="s">
        <v>65</v>
      </c>
      <c r="D283" s="21" t="s">
        <v>48</v>
      </c>
      <c r="E283" s="167">
        <v>37754</v>
      </c>
      <c r="F283" s="165">
        <v>45790</v>
      </c>
      <c r="G283" s="168">
        <f t="shared" ca="1" si="5"/>
        <v>426</v>
      </c>
    </row>
    <row r="284" spans="2:7" hidden="1" x14ac:dyDescent="0.35">
      <c r="B284" s="70" t="s">
        <v>933</v>
      </c>
      <c r="C284" s="97" t="s">
        <v>64</v>
      </c>
      <c r="D284" s="21" t="s">
        <v>31</v>
      </c>
      <c r="E284" s="167">
        <v>37389</v>
      </c>
      <c r="F284" s="165">
        <v>45790</v>
      </c>
      <c r="G284" s="168">
        <f t="shared" ca="1" si="5"/>
        <v>426</v>
      </c>
    </row>
    <row r="285" spans="2:7" hidden="1" x14ac:dyDescent="0.35">
      <c r="B285" s="70" t="s">
        <v>976</v>
      </c>
      <c r="C285" s="97" t="s">
        <v>750</v>
      </c>
      <c r="D285" s="21" t="s">
        <v>36</v>
      </c>
      <c r="E285" s="167">
        <v>36292</v>
      </c>
      <c r="F285" s="165">
        <v>45789</v>
      </c>
      <c r="G285" s="168">
        <f t="shared" ca="1" si="5"/>
        <v>427</v>
      </c>
    </row>
    <row r="286" spans="2:7" hidden="1" x14ac:dyDescent="0.35">
      <c r="B286" s="70" t="s">
        <v>1062</v>
      </c>
      <c r="C286" s="97" t="s">
        <v>750</v>
      </c>
      <c r="D286" s="21" t="s">
        <v>17</v>
      </c>
      <c r="E286" s="167">
        <v>34237</v>
      </c>
      <c r="F286" s="165">
        <v>45925</v>
      </c>
      <c r="G286" s="168">
        <f t="shared" ca="1" si="5"/>
        <v>291</v>
      </c>
    </row>
    <row r="287" spans="2:7" hidden="1" x14ac:dyDescent="0.35">
      <c r="B287" s="70" t="s">
        <v>1175</v>
      </c>
      <c r="C287" s="97" t="s">
        <v>64</v>
      </c>
      <c r="D287" s="21" t="s">
        <v>45</v>
      </c>
      <c r="E287" s="167">
        <v>35927</v>
      </c>
      <c r="F287" s="165">
        <v>45789</v>
      </c>
      <c r="G287" s="168">
        <f t="shared" ca="1" si="5"/>
        <v>427</v>
      </c>
    </row>
    <row r="288" spans="2:7" hidden="1" x14ac:dyDescent="0.35">
      <c r="B288" s="70" t="s">
        <v>843</v>
      </c>
      <c r="C288" s="97" t="s">
        <v>64</v>
      </c>
      <c r="D288" s="21" t="s">
        <v>17</v>
      </c>
      <c r="E288" s="167">
        <v>36428</v>
      </c>
      <c r="F288" s="165">
        <v>45925</v>
      </c>
      <c r="G288" s="168">
        <f t="shared" ca="1" si="5"/>
        <v>291</v>
      </c>
    </row>
    <row r="289" spans="2:7" hidden="1" x14ac:dyDescent="0.35">
      <c r="B289" s="70" t="s">
        <v>748</v>
      </c>
      <c r="C289" s="97" t="s">
        <v>64</v>
      </c>
      <c r="D289" s="21" t="s">
        <v>36</v>
      </c>
      <c r="E289" s="167">
        <v>36288</v>
      </c>
      <c r="F289" s="165">
        <v>45785</v>
      </c>
      <c r="G289" s="168">
        <f t="shared" ca="1" si="5"/>
        <v>431</v>
      </c>
    </row>
    <row r="290" spans="2:7" hidden="1" x14ac:dyDescent="0.35">
      <c r="B290" s="70" t="s">
        <v>934</v>
      </c>
      <c r="C290" s="97" t="s">
        <v>70</v>
      </c>
      <c r="D290" s="21" t="s">
        <v>49</v>
      </c>
      <c r="E290" s="167">
        <v>38115</v>
      </c>
      <c r="F290" s="165">
        <v>45785</v>
      </c>
      <c r="G290" s="168">
        <f t="shared" ca="1" si="5"/>
        <v>431</v>
      </c>
    </row>
    <row r="291" spans="2:7" hidden="1" x14ac:dyDescent="0.35">
      <c r="B291" s="70" t="s">
        <v>1008</v>
      </c>
      <c r="C291" s="97" t="s">
        <v>65</v>
      </c>
      <c r="D291" s="21" t="s">
        <v>15</v>
      </c>
      <c r="E291" s="167">
        <v>36654</v>
      </c>
      <c r="F291" s="165">
        <v>45785</v>
      </c>
      <c r="G291" s="168">
        <f t="shared" ca="1" si="5"/>
        <v>431</v>
      </c>
    </row>
    <row r="292" spans="2:7" hidden="1" x14ac:dyDescent="0.35">
      <c r="B292" s="70" t="s">
        <v>863</v>
      </c>
      <c r="C292" s="97" t="s">
        <v>64</v>
      </c>
      <c r="D292" s="21" t="s">
        <v>0</v>
      </c>
      <c r="E292" s="167">
        <v>36287</v>
      </c>
      <c r="F292" s="165">
        <v>45784</v>
      </c>
      <c r="G292" s="168">
        <f t="shared" ca="1" si="5"/>
        <v>432</v>
      </c>
    </row>
    <row r="293" spans="2:7" hidden="1" x14ac:dyDescent="0.35">
      <c r="B293" s="70" t="s">
        <v>1151</v>
      </c>
      <c r="C293" s="97" t="s">
        <v>750</v>
      </c>
      <c r="D293" s="21" t="s">
        <v>42</v>
      </c>
      <c r="E293" s="167">
        <v>36800</v>
      </c>
      <c r="F293" s="165">
        <v>45931</v>
      </c>
      <c r="G293" s="168">
        <f t="shared" ca="1" si="5"/>
        <v>285</v>
      </c>
    </row>
    <row r="294" spans="2:7" hidden="1" x14ac:dyDescent="0.35">
      <c r="B294" s="70" t="s">
        <v>215</v>
      </c>
      <c r="C294" s="97" t="s">
        <v>65</v>
      </c>
      <c r="D294" s="21" t="s">
        <v>37</v>
      </c>
      <c r="E294" s="167">
        <v>37167</v>
      </c>
      <c r="F294" s="165">
        <v>45933</v>
      </c>
      <c r="G294" s="168">
        <f t="shared" ca="1" si="5"/>
        <v>283</v>
      </c>
    </row>
    <row r="295" spans="2:7" hidden="1" x14ac:dyDescent="0.35">
      <c r="B295" s="70" t="s">
        <v>1065</v>
      </c>
      <c r="C295" s="97" t="s">
        <v>64</v>
      </c>
      <c r="D295" s="21" t="s">
        <v>0</v>
      </c>
      <c r="E295" s="167">
        <v>34824</v>
      </c>
      <c r="F295" s="165">
        <v>45782</v>
      </c>
      <c r="G295" s="168">
        <f t="shared" ca="1" si="5"/>
        <v>434</v>
      </c>
    </row>
    <row r="296" spans="2:7" hidden="1" x14ac:dyDescent="0.35">
      <c r="B296" s="70" t="s">
        <v>1106</v>
      </c>
      <c r="C296" s="97" t="s">
        <v>750</v>
      </c>
      <c r="D296" s="21" t="s">
        <v>42</v>
      </c>
      <c r="E296" s="167">
        <v>36440</v>
      </c>
      <c r="F296" s="165">
        <v>45937</v>
      </c>
      <c r="G296" s="168">
        <f t="shared" ca="1" si="5"/>
        <v>279</v>
      </c>
    </row>
    <row r="297" spans="2:7" hidden="1" x14ac:dyDescent="0.35">
      <c r="B297" s="70" t="s">
        <v>1053</v>
      </c>
      <c r="C297" s="97" t="s">
        <v>70</v>
      </c>
      <c r="D297" s="21" t="s">
        <v>53</v>
      </c>
      <c r="E297" s="167">
        <v>34251</v>
      </c>
      <c r="F297" s="165">
        <v>45939</v>
      </c>
      <c r="G297" s="168">
        <f t="shared" ca="1" si="5"/>
        <v>277</v>
      </c>
    </row>
    <row r="298" spans="2:7" hidden="1" x14ac:dyDescent="0.35">
      <c r="B298" s="70" t="s">
        <v>453</v>
      </c>
      <c r="C298" s="97" t="s">
        <v>64</v>
      </c>
      <c r="D298" s="21" t="s">
        <v>50</v>
      </c>
      <c r="E298" s="167">
        <v>35917</v>
      </c>
      <c r="F298" s="165">
        <v>45779</v>
      </c>
      <c r="G298" s="168">
        <f t="shared" ca="1" si="5"/>
        <v>437</v>
      </c>
    </row>
    <row r="299" spans="2:7" hidden="1" x14ac:dyDescent="0.35">
      <c r="B299" s="70" t="s">
        <v>894</v>
      </c>
      <c r="C299" s="97" t="s">
        <v>750</v>
      </c>
      <c r="D299" s="21" t="s">
        <v>38</v>
      </c>
      <c r="E299" s="167">
        <v>36648</v>
      </c>
      <c r="F299" s="165">
        <v>45779</v>
      </c>
      <c r="G299" s="168">
        <f t="shared" ca="1" si="5"/>
        <v>437</v>
      </c>
    </row>
    <row r="300" spans="2:7" hidden="1" x14ac:dyDescent="0.35">
      <c r="B300" s="70" t="s">
        <v>1088</v>
      </c>
      <c r="C300" s="97" t="s">
        <v>64</v>
      </c>
      <c r="D300" s="21" t="s">
        <v>40</v>
      </c>
      <c r="E300" s="167">
        <v>35917</v>
      </c>
      <c r="F300" s="165">
        <v>45779</v>
      </c>
      <c r="G300" s="168">
        <f t="shared" ca="1" si="5"/>
        <v>437</v>
      </c>
    </row>
    <row r="301" spans="2:7" hidden="1" x14ac:dyDescent="0.35">
      <c r="B301" s="70" t="s">
        <v>1116</v>
      </c>
      <c r="C301" s="97" t="s">
        <v>750</v>
      </c>
      <c r="D301" s="21" t="s">
        <v>56</v>
      </c>
      <c r="E301" s="167">
        <v>37377</v>
      </c>
      <c r="F301" s="165">
        <v>45778</v>
      </c>
      <c r="G301" s="168">
        <f t="shared" ca="1" si="5"/>
        <v>438</v>
      </c>
    </row>
    <row r="302" spans="2:7" hidden="1" x14ac:dyDescent="0.35">
      <c r="B302" s="70" t="s">
        <v>1149</v>
      </c>
      <c r="C302" s="97" t="s">
        <v>64</v>
      </c>
      <c r="D302" s="21" t="s">
        <v>33</v>
      </c>
      <c r="E302" s="167">
        <v>35551</v>
      </c>
      <c r="F302" s="165">
        <v>45778</v>
      </c>
      <c r="G302" s="168">
        <f t="shared" ca="1" si="5"/>
        <v>438</v>
      </c>
    </row>
    <row r="303" spans="2:7" hidden="1" x14ac:dyDescent="0.35">
      <c r="B303" s="70" t="s">
        <v>819</v>
      </c>
      <c r="C303" s="97" t="s">
        <v>64</v>
      </c>
      <c r="D303" s="21" t="s">
        <v>55</v>
      </c>
      <c r="E303" s="167">
        <v>35550</v>
      </c>
      <c r="F303" s="165">
        <v>45777</v>
      </c>
      <c r="G303" s="168">
        <f t="shared" ca="1" si="5"/>
        <v>439</v>
      </c>
    </row>
    <row r="304" spans="2:7" hidden="1" x14ac:dyDescent="0.35">
      <c r="B304" s="70" t="s">
        <v>1166</v>
      </c>
      <c r="C304" s="97" t="s">
        <v>70</v>
      </c>
      <c r="D304" s="21" t="s">
        <v>40</v>
      </c>
      <c r="E304" s="167">
        <v>36280</v>
      </c>
      <c r="F304" s="165">
        <v>45777</v>
      </c>
      <c r="G304" s="168">
        <f t="shared" ca="1" si="5"/>
        <v>439</v>
      </c>
    </row>
    <row r="305" spans="2:7" hidden="1" x14ac:dyDescent="0.35">
      <c r="B305" s="70" t="s">
        <v>1069</v>
      </c>
      <c r="C305" s="97" t="s">
        <v>750</v>
      </c>
      <c r="D305" s="21" t="s">
        <v>36</v>
      </c>
      <c r="E305" s="167">
        <v>36644</v>
      </c>
      <c r="F305" s="165">
        <v>45775</v>
      </c>
      <c r="G305" s="168">
        <f t="shared" ca="1" si="5"/>
        <v>441</v>
      </c>
    </row>
    <row r="306" spans="2:7" hidden="1" x14ac:dyDescent="0.35">
      <c r="B306" s="70" t="s">
        <v>961</v>
      </c>
      <c r="C306" s="97" t="s">
        <v>750</v>
      </c>
      <c r="D306" s="21" t="s">
        <v>34</v>
      </c>
      <c r="E306" s="167">
        <v>34982</v>
      </c>
      <c r="F306" s="165">
        <v>45940</v>
      </c>
      <c r="G306" s="168">
        <f t="shared" ca="1" si="5"/>
        <v>276</v>
      </c>
    </row>
    <row r="307" spans="2:7" hidden="1" x14ac:dyDescent="0.35">
      <c r="B307" s="70" t="s">
        <v>1125</v>
      </c>
      <c r="C307" s="97" t="s">
        <v>750</v>
      </c>
      <c r="D307" s="21" t="s">
        <v>40</v>
      </c>
      <c r="E307" s="167">
        <v>37738</v>
      </c>
      <c r="F307" s="165">
        <v>45774</v>
      </c>
      <c r="G307" s="168">
        <f t="shared" ca="1" si="5"/>
        <v>442</v>
      </c>
    </row>
    <row r="308" spans="2:7" hidden="1" x14ac:dyDescent="0.35">
      <c r="B308" s="70" t="s">
        <v>1073</v>
      </c>
      <c r="C308" s="97" t="s">
        <v>64</v>
      </c>
      <c r="D308" s="21" t="s">
        <v>33</v>
      </c>
      <c r="E308" s="167">
        <v>36641</v>
      </c>
      <c r="F308" s="165">
        <v>45772</v>
      </c>
      <c r="G308" s="168">
        <f t="shared" ca="1" si="5"/>
        <v>444</v>
      </c>
    </row>
    <row r="309" spans="2:7" hidden="1" x14ac:dyDescent="0.35">
      <c r="B309" s="70" t="s">
        <v>1128</v>
      </c>
      <c r="C309" s="97" t="s">
        <v>750</v>
      </c>
      <c r="D309" s="21" t="s">
        <v>32</v>
      </c>
      <c r="E309" s="167">
        <v>36274</v>
      </c>
      <c r="F309" s="165">
        <v>45771</v>
      </c>
      <c r="G309" s="168">
        <f t="shared" ca="1" si="5"/>
        <v>445</v>
      </c>
    </row>
    <row r="310" spans="2:7" hidden="1" x14ac:dyDescent="0.35">
      <c r="B310" s="70" t="s">
        <v>848</v>
      </c>
      <c r="C310" s="97" t="s">
        <v>750</v>
      </c>
      <c r="D310" s="21" t="s">
        <v>55</v>
      </c>
      <c r="E310" s="167">
        <v>37368</v>
      </c>
      <c r="F310" s="165">
        <v>45769</v>
      </c>
      <c r="G310" s="168">
        <f t="shared" ca="1" si="5"/>
        <v>447</v>
      </c>
    </row>
    <row r="311" spans="2:7" hidden="1" x14ac:dyDescent="0.35">
      <c r="B311" s="70" t="s">
        <v>1167</v>
      </c>
      <c r="C311" s="97" t="s">
        <v>750</v>
      </c>
      <c r="D311" s="21" t="s">
        <v>40</v>
      </c>
      <c r="E311" s="167">
        <v>36638</v>
      </c>
      <c r="F311" s="165">
        <v>45769</v>
      </c>
      <c r="G311" s="168">
        <f t="shared" ca="1" si="5"/>
        <v>447</v>
      </c>
    </row>
    <row r="312" spans="2:7" hidden="1" x14ac:dyDescent="0.35">
      <c r="B312" s="70" t="s">
        <v>793</v>
      </c>
      <c r="C312" s="97" t="s">
        <v>64</v>
      </c>
      <c r="D312" s="21" t="s">
        <v>49</v>
      </c>
      <c r="E312" s="167">
        <v>35906</v>
      </c>
      <c r="F312" s="165">
        <v>45768</v>
      </c>
      <c r="G312" s="168">
        <f t="shared" ca="1" si="5"/>
        <v>448</v>
      </c>
    </row>
    <row r="313" spans="2:7" hidden="1" x14ac:dyDescent="0.35">
      <c r="B313" s="70" t="s">
        <v>829</v>
      </c>
      <c r="C313" s="97" t="s">
        <v>750</v>
      </c>
      <c r="D313" s="21" t="s">
        <v>33</v>
      </c>
      <c r="E313" s="167">
        <v>37001</v>
      </c>
      <c r="F313" s="165">
        <v>45767</v>
      </c>
      <c r="G313" s="168">
        <f t="shared" ca="1" si="5"/>
        <v>449</v>
      </c>
    </row>
    <row r="314" spans="2:7" hidden="1" x14ac:dyDescent="0.35">
      <c r="B314" s="70" t="s">
        <v>832</v>
      </c>
      <c r="C314" s="97" t="s">
        <v>750</v>
      </c>
      <c r="D314" s="21" t="s">
        <v>32</v>
      </c>
      <c r="E314" s="167">
        <v>36635</v>
      </c>
      <c r="F314" s="165">
        <v>45766</v>
      </c>
      <c r="G314" s="168">
        <f t="shared" ca="1" si="5"/>
        <v>450</v>
      </c>
    </row>
    <row r="315" spans="2:7" hidden="1" x14ac:dyDescent="0.35">
      <c r="B315" s="70" t="s">
        <v>1097</v>
      </c>
      <c r="C315" s="97" t="s">
        <v>70</v>
      </c>
      <c r="D315" s="21" t="s">
        <v>16</v>
      </c>
      <c r="E315" s="167">
        <v>36634</v>
      </c>
      <c r="F315" s="165">
        <v>45765</v>
      </c>
      <c r="G315" s="168">
        <f t="shared" ca="1" si="5"/>
        <v>451</v>
      </c>
    </row>
    <row r="316" spans="2:7" hidden="1" x14ac:dyDescent="0.35">
      <c r="B316" s="70" t="s">
        <v>903</v>
      </c>
      <c r="C316" s="97" t="s">
        <v>70</v>
      </c>
      <c r="D316" s="21" t="s">
        <v>31</v>
      </c>
      <c r="E316" s="167">
        <v>35171</v>
      </c>
      <c r="F316" s="165">
        <v>45763</v>
      </c>
      <c r="G316" s="168">
        <f t="shared" ca="1" si="5"/>
        <v>453</v>
      </c>
    </row>
    <row r="317" spans="2:7" hidden="1" x14ac:dyDescent="0.35">
      <c r="B317" s="70" t="s">
        <v>867</v>
      </c>
      <c r="C317" s="97" t="s">
        <v>64</v>
      </c>
      <c r="D317" s="21" t="s">
        <v>15</v>
      </c>
      <c r="E317" s="167">
        <v>36631</v>
      </c>
      <c r="F317" s="165">
        <v>45762</v>
      </c>
      <c r="G317" s="168">
        <f t="shared" ca="1" si="5"/>
        <v>454</v>
      </c>
    </row>
    <row r="318" spans="2:7" hidden="1" x14ac:dyDescent="0.35">
      <c r="B318" s="70" t="s">
        <v>1118</v>
      </c>
      <c r="C318" s="97" t="s">
        <v>70</v>
      </c>
      <c r="D318" s="21" t="s">
        <v>54</v>
      </c>
      <c r="E318" s="167">
        <v>36265</v>
      </c>
      <c r="F318" s="165">
        <v>45762</v>
      </c>
      <c r="G318" s="168">
        <f t="shared" ca="1" si="5"/>
        <v>454</v>
      </c>
    </row>
    <row r="319" spans="2:7" hidden="1" x14ac:dyDescent="0.35">
      <c r="B319" s="70" t="s">
        <v>761</v>
      </c>
      <c r="C319" s="97" t="s">
        <v>750</v>
      </c>
      <c r="D319" s="21" t="s">
        <v>41</v>
      </c>
      <c r="E319" s="167">
        <v>37180</v>
      </c>
      <c r="F319" s="165">
        <v>45946</v>
      </c>
      <c r="G319" s="168">
        <f t="shared" ca="1" si="5"/>
        <v>270</v>
      </c>
    </row>
    <row r="320" spans="2:7" hidden="1" x14ac:dyDescent="0.35">
      <c r="B320" s="70" t="s">
        <v>781</v>
      </c>
      <c r="C320" s="97" t="s">
        <v>65</v>
      </c>
      <c r="D320" s="21" t="s">
        <v>54</v>
      </c>
      <c r="E320" s="167">
        <v>34803</v>
      </c>
      <c r="F320" s="165">
        <v>45761</v>
      </c>
      <c r="G320" s="168">
        <f t="shared" ca="1" si="5"/>
        <v>455</v>
      </c>
    </row>
    <row r="321" spans="2:7" hidden="1" x14ac:dyDescent="0.35">
      <c r="B321" s="70" t="s">
        <v>1183</v>
      </c>
      <c r="C321" s="97" t="s">
        <v>750</v>
      </c>
      <c r="D321" s="21" t="s">
        <v>36</v>
      </c>
      <c r="E321" s="167">
        <v>36629</v>
      </c>
      <c r="F321" s="165">
        <v>45760</v>
      </c>
      <c r="G321" s="168">
        <f t="shared" ca="1" si="5"/>
        <v>456</v>
      </c>
    </row>
    <row r="322" spans="2:7" hidden="1" x14ac:dyDescent="0.35">
      <c r="B322" s="70" t="s">
        <v>1061</v>
      </c>
      <c r="C322" s="97" t="s">
        <v>64</v>
      </c>
      <c r="D322" s="21" t="s">
        <v>56</v>
      </c>
      <c r="E322" s="167">
        <v>36993</v>
      </c>
      <c r="F322" s="165">
        <v>45759</v>
      </c>
      <c r="G322" s="168">
        <f t="shared" ca="1" si="5"/>
        <v>457</v>
      </c>
    </row>
    <row r="323" spans="2:7" hidden="1" x14ac:dyDescent="0.35">
      <c r="B323" s="70" t="s">
        <v>767</v>
      </c>
      <c r="C323" s="97" t="s">
        <v>750</v>
      </c>
      <c r="D323" s="21" t="s">
        <v>47</v>
      </c>
      <c r="E323" s="167">
        <v>37357</v>
      </c>
      <c r="F323" s="165">
        <v>45758</v>
      </c>
      <c r="G323" s="168">
        <f t="shared" ca="1" si="5"/>
        <v>458</v>
      </c>
    </row>
    <row r="324" spans="2:7" hidden="1" x14ac:dyDescent="0.35">
      <c r="B324" s="70" t="s">
        <v>879</v>
      </c>
      <c r="C324" s="97" t="s">
        <v>64</v>
      </c>
      <c r="D324" s="21" t="s">
        <v>0</v>
      </c>
      <c r="E324" s="167">
        <v>36992</v>
      </c>
      <c r="F324" s="165">
        <v>45758</v>
      </c>
      <c r="G324" s="168">
        <f t="shared" ca="1" si="5"/>
        <v>458</v>
      </c>
    </row>
    <row r="325" spans="2:7" hidden="1" x14ac:dyDescent="0.35">
      <c r="B325" s="70" t="s">
        <v>917</v>
      </c>
      <c r="C325" s="97" t="s">
        <v>64</v>
      </c>
      <c r="D325" s="21" t="s">
        <v>40</v>
      </c>
      <c r="E325" s="167">
        <v>37722</v>
      </c>
      <c r="F325" s="165">
        <v>45758</v>
      </c>
      <c r="G325" s="168">
        <f t="shared" ca="1" si="5"/>
        <v>458</v>
      </c>
    </row>
    <row r="326" spans="2:7" hidden="1" x14ac:dyDescent="0.35">
      <c r="B326" s="70" t="s">
        <v>1042</v>
      </c>
      <c r="C326" s="97" t="s">
        <v>65</v>
      </c>
      <c r="D326" s="21" t="s">
        <v>31</v>
      </c>
      <c r="E326" s="167">
        <v>35166</v>
      </c>
      <c r="F326" s="165">
        <v>45758</v>
      </c>
      <c r="G326" s="168">
        <f t="shared" ca="1" si="5"/>
        <v>458</v>
      </c>
    </row>
    <row r="327" spans="2:7" hidden="1" x14ac:dyDescent="0.35">
      <c r="B327" s="70" t="s">
        <v>922</v>
      </c>
      <c r="C327" s="97" t="s">
        <v>70</v>
      </c>
      <c r="D327" s="21" t="s">
        <v>17</v>
      </c>
      <c r="E327" s="167">
        <v>36451</v>
      </c>
      <c r="F327" s="165">
        <v>45948</v>
      </c>
      <c r="G327" s="168">
        <f t="shared" ca="1" si="5"/>
        <v>268</v>
      </c>
    </row>
    <row r="328" spans="2:7" hidden="1" x14ac:dyDescent="0.35">
      <c r="B328" s="70" t="s">
        <v>949</v>
      </c>
      <c r="C328" s="97" t="s">
        <v>759</v>
      </c>
      <c r="D328" s="21" t="s">
        <v>54</v>
      </c>
      <c r="E328" s="167">
        <v>35164</v>
      </c>
      <c r="F328" s="165">
        <v>45756</v>
      </c>
      <c r="G328" s="168">
        <f t="shared" ref="G328:G391" ca="1" si="6">TODAY()-F328</f>
        <v>460</v>
      </c>
    </row>
    <row r="329" spans="2:7" hidden="1" x14ac:dyDescent="0.35">
      <c r="B329" s="70" t="s">
        <v>1134</v>
      </c>
      <c r="C329" s="97" t="s">
        <v>64</v>
      </c>
      <c r="D329" s="21" t="s">
        <v>43</v>
      </c>
      <c r="E329" s="167">
        <v>33703</v>
      </c>
      <c r="F329" s="165">
        <v>45756</v>
      </c>
      <c r="G329" s="168">
        <f t="shared" ca="1" si="6"/>
        <v>460</v>
      </c>
    </row>
    <row r="330" spans="2:7" hidden="1" x14ac:dyDescent="0.35">
      <c r="B330" s="70" t="s">
        <v>785</v>
      </c>
      <c r="C330" s="97" t="s">
        <v>750</v>
      </c>
      <c r="D330" s="21" t="s">
        <v>33</v>
      </c>
      <c r="E330" s="167">
        <v>36258</v>
      </c>
      <c r="F330" s="165">
        <v>45755</v>
      </c>
      <c r="G330" s="168">
        <f t="shared" ca="1" si="6"/>
        <v>461</v>
      </c>
    </row>
    <row r="331" spans="2:7" x14ac:dyDescent="0.35">
      <c r="B331" s="70" t="s">
        <v>1019</v>
      </c>
      <c r="C331" s="97" t="s">
        <v>64</v>
      </c>
      <c r="D331" s="21" t="s">
        <v>52</v>
      </c>
      <c r="E331" s="167">
        <v>36819</v>
      </c>
      <c r="F331" s="165">
        <v>45950</v>
      </c>
      <c r="G331" s="168">
        <f t="shared" ca="1" si="6"/>
        <v>266</v>
      </c>
    </row>
    <row r="332" spans="2:7" hidden="1" x14ac:dyDescent="0.35">
      <c r="B332" s="70" t="s">
        <v>1063</v>
      </c>
      <c r="C332" s="97" t="s">
        <v>750</v>
      </c>
      <c r="D332" s="21" t="s">
        <v>29</v>
      </c>
      <c r="E332" s="167">
        <v>37716</v>
      </c>
      <c r="F332" s="165">
        <v>45752</v>
      </c>
      <c r="G332" s="168">
        <f t="shared" ca="1" si="6"/>
        <v>464</v>
      </c>
    </row>
    <row r="333" spans="2:7" hidden="1" x14ac:dyDescent="0.35">
      <c r="B333" s="70" t="s">
        <v>1005</v>
      </c>
      <c r="C333" s="97" t="s">
        <v>750</v>
      </c>
      <c r="D333" s="21" t="s">
        <v>56</v>
      </c>
      <c r="E333" s="167">
        <v>36983</v>
      </c>
      <c r="F333" s="165">
        <v>45749</v>
      </c>
      <c r="G333" s="168">
        <f t="shared" ca="1" si="6"/>
        <v>467</v>
      </c>
    </row>
    <row r="334" spans="2:7" hidden="1" x14ac:dyDescent="0.35">
      <c r="B334" s="70" t="s">
        <v>1027</v>
      </c>
      <c r="C334" s="97" t="s">
        <v>64</v>
      </c>
      <c r="D334" s="21" t="s">
        <v>44</v>
      </c>
      <c r="E334" s="167">
        <v>37712</v>
      </c>
      <c r="F334" s="165">
        <v>45748</v>
      </c>
      <c r="G334" s="168">
        <f t="shared" ca="1" si="6"/>
        <v>468</v>
      </c>
    </row>
    <row r="335" spans="2:7" hidden="1" x14ac:dyDescent="0.35">
      <c r="B335" s="70" t="s">
        <v>842</v>
      </c>
      <c r="C335" s="97" t="s">
        <v>65</v>
      </c>
      <c r="D335" s="21" t="s">
        <v>37</v>
      </c>
      <c r="E335" s="167">
        <v>36089</v>
      </c>
      <c r="F335" s="165">
        <v>45951</v>
      </c>
      <c r="G335" s="168">
        <f t="shared" ca="1" si="6"/>
        <v>265</v>
      </c>
    </row>
    <row r="336" spans="2:7" hidden="1" x14ac:dyDescent="0.35">
      <c r="B336" s="70" t="s">
        <v>1018</v>
      </c>
      <c r="C336" s="97" t="s">
        <v>750</v>
      </c>
      <c r="D336" s="21" t="s">
        <v>0</v>
      </c>
      <c r="E336" s="167">
        <v>34788</v>
      </c>
      <c r="F336" s="165">
        <v>45746</v>
      </c>
      <c r="G336" s="168">
        <f t="shared" ca="1" si="6"/>
        <v>470</v>
      </c>
    </row>
    <row r="337" spans="2:7" x14ac:dyDescent="0.35">
      <c r="B337" s="70" t="s">
        <v>916</v>
      </c>
      <c r="C337" s="97" t="s">
        <v>64</v>
      </c>
      <c r="D337" s="21" t="s">
        <v>46</v>
      </c>
      <c r="E337" s="167">
        <v>37551</v>
      </c>
      <c r="F337" s="165">
        <v>45952</v>
      </c>
      <c r="G337" s="168">
        <f t="shared" ca="1" si="6"/>
        <v>264</v>
      </c>
    </row>
    <row r="338" spans="2:7" hidden="1" x14ac:dyDescent="0.35">
      <c r="B338" s="70" t="s">
        <v>925</v>
      </c>
      <c r="C338" s="97" t="s">
        <v>65</v>
      </c>
      <c r="D338" s="21" t="s">
        <v>45</v>
      </c>
      <c r="E338" s="167">
        <v>36978</v>
      </c>
      <c r="F338" s="165">
        <v>45744</v>
      </c>
      <c r="G338" s="168">
        <f t="shared" ca="1" si="6"/>
        <v>472</v>
      </c>
    </row>
    <row r="339" spans="2:7" hidden="1" x14ac:dyDescent="0.35">
      <c r="B339" s="70" t="s">
        <v>756</v>
      </c>
      <c r="C339" s="97" t="s">
        <v>750</v>
      </c>
      <c r="D339" s="21" t="s">
        <v>42</v>
      </c>
      <c r="E339" s="167">
        <v>37553</v>
      </c>
      <c r="F339" s="165">
        <v>45954</v>
      </c>
      <c r="G339" s="168">
        <f t="shared" ca="1" si="6"/>
        <v>262</v>
      </c>
    </row>
    <row r="340" spans="2:7" hidden="1" x14ac:dyDescent="0.35">
      <c r="B340" s="70" t="s">
        <v>992</v>
      </c>
      <c r="C340" s="97" t="s">
        <v>750</v>
      </c>
      <c r="D340" s="21" t="s">
        <v>753</v>
      </c>
      <c r="E340" s="167">
        <v>36612</v>
      </c>
      <c r="F340" s="165">
        <v>45743</v>
      </c>
      <c r="G340" s="168">
        <f t="shared" ca="1" si="6"/>
        <v>473</v>
      </c>
    </row>
    <row r="341" spans="2:7" hidden="1" x14ac:dyDescent="0.35">
      <c r="B341" s="70" t="s">
        <v>1080</v>
      </c>
      <c r="C341" s="97" t="s">
        <v>70</v>
      </c>
      <c r="D341" s="21" t="s">
        <v>29</v>
      </c>
      <c r="E341" s="167">
        <v>37707</v>
      </c>
      <c r="F341" s="165">
        <v>45743</v>
      </c>
      <c r="G341" s="168">
        <f t="shared" ca="1" si="6"/>
        <v>473</v>
      </c>
    </row>
    <row r="342" spans="2:7" hidden="1" x14ac:dyDescent="0.35">
      <c r="B342" s="70" t="s">
        <v>788</v>
      </c>
      <c r="C342" s="97" t="s">
        <v>750</v>
      </c>
      <c r="D342" s="21" t="s">
        <v>35</v>
      </c>
      <c r="E342" s="167">
        <v>36976</v>
      </c>
      <c r="F342" s="165">
        <v>45742</v>
      </c>
      <c r="G342" s="168">
        <f t="shared" ca="1" si="6"/>
        <v>474</v>
      </c>
    </row>
    <row r="343" spans="2:7" hidden="1" x14ac:dyDescent="0.35">
      <c r="B343" s="70" t="s">
        <v>1070</v>
      </c>
      <c r="C343" s="97" t="s">
        <v>70</v>
      </c>
      <c r="D343" s="21" t="s">
        <v>44</v>
      </c>
      <c r="E343" s="167">
        <v>36611</v>
      </c>
      <c r="F343" s="165">
        <v>45742</v>
      </c>
      <c r="G343" s="168">
        <f t="shared" ca="1" si="6"/>
        <v>474</v>
      </c>
    </row>
    <row r="344" spans="2:7" hidden="1" x14ac:dyDescent="0.35">
      <c r="B344" s="70" t="s">
        <v>1136</v>
      </c>
      <c r="C344" s="97" t="s">
        <v>70</v>
      </c>
      <c r="D344" s="21" t="s">
        <v>51</v>
      </c>
      <c r="E344" s="167">
        <v>36093</v>
      </c>
      <c r="F344" s="165">
        <v>45955</v>
      </c>
      <c r="G344" s="168">
        <f t="shared" ca="1" si="6"/>
        <v>261</v>
      </c>
    </row>
    <row r="345" spans="2:7" x14ac:dyDescent="0.35">
      <c r="B345" s="70" t="s">
        <v>998</v>
      </c>
      <c r="C345" s="97" t="s">
        <v>750</v>
      </c>
      <c r="D345" s="21" t="s">
        <v>46</v>
      </c>
      <c r="E345" s="167">
        <v>37190</v>
      </c>
      <c r="F345" s="165">
        <v>45956</v>
      </c>
      <c r="G345" s="168">
        <f t="shared" ca="1" si="6"/>
        <v>260</v>
      </c>
    </row>
    <row r="346" spans="2:7" hidden="1" x14ac:dyDescent="0.35">
      <c r="B346" s="70" t="s">
        <v>935</v>
      </c>
      <c r="C346" s="97" t="s">
        <v>750</v>
      </c>
      <c r="D346" s="21" t="s">
        <v>50</v>
      </c>
      <c r="E346" s="167">
        <v>36607</v>
      </c>
      <c r="F346" s="165">
        <v>45738</v>
      </c>
      <c r="G346" s="168">
        <f t="shared" ca="1" si="6"/>
        <v>478</v>
      </c>
    </row>
    <row r="347" spans="2:7" hidden="1" x14ac:dyDescent="0.35">
      <c r="B347" s="70" t="s">
        <v>1072</v>
      </c>
      <c r="C347" s="97" t="s">
        <v>759</v>
      </c>
      <c r="D347" s="21" t="s">
        <v>753</v>
      </c>
      <c r="E347" s="167">
        <v>35146</v>
      </c>
      <c r="F347" s="165">
        <v>45738</v>
      </c>
      <c r="G347" s="168">
        <f t="shared" ca="1" si="6"/>
        <v>478</v>
      </c>
    </row>
    <row r="348" spans="2:7" hidden="1" x14ac:dyDescent="0.35">
      <c r="B348" s="70" t="s">
        <v>932</v>
      </c>
      <c r="C348" s="97" t="s">
        <v>750</v>
      </c>
      <c r="D348" s="21" t="s">
        <v>39</v>
      </c>
      <c r="E348" s="167">
        <v>37336</v>
      </c>
      <c r="F348" s="165">
        <v>45737</v>
      </c>
      <c r="G348" s="168">
        <f t="shared" ca="1" si="6"/>
        <v>479</v>
      </c>
    </row>
    <row r="349" spans="2:7" hidden="1" x14ac:dyDescent="0.35">
      <c r="B349" s="70" t="s">
        <v>957</v>
      </c>
      <c r="C349" s="97" t="s">
        <v>750</v>
      </c>
      <c r="D349" s="21" t="s">
        <v>44</v>
      </c>
      <c r="E349" s="167">
        <v>35510</v>
      </c>
      <c r="F349" s="165">
        <v>45737</v>
      </c>
      <c r="G349" s="168">
        <f t="shared" ca="1" si="6"/>
        <v>479</v>
      </c>
    </row>
    <row r="350" spans="2:7" hidden="1" x14ac:dyDescent="0.35">
      <c r="B350" s="70" t="s">
        <v>973</v>
      </c>
      <c r="C350" s="97" t="s">
        <v>70</v>
      </c>
      <c r="D350" s="21" t="s">
        <v>45</v>
      </c>
      <c r="E350" s="167">
        <v>35510</v>
      </c>
      <c r="F350" s="165">
        <v>45737</v>
      </c>
      <c r="G350" s="168">
        <f t="shared" ca="1" si="6"/>
        <v>479</v>
      </c>
    </row>
    <row r="351" spans="2:7" hidden="1" x14ac:dyDescent="0.35">
      <c r="B351" s="70" t="s">
        <v>1016</v>
      </c>
      <c r="C351" s="97" t="s">
        <v>64</v>
      </c>
      <c r="D351" s="21" t="s">
        <v>31</v>
      </c>
      <c r="E351" s="167">
        <v>36606</v>
      </c>
      <c r="F351" s="165">
        <v>45737</v>
      </c>
      <c r="G351" s="168">
        <f t="shared" ca="1" si="6"/>
        <v>479</v>
      </c>
    </row>
    <row r="352" spans="2:7" hidden="1" x14ac:dyDescent="0.35">
      <c r="B352" s="70" t="s">
        <v>1091</v>
      </c>
      <c r="C352" s="97" t="s">
        <v>750</v>
      </c>
      <c r="D352" s="21" t="s">
        <v>32</v>
      </c>
      <c r="E352" s="167">
        <v>37336</v>
      </c>
      <c r="F352" s="165">
        <v>45737</v>
      </c>
      <c r="G352" s="168">
        <f t="shared" ca="1" si="6"/>
        <v>479</v>
      </c>
    </row>
    <row r="353" spans="2:7" hidden="1" x14ac:dyDescent="0.35">
      <c r="B353" s="70" t="s">
        <v>762</v>
      </c>
      <c r="C353" s="97" t="s">
        <v>64</v>
      </c>
      <c r="D353" s="21" t="s">
        <v>35</v>
      </c>
      <c r="E353" s="167">
        <v>37335</v>
      </c>
      <c r="F353" s="165">
        <v>45736</v>
      </c>
      <c r="G353" s="168">
        <f t="shared" ca="1" si="6"/>
        <v>480</v>
      </c>
    </row>
    <row r="354" spans="2:7" x14ac:dyDescent="0.35">
      <c r="B354" s="70" t="s">
        <v>980</v>
      </c>
      <c r="C354" s="97" t="s">
        <v>70</v>
      </c>
      <c r="D354" s="21" t="s">
        <v>46</v>
      </c>
      <c r="E354" s="167">
        <v>34636</v>
      </c>
      <c r="F354" s="165">
        <v>45959</v>
      </c>
      <c r="G354" s="168">
        <f t="shared" ca="1" si="6"/>
        <v>257</v>
      </c>
    </row>
    <row r="355" spans="2:7" hidden="1" x14ac:dyDescent="0.35">
      <c r="B355" s="70" t="s">
        <v>1182</v>
      </c>
      <c r="C355" s="97" t="s">
        <v>750</v>
      </c>
      <c r="D355" s="21" t="s">
        <v>37</v>
      </c>
      <c r="E355" s="167">
        <v>36462</v>
      </c>
      <c r="F355" s="165">
        <v>45959</v>
      </c>
      <c r="G355" s="168">
        <f t="shared" ca="1" si="6"/>
        <v>257</v>
      </c>
    </row>
    <row r="356" spans="2:7" hidden="1" x14ac:dyDescent="0.35">
      <c r="B356" s="70" t="s">
        <v>823</v>
      </c>
      <c r="C356" s="97" t="s">
        <v>70</v>
      </c>
      <c r="D356" s="21" t="s">
        <v>29</v>
      </c>
      <c r="E356" s="167">
        <v>37698</v>
      </c>
      <c r="F356" s="165">
        <v>45734</v>
      </c>
      <c r="G356" s="168">
        <f t="shared" ca="1" si="6"/>
        <v>482</v>
      </c>
    </row>
    <row r="357" spans="2:7" hidden="1" x14ac:dyDescent="0.35">
      <c r="B357" s="70" t="s">
        <v>1079</v>
      </c>
      <c r="C357" s="97" t="s">
        <v>64</v>
      </c>
      <c r="D357" s="21" t="s">
        <v>51</v>
      </c>
      <c r="E357" s="167">
        <v>36100</v>
      </c>
      <c r="F357" s="165">
        <v>45962</v>
      </c>
      <c r="G357" s="168">
        <f t="shared" ca="1" si="6"/>
        <v>254</v>
      </c>
    </row>
    <row r="358" spans="2:7" hidden="1" x14ac:dyDescent="0.35">
      <c r="B358" s="70" t="s">
        <v>799</v>
      </c>
      <c r="C358" s="97" t="s">
        <v>64</v>
      </c>
      <c r="D358" s="21" t="s">
        <v>17</v>
      </c>
      <c r="E358" s="167">
        <v>36475</v>
      </c>
      <c r="F358" s="165">
        <v>45972</v>
      </c>
      <c r="G358" s="168">
        <f t="shared" ca="1" si="6"/>
        <v>244</v>
      </c>
    </row>
    <row r="359" spans="2:7" hidden="1" x14ac:dyDescent="0.35">
      <c r="B359" s="70" t="s">
        <v>775</v>
      </c>
      <c r="C359" s="97" t="s">
        <v>750</v>
      </c>
      <c r="D359" s="21" t="s">
        <v>41</v>
      </c>
      <c r="E359" s="167">
        <v>37206</v>
      </c>
      <c r="F359" s="165">
        <v>45972</v>
      </c>
      <c r="G359" s="168">
        <f t="shared" ca="1" si="6"/>
        <v>244</v>
      </c>
    </row>
    <row r="360" spans="2:7" hidden="1" x14ac:dyDescent="0.35">
      <c r="B360" s="70" t="s">
        <v>805</v>
      </c>
      <c r="C360" s="97" t="s">
        <v>750</v>
      </c>
      <c r="D360" s="21" t="s">
        <v>32</v>
      </c>
      <c r="E360" s="167">
        <v>38061</v>
      </c>
      <c r="F360" s="165">
        <v>45731</v>
      </c>
      <c r="G360" s="168">
        <f t="shared" ca="1" si="6"/>
        <v>485</v>
      </c>
    </row>
    <row r="361" spans="2:7" hidden="1" x14ac:dyDescent="0.35">
      <c r="B361" s="70" t="s">
        <v>1032</v>
      </c>
      <c r="C361" s="97" t="s">
        <v>750</v>
      </c>
      <c r="D361" s="21" t="s">
        <v>45</v>
      </c>
      <c r="E361" s="167">
        <v>37695</v>
      </c>
      <c r="F361" s="165">
        <v>45731</v>
      </c>
      <c r="G361" s="168">
        <f t="shared" ca="1" si="6"/>
        <v>485</v>
      </c>
    </row>
    <row r="362" spans="2:7" hidden="1" x14ac:dyDescent="0.35">
      <c r="B362" s="70" t="s">
        <v>1068</v>
      </c>
      <c r="C362" s="97" t="s">
        <v>65</v>
      </c>
      <c r="D362" s="21" t="s">
        <v>44</v>
      </c>
      <c r="E362" s="167">
        <v>37695</v>
      </c>
      <c r="F362" s="165">
        <v>45731</v>
      </c>
      <c r="G362" s="168">
        <f t="shared" ca="1" si="6"/>
        <v>485</v>
      </c>
    </row>
    <row r="363" spans="2:7" hidden="1" x14ac:dyDescent="0.35">
      <c r="B363" s="70" t="s">
        <v>784</v>
      </c>
      <c r="C363" s="97" t="s">
        <v>759</v>
      </c>
      <c r="D363" s="21" t="s">
        <v>30</v>
      </c>
      <c r="E363" s="167">
        <v>33554</v>
      </c>
      <c r="F363" s="165">
        <v>45973</v>
      </c>
      <c r="G363" s="168">
        <f t="shared" ca="1" si="6"/>
        <v>243</v>
      </c>
    </row>
    <row r="364" spans="2:7" hidden="1" x14ac:dyDescent="0.35">
      <c r="B364" s="70" t="s">
        <v>812</v>
      </c>
      <c r="C364" s="97" t="s">
        <v>759</v>
      </c>
      <c r="D364" s="21" t="s">
        <v>33</v>
      </c>
      <c r="E364" s="167">
        <v>34772</v>
      </c>
      <c r="F364" s="165">
        <v>45730</v>
      </c>
      <c r="G364" s="168">
        <f t="shared" ca="1" si="6"/>
        <v>486</v>
      </c>
    </row>
    <row r="365" spans="2:7" x14ac:dyDescent="0.35">
      <c r="B365" s="70" t="s">
        <v>1100</v>
      </c>
      <c r="C365" s="97" t="s">
        <v>750</v>
      </c>
      <c r="D365" s="21" t="s">
        <v>46</v>
      </c>
      <c r="E365" s="167">
        <v>37573</v>
      </c>
      <c r="F365" s="165">
        <v>45974</v>
      </c>
      <c r="G365" s="168">
        <f t="shared" ca="1" si="6"/>
        <v>242</v>
      </c>
    </row>
    <row r="366" spans="2:7" hidden="1" x14ac:dyDescent="0.35">
      <c r="B366" s="70" t="s">
        <v>838</v>
      </c>
      <c r="C366" s="97" t="s">
        <v>70</v>
      </c>
      <c r="D366" s="21" t="s">
        <v>17</v>
      </c>
      <c r="E366" s="167">
        <v>35383</v>
      </c>
      <c r="F366" s="165">
        <v>45975</v>
      </c>
      <c r="G366" s="168">
        <f t="shared" ca="1" si="6"/>
        <v>241</v>
      </c>
    </row>
    <row r="367" spans="2:7" hidden="1" x14ac:dyDescent="0.35">
      <c r="B367" s="70" t="s">
        <v>763</v>
      </c>
      <c r="C367" s="97" t="s">
        <v>750</v>
      </c>
      <c r="D367" s="21" t="s">
        <v>37</v>
      </c>
      <c r="E367" s="167">
        <v>35387</v>
      </c>
      <c r="F367" s="165">
        <v>45979</v>
      </c>
      <c r="G367" s="168">
        <f t="shared" ca="1" si="6"/>
        <v>237</v>
      </c>
    </row>
    <row r="368" spans="2:7" hidden="1" x14ac:dyDescent="0.35">
      <c r="B368" s="70" t="s">
        <v>1022</v>
      </c>
      <c r="C368" s="97" t="s">
        <v>65</v>
      </c>
      <c r="D368" s="21" t="s">
        <v>30</v>
      </c>
      <c r="E368" s="167">
        <v>37213</v>
      </c>
      <c r="F368" s="165">
        <v>45979</v>
      </c>
      <c r="G368" s="168">
        <f t="shared" ca="1" si="6"/>
        <v>237</v>
      </c>
    </row>
    <row r="369" spans="2:7" hidden="1" x14ac:dyDescent="0.35">
      <c r="B369" s="70" t="s">
        <v>954</v>
      </c>
      <c r="C369" s="97" t="s">
        <v>750</v>
      </c>
      <c r="D369" s="21" t="s">
        <v>43</v>
      </c>
      <c r="E369" s="167">
        <v>36958</v>
      </c>
      <c r="F369" s="165">
        <v>45724</v>
      </c>
      <c r="G369" s="168">
        <f t="shared" ca="1" si="6"/>
        <v>492</v>
      </c>
    </row>
    <row r="370" spans="2:7" hidden="1" x14ac:dyDescent="0.35">
      <c r="B370" s="70" t="s">
        <v>911</v>
      </c>
      <c r="C370" s="97" t="s">
        <v>64</v>
      </c>
      <c r="D370" s="21" t="s">
        <v>42</v>
      </c>
      <c r="E370" s="167">
        <v>36855</v>
      </c>
      <c r="F370" s="165">
        <v>45986</v>
      </c>
      <c r="G370" s="168">
        <f t="shared" ca="1" si="6"/>
        <v>230</v>
      </c>
    </row>
    <row r="371" spans="2:7" hidden="1" x14ac:dyDescent="0.35">
      <c r="B371" s="70" t="s">
        <v>1114</v>
      </c>
      <c r="C371" s="97" t="s">
        <v>65</v>
      </c>
      <c r="D371" s="21" t="s">
        <v>33</v>
      </c>
      <c r="E371" s="167">
        <v>36591</v>
      </c>
      <c r="F371" s="165">
        <v>45722</v>
      </c>
      <c r="G371" s="168">
        <f t="shared" ca="1" si="6"/>
        <v>494</v>
      </c>
    </row>
    <row r="372" spans="2:7" hidden="1" x14ac:dyDescent="0.35">
      <c r="B372" s="70" t="s">
        <v>1121</v>
      </c>
      <c r="C372" s="97" t="s">
        <v>65</v>
      </c>
      <c r="D372" s="21" t="s">
        <v>49</v>
      </c>
      <c r="E372" s="167">
        <v>36224</v>
      </c>
      <c r="F372" s="165">
        <v>45721</v>
      </c>
      <c r="G372" s="168">
        <f t="shared" ca="1" si="6"/>
        <v>495</v>
      </c>
    </row>
    <row r="373" spans="2:7" hidden="1" x14ac:dyDescent="0.35">
      <c r="B373" s="70" t="s">
        <v>901</v>
      </c>
      <c r="C373" s="97" t="s">
        <v>750</v>
      </c>
      <c r="D373" s="21" t="s">
        <v>33</v>
      </c>
      <c r="E373" s="167">
        <v>36954</v>
      </c>
      <c r="F373" s="165">
        <v>45720</v>
      </c>
      <c r="G373" s="168">
        <f t="shared" ca="1" si="6"/>
        <v>496</v>
      </c>
    </row>
    <row r="374" spans="2:7" hidden="1" x14ac:dyDescent="0.35">
      <c r="B374" s="70" t="s">
        <v>1007</v>
      </c>
      <c r="C374" s="97" t="s">
        <v>759</v>
      </c>
      <c r="D374" s="21" t="s">
        <v>35</v>
      </c>
      <c r="E374" s="167">
        <v>36222</v>
      </c>
      <c r="F374" s="165">
        <v>45719</v>
      </c>
      <c r="G374" s="168">
        <f t="shared" ca="1" si="6"/>
        <v>497</v>
      </c>
    </row>
    <row r="375" spans="2:7" hidden="1" x14ac:dyDescent="0.35">
      <c r="B375" s="70" t="s">
        <v>895</v>
      </c>
      <c r="C375" s="97" t="s">
        <v>750</v>
      </c>
      <c r="D375" s="21" t="s">
        <v>45</v>
      </c>
      <c r="E375" s="167">
        <v>36221</v>
      </c>
      <c r="F375" s="165">
        <v>45718</v>
      </c>
      <c r="G375" s="168">
        <f t="shared" ca="1" si="6"/>
        <v>498</v>
      </c>
    </row>
    <row r="376" spans="2:7" hidden="1" x14ac:dyDescent="0.35">
      <c r="B376" s="70" t="s">
        <v>1048</v>
      </c>
      <c r="C376" s="97" t="s">
        <v>65</v>
      </c>
      <c r="D376" s="21" t="s">
        <v>44</v>
      </c>
      <c r="E376" s="167">
        <v>35856</v>
      </c>
      <c r="F376" s="165">
        <v>45718</v>
      </c>
      <c r="G376" s="168">
        <f t="shared" ca="1" si="6"/>
        <v>498</v>
      </c>
    </row>
    <row r="377" spans="2:7" hidden="1" x14ac:dyDescent="0.35">
      <c r="B377" s="70" t="s">
        <v>1095</v>
      </c>
      <c r="C377" s="97" t="s">
        <v>64</v>
      </c>
      <c r="D377" s="21" t="s">
        <v>40</v>
      </c>
      <c r="E377" s="167">
        <v>36221</v>
      </c>
      <c r="F377" s="165">
        <v>45718</v>
      </c>
      <c r="G377" s="168">
        <f t="shared" ca="1" si="6"/>
        <v>498</v>
      </c>
    </row>
    <row r="378" spans="2:7" hidden="1" x14ac:dyDescent="0.35">
      <c r="B378" s="70" t="s">
        <v>936</v>
      </c>
      <c r="C378" s="97" t="s">
        <v>750</v>
      </c>
      <c r="D378" s="21" t="s">
        <v>31</v>
      </c>
      <c r="E378" s="167">
        <v>36586</v>
      </c>
      <c r="F378" s="165">
        <v>45717</v>
      </c>
      <c r="G378" s="168">
        <f t="shared" ca="1" si="6"/>
        <v>499</v>
      </c>
    </row>
    <row r="379" spans="2:7" hidden="1" x14ac:dyDescent="0.35">
      <c r="B379" s="70" t="s">
        <v>950</v>
      </c>
      <c r="C379" s="97" t="s">
        <v>750</v>
      </c>
      <c r="D379" s="21" t="s">
        <v>44</v>
      </c>
      <c r="E379" s="167">
        <v>34394</v>
      </c>
      <c r="F379" s="165">
        <v>45717</v>
      </c>
      <c r="G379" s="168">
        <f t="shared" ca="1" si="6"/>
        <v>499</v>
      </c>
    </row>
    <row r="380" spans="2:7" hidden="1" x14ac:dyDescent="0.35">
      <c r="B380" s="70" t="s">
        <v>955</v>
      </c>
      <c r="C380" s="97" t="s">
        <v>64</v>
      </c>
      <c r="D380" s="21" t="s">
        <v>41</v>
      </c>
      <c r="E380" s="167">
        <v>36490</v>
      </c>
      <c r="F380" s="165">
        <v>45987</v>
      </c>
      <c r="G380" s="168">
        <f t="shared" ca="1" si="6"/>
        <v>229</v>
      </c>
    </row>
    <row r="381" spans="2:7" hidden="1" x14ac:dyDescent="0.35">
      <c r="B381" s="70" t="s">
        <v>1003</v>
      </c>
      <c r="C381" s="97" t="s">
        <v>750</v>
      </c>
      <c r="D381" s="21" t="s">
        <v>33</v>
      </c>
      <c r="E381" s="167">
        <v>36218</v>
      </c>
      <c r="F381" s="165">
        <v>45715</v>
      </c>
      <c r="G381" s="168">
        <f t="shared" ca="1" si="6"/>
        <v>501</v>
      </c>
    </row>
    <row r="382" spans="2:7" hidden="1" x14ac:dyDescent="0.35">
      <c r="B382" s="70" t="s">
        <v>1012</v>
      </c>
      <c r="C382" s="97" t="s">
        <v>750</v>
      </c>
      <c r="D382" s="21" t="s">
        <v>54</v>
      </c>
      <c r="E382" s="167">
        <v>35122</v>
      </c>
      <c r="F382" s="165">
        <v>45715</v>
      </c>
      <c r="G382" s="168">
        <f t="shared" ca="1" si="6"/>
        <v>501</v>
      </c>
    </row>
    <row r="383" spans="2:7" hidden="1" x14ac:dyDescent="0.35">
      <c r="B383" s="70" t="s">
        <v>1153</v>
      </c>
      <c r="C383" s="97" t="s">
        <v>70</v>
      </c>
      <c r="D383" s="21" t="s">
        <v>48</v>
      </c>
      <c r="E383" s="167">
        <v>36948</v>
      </c>
      <c r="F383" s="165">
        <v>45714</v>
      </c>
      <c r="G383" s="168">
        <f t="shared" ca="1" si="6"/>
        <v>502</v>
      </c>
    </row>
    <row r="384" spans="2:7" x14ac:dyDescent="0.35">
      <c r="B384" s="70" t="s">
        <v>1180</v>
      </c>
      <c r="C384" s="97" t="s">
        <v>750</v>
      </c>
      <c r="D384" s="21" t="s">
        <v>46</v>
      </c>
      <c r="E384" s="167">
        <v>34302</v>
      </c>
      <c r="F384" s="165">
        <v>45990</v>
      </c>
      <c r="G384" s="168">
        <f t="shared" ca="1" si="6"/>
        <v>226</v>
      </c>
    </row>
    <row r="385" spans="2:7" hidden="1" x14ac:dyDescent="0.35">
      <c r="B385" s="70" t="s">
        <v>859</v>
      </c>
      <c r="C385" s="97" t="s">
        <v>750</v>
      </c>
      <c r="D385" s="21" t="s">
        <v>0</v>
      </c>
      <c r="E385" s="167">
        <v>36579</v>
      </c>
      <c r="F385" s="165">
        <v>45711</v>
      </c>
      <c r="G385" s="168">
        <f t="shared" ca="1" si="6"/>
        <v>505</v>
      </c>
    </row>
    <row r="386" spans="2:7" x14ac:dyDescent="0.35">
      <c r="B386" s="70" t="s">
        <v>755</v>
      </c>
      <c r="C386" s="97" t="s">
        <v>750</v>
      </c>
      <c r="D386" s="21" t="s">
        <v>52</v>
      </c>
      <c r="E386" s="167">
        <v>37589</v>
      </c>
      <c r="F386" s="165">
        <v>45990</v>
      </c>
      <c r="G386" s="168">
        <f t="shared" ca="1" si="6"/>
        <v>226</v>
      </c>
    </row>
    <row r="387" spans="2:7" hidden="1" x14ac:dyDescent="0.35">
      <c r="B387" s="70" t="s">
        <v>1158</v>
      </c>
      <c r="C387" s="97" t="s">
        <v>64</v>
      </c>
      <c r="D387" s="21" t="s">
        <v>49</v>
      </c>
      <c r="E387" s="167">
        <v>37308</v>
      </c>
      <c r="F387" s="165">
        <v>45709</v>
      </c>
      <c r="G387" s="168">
        <f t="shared" ca="1" si="6"/>
        <v>507</v>
      </c>
    </row>
    <row r="388" spans="2:7" hidden="1" x14ac:dyDescent="0.35">
      <c r="B388" s="70" t="s">
        <v>815</v>
      </c>
      <c r="C388" s="97" t="s">
        <v>750</v>
      </c>
      <c r="D388" s="21" t="s">
        <v>35</v>
      </c>
      <c r="E388" s="167">
        <v>37307</v>
      </c>
      <c r="F388" s="165">
        <v>45708</v>
      </c>
      <c r="G388" s="168">
        <f t="shared" ca="1" si="6"/>
        <v>508</v>
      </c>
    </row>
    <row r="389" spans="2:7" hidden="1" x14ac:dyDescent="0.35">
      <c r="B389" s="70" t="s">
        <v>876</v>
      </c>
      <c r="C389" s="97" t="s">
        <v>64</v>
      </c>
      <c r="D389" s="21" t="s">
        <v>40</v>
      </c>
      <c r="E389" s="167">
        <v>36575</v>
      </c>
      <c r="F389" s="165">
        <v>45707</v>
      </c>
      <c r="G389" s="168">
        <f t="shared" ca="1" si="6"/>
        <v>509</v>
      </c>
    </row>
    <row r="390" spans="2:7" hidden="1" x14ac:dyDescent="0.35">
      <c r="B390" s="70" t="s">
        <v>826</v>
      </c>
      <c r="C390" s="97" t="s">
        <v>750</v>
      </c>
      <c r="D390" s="21" t="s">
        <v>753</v>
      </c>
      <c r="E390" s="167">
        <v>37305</v>
      </c>
      <c r="F390" s="165">
        <v>45706</v>
      </c>
      <c r="G390" s="168">
        <f t="shared" ca="1" si="6"/>
        <v>510</v>
      </c>
    </row>
    <row r="391" spans="2:7" hidden="1" x14ac:dyDescent="0.35">
      <c r="B391" s="70" t="s">
        <v>1164</v>
      </c>
      <c r="C391" s="97" t="s">
        <v>750</v>
      </c>
      <c r="D391" s="21" t="s">
        <v>40</v>
      </c>
      <c r="E391" s="167">
        <v>37670</v>
      </c>
      <c r="F391" s="165">
        <v>45706</v>
      </c>
      <c r="G391" s="168">
        <f t="shared" ca="1" si="6"/>
        <v>510</v>
      </c>
    </row>
    <row r="392" spans="2:7" hidden="1" x14ac:dyDescent="0.35">
      <c r="B392" s="70" t="s">
        <v>1119</v>
      </c>
      <c r="C392" s="97" t="s">
        <v>750</v>
      </c>
      <c r="D392" s="21" t="s">
        <v>49</v>
      </c>
      <c r="E392" s="167">
        <v>34746</v>
      </c>
      <c r="F392" s="165">
        <v>45704</v>
      </c>
      <c r="G392" s="168">
        <f t="shared" ref="G392:G410" ca="1" si="7">TODAY()-F392</f>
        <v>512</v>
      </c>
    </row>
    <row r="393" spans="2:7" hidden="1" x14ac:dyDescent="0.35">
      <c r="B393" s="70" t="s">
        <v>1087</v>
      </c>
      <c r="C393" s="97" t="s">
        <v>65</v>
      </c>
      <c r="D393" s="21" t="s">
        <v>51</v>
      </c>
      <c r="E393" s="167">
        <v>30652</v>
      </c>
      <c r="F393" s="165">
        <v>45993</v>
      </c>
      <c r="G393" s="168">
        <f t="shared" ca="1" si="7"/>
        <v>223</v>
      </c>
    </row>
    <row r="394" spans="2:7" hidden="1" x14ac:dyDescent="0.35">
      <c r="B394" s="70" t="s">
        <v>915</v>
      </c>
      <c r="C394" s="169" t="s">
        <v>70</v>
      </c>
      <c r="D394" s="170" t="s">
        <v>17</v>
      </c>
      <c r="E394" s="171">
        <v>36866</v>
      </c>
      <c r="F394" s="172">
        <v>45997</v>
      </c>
      <c r="G394" s="173">
        <f t="shared" ca="1" si="7"/>
        <v>219</v>
      </c>
    </row>
    <row r="395" spans="2:7" hidden="1" x14ac:dyDescent="0.35">
      <c r="B395" s="70" t="s">
        <v>771</v>
      </c>
      <c r="C395" s="97" t="s">
        <v>64</v>
      </c>
      <c r="D395" s="21" t="s">
        <v>39</v>
      </c>
      <c r="E395" s="167">
        <v>37666</v>
      </c>
      <c r="F395" s="165">
        <v>45702</v>
      </c>
      <c r="G395" s="168">
        <f t="shared" ca="1" si="7"/>
        <v>514</v>
      </c>
    </row>
    <row r="396" spans="2:7" x14ac:dyDescent="0.35">
      <c r="B396" s="70" t="s">
        <v>807</v>
      </c>
      <c r="C396" s="169" t="s">
        <v>70</v>
      </c>
      <c r="D396" s="170" t="s">
        <v>46</v>
      </c>
      <c r="E396" s="171">
        <v>34675</v>
      </c>
      <c r="F396" s="172">
        <v>45998</v>
      </c>
      <c r="G396" s="173">
        <f t="shared" ca="1" si="7"/>
        <v>218</v>
      </c>
    </row>
    <row r="397" spans="2:7" hidden="1" x14ac:dyDescent="0.35">
      <c r="B397" s="70" t="s">
        <v>1157</v>
      </c>
      <c r="C397" s="97" t="s">
        <v>64</v>
      </c>
      <c r="D397" s="21" t="s">
        <v>36</v>
      </c>
      <c r="E397" s="167">
        <v>35837</v>
      </c>
      <c r="F397" s="165">
        <v>45699</v>
      </c>
      <c r="G397" s="168">
        <f t="shared" ca="1" si="7"/>
        <v>517</v>
      </c>
    </row>
    <row r="398" spans="2:7" hidden="1" x14ac:dyDescent="0.35">
      <c r="B398" s="70" t="s">
        <v>1035</v>
      </c>
      <c r="C398" s="97" t="s">
        <v>70</v>
      </c>
      <c r="D398" s="21" t="s">
        <v>16</v>
      </c>
      <c r="E398" s="167">
        <v>36201</v>
      </c>
      <c r="F398" s="165">
        <v>45698</v>
      </c>
      <c r="G398" s="168">
        <f t="shared" ca="1" si="7"/>
        <v>518</v>
      </c>
    </row>
    <row r="399" spans="2:7" hidden="1" x14ac:dyDescent="0.35">
      <c r="B399" s="70" t="s">
        <v>1067</v>
      </c>
      <c r="C399" s="97" t="s">
        <v>750</v>
      </c>
      <c r="D399" s="21" t="s">
        <v>54</v>
      </c>
      <c r="E399" s="167">
        <v>34010</v>
      </c>
      <c r="F399" s="165">
        <v>45698</v>
      </c>
      <c r="G399" s="168">
        <f t="shared" ca="1" si="7"/>
        <v>518</v>
      </c>
    </row>
    <row r="400" spans="2:7" hidden="1" x14ac:dyDescent="0.35">
      <c r="B400" s="70" t="s">
        <v>834</v>
      </c>
      <c r="C400" s="97" t="s">
        <v>64</v>
      </c>
      <c r="D400" s="21" t="s">
        <v>50</v>
      </c>
      <c r="E400" s="167">
        <v>35470</v>
      </c>
      <c r="F400" s="165">
        <v>45697</v>
      </c>
      <c r="G400" s="168">
        <f t="shared" ca="1" si="7"/>
        <v>519</v>
      </c>
    </row>
    <row r="401" spans="2:7" x14ac:dyDescent="0.35">
      <c r="B401" s="70" t="s">
        <v>972</v>
      </c>
      <c r="C401" s="169" t="s">
        <v>750</v>
      </c>
      <c r="D401" s="170" t="s">
        <v>46</v>
      </c>
      <c r="E401" s="171">
        <v>36868</v>
      </c>
      <c r="F401" s="172">
        <v>45999</v>
      </c>
      <c r="G401" s="173">
        <f t="shared" ca="1" si="7"/>
        <v>217</v>
      </c>
    </row>
    <row r="402" spans="2:7" hidden="1" x14ac:dyDescent="0.35">
      <c r="B402" s="70" t="s">
        <v>977</v>
      </c>
      <c r="C402" s="97" t="s">
        <v>65</v>
      </c>
      <c r="D402" s="21" t="s">
        <v>32</v>
      </c>
      <c r="E402" s="167">
        <v>37294</v>
      </c>
      <c r="F402" s="165">
        <v>45695</v>
      </c>
      <c r="G402" s="168">
        <f t="shared" ca="1" si="7"/>
        <v>521</v>
      </c>
    </row>
    <row r="403" spans="2:7" hidden="1" x14ac:dyDescent="0.35">
      <c r="B403" s="70" t="s">
        <v>847</v>
      </c>
      <c r="C403" s="169" t="s">
        <v>750</v>
      </c>
      <c r="D403" s="170" t="s">
        <v>34</v>
      </c>
      <c r="E403" s="171">
        <v>37600</v>
      </c>
      <c r="F403" s="172">
        <v>46001</v>
      </c>
      <c r="G403" s="173">
        <f t="shared" ca="1" si="7"/>
        <v>215</v>
      </c>
    </row>
    <row r="404" spans="2:7" hidden="1" x14ac:dyDescent="0.35">
      <c r="B404" s="70" t="s">
        <v>1105</v>
      </c>
      <c r="C404" s="169" t="s">
        <v>750</v>
      </c>
      <c r="D404" s="170" t="s">
        <v>30</v>
      </c>
      <c r="E404" s="171">
        <v>37967</v>
      </c>
      <c r="F404" s="172">
        <v>46003</v>
      </c>
      <c r="G404" s="173">
        <f t="shared" ca="1" si="7"/>
        <v>213</v>
      </c>
    </row>
    <row r="405" spans="2:7" x14ac:dyDescent="0.35">
      <c r="B405" s="70" t="s">
        <v>918</v>
      </c>
      <c r="C405" s="169" t="s">
        <v>65</v>
      </c>
      <c r="D405" s="170" t="s">
        <v>52</v>
      </c>
      <c r="E405" s="171">
        <v>37603</v>
      </c>
      <c r="F405" s="172">
        <v>46004</v>
      </c>
      <c r="G405" s="173">
        <f t="shared" ca="1" si="7"/>
        <v>212</v>
      </c>
    </row>
    <row r="406" spans="2:7" hidden="1" x14ac:dyDescent="0.35">
      <c r="B406" s="70" t="s">
        <v>846</v>
      </c>
      <c r="C406" s="169" t="s">
        <v>750</v>
      </c>
      <c r="D406" s="170" t="s">
        <v>51</v>
      </c>
      <c r="E406" s="171">
        <v>35778</v>
      </c>
      <c r="F406" s="172">
        <v>46005</v>
      </c>
      <c r="G406" s="173">
        <f t="shared" ca="1" si="7"/>
        <v>211</v>
      </c>
    </row>
    <row r="407" spans="2:7" hidden="1" x14ac:dyDescent="0.35">
      <c r="B407" s="70" t="s">
        <v>893</v>
      </c>
      <c r="C407" s="97" t="s">
        <v>64</v>
      </c>
      <c r="D407" s="21" t="s">
        <v>48</v>
      </c>
      <c r="E407" s="167">
        <v>37292</v>
      </c>
      <c r="F407" s="165">
        <v>45693</v>
      </c>
      <c r="G407" s="168">
        <f t="shared" ca="1" si="7"/>
        <v>523</v>
      </c>
    </row>
    <row r="408" spans="2:7" hidden="1" x14ac:dyDescent="0.35">
      <c r="B408" s="70" t="s">
        <v>817</v>
      </c>
      <c r="C408" s="169" t="s">
        <v>750</v>
      </c>
      <c r="D408" s="170" t="s">
        <v>37</v>
      </c>
      <c r="E408" s="171">
        <v>37605</v>
      </c>
      <c r="F408" s="172">
        <v>46006</v>
      </c>
      <c r="G408" s="173">
        <f t="shared" ca="1" si="7"/>
        <v>210</v>
      </c>
    </row>
    <row r="409" spans="2:7" hidden="1" x14ac:dyDescent="0.35">
      <c r="B409" s="70" t="s">
        <v>806</v>
      </c>
      <c r="C409" s="97" t="s">
        <v>65</v>
      </c>
      <c r="D409" s="21" t="s">
        <v>16</v>
      </c>
      <c r="E409" s="167">
        <v>35829</v>
      </c>
      <c r="F409" s="165">
        <v>45691</v>
      </c>
      <c r="G409" s="168">
        <f t="shared" ca="1" si="7"/>
        <v>525</v>
      </c>
    </row>
    <row r="410" spans="2:7" x14ac:dyDescent="0.35">
      <c r="B410" s="70" t="s">
        <v>1179</v>
      </c>
      <c r="C410" s="169" t="s">
        <v>64</v>
      </c>
      <c r="D410" s="170" t="s">
        <v>52</v>
      </c>
      <c r="E410" s="171">
        <v>36510</v>
      </c>
      <c r="F410" s="172">
        <v>46007</v>
      </c>
      <c r="G410" s="173">
        <f t="shared" ca="1" si="7"/>
        <v>209</v>
      </c>
    </row>
    <row r="411" spans="2:7" hidden="1" x14ac:dyDescent="0.35">
      <c r="B411" s="70" t="s">
        <v>193</v>
      </c>
      <c r="C411" s="169" t="s">
        <v>64</v>
      </c>
      <c r="D411" s="170" t="s">
        <v>34</v>
      </c>
      <c r="E411" s="171">
        <v>36146</v>
      </c>
      <c r="F411" s="172">
        <v>46008</v>
      </c>
      <c r="G411" s="173">
        <f t="shared" ref="G411:G448" ca="1" si="8">TODAY()-F411</f>
        <v>208</v>
      </c>
    </row>
    <row r="412" spans="2:7" hidden="1" x14ac:dyDescent="0.35">
      <c r="B412" s="70" t="s">
        <v>1169</v>
      </c>
      <c r="C412" s="97" t="s">
        <v>64</v>
      </c>
      <c r="D412" s="21" t="s">
        <v>753</v>
      </c>
      <c r="E412" s="167">
        <v>38017</v>
      </c>
      <c r="F412" s="165">
        <v>45688</v>
      </c>
      <c r="G412" s="168">
        <f t="shared" ca="1" si="8"/>
        <v>528</v>
      </c>
    </row>
    <row r="413" spans="2:7" hidden="1" x14ac:dyDescent="0.35">
      <c r="B413" s="70" t="s">
        <v>1050</v>
      </c>
      <c r="C413" s="97" t="s">
        <v>64</v>
      </c>
      <c r="D413" s="21" t="s">
        <v>15</v>
      </c>
      <c r="E413" s="167">
        <v>37286</v>
      </c>
      <c r="F413" s="165">
        <v>45687</v>
      </c>
      <c r="G413" s="168">
        <f t="shared" ca="1" si="8"/>
        <v>529</v>
      </c>
    </row>
    <row r="414" spans="2:7" hidden="1" x14ac:dyDescent="0.35">
      <c r="B414" s="70" t="s">
        <v>797</v>
      </c>
      <c r="C414" s="97" t="s">
        <v>64</v>
      </c>
      <c r="D414" s="21" t="s">
        <v>41</v>
      </c>
      <c r="E414" s="167">
        <v>36152</v>
      </c>
      <c r="F414" s="165">
        <v>46014</v>
      </c>
      <c r="G414" s="168">
        <f t="shared" ca="1" si="8"/>
        <v>202</v>
      </c>
    </row>
    <row r="415" spans="2:7" hidden="1" x14ac:dyDescent="0.35">
      <c r="B415" s="70" t="s">
        <v>1130</v>
      </c>
      <c r="C415" s="97" t="s">
        <v>750</v>
      </c>
      <c r="D415" s="21" t="s">
        <v>29</v>
      </c>
      <c r="E415" s="167">
        <v>36920</v>
      </c>
      <c r="F415" s="165">
        <v>45686</v>
      </c>
      <c r="G415" s="168">
        <f t="shared" ca="1" si="8"/>
        <v>530</v>
      </c>
    </row>
    <row r="416" spans="2:7" hidden="1" x14ac:dyDescent="0.35">
      <c r="B416" s="70" t="s">
        <v>1033</v>
      </c>
      <c r="C416" s="97" t="s">
        <v>750</v>
      </c>
      <c r="D416" s="21" t="s">
        <v>45</v>
      </c>
      <c r="E416" s="167">
        <v>37283</v>
      </c>
      <c r="F416" s="165">
        <v>45684</v>
      </c>
      <c r="G416" s="168">
        <f t="shared" ca="1" si="8"/>
        <v>532</v>
      </c>
    </row>
    <row r="417" spans="2:7" hidden="1" x14ac:dyDescent="0.35">
      <c r="B417" s="70" t="s">
        <v>881</v>
      </c>
      <c r="C417" s="97" t="s">
        <v>64</v>
      </c>
      <c r="D417" s="21" t="s">
        <v>39</v>
      </c>
      <c r="E417" s="167">
        <v>36186</v>
      </c>
      <c r="F417" s="165">
        <v>45683</v>
      </c>
      <c r="G417" s="168">
        <f t="shared" ca="1" si="8"/>
        <v>533</v>
      </c>
    </row>
    <row r="418" spans="2:7" hidden="1" x14ac:dyDescent="0.35">
      <c r="B418" s="164" t="s">
        <v>958</v>
      </c>
      <c r="C418" s="174" t="s">
        <v>750</v>
      </c>
      <c r="D418" s="175" t="s">
        <v>42</v>
      </c>
      <c r="E418" s="176">
        <v>33962</v>
      </c>
      <c r="F418" s="177">
        <v>46015</v>
      </c>
      <c r="G418" s="178">
        <f t="shared" ca="1" si="8"/>
        <v>201</v>
      </c>
    </row>
    <row r="419" spans="2:7" hidden="1" x14ac:dyDescent="0.35">
      <c r="B419" s="70" t="s">
        <v>1156</v>
      </c>
      <c r="C419" s="97" t="s">
        <v>759</v>
      </c>
      <c r="D419" s="21" t="s">
        <v>43</v>
      </c>
      <c r="E419" s="167">
        <v>34722</v>
      </c>
      <c r="F419" s="165">
        <v>45680</v>
      </c>
      <c r="G419" s="168">
        <f t="shared" ca="1" si="8"/>
        <v>536</v>
      </c>
    </row>
    <row r="420" spans="2:7" hidden="1" x14ac:dyDescent="0.35">
      <c r="B420" s="70" t="s">
        <v>1184</v>
      </c>
      <c r="C420" s="97" t="s">
        <v>759</v>
      </c>
      <c r="D420" s="21" t="s">
        <v>50</v>
      </c>
      <c r="E420" s="167">
        <v>34720</v>
      </c>
      <c r="F420" s="165">
        <v>45678</v>
      </c>
      <c r="G420" s="168">
        <f t="shared" ca="1" si="8"/>
        <v>538</v>
      </c>
    </row>
    <row r="421" spans="2:7" hidden="1" x14ac:dyDescent="0.35">
      <c r="B421" s="70" t="s">
        <v>908</v>
      </c>
      <c r="C421" s="97" t="s">
        <v>64</v>
      </c>
      <c r="D421" s="21" t="s">
        <v>49</v>
      </c>
      <c r="E421" s="167">
        <v>38006</v>
      </c>
      <c r="F421" s="165">
        <v>45677</v>
      </c>
      <c r="G421" s="168">
        <f t="shared" ca="1" si="8"/>
        <v>539</v>
      </c>
    </row>
    <row r="422" spans="2:7" hidden="1" x14ac:dyDescent="0.35">
      <c r="B422" s="70" t="s">
        <v>293</v>
      </c>
      <c r="C422" s="97" t="s">
        <v>65</v>
      </c>
      <c r="D422" s="21" t="s">
        <v>45</v>
      </c>
      <c r="E422" s="167">
        <v>37641</v>
      </c>
      <c r="F422" s="165">
        <v>45677</v>
      </c>
      <c r="G422" s="168">
        <f t="shared" ca="1" si="8"/>
        <v>539</v>
      </c>
    </row>
    <row r="423" spans="2:7" hidden="1" x14ac:dyDescent="0.35">
      <c r="B423" s="70" t="s">
        <v>1010</v>
      </c>
      <c r="C423" s="97" t="s">
        <v>64</v>
      </c>
      <c r="D423" s="21" t="s">
        <v>0</v>
      </c>
      <c r="E423" s="167">
        <v>36180</v>
      </c>
      <c r="F423" s="165">
        <v>45677</v>
      </c>
      <c r="G423" s="168">
        <f t="shared" ca="1" si="8"/>
        <v>539</v>
      </c>
    </row>
    <row r="424" spans="2:7" hidden="1" x14ac:dyDescent="0.35">
      <c r="B424" s="70" t="s">
        <v>821</v>
      </c>
      <c r="C424" s="97" t="s">
        <v>64</v>
      </c>
      <c r="D424" s="21" t="s">
        <v>38</v>
      </c>
      <c r="E424" s="167">
        <v>36179</v>
      </c>
      <c r="F424" s="165">
        <v>45676</v>
      </c>
      <c r="G424" s="168">
        <f t="shared" ca="1" si="8"/>
        <v>540</v>
      </c>
    </row>
    <row r="425" spans="2:7" hidden="1" x14ac:dyDescent="0.35">
      <c r="B425" s="70" t="s">
        <v>765</v>
      </c>
      <c r="C425" s="97" t="s">
        <v>750</v>
      </c>
      <c r="D425" s="21" t="s">
        <v>31</v>
      </c>
      <c r="E425" s="167">
        <v>36178</v>
      </c>
      <c r="F425" s="165">
        <v>45675</v>
      </c>
      <c r="G425" s="168">
        <f t="shared" ca="1" si="8"/>
        <v>541</v>
      </c>
    </row>
    <row r="426" spans="2:7" hidden="1" x14ac:dyDescent="0.35">
      <c r="B426" s="70" t="s">
        <v>1173</v>
      </c>
      <c r="C426" s="97" t="s">
        <v>70</v>
      </c>
      <c r="D426" s="21" t="s">
        <v>33</v>
      </c>
      <c r="E426" s="167">
        <v>36178</v>
      </c>
      <c r="F426" s="165">
        <v>45675</v>
      </c>
      <c r="G426" s="168">
        <f t="shared" ca="1" si="8"/>
        <v>541</v>
      </c>
    </row>
    <row r="427" spans="2:7" hidden="1" x14ac:dyDescent="0.35">
      <c r="B427" s="70" t="s">
        <v>1090</v>
      </c>
      <c r="C427" s="97" t="s">
        <v>64</v>
      </c>
      <c r="D427" s="21" t="s">
        <v>16</v>
      </c>
      <c r="E427" s="167">
        <v>37273</v>
      </c>
      <c r="F427" s="165">
        <v>45674</v>
      </c>
      <c r="G427" s="168">
        <f t="shared" ca="1" si="8"/>
        <v>542</v>
      </c>
    </row>
    <row r="428" spans="2:7" hidden="1" x14ac:dyDescent="0.35">
      <c r="B428" s="70" t="s">
        <v>965</v>
      </c>
      <c r="C428" s="97" t="s">
        <v>65</v>
      </c>
      <c r="D428" s="21" t="s">
        <v>31</v>
      </c>
      <c r="E428" s="167">
        <v>31063</v>
      </c>
      <c r="F428" s="165">
        <v>45673</v>
      </c>
      <c r="G428" s="168">
        <f t="shared" ca="1" si="8"/>
        <v>543</v>
      </c>
    </row>
    <row r="429" spans="2:7" hidden="1" x14ac:dyDescent="0.35">
      <c r="B429" s="70" t="s">
        <v>778</v>
      </c>
      <c r="C429" s="97" t="s">
        <v>750</v>
      </c>
      <c r="D429" s="21" t="s">
        <v>56</v>
      </c>
      <c r="E429" s="167">
        <v>35079</v>
      </c>
      <c r="F429" s="165">
        <v>45672</v>
      </c>
      <c r="G429" s="168">
        <f t="shared" ca="1" si="8"/>
        <v>544</v>
      </c>
    </row>
    <row r="430" spans="2:7" hidden="1" x14ac:dyDescent="0.35">
      <c r="B430" s="70" t="s">
        <v>1133</v>
      </c>
      <c r="C430" s="97" t="s">
        <v>64</v>
      </c>
      <c r="D430" s="21" t="s">
        <v>44</v>
      </c>
      <c r="E430" s="167">
        <v>38001</v>
      </c>
      <c r="F430" s="165">
        <v>45672</v>
      </c>
      <c r="G430" s="168">
        <f t="shared" ca="1" si="8"/>
        <v>544</v>
      </c>
    </row>
    <row r="431" spans="2:7" hidden="1" x14ac:dyDescent="0.35">
      <c r="B431" s="164" t="s">
        <v>1168</v>
      </c>
      <c r="C431" s="174" t="s">
        <v>64</v>
      </c>
      <c r="D431" s="175" t="s">
        <v>37</v>
      </c>
      <c r="E431" s="176">
        <v>35060</v>
      </c>
      <c r="F431" s="177">
        <v>46018</v>
      </c>
      <c r="G431" s="178">
        <f t="shared" ca="1" si="8"/>
        <v>198</v>
      </c>
    </row>
    <row r="432" spans="2:7" hidden="1" x14ac:dyDescent="0.35">
      <c r="B432" s="70" t="s">
        <v>779</v>
      </c>
      <c r="C432" s="97" t="s">
        <v>70</v>
      </c>
      <c r="D432" s="21" t="s">
        <v>35</v>
      </c>
      <c r="E432" s="167">
        <v>36903</v>
      </c>
      <c r="F432" s="165">
        <v>45669</v>
      </c>
      <c r="G432" s="168">
        <f t="shared" ca="1" si="8"/>
        <v>547</v>
      </c>
    </row>
    <row r="433" spans="2:7" hidden="1" x14ac:dyDescent="0.35">
      <c r="B433" s="70" t="s">
        <v>794</v>
      </c>
      <c r="C433" s="97" t="s">
        <v>750</v>
      </c>
      <c r="D433" s="21" t="s">
        <v>48</v>
      </c>
      <c r="E433" s="167">
        <v>35442</v>
      </c>
      <c r="F433" s="165">
        <v>45669</v>
      </c>
      <c r="G433" s="168">
        <f t="shared" ca="1" si="8"/>
        <v>547</v>
      </c>
    </row>
    <row r="434" spans="2:7" hidden="1" x14ac:dyDescent="0.35">
      <c r="B434" s="70" t="s">
        <v>889</v>
      </c>
      <c r="C434" s="97" t="s">
        <v>64</v>
      </c>
      <c r="D434" s="21" t="s">
        <v>54</v>
      </c>
      <c r="E434" s="167">
        <v>36172</v>
      </c>
      <c r="F434" s="165">
        <v>45669</v>
      </c>
      <c r="G434" s="168">
        <f t="shared" ca="1" si="8"/>
        <v>547</v>
      </c>
    </row>
    <row r="435" spans="2:7" hidden="1" x14ac:dyDescent="0.35">
      <c r="B435" s="70" t="s">
        <v>747</v>
      </c>
      <c r="C435" s="97" t="s">
        <v>64</v>
      </c>
      <c r="D435" s="21" t="s">
        <v>36</v>
      </c>
      <c r="E435" s="167">
        <v>36536</v>
      </c>
      <c r="F435" s="165">
        <v>45668</v>
      </c>
      <c r="G435" s="168">
        <f t="shared" ca="1" si="8"/>
        <v>548</v>
      </c>
    </row>
    <row r="436" spans="2:7" hidden="1" x14ac:dyDescent="0.35">
      <c r="B436" s="70" t="s">
        <v>792</v>
      </c>
      <c r="C436" s="97" t="s">
        <v>759</v>
      </c>
      <c r="D436" s="21" t="s">
        <v>45</v>
      </c>
      <c r="E436" s="167">
        <v>36900</v>
      </c>
      <c r="F436" s="165">
        <v>45666</v>
      </c>
      <c r="G436" s="168">
        <f t="shared" ca="1" si="8"/>
        <v>550</v>
      </c>
    </row>
    <row r="437" spans="2:7" hidden="1" x14ac:dyDescent="0.35">
      <c r="B437" s="164" t="s">
        <v>999</v>
      </c>
      <c r="C437" s="174" t="s">
        <v>65</v>
      </c>
      <c r="D437" s="175" t="s">
        <v>53</v>
      </c>
      <c r="E437" s="176">
        <v>36521</v>
      </c>
      <c r="F437" s="177">
        <v>46018</v>
      </c>
      <c r="G437" s="178">
        <f t="shared" ca="1" si="8"/>
        <v>198</v>
      </c>
    </row>
    <row r="438" spans="2:7" hidden="1" x14ac:dyDescent="0.35">
      <c r="B438" s="164" t="s">
        <v>1009</v>
      </c>
      <c r="C438" s="174" t="s">
        <v>64</v>
      </c>
      <c r="D438" s="175" t="s">
        <v>37</v>
      </c>
      <c r="E438" s="176">
        <v>36889</v>
      </c>
      <c r="F438" s="177">
        <v>46020</v>
      </c>
      <c r="G438" s="178">
        <f t="shared" ca="1" si="8"/>
        <v>196</v>
      </c>
    </row>
    <row r="439" spans="2:7" hidden="1" x14ac:dyDescent="0.35">
      <c r="B439" s="70" t="s">
        <v>990</v>
      </c>
      <c r="C439" s="97" t="s">
        <v>64</v>
      </c>
      <c r="D439" s="21" t="s">
        <v>33</v>
      </c>
      <c r="E439" s="167">
        <v>37994</v>
      </c>
      <c r="F439" s="165">
        <v>45665</v>
      </c>
      <c r="G439" s="168">
        <f t="shared" ca="1" si="8"/>
        <v>551</v>
      </c>
    </row>
    <row r="440" spans="2:7" hidden="1" x14ac:dyDescent="0.35">
      <c r="B440" s="70" t="s">
        <v>974</v>
      </c>
      <c r="C440" s="97" t="s">
        <v>65</v>
      </c>
      <c r="D440" s="21" t="s">
        <v>16</v>
      </c>
      <c r="E440" s="167">
        <v>35437</v>
      </c>
      <c r="F440" s="165">
        <v>45664</v>
      </c>
      <c r="G440" s="168">
        <f t="shared" ca="1" si="8"/>
        <v>552</v>
      </c>
    </row>
    <row r="441" spans="2:7" hidden="1" x14ac:dyDescent="0.35">
      <c r="B441" s="70" t="s">
        <v>1143</v>
      </c>
      <c r="C441" s="97" t="s">
        <v>65</v>
      </c>
      <c r="D441" s="21" t="s">
        <v>48</v>
      </c>
      <c r="E441" s="167">
        <v>34340</v>
      </c>
      <c r="F441" s="165">
        <v>45663</v>
      </c>
      <c r="G441" s="168">
        <f t="shared" ca="1" si="8"/>
        <v>553</v>
      </c>
    </row>
    <row r="442" spans="2:7" hidden="1" x14ac:dyDescent="0.35">
      <c r="B442" s="70" t="s">
        <v>1146</v>
      </c>
      <c r="C442" s="97" t="s">
        <v>750</v>
      </c>
      <c r="D442" s="21" t="s">
        <v>56</v>
      </c>
      <c r="E442" s="167">
        <v>35070</v>
      </c>
      <c r="F442" s="165">
        <v>45663</v>
      </c>
      <c r="G442" s="168">
        <f t="shared" ca="1" si="8"/>
        <v>553</v>
      </c>
    </row>
    <row r="443" spans="2:7" hidden="1" x14ac:dyDescent="0.35">
      <c r="B443" s="70" t="s">
        <v>904</v>
      </c>
      <c r="C443" s="97" t="s">
        <v>750</v>
      </c>
      <c r="D443" s="21" t="s">
        <v>48</v>
      </c>
      <c r="E443" s="167">
        <v>36896</v>
      </c>
      <c r="F443" s="165">
        <v>45662</v>
      </c>
      <c r="G443" s="168">
        <f t="shared" ca="1" si="8"/>
        <v>554</v>
      </c>
    </row>
    <row r="444" spans="2:7" hidden="1" x14ac:dyDescent="0.35">
      <c r="B444" s="70" t="s">
        <v>946</v>
      </c>
      <c r="C444" s="97" t="s">
        <v>64</v>
      </c>
      <c r="D444" s="21" t="s">
        <v>36</v>
      </c>
      <c r="E444" s="167">
        <v>36896</v>
      </c>
      <c r="F444" s="165">
        <v>45662</v>
      </c>
      <c r="G444" s="168">
        <f t="shared" ca="1" si="8"/>
        <v>554</v>
      </c>
    </row>
    <row r="445" spans="2:7" hidden="1" x14ac:dyDescent="0.35">
      <c r="B445" s="70" t="s">
        <v>1051</v>
      </c>
      <c r="C445" s="97" t="s">
        <v>750</v>
      </c>
      <c r="D445" s="21" t="s">
        <v>44</v>
      </c>
      <c r="E445" s="167">
        <v>36895</v>
      </c>
      <c r="F445" s="165">
        <v>45661</v>
      </c>
      <c r="G445" s="168">
        <f t="shared" ca="1" si="8"/>
        <v>555</v>
      </c>
    </row>
    <row r="446" spans="2:7" hidden="1" x14ac:dyDescent="0.35">
      <c r="B446" s="70" t="s">
        <v>1132</v>
      </c>
      <c r="C446" s="97" t="s">
        <v>64</v>
      </c>
      <c r="D446" s="21" t="s">
        <v>16</v>
      </c>
      <c r="E446" s="167">
        <v>34338</v>
      </c>
      <c r="F446" s="165">
        <v>45661</v>
      </c>
      <c r="G446" s="168">
        <f t="shared" ca="1" si="8"/>
        <v>555</v>
      </c>
    </row>
    <row r="447" spans="2:7" hidden="1" x14ac:dyDescent="0.35">
      <c r="B447" s="70" t="s">
        <v>1141</v>
      </c>
      <c r="C447" s="97" t="s">
        <v>70</v>
      </c>
      <c r="D447" s="21" t="s">
        <v>50</v>
      </c>
      <c r="E447" s="167">
        <v>34702</v>
      </c>
      <c r="F447" s="165">
        <v>45660</v>
      </c>
      <c r="G447" s="168">
        <f t="shared" ca="1" si="8"/>
        <v>556</v>
      </c>
    </row>
    <row r="448" spans="2:7" hidden="1" x14ac:dyDescent="0.35">
      <c r="B448" s="70" t="s">
        <v>831</v>
      </c>
      <c r="C448" s="97" t="s">
        <v>64</v>
      </c>
      <c r="D448" s="21" t="s">
        <v>42</v>
      </c>
      <c r="E448" s="167">
        <v>37619</v>
      </c>
      <c r="F448" s="165">
        <v>46020</v>
      </c>
      <c r="G448" s="168">
        <f t="shared" ca="1" si="8"/>
        <v>196</v>
      </c>
    </row>
  </sheetData>
  <conditionalFormatting sqref="C3:C448">
    <cfRule type="cellIs" dxfId="4379" priority="9" operator="equal">
      <formula>"WR5"</formula>
    </cfRule>
    <cfRule type="cellIs" dxfId="4378" priority="3" operator="equal">
      <formula>"d/st"</formula>
    </cfRule>
    <cfRule type="cellIs" dxfId="4377" priority="4" operator="equal">
      <formula>"WR9"</formula>
    </cfRule>
    <cfRule type="cellIs" dxfId="4376" priority="5" operator="equal">
      <formula>"WR8"</formula>
    </cfRule>
    <cfRule type="cellIs" dxfId="4375" priority="6" operator="equal">
      <formula>"WR7"</formula>
    </cfRule>
    <cfRule type="cellIs" dxfId="4374" priority="7" operator="equal">
      <formula>"WR6"</formula>
    </cfRule>
    <cfRule type="cellIs" dxfId="4373" priority="8" operator="equal">
      <formula>"TE5"</formula>
    </cfRule>
    <cfRule type="cellIs" dxfId="4372" priority="16" operator="equal">
      <formula>"TE3"</formula>
    </cfRule>
    <cfRule type="cellIs" dxfId="4371" priority="10" operator="equal">
      <formula>"RB5"</formula>
    </cfRule>
    <cfRule type="cellIs" dxfId="4370" priority="11" operator="equal">
      <formula>"QB5"</formula>
    </cfRule>
    <cfRule type="cellIs" dxfId="4369" priority="12" operator="equal">
      <formula>"TE4"</formula>
    </cfRule>
    <cfRule type="cellIs" dxfId="4368" priority="13" operator="equal">
      <formula>"WR4"</formula>
    </cfRule>
    <cfRule type="cellIs" dxfId="4367" priority="14" operator="equal">
      <formula>"RB4"</formula>
    </cfRule>
    <cfRule type="cellIs" dxfId="4366" priority="15" operator="equal">
      <formula>"QB4"</formula>
    </cfRule>
    <cfRule type="cellIs" dxfId="4365" priority="27" operator="equal">
      <formula>"qb"</formula>
    </cfRule>
    <cfRule type="cellIs" dxfId="4364" priority="17" operator="equal">
      <formula>"WR3"</formula>
    </cfRule>
    <cfRule type="cellIs" dxfId="4363" priority="18" operator="equal">
      <formula>"RB3"</formula>
    </cfRule>
    <cfRule type="cellIs" dxfId="4362" priority="19" operator="equal">
      <formula>"QB3"</formula>
    </cfRule>
    <cfRule type="cellIs" dxfId="4361" priority="20" operator="equal">
      <formula>"TE2"</formula>
    </cfRule>
    <cfRule type="cellIs" dxfId="4360" priority="21" operator="equal">
      <formula>"WR2"</formula>
    </cfRule>
    <cfRule type="cellIs" dxfId="4359" priority="22" operator="equal">
      <formula>"RB2"</formula>
    </cfRule>
    <cfRule type="cellIs" dxfId="4358" priority="23" operator="equal">
      <formula>"QB2"</formula>
    </cfRule>
    <cfRule type="cellIs" dxfId="4357" priority="24" operator="equal">
      <formula>"te"</formula>
    </cfRule>
    <cfRule type="cellIs" dxfId="4356" priority="25" operator="equal">
      <formula>"wr"</formula>
    </cfRule>
    <cfRule type="cellIs" dxfId="4355" priority="26" operator="equal">
      <formula>"rb"</formula>
    </cfRule>
  </conditionalFormatting>
  <conditionalFormatting sqref="D3:D448">
    <cfRule type="cellIs" dxfId="4354" priority="59" operator="equal">
      <formula>"BUF"</formula>
    </cfRule>
    <cfRule type="cellIs" dxfId="4353" priority="28" operator="equal">
      <formula>"LV"</formula>
    </cfRule>
    <cfRule type="cellIs" dxfId="4352" priority="29" operator="equal">
      <formula>"NE"</formula>
    </cfRule>
    <cfRule type="cellIs" dxfId="4351" priority="30" operator="equal">
      <formula>"MIN"</formula>
    </cfRule>
    <cfRule type="cellIs" dxfId="4350" priority="31" operator="equal">
      <formula>"PIT"</formula>
    </cfRule>
    <cfRule type="cellIs" dxfId="4349" priority="32" operator="equal">
      <formula>"DEN"</formula>
    </cfRule>
    <cfRule type="cellIs" dxfId="4348" priority="33" operator="equal">
      <formula>"CAR"</formula>
    </cfRule>
    <cfRule type="cellIs" dxfId="4347" priority="34" operator="equal">
      <formula>"NYG"</formula>
    </cfRule>
    <cfRule type="cellIs" dxfId="4346" priority="35" operator="equal">
      <formula>"NO"</formula>
    </cfRule>
    <cfRule type="cellIs" dxfId="4345" priority="36" operator="equal">
      <formula>"TEN"</formula>
    </cfRule>
    <cfRule type="cellIs" dxfId="4344" priority="37" operator="equal">
      <formula>"TB"</formula>
    </cfRule>
    <cfRule type="cellIs" dxfId="4343" priority="38" operator="equal">
      <formula>"CLE"</formula>
    </cfRule>
    <cfRule type="cellIs" dxfId="4342" priority="39" operator="equal">
      <formula>"NYJ"</formula>
    </cfRule>
    <cfRule type="cellIs" dxfId="4341" priority="40" operator="equal">
      <formula>"SEA"</formula>
    </cfRule>
    <cfRule type="cellIs" dxfId="4340" priority="41" operator="equal">
      <formula>"LAC"</formula>
    </cfRule>
    <cfRule type="cellIs" dxfId="4339" priority="42" operator="equal">
      <formula>"LAR"</formula>
    </cfRule>
    <cfRule type="cellIs" dxfId="4338" priority="43" operator="equal">
      <formula>"ATL"</formula>
    </cfRule>
    <cfRule type="cellIs" dxfId="4337" priority="44" operator="equal">
      <formula>"JAX"</formula>
    </cfRule>
    <cfRule type="cellIs" dxfId="4336" priority="45" operator="equal">
      <formula>"CHI"</formula>
    </cfRule>
    <cfRule type="cellIs" dxfId="4335" priority="46" operator="equal">
      <formula>"MIA"</formula>
    </cfRule>
    <cfRule type="cellIs" dxfId="4334" priority="47" operator="equal">
      <formula>"DET"</formula>
    </cfRule>
    <cfRule type="cellIs" dxfId="4333" priority="48" operator="equal">
      <formula>"SF"</formula>
    </cfRule>
    <cfRule type="cellIs" dxfId="4332" priority="49" operator="equal">
      <formula>"WAS"</formula>
    </cfRule>
    <cfRule type="cellIs" dxfId="4331" priority="50" operator="equal">
      <formula>"GB"</formula>
    </cfRule>
    <cfRule type="cellIs" dxfId="4330" priority="51" operator="equal">
      <formula>"DAL"</formula>
    </cfRule>
    <cfRule type="cellIs" dxfId="4329" priority="52" operator="equal">
      <formula>"CIN"</formula>
    </cfRule>
    <cfRule type="cellIs" dxfId="4328" priority="53" operator="equal">
      <formula>"ARI"</formula>
    </cfRule>
    <cfRule type="cellIs" dxfId="4327" priority="54" operator="equal">
      <formula>"HOU"</formula>
    </cfRule>
    <cfRule type="cellIs" dxfId="4326" priority="55" operator="equal">
      <formula>"IND"</formula>
    </cfRule>
    <cfRule type="cellIs" dxfId="4325" priority="56" operator="equal">
      <formula>"KC"</formula>
    </cfRule>
    <cfRule type="cellIs" dxfId="4324" priority="57" operator="equal">
      <formula>"BAL"</formula>
    </cfRule>
    <cfRule type="cellIs" dxfId="4323" priority="58" operator="equal">
      <formula>"PHI"</formula>
    </cfRule>
  </conditionalFormatting>
  <conditionalFormatting sqref="G3:G448">
    <cfRule type="cellIs" dxfId="4322" priority="1" operator="between">
      <formula>-14</formula>
      <formula>14</formula>
    </cfRule>
  </conditionalFormatting>
  <printOptions horizontalCentered="1" verticalCentered="1"/>
  <pageMargins left="0" right="0" top="0.25" bottom="0.25" header="0.05" footer="0.05"/>
  <pageSetup paperSize="3" scale="17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81D0-093B-419F-B018-8CED392BE90B}">
  <sheetPr>
    <pageSetUpPr fitToPage="1"/>
  </sheetPr>
  <dimension ref="B2:X66"/>
  <sheetViews>
    <sheetView topLeftCell="D1" workbookViewId="0">
      <selection activeCell="W34" sqref="W34"/>
    </sheetView>
  </sheetViews>
  <sheetFormatPr defaultColWidth="6.453125" defaultRowHeight="14.5" x14ac:dyDescent="0.35"/>
  <cols>
    <col min="2" max="2" width="6.36328125" bestFit="1" customWidth="1"/>
    <col min="3" max="3" width="10.26953125" bestFit="1" customWidth="1"/>
    <col min="4" max="4" width="22.1796875" bestFit="1" customWidth="1"/>
    <col min="5" max="5" width="11.453125" bestFit="1" customWidth="1"/>
    <col min="6" max="6" width="19.7265625" bestFit="1" customWidth="1"/>
    <col min="7" max="7" width="7" bestFit="1" customWidth="1"/>
    <col min="8" max="8" width="9.6328125" bestFit="1" customWidth="1"/>
    <col min="9" max="9" width="8.90625" bestFit="1" customWidth="1"/>
    <col min="10" max="10" width="7.54296875" bestFit="1" customWidth="1"/>
    <col min="11" max="11" width="18.1796875" bestFit="1" customWidth="1"/>
    <col min="12" max="12" width="7.54296875" bestFit="1" customWidth="1"/>
    <col min="13" max="13" width="27" bestFit="1" customWidth="1"/>
    <col min="14" max="14" width="16.54296875" bestFit="1" customWidth="1"/>
    <col min="15" max="15" width="15" bestFit="1" customWidth="1"/>
    <col min="16" max="16" width="23.81640625" bestFit="1" customWidth="1"/>
    <col min="17" max="17" width="12.1796875" bestFit="1" customWidth="1"/>
    <col min="18" max="18" width="14.54296875" bestFit="1" customWidth="1"/>
    <col min="20" max="20" width="13.6328125" bestFit="1" customWidth="1"/>
    <col min="21" max="21" width="7.54296875" bestFit="1" customWidth="1"/>
    <col min="23" max="23" width="13.6328125" bestFit="1" customWidth="1"/>
    <col min="24" max="24" width="9" bestFit="1" customWidth="1"/>
  </cols>
  <sheetData>
    <row r="2" spans="2:24" ht="18.5" x14ac:dyDescent="0.45">
      <c r="B2" s="195" t="s">
        <v>1199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 spans="2:24" x14ac:dyDescent="0.35">
      <c r="B3" s="70" t="s">
        <v>1200</v>
      </c>
      <c r="C3" s="70" t="s">
        <v>1201</v>
      </c>
      <c r="D3" s="70" t="s">
        <v>1466</v>
      </c>
      <c r="E3" s="70" t="s">
        <v>1465</v>
      </c>
      <c r="F3" s="70" t="s">
        <v>1202</v>
      </c>
      <c r="G3" s="70" t="s">
        <v>1203</v>
      </c>
      <c r="H3" s="70" t="s">
        <v>1586</v>
      </c>
      <c r="I3" s="70" t="s">
        <v>1587</v>
      </c>
      <c r="J3" s="70" t="s">
        <v>1204</v>
      </c>
      <c r="K3" s="70" t="s">
        <v>1205</v>
      </c>
      <c r="L3" s="70" t="s">
        <v>1583</v>
      </c>
      <c r="M3" s="70" t="s">
        <v>1206</v>
      </c>
      <c r="N3" s="70" t="s">
        <v>1207</v>
      </c>
      <c r="O3" s="70" t="s">
        <v>1208</v>
      </c>
      <c r="P3" s="70" t="s">
        <v>1209</v>
      </c>
      <c r="Q3" s="70" t="s">
        <v>742</v>
      </c>
      <c r="R3" s="70" t="s">
        <v>1210</v>
      </c>
      <c r="T3" s="183" t="s">
        <v>1402</v>
      </c>
      <c r="U3" s="183" t="s">
        <v>1401</v>
      </c>
      <c r="W3" s="181" t="s">
        <v>1402</v>
      </c>
      <c r="X3" s="181" t="s">
        <v>1403</v>
      </c>
    </row>
    <row r="4" spans="2:24" x14ac:dyDescent="0.35">
      <c r="B4" s="70">
        <v>62</v>
      </c>
      <c r="C4" s="70" t="s">
        <v>1469</v>
      </c>
      <c r="D4" s="185">
        <v>46796</v>
      </c>
      <c r="E4" s="70">
        <v>2027</v>
      </c>
      <c r="F4" s="70"/>
      <c r="G4" s="23"/>
      <c r="H4" s="70"/>
      <c r="I4" s="70"/>
      <c r="J4" s="23"/>
      <c r="K4" s="70"/>
      <c r="L4" s="72"/>
      <c r="M4" s="70" t="s">
        <v>1389</v>
      </c>
      <c r="N4" s="70" t="s">
        <v>1407</v>
      </c>
      <c r="O4" s="180"/>
      <c r="P4" s="180"/>
      <c r="Q4" s="180"/>
      <c r="R4" s="70"/>
      <c r="T4" s="182" t="s">
        <v>51</v>
      </c>
      <c r="U4" s="24">
        <v>6</v>
      </c>
      <c r="W4" s="23" t="s">
        <v>46</v>
      </c>
      <c r="X4" s="24">
        <v>6</v>
      </c>
    </row>
    <row r="5" spans="2:24" x14ac:dyDescent="0.35">
      <c r="B5" s="70">
        <v>61</v>
      </c>
      <c r="C5" s="70" t="s">
        <v>1468</v>
      </c>
      <c r="D5" s="185">
        <v>46432</v>
      </c>
      <c r="E5" s="70">
        <v>2026</v>
      </c>
      <c r="F5" s="70"/>
      <c r="G5" s="23"/>
      <c r="H5" s="70"/>
      <c r="I5" s="70"/>
      <c r="J5" s="23"/>
      <c r="K5" s="70"/>
      <c r="L5" s="72"/>
      <c r="M5" s="70" t="s">
        <v>1394</v>
      </c>
      <c r="N5" s="70" t="s">
        <v>1406</v>
      </c>
      <c r="O5" s="180"/>
      <c r="P5" s="180"/>
      <c r="Q5" s="180"/>
      <c r="R5" s="70"/>
      <c r="T5" s="182" t="s">
        <v>46</v>
      </c>
      <c r="U5" s="24">
        <v>6</v>
      </c>
      <c r="W5" s="23" t="s">
        <v>34</v>
      </c>
      <c r="X5" s="24">
        <v>5</v>
      </c>
    </row>
    <row r="6" spans="2:24" x14ac:dyDescent="0.35">
      <c r="B6" s="70">
        <v>60</v>
      </c>
      <c r="C6" s="70" t="s">
        <v>1467</v>
      </c>
      <c r="D6" s="185">
        <v>46061</v>
      </c>
      <c r="E6" s="70">
        <v>2025</v>
      </c>
      <c r="F6" s="70" t="s">
        <v>1348</v>
      </c>
      <c r="G6" s="23" t="s">
        <v>52</v>
      </c>
      <c r="H6" s="70">
        <v>29</v>
      </c>
      <c r="I6" s="70">
        <v>13</v>
      </c>
      <c r="J6" s="23" t="s">
        <v>46</v>
      </c>
      <c r="K6" s="70" t="s">
        <v>1283</v>
      </c>
      <c r="L6" s="72" t="s">
        <v>1584</v>
      </c>
      <c r="M6" s="70" t="s">
        <v>1379</v>
      </c>
      <c r="N6" s="70" t="s">
        <v>1445</v>
      </c>
      <c r="O6" s="180"/>
      <c r="P6" s="180" t="s">
        <v>1019</v>
      </c>
      <c r="Q6" s="180" t="s">
        <v>64</v>
      </c>
      <c r="R6" s="70"/>
      <c r="T6" s="182" t="s">
        <v>33</v>
      </c>
      <c r="U6" s="24">
        <v>5</v>
      </c>
      <c r="W6" s="23" t="s">
        <v>45</v>
      </c>
      <c r="X6" s="24">
        <v>4</v>
      </c>
    </row>
    <row r="7" spans="2:24" x14ac:dyDescent="0.35">
      <c r="B7" s="70">
        <v>59</v>
      </c>
      <c r="C7" s="70" t="s">
        <v>1399</v>
      </c>
      <c r="D7" s="185">
        <v>45697</v>
      </c>
      <c r="E7" s="70">
        <v>2024</v>
      </c>
      <c r="F7" s="70" t="s">
        <v>1265</v>
      </c>
      <c r="G7" s="23" t="s">
        <v>50</v>
      </c>
      <c r="H7" s="70">
        <v>40</v>
      </c>
      <c r="I7" s="70">
        <v>22</v>
      </c>
      <c r="J7" s="23" t="s">
        <v>40</v>
      </c>
      <c r="K7" s="70" t="s">
        <v>1213</v>
      </c>
      <c r="L7" s="72" t="s">
        <v>1584</v>
      </c>
      <c r="M7" s="70" t="s">
        <v>1432</v>
      </c>
      <c r="N7" s="70" t="s">
        <v>1433</v>
      </c>
      <c r="O7" s="180">
        <v>65719</v>
      </c>
      <c r="P7" s="180" t="s">
        <v>856</v>
      </c>
      <c r="Q7" s="180" t="s">
        <v>65</v>
      </c>
      <c r="R7" s="70" t="s">
        <v>1395</v>
      </c>
      <c r="T7" s="182" t="s">
        <v>53</v>
      </c>
      <c r="U7" s="24">
        <v>5</v>
      </c>
      <c r="W7" s="23" t="s">
        <v>17</v>
      </c>
      <c r="X7" s="24">
        <v>4</v>
      </c>
    </row>
    <row r="8" spans="2:24" x14ac:dyDescent="0.35">
      <c r="B8" s="70">
        <v>58</v>
      </c>
      <c r="C8" s="70" t="s">
        <v>1397</v>
      </c>
      <c r="D8" s="185">
        <v>45333</v>
      </c>
      <c r="E8" s="70">
        <v>2023</v>
      </c>
      <c r="F8" s="70" t="s">
        <v>1213</v>
      </c>
      <c r="G8" s="23" t="s">
        <v>40</v>
      </c>
      <c r="H8" s="70">
        <v>25</v>
      </c>
      <c r="I8" s="70">
        <v>22</v>
      </c>
      <c r="J8" s="23" t="s">
        <v>53</v>
      </c>
      <c r="K8" s="70" t="s">
        <v>1268</v>
      </c>
      <c r="L8" s="72" t="s">
        <v>1585</v>
      </c>
      <c r="M8" s="70" t="s">
        <v>1398</v>
      </c>
      <c r="N8" s="70" t="s">
        <v>1456</v>
      </c>
      <c r="O8" s="180">
        <v>61629</v>
      </c>
      <c r="P8" s="180" t="s">
        <v>1392</v>
      </c>
      <c r="Q8" s="180" t="s">
        <v>65</v>
      </c>
      <c r="R8" s="70" t="s">
        <v>1378</v>
      </c>
      <c r="T8" s="182" t="s">
        <v>48</v>
      </c>
      <c r="U8" s="24">
        <v>4</v>
      </c>
      <c r="W8" s="23" t="s">
        <v>33</v>
      </c>
      <c r="X8" s="24">
        <v>3</v>
      </c>
    </row>
    <row r="9" spans="2:24" x14ac:dyDescent="0.35">
      <c r="B9" s="70">
        <v>57</v>
      </c>
      <c r="C9" s="70" t="s">
        <v>1396</v>
      </c>
      <c r="D9" s="185">
        <v>44969</v>
      </c>
      <c r="E9" s="70">
        <v>2022</v>
      </c>
      <c r="F9" s="70" t="s">
        <v>1213</v>
      </c>
      <c r="G9" s="23" t="s">
        <v>40</v>
      </c>
      <c r="H9" s="70">
        <v>38</v>
      </c>
      <c r="I9" s="70">
        <v>35</v>
      </c>
      <c r="J9" s="23" t="s">
        <v>50</v>
      </c>
      <c r="K9" s="70" t="s">
        <v>1265</v>
      </c>
      <c r="L9" s="72" t="s">
        <v>1584</v>
      </c>
      <c r="M9" s="70" t="s">
        <v>1424</v>
      </c>
      <c r="N9" s="70" t="s">
        <v>1455</v>
      </c>
      <c r="O9" s="180">
        <v>67827</v>
      </c>
      <c r="P9" s="180" t="s">
        <v>1392</v>
      </c>
      <c r="Q9" s="180" t="s">
        <v>65</v>
      </c>
      <c r="R9" s="70" t="s">
        <v>1383</v>
      </c>
      <c r="T9" s="182" t="s">
        <v>36</v>
      </c>
      <c r="U9" s="24">
        <v>4</v>
      </c>
      <c r="W9" s="23" t="s">
        <v>44</v>
      </c>
      <c r="X9" s="24">
        <v>3</v>
      </c>
    </row>
    <row r="10" spans="2:24" x14ac:dyDescent="0.35">
      <c r="B10" s="70">
        <v>56</v>
      </c>
      <c r="C10" s="70" t="s">
        <v>1393</v>
      </c>
      <c r="D10" s="185">
        <v>44605</v>
      </c>
      <c r="E10" s="70">
        <v>2021</v>
      </c>
      <c r="F10" s="70" t="s">
        <v>1262</v>
      </c>
      <c r="G10" s="23" t="s">
        <v>42</v>
      </c>
      <c r="H10" s="70">
        <v>23</v>
      </c>
      <c r="I10" s="70">
        <v>20</v>
      </c>
      <c r="J10" s="23" t="s">
        <v>31</v>
      </c>
      <c r="K10" s="70" t="s">
        <v>1269</v>
      </c>
      <c r="L10" s="72" t="s">
        <v>1584</v>
      </c>
      <c r="M10" s="70" t="s">
        <v>1394</v>
      </c>
      <c r="N10" s="70" t="s">
        <v>1406</v>
      </c>
      <c r="O10" s="180">
        <v>70048</v>
      </c>
      <c r="P10" s="180" t="s">
        <v>760</v>
      </c>
      <c r="Q10" s="180" t="s">
        <v>750</v>
      </c>
      <c r="R10" s="70" t="s">
        <v>1395</v>
      </c>
      <c r="T10" s="182" t="s">
        <v>40</v>
      </c>
      <c r="U10" s="24">
        <v>4</v>
      </c>
      <c r="W10" s="23" t="s">
        <v>50</v>
      </c>
      <c r="X10" s="24">
        <v>3</v>
      </c>
    </row>
    <row r="11" spans="2:24" x14ac:dyDescent="0.35">
      <c r="B11" s="70">
        <v>55</v>
      </c>
      <c r="C11" s="70" t="s">
        <v>43</v>
      </c>
      <c r="D11" s="185">
        <v>44234</v>
      </c>
      <c r="E11" s="70">
        <v>2020</v>
      </c>
      <c r="F11" s="70" t="s">
        <v>1338</v>
      </c>
      <c r="G11" s="23" t="s">
        <v>54</v>
      </c>
      <c r="H11" s="70">
        <v>31</v>
      </c>
      <c r="I11" s="70">
        <v>9</v>
      </c>
      <c r="J11" s="23" t="s">
        <v>40</v>
      </c>
      <c r="K11" s="70" t="s">
        <v>1213</v>
      </c>
      <c r="L11" s="72" t="s">
        <v>1584</v>
      </c>
      <c r="M11" s="70" t="s">
        <v>1333</v>
      </c>
      <c r="N11" s="70" t="s">
        <v>1442</v>
      </c>
      <c r="O11" s="180">
        <v>24835</v>
      </c>
      <c r="P11" s="180" t="s">
        <v>1336</v>
      </c>
      <c r="Q11" s="180" t="s">
        <v>65</v>
      </c>
      <c r="R11" s="70" t="s">
        <v>1383</v>
      </c>
      <c r="T11" s="182" t="s">
        <v>56</v>
      </c>
      <c r="U11" s="24">
        <v>3</v>
      </c>
      <c r="W11" s="23" t="s">
        <v>53</v>
      </c>
      <c r="X11" s="24">
        <v>3</v>
      </c>
    </row>
    <row r="12" spans="2:24" x14ac:dyDescent="0.35">
      <c r="B12" s="70">
        <v>54</v>
      </c>
      <c r="C12" s="70" t="s">
        <v>1391</v>
      </c>
      <c r="D12" s="185">
        <v>43863</v>
      </c>
      <c r="E12" s="70">
        <v>2019</v>
      </c>
      <c r="F12" s="70" t="s">
        <v>1213</v>
      </c>
      <c r="G12" s="23" t="s">
        <v>40</v>
      </c>
      <c r="H12" s="70">
        <v>31</v>
      </c>
      <c r="I12" s="70">
        <v>20</v>
      </c>
      <c r="J12" s="23" t="s">
        <v>53</v>
      </c>
      <c r="K12" s="70" t="s">
        <v>1268</v>
      </c>
      <c r="L12" s="72" t="s">
        <v>1584</v>
      </c>
      <c r="M12" s="70" t="s">
        <v>1431</v>
      </c>
      <c r="N12" s="70" t="s">
        <v>1440</v>
      </c>
      <c r="O12" s="180">
        <v>62417</v>
      </c>
      <c r="P12" s="180" t="s">
        <v>1392</v>
      </c>
      <c r="Q12" s="180" t="s">
        <v>65</v>
      </c>
      <c r="R12" s="70" t="s">
        <v>1378</v>
      </c>
      <c r="T12" s="182" t="s">
        <v>34</v>
      </c>
      <c r="U12" s="24">
        <v>3</v>
      </c>
      <c r="W12" s="23" t="s">
        <v>31</v>
      </c>
      <c r="X12" s="24">
        <v>3</v>
      </c>
    </row>
    <row r="13" spans="2:24" x14ac:dyDescent="0.35">
      <c r="B13" s="70">
        <v>53</v>
      </c>
      <c r="C13" s="70" t="s">
        <v>1388</v>
      </c>
      <c r="D13" s="185">
        <v>43499</v>
      </c>
      <c r="E13" s="70">
        <v>2018</v>
      </c>
      <c r="F13" s="70" t="s">
        <v>1283</v>
      </c>
      <c r="G13" s="23" t="s">
        <v>46</v>
      </c>
      <c r="H13" s="70">
        <v>13</v>
      </c>
      <c r="I13" s="70">
        <v>3</v>
      </c>
      <c r="J13" s="23" t="s">
        <v>42</v>
      </c>
      <c r="K13" s="70" t="s">
        <v>1262</v>
      </c>
      <c r="L13" s="72" t="s">
        <v>1584</v>
      </c>
      <c r="M13" s="70" t="s">
        <v>1389</v>
      </c>
      <c r="N13" s="70" t="s">
        <v>1453</v>
      </c>
      <c r="O13" s="180">
        <v>70081</v>
      </c>
      <c r="P13" s="180" t="s">
        <v>1390</v>
      </c>
      <c r="Q13" s="180" t="s">
        <v>750</v>
      </c>
      <c r="R13" s="70" t="s">
        <v>1371</v>
      </c>
      <c r="T13" s="182" t="s">
        <v>43</v>
      </c>
      <c r="U13" s="24">
        <v>3</v>
      </c>
      <c r="W13" s="23" t="s">
        <v>40</v>
      </c>
      <c r="X13" s="24">
        <v>3</v>
      </c>
    </row>
    <row r="14" spans="2:24" x14ac:dyDescent="0.35">
      <c r="B14" s="70">
        <v>52</v>
      </c>
      <c r="C14" s="70" t="s">
        <v>1384</v>
      </c>
      <c r="D14" s="185">
        <v>43135</v>
      </c>
      <c r="E14" s="70">
        <v>2017</v>
      </c>
      <c r="F14" s="70" t="s">
        <v>1265</v>
      </c>
      <c r="G14" s="23" t="s">
        <v>50</v>
      </c>
      <c r="H14" s="70">
        <v>41</v>
      </c>
      <c r="I14" s="70">
        <v>33</v>
      </c>
      <c r="J14" s="23" t="s">
        <v>46</v>
      </c>
      <c r="K14" s="70" t="s">
        <v>1283</v>
      </c>
      <c r="L14" s="72" t="s">
        <v>1584</v>
      </c>
      <c r="M14" s="70" t="s">
        <v>1385</v>
      </c>
      <c r="N14" s="70" t="s">
        <v>1463</v>
      </c>
      <c r="O14" s="180">
        <v>67612</v>
      </c>
      <c r="P14" s="180" t="s">
        <v>1386</v>
      </c>
      <c r="Q14" s="180" t="s">
        <v>65</v>
      </c>
      <c r="R14" s="70" t="s">
        <v>1387</v>
      </c>
      <c r="T14" s="182" t="s">
        <v>50</v>
      </c>
      <c r="U14" s="24">
        <v>2</v>
      </c>
      <c r="W14" s="23" t="s">
        <v>42</v>
      </c>
      <c r="X14" s="24">
        <v>3</v>
      </c>
    </row>
    <row r="15" spans="2:24" x14ac:dyDescent="0.35">
      <c r="B15" s="70">
        <v>51</v>
      </c>
      <c r="C15" s="70" t="s">
        <v>1382</v>
      </c>
      <c r="D15" s="185">
        <v>42771</v>
      </c>
      <c r="E15" s="70">
        <v>2016</v>
      </c>
      <c r="F15" s="70" t="s">
        <v>1283</v>
      </c>
      <c r="G15" s="23" t="s">
        <v>46</v>
      </c>
      <c r="H15" s="70">
        <v>34</v>
      </c>
      <c r="I15" s="70">
        <v>28</v>
      </c>
      <c r="J15" s="23" t="s">
        <v>15</v>
      </c>
      <c r="K15" s="70" t="s">
        <v>1324</v>
      </c>
      <c r="L15" s="72" t="s">
        <v>1585</v>
      </c>
      <c r="M15" s="70" t="s">
        <v>1423</v>
      </c>
      <c r="N15" s="70" t="s">
        <v>1462</v>
      </c>
      <c r="O15" s="180">
        <v>70807</v>
      </c>
      <c r="P15" s="180" t="s">
        <v>1336</v>
      </c>
      <c r="Q15" s="180" t="s">
        <v>65</v>
      </c>
      <c r="R15" s="70" t="s">
        <v>1383</v>
      </c>
      <c r="T15" s="182" t="s">
        <v>44</v>
      </c>
      <c r="U15" s="24">
        <v>2</v>
      </c>
      <c r="W15" s="23" t="s">
        <v>38</v>
      </c>
      <c r="X15" s="24">
        <v>2</v>
      </c>
    </row>
    <row r="16" spans="2:24" x14ac:dyDescent="0.35">
      <c r="B16" s="70">
        <v>50</v>
      </c>
      <c r="C16" s="70" t="s">
        <v>1204</v>
      </c>
      <c r="D16" s="185">
        <v>42407</v>
      </c>
      <c r="E16" s="70">
        <v>2015</v>
      </c>
      <c r="F16" s="70" t="s">
        <v>1255</v>
      </c>
      <c r="G16" s="23" t="s">
        <v>34</v>
      </c>
      <c r="H16" s="70">
        <v>24</v>
      </c>
      <c r="I16" s="70">
        <v>10</v>
      </c>
      <c r="J16" s="23" t="s">
        <v>29</v>
      </c>
      <c r="K16" s="70" t="s">
        <v>1342</v>
      </c>
      <c r="L16" s="72" t="s">
        <v>1584</v>
      </c>
      <c r="M16" s="70" t="s">
        <v>1379</v>
      </c>
      <c r="N16" s="70" t="s">
        <v>1445</v>
      </c>
      <c r="O16" s="180">
        <v>71088</v>
      </c>
      <c r="P16" s="180" t="s">
        <v>1380</v>
      </c>
      <c r="Q16" s="180" t="s">
        <v>1234</v>
      </c>
      <c r="R16" s="70" t="s">
        <v>1381</v>
      </c>
      <c r="T16" s="182" t="s">
        <v>52</v>
      </c>
      <c r="U16" s="24">
        <v>2</v>
      </c>
      <c r="W16" s="23" t="s">
        <v>52</v>
      </c>
      <c r="X16" s="24">
        <v>2</v>
      </c>
    </row>
    <row r="17" spans="2:24" x14ac:dyDescent="0.35">
      <c r="B17" s="70">
        <v>49</v>
      </c>
      <c r="C17" s="70" t="s">
        <v>1377</v>
      </c>
      <c r="D17" s="185">
        <v>42036</v>
      </c>
      <c r="E17" s="70">
        <v>2014</v>
      </c>
      <c r="F17" s="70" t="s">
        <v>1283</v>
      </c>
      <c r="G17" s="23" t="s">
        <v>46</v>
      </c>
      <c r="H17" s="70">
        <v>28</v>
      </c>
      <c r="I17" s="70">
        <v>24</v>
      </c>
      <c r="J17" s="23" t="s">
        <v>52</v>
      </c>
      <c r="K17" s="70" t="s">
        <v>1348</v>
      </c>
      <c r="L17" s="72" t="s">
        <v>1584</v>
      </c>
      <c r="M17" s="70" t="s">
        <v>1426</v>
      </c>
      <c r="N17" s="70" t="s">
        <v>1455</v>
      </c>
      <c r="O17" s="180">
        <v>70288</v>
      </c>
      <c r="P17" s="180" t="s">
        <v>1336</v>
      </c>
      <c r="Q17" s="180" t="s">
        <v>65</v>
      </c>
      <c r="R17" s="70" t="s">
        <v>1378</v>
      </c>
      <c r="T17" s="182" t="s">
        <v>42</v>
      </c>
      <c r="U17" s="24">
        <v>2</v>
      </c>
      <c r="W17" s="23" t="s">
        <v>51</v>
      </c>
      <c r="X17" s="24">
        <v>2</v>
      </c>
    </row>
    <row r="18" spans="2:24" x14ac:dyDescent="0.35">
      <c r="B18" s="70">
        <v>48</v>
      </c>
      <c r="C18" s="70" t="s">
        <v>1374</v>
      </c>
      <c r="D18" s="185">
        <v>41672</v>
      </c>
      <c r="E18" s="70">
        <v>2013</v>
      </c>
      <c r="F18" s="70" t="s">
        <v>1348</v>
      </c>
      <c r="G18" s="23" t="s">
        <v>52</v>
      </c>
      <c r="H18" s="70">
        <v>43</v>
      </c>
      <c r="I18" s="70">
        <v>8</v>
      </c>
      <c r="J18" s="23" t="s">
        <v>34</v>
      </c>
      <c r="K18" s="70" t="s">
        <v>1255</v>
      </c>
      <c r="L18" s="72" t="s">
        <v>1584</v>
      </c>
      <c r="M18" s="70" t="s">
        <v>1375</v>
      </c>
      <c r="N18" s="70" t="s">
        <v>1459</v>
      </c>
      <c r="O18" s="180">
        <v>82529</v>
      </c>
      <c r="P18" s="180" t="s">
        <v>1376</v>
      </c>
      <c r="Q18" s="180" t="s">
        <v>1234</v>
      </c>
      <c r="R18" s="70" t="s">
        <v>1346</v>
      </c>
      <c r="T18" s="182" t="s">
        <v>38</v>
      </c>
      <c r="U18" s="24">
        <v>2</v>
      </c>
      <c r="W18" s="23" t="s">
        <v>43</v>
      </c>
      <c r="X18" s="24">
        <v>2</v>
      </c>
    </row>
    <row r="19" spans="2:24" x14ac:dyDescent="0.35">
      <c r="B19" s="70">
        <v>47</v>
      </c>
      <c r="C19" s="70" t="s">
        <v>1372</v>
      </c>
      <c r="D19" s="185">
        <v>41308</v>
      </c>
      <c r="E19" s="70">
        <v>2012</v>
      </c>
      <c r="F19" s="70" t="s">
        <v>1332</v>
      </c>
      <c r="G19" s="23" t="s">
        <v>16</v>
      </c>
      <c r="H19" s="70">
        <v>31</v>
      </c>
      <c r="I19" s="70">
        <v>31</v>
      </c>
      <c r="J19" s="23" t="s">
        <v>53</v>
      </c>
      <c r="K19" s="70" t="s">
        <v>1268</v>
      </c>
      <c r="L19" s="72" t="s">
        <v>1584</v>
      </c>
      <c r="M19" s="70" t="s">
        <v>1408</v>
      </c>
      <c r="N19" s="70" t="s">
        <v>1433</v>
      </c>
      <c r="O19" s="180">
        <v>71024</v>
      </c>
      <c r="P19" s="180" t="s">
        <v>965</v>
      </c>
      <c r="Q19" s="180" t="s">
        <v>65</v>
      </c>
      <c r="R19" s="70" t="s">
        <v>1373</v>
      </c>
      <c r="T19" s="182" t="s">
        <v>54</v>
      </c>
      <c r="U19" s="24">
        <v>2</v>
      </c>
      <c r="W19" s="23" t="s">
        <v>15</v>
      </c>
      <c r="X19" s="24">
        <v>2</v>
      </c>
    </row>
    <row r="20" spans="2:24" x14ac:dyDescent="0.35">
      <c r="B20" s="70">
        <v>46</v>
      </c>
      <c r="C20" s="70" t="s">
        <v>1369</v>
      </c>
      <c r="D20" s="185">
        <v>40944</v>
      </c>
      <c r="E20" s="70">
        <v>2011</v>
      </c>
      <c r="F20" s="70" t="s">
        <v>1288</v>
      </c>
      <c r="G20" s="23" t="s">
        <v>48</v>
      </c>
      <c r="H20" s="70">
        <v>21</v>
      </c>
      <c r="I20" s="70">
        <v>17</v>
      </c>
      <c r="J20" s="23" t="s">
        <v>46</v>
      </c>
      <c r="K20" s="70" t="s">
        <v>1283</v>
      </c>
      <c r="L20" s="72" t="s">
        <v>1584</v>
      </c>
      <c r="M20" s="70" t="s">
        <v>1370</v>
      </c>
      <c r="N20" s="70" t="s">
        <v>1506</v>
      </c>
      <c r="O20" s="180">
        <v>68658</v>
      </c>
      <c r="P20" s="180" t="s">
        <v>1357</v>
      </c>
      <c r="Q20" s="180" t="s">
        <v>65</v>
      </c>
      <c r="R20" s="70" t="s">
        <v>1371</v>
      </c>
      <c r="T20" s="182" t="s">
        <v>16</v>
      </c>
      <c r="U20" s="24">
        <v>2</v>
      </c>
      <c r="W20" s="23" t="s">
        <v>29</v>
      </c>
      <c r="X20" s="24">
        <v>2</v>
      </c>
    </row>
    <row r="21" spans="2:24" x14ac:dyDescent="0.35">
      <c r="B21" s="70">
        <v>45</v>
      </c>
      <c r="C21" s="70" t="s">
        <v>1366</v>
      </c>
      <c r="D21" s="185">
        <v>40580</v>
      </c>
      <c r="E21" s="70">
        <v>2010</v>
      </c>
      <c r="F21" s="70" t="s">
        <v>1212</v>
      </c>
      <c r="G21" s="23" t="s">
        <v>36</v>
      </c>
      <c r="H21" s="70">
        <v>31</v>
      </c>
      <c r="I21" s="70">
        <v>25</v>
      </c>
      <c r="J21" s="23" t="s">
        <v>51</v>
      </c>
      <c r="K21" s="70" t="s">
        <v>1247</v>
      </c>
      <c r="L21" s="72" t="s">
        <v>1584</v>
      </c>
      <c r="M21" s="70" t="s">
        <v>1367</v>
      </c>
      <c r="N21" s="70" t="s">
        <v>1460</v>
      </c>
      <c r="O21" s="180">
        <v>103219</v>
      </c>
      <c r="P21" s="180" t="s">
        <v>1087</v>
      </c>
      <c r="Q21" s="180" t="s">
        <v>65</v>
      </c>
      <c r="R21" s="70" t="s">
        <v>1368</v>
      </c>
      <c r="T21" s="182" t="s">
        <v>49</v>
      </c>
      <c r="U21" s="24">
        <v>1</v>
      </c>
      <c r="W21" s="23" t="s">
        <v>56</v>
      </c>
      <c r="X21" s="24">
        <v>2</v>
      </c>
    </row>
    <row r="22" spans="2:24" x14ac:dyDescent="0.35">
      <c r="B22" s="70">
        <v>44</v>
      </c>
      <c r="C22" s="70" t="s">
        <v>1362</v>
      </c>
      <c r="D22" s="185">
        <v>40216</v>
      </c>
      <c r="E22" s="70">
        <v>2009</v>
      </c>
      <c r="F22" s="70" t="s">
        <v>1363</v>
      </c>
      <c r="G22" s="23" t="s">
        <v>47</v>
      </c>
      <c r="H22" s="70">
        <v>31</v>
      </c>
      <c r="I22" s="70">
        <v>17</v>
      </c>
      <c r="J22" s="23" t="s">
        <v>38</v>
      </c>
      <c r="K22" s="70" t="s">
        <v>1353</v>
      </c>
      <c r="L22" s="72" t="s">
        <v>1584</v>
      </c>
      <c r="M22" s="70" t="s">
        <v>1427</v>
      </c>
      <c r="N22" s="70" t="s">
        <v>1440</v>
      </c>
      <c r="O22" s="180">
        <v>74059</v>
      </c>
      <c r="P22" s="180" t="s">
        <v>1364</v>
      </c>
      <c r="Q22" s="180" t="s">
        <v>65</v>
      </c>
      <c r="R22" s="70" t="s">
        <v>1365</v>
      </c>
      <c r="T22" s="182" t="s">
        <v>30</v>
      </c>
      <c r="U22" s="24">
        <v>1</v>
      </c>
      <c r="W22" s="23" t="s">
        <v>41</v>
      </c>
      <c r="X22" s="24">
        <v>1</v>
      </c>
    </row>
    <row r="23" spans="2:24" x14ac:dyDescent="0.35">
      <c r="B23" s="70">
        <v>43</v>
      </c>
      <c r="C23" s="70" t="s">
        <v>1359</v>
      </c>
      <c r="D23" s="185">
        <v>39845</v>
      </c>
      <c r="E23" s="70">
        <v>2008</v>
      </c>
      <c r="F23" s="70" t="s">
        <v>1247</v>
      </c>
      <c r="G23" s="23" t="s">
        <v>51</v>
      </c>
      <c r="H23" s="70">
        <v>27</v>
      </c>
      <c r="I23" s="70">
        <v>23</v>
      </c>
      <c r="J23" s="23" t="s">
        <v>0</v>
      </c>
      <c r="K23" s="70" t="s">
        <v>1360</v>
      </c>
      <c r="L23" s="72" t="s">
        <v>1584</v>
      </c>
      <c r="M23" s="70" t="s">
        <v>1414</v>
      </c>
      <c r="N23" s="70" t="s">
        <v>1442</v>
      </c>
      <c r="O23" s="180">
        <v>70774</v>
      </c>
      <c r="P23" s="180" t="s">
        <v>1361</v>
      </c>
      <c r="Q23" s="180" t="s">
        <v>750</v>
      </c>
      <c r="R23" s="70" t="s">
        <v>1346</v>
      </c>
      <c r="T23" s="182" t="s">
        <v>47</v>
      </c>
      <c r="U23" s="24">
        <v>1</v>
      </c>
      <c r="W23" s="23" t="s">
        <v>55</v>
      </c>
      <c r="X23" s="24">
        <v>1</v>
      </c>
    </row>
    <row r="24" spans="2:24" x14ac:dyDescent="0.35">
      <c r="B24" s="70">
        <v>42</v>
      </c>
      <c r="C24" s="70" t="s">
        <v>1356</v>
      </c>
      <c r="D24" s="185">
        <v>39481</v>
      </c>
      <c r="E24" s="70">
        <v>2007</v>
      </c>
      <c r="F24" s="70" t="s">
        <v>1288</v>
      </c>
      <c r="G24" s="23" t="s">
        <v>48</v>
      </c>
      <c r="H24" s="70">
        <v>17</v>
      </c>
      <c r="I24" s="70">
        <v>14</v>
      </c>
      <c r="J24" s="23" t="s">
        <v>46</v>
      </c>
      <c r="K24" s="70" t="s">
        <v>1283</v>
      </c>
      <c r="L24" s="72" t="s">
        <v>1584</v>
      </c>
      <c r="M24" s="70" t="s">
        <v>1429</v>
      </c>
      <c r="N24" s="70" t="s">
        <v>1455</v>
      </c>
      <c r="O24" s="180">
        <v>71101</v>
      </c>
      <c r="P24" s="180" t="s">
        <v>1357</v>
      </c>
      <c r="Q24" s="180" t="s">
        <v>65</v>
      </c>
      <c r="R24" s="70" t="s">
        <v>1358</v>
      </c>
      <c r="T24" s="182" t="s">
        <v>1470</v>
      </c>
      <c r="U24" s="24"/>
      <c r="W24" s="23" t="s">
        <v>0</v>
      </c>
      <c r="X24" s="24">
        <v>1</v>
      </c>
    </row>
    <row r="25" spans="2:24" x14ac:dyDescent="0.35">
      <c r="B25" s="70">
        <v>41</v>
      </c>
      <c r="C25" s="70" t="s">
        <v>1352</v>
      </c>
      <c r="D25" s="185">
        <v>39117</v>
      </c>
      <c r="E25" s="70">
        <v>2006</v>
      </c>
      <c r="F25" s="70" t="s">
        <v>1353</v>
      </c>
      <c r="G25" s="23" t="s">
        <v>38</v>
      </c>
      <c r="H25" s="70">
        <v>29</v>
      </c>
      <c r="I25" s="70">
        <v>17</v>
      </c>
      <c r="J25" s="23" t="s">
        <v>30</v>
      </c>
      <c r="K25" s="70" t="s">
        <v>1282</v>
      </c>
      <c r="L25" s="72" t="s">
        <v>1584</v>
      </c>
      <c r="M25" s="70" t="s">
        <v>1420</v>
      </c>
      <c r="N25" s="70" t="s">
        <v>1440</v>
      </c>
      <c r="O25" s="180">
        <v>74512</v>
      </c>
      <c r="P25" s="180" t="s">
        <v>1354</v>
      </c>
      <c r="Q25" s="180" t="s">
        <v>65</v>
      </c>
      <c r="R25" s="70" t="s">
        <v>1355</v>
      </c>
      <c r="T25" s="184" t="s">
        <v>1400</v>
      </c>
      <c r="U25" s="184">
        <v>60</v>
      </c>
      <c r="W25" s="23" t="s">
        <v>30</v>
      </c>
      <c r="X25" s="24">
        <v>1</v>
      </c>
    </row>
    <row r="26" spans="2:24" x14ac:dyDescent="0.35">
      <c r="B26" s="70">
        <v>40</v>
      </c>
      <c r="C26" s="70" t="s">
        <v>1347</v>
      </c>
      <c r="D26" s="185">
        <v>38753</v>
      </c>
      <c r="E26" s="70">
        <v>2005</v>
      </c>
      <c r="F26" s="70" t="s">
        <v>1247</v>
      </c>
      <c r="G26" s="23" t="s">
        <v>51</v>
      </c>
      <c r="H26" s="70">
        <v>21</v>
      </c>
      <c r="I26" s="70">
        <v>10</v>
      </c>
      <c r="J26" s="23" t="s">
        <v>52</v>
      </c>
      <c r="K26" s="70" t="s">
        <v>1348</v>
      </c>
      <c r="L26" s="72" t="s">
        <v>1584</v>
      </c>
      <c r="M26" s="70" t="s">
        <v>1349</v>
      </c>
      <c r="N26" s="70" t="s">
        <v>1457</v>
      </c>
      <c r="O26" s="180">
        <v>68206</v>
      </c>
      <c r="P26" s="180" t="s">
        <v>1350</v>
      </c>
      <c r="Q26" s="180" t="s">
        <v>750</v>
      </c>
      <c r="R26" s="70" t="s">
        <v>1351</v>
      </c>
      <c r="W26" s="23" t="s">
        <v>36</v>
      </c>
      <c r="X26" s="24">
        <v>1</v>
      </c>
    </row>
    <row r="27" spans="2:24" x14ac:dyDescent="0.35">
      <c r="B27" s="70">
        <v>39</v>
      </c>
      <c r="C27" s="70" t="s">
        <v>1343</v>
      </c>
      <c r="D27" s="185">
        <v>38389</v>
      </c>
      <c r="E27" s="70">
        <v>2004</v>
      </c>
      <c r="F27" s="70" t="s">
        <v>1283</v>
      </c>
      <c r="G27" s="23" t="s">
        <v>46</v>
      </c>
      <c r="H27" s="70">
        <v>24</v>
      </c>
      <c r="I27" s="70">
        <v>21</v>
      </c>
      <c r="J27" s="23" t="s">
        <v>50</v>
      </c>
      <c r="K27" s="70" t="s">
        <v>1265</v>
      </c>
      <c r="L27" s="72" t="s">
        <v>1584</v>
      </c>
      <c r="M27" s="70" t="s">
        <v>1344</v>
      </c>
      <c r="N27" s="70" t="s">
        <v>1441</v>
      </c>
      <c r="O27" s="180">
        <v>78125</v>
      </c>
      <c r="P27" s="180" t="s">
        <v>1345</v>
      </c>
      <c r="Q27" s="180" t="s">
        <v>750</v>
      </c>
      <c r="R27" s="70" t="s">
        <v>1346</v>
      </c>
      <c r="W27" s="23" t="s">
        <v>48</v>
      </c>
      <c r="X27" s="24">
        <v>1</v>
      </c>
    </row>
    <row r="28" spans="2:24" x14ac:dyDescent="0.35">
      <c r="B28" s="70">
        <v>38</v>
      </c>
      <c r="C28" s="70" t="s">
        <v>1341</v>
      </c>
      <c r="D28" s="185">
        <v>38018</v>
      </c>
      <c r="E28" s="70">
        <v>2003</v>
      </c>
      <c r="F28" s="70" t="s">
        <v>1283</v>
      </c>
      <c r="G28" s="23" t="s">
        <v>46</v>
      </c>
      <c r="H28" s="70">
        <v>32</v>
      </c>
      <c r="I28" s="70">
        <v>29</v>
      </c>
      <c r="J28" s="23" t="s">
        <v>29</v>
      </c>
      <c r="K28" s="70" t="s">
        <v>1342</v>
      </c>
      <c r="L28" s="72" t="s">
        <v>1584</v>
      </c>
      <c r="M28" s="70" t="s">
        <v>1422</v>
      </c>
      <c r="N28" s="70" t="s">
        <v>1462</v>
      </c>
      <c r="O28" s="180">
        <v>71525</v>
      </c>
      <c r="P28" s="180" t="s">
        <v>1336</v>
      </c>
      <c r="Q28" s="180" t="s">
        <v>65</v>
      </c>
      <c r="R28" s="70" t="s">
        <v>1322</v>
      </c>
      <c r="W28" s="23" t="s">
        <v>1470</v>
      </c>
      <c r="X28" s="24"/>
    </row>
    <row r="29" spans="2:24" x14ac:dyDescent="0.35">
      <c r="B29" s="70">
        <v>37</v>
      </c>
      <c r="C29" s="70" t="s">
        <v>1337</v>
      </c>
      <c r="D29" s="185">
        <v>37647</v>
      </c>
      <c r="E29" s="70">
        <v>2002</v>
      </c>
      <c r="F29" s="70" t="s">
        <v>1338</v>
      </c>
      <c r="G29" s="23" t="s">
        <v>54</v>
      </c>
      <c r="H29" s="70">
        <v>48</v>
      </c>
      <c r="I29" s="70">
        <v>21</v>
      </c>
      <c r="J29" s="23" t="s">
        <v>43</v>
      </c>
      <c r="K29" s="70" t="s">
        <v>1218</v>
      </c>
      <c r="L29" s="72" t="s">
        <v>1584</v>
      </c>
      <c r="M29" s="70" t="s">
        <v>1419</v>
      </c>
      <c r="N29" s="70" t="s">
        <v>1444</v>
      </c>
      <c r="O29" s="180">
        <v>67603</v>
      </c>
      <c r="P29" s="180" t="s">
        <v>1339</v>
      </c>
      <c r="Q29" s="180" t="s">
        <v>1242</v>
      </c>
      <c r="R29" s="70" t="s">
        <v>1340</v>
      </c>
      <c r="W29" s="181" t="s">
        <v>1400</v>
      </c>
      <c r="X29" s="181">
        <v>60</v>
      </c>
    </row>
    <row r="30" spans="2:24" x14ac:dyDescent="0.35">
      <c r="B30" s="70">
        <v>36</v>
      </c>
      <c r="C30" s="70" t="s">
        <v>1335</v>
      </c>
      <c r="D30" s="185">
        <v>37290</v>
      </c>
      <c r="E30" s="70">
        <v>2001</v>
      </c>
      <c r="F30" s="70" t="s">
        <v>1283</v>
      </c>
      <c r="G30" s="23" t="s">
        <v>46</v>
      </c>
      <c r="H30" s="70">
        <v>20</v>
      </c>
      <c r="I30" s="70">
        <v>17</v>
      </c>
      <c r="J30" s="23" t="s">
        <v>42</v>
      </c>
      <c r="K30" s="70" t="s">
        <v>1328</v>
      </c>
      <c r="L30" s="72" t="s">
        <v>1584</v>
      </c>
      <c r="M30" s="70" t="s">
        <v>1435</v>
      </c>
      <c r="N30" s="70" t="s">
        <v>1433</v>
      </c>
      <c r="O30" s="180">
        <v>72922</v>
      </c>
      <c r="P30" s="180" t="s">
        <v>1336</v>
      </c>
      <c r="Q30" s="180" t="s">
        <v>65</v>
      </c>
      <c r="R30" s="70" t="s">
        <v>1326</v>
      </c>
    </row>
    <row r="31" spans="2:24" x14ac:dyDescent="0.35">
      <c r="B31" s="70">
        <v>35</v>
      </c>
      <c r="C31" s="70" t="s">
        <v>1331</v>
      </c>
      <c r="D31" s="185">
        <v>36919</v>
      </c>
      <c r="E31" s="70">
        <v>2000</v>
      </c>
      <c r="F31" s="70" t="s">
        <v>1332</v>
      </c>
      <c r="G31" s="23" t="s">
        <v>16</v>
      </c>
      <c r="H31" s="70">
        <v>34</v>
      </c>
      <c r="I31" s="70">
        <v>7</v>
      </c>
      <c r="J31" s="23" t="s">
        <v>48</v>
      </c>
      <c r="K31" s="70" t="s">
        <v>1288</v>
      </c>
      <c r="L31" s="72" t="s">
        <v>1584</v>
      </c>
      <c r="M31" s="70" t="s">
        <v>1333</v>
      </c>
      <c r="N31" s="70" t="s">
        <v>1437</v>
      </c>
      <c r="O31" s="180">
        <v>71921</v>
      </c>
      <c r="P31" s="180" t="s">
        <v>1334</v>
      </c>
      <c r="Q31" s="180" t="s">
        <v>1234</v>
      </c>
      <c r="R31" s="70" t="s">
        <v>1319</v>
      </c>
    </row>
    <row r="32" spans="2:24" x14ac:dyDescent="0.35">
      <c r="B32" s="70">
        <v>34</v>
      </c>
      <c r="C32" s="70" t="s">
        <v>1327</v>
      </c>
      <c r="D32" s="185">
        <v>36555</v>
      </c>
      <c r="E32" s="70">
        <v>1999</v>
      </c>
      <c r="F32" s="70" t="s">
        <v>1328</v>
      </c>
      <c r="G32" s="23" t="s">
        <v>42</v>
      </c>
      <c r="H32" s="70">
        <v>23</v>
      </c>
      <c r="I32" s="70">
        <v>16</v>
      </c>
      <c r="J32" s="23" t="s">
        <v>55</v>
      </c>
      <c r="K32" s="70" t="s">
        <v>1329</v>
      </c>
      <c r="L32" s="72" t="s">
        <v>1584</v>
      </c>
      <c r="M32" s="70" t="s">
        <v>1452</v>
      </c>
      <c r="N32" s="70" t="s">
        <v>1453</v>
      </c>
      <c r="O32" s="180">
        <v>72625</v>
      </c>
      <c r="P32" s="180" t="s">
        <v>1330</v>
      </c>
      <c r="Q32" s="180" t="s">
        <v>65</v>
      </c>
      <c r="R32" s="70" t="s">
        <v>1292</v>
      </c>
    </row>
    <row r="33" spans="2:18" x14ac:dyDescent="0.35">
      <c r="B33" s="70">
        <v>33</v>
      </c>
      <c r="C33" s="70" t="s">
        <v>1323</v>
      </c>
      <c r="D33" s="185">
        <v>36191</v>
      </c>
      <c r="E33" s="70">
        <v>1998</v>
      </c>
      <c r="F33" s="70" t="s">
        <v>1255</v>
      </c>
      <c r="G33" s="23" t="s">
        <v>34</v>
      </c>
      <c r="H33" s="70">
        <v>34</v>
      </c>
      <c r="I33" s="70">
        <v>19</v>
      </c>
      <c r="J33" s="23" t="s">
        <v>15</v>
      </c>
      <c r="K33" s="70" t="s">
        <v>1324</v>
      </c>
      <c r="L33" s="72" t="s">
        <v>1584</v>
      </c>
      <c r="M33" s="70" t="s">
        <v>1417</v>
      </c>
      <c r="N33" s="70" t="s">
        <v>1438</v>
      </c>
      <c r="O33" s="180">
        <v>74803</v>
      </c>
      <c r="P33" s="180" t="s">
        <v>1325</v>
      </c>
      <c r="Q33" s="180" t="s">
        <v>65</v>
      </c>
      <c r="R33" s="70" t="s">
        <v>1326</v>
      </c>
    </row>
    <row r="34" spans="2:18" x14ac:dyDescent="0.35">
      <c r="B34" s="70">
        <v>32</v>
      </c>
      <c r="C34" s="70" t="s">
        <v>1320</v>
      </c>
      <c r="D34" s="185">
        <v>35820</v>
      </c>
      <c r="E34" s="70">
        <v>1997</v>
      </c>
      <c r="F34" s="70" t="s">
        <v>1255</v>
      </c>
      <c r="G34" s="23" t="s">
        <v>34</v>
      </c>
      <c r="H34" s="70">
        <v>31</v>
      </c>
      <c r="I34" s="70">
        <v>24</v>
      </c>
      <c r="J34" s="23" t="s">
        <v>36</v>
      </c>
      <c r="K34" s="70" t="s">
        <v>1212</v>
      </c>
      <c r="L34" s="72" t="s">
        <v>1584</v>
      </c>
      <c r="M34" s="70" t="s">
        <v>1410</v>
      </c>
      <c r="N34" s="70" t="s">
        <v>1444</v>
      </c>
      <c r="O34" s="180">
        <v>68912</v>
      </c>
      <c r="P34" s="180" t="s">
        <v>1321</v>
      </c>
      <c r="Q34" s="180" t="s">
        <v>64</v>
      </c>
      <c r="R34" s="70" t="s">
        <v>1322</v>
      </c>
    </row>
    <row r="35" spans="2:18" x14ac:dyDescent="0.35">
      <c r="B35" s="70">
        <v>31</v>
      </c>
      <c r="C35" s="70" t="s">
        <v>1316</v>
      </c>
      <c r="D35" s="185">
        <v>35456</v>
      </c>
      <c r="E35" s="70">
        <v>1996</v>
      </c>
      <c r="F35" s="70" t="s">
        <v>1212</v>
      </c>
      <c r="G35" s="23" t="s">
        <v>36</v>
      </c>
      <c r="H35" s="70">
        <v>35</v>
      </c>
      <c r="I35" s="70">
        <v>21</v>
      </c>
      <c r="J35" s="23" t="s">
        <v>46</v>
      </c>
      <c r="K35" s="70" t="s">
        <v>1283</v>
      </c>
      <c r="L35" s="72" t="s">
        <v>1584</v>
      </c>
      <c r="M35" s="70" t="s">
        <v>1435</v>
      </c>
      <c r="N35" s="70" t="s">
        <v>1433</v>
      </c>
      <c r="O35" s="180">
        <v>72301</v>
      </c>
      <c r="P35" s="180" t="s">
        <v>1317</v>
      </c>
      <c r="Q35" s="180" t="s">
        <v>1318</v>
      </c>
      <c r="R35" s="70" t="s">
        <v>1319</v>
      </c>
    </row>
    <row r="36" spans="2:18" x14ac:dyDescent="0.35">
      <c r="B36" s="70">
        <v>30</v>
      </c>
      <c r="C36" s="70" t="s">
        <v>1312</v>
      </c>
      <c r="D36" s="185">
        <v>35092</v>
      </c>
      <c r="E36" s="70">
        <v>1995</v>
      </c>
      <c r="F36" s="70" t="s">
        <v>1232</v>
      </c>
      <c r="G36" s="23" t="s">
        <v>33</v>
      </c>
      <c r="H36" s="70">
        <v>27</v>
      </c>
      <c r="I36" s="70">
        <v>17</v>
      </c>
      <c r="J36" s="23" t="s">
        <v>51</v>
      </c>
      <c r="K36" s="70" t="s">
        <v>1247</v>
      </c>
      <c r="L36" s="72" t="s">
        <v>1584</v>
      </c>
      <c r="M36" s="70" t="s">
        <v>1313</v>
      </c>
      <c r="N36" s="70" t="s">
        <v>1454</v>
      </c>
      <c r="O36" s="180">
        <v>76347</v>
      </c>
      <c r="P36" s="180" t="s">
        <v>1314</v>
      </c>
      <c r="Q36" s="180" t="s">
        <v>1315</v>
      </c>
      <c r="R36" s="70" t="s">
        <v>1286</v>
      </c>
    </row>
    <row r="37" spans="2:18" x14ac:dyDescent="0.35">
      <c r="B37" s="70">
        <v>29</v>
      </c>
      <c r="C37" s="70" t="s">
        <v>1309</v>
      </c>
      <c r="D37" s="185">
        <v>34728</v>
      </c>
      <c r="E37" s="70">
        <v>1994</v>
      </c>
      <c r="F37" s="70" t="s">
        <v>1268</v>
      </c>
      <c r="G37" s="23" t="s">
        <v>53</v>
      </c>
      <c r="H37" s="70">
        <v>49</v>
      </c>
      <c r="I37" s="70">
        <v>26</v>
      </c>
      <c r="J37" s="23" t="s">
        <v>41</v>
      </c>
      <c r="K37" s="70" t="s">
        <v>1310</v>
      </c>
      <c r="L37" s="72" t="s">
        <v>1584</v>
      </c>
      <c r="M37" s="70" t="s">
        <v>1416</v>
      </c>
      <c r="N37" s="70" t="s">
        <v>1438</v>
      </c>
      <c r="O37" s="180">
        <v>74107</v>
      </c>
      <c r="P37" s="180" t="s">
        <v>1311</v>
      </c>
      <c r="Q37" s="180" t="s">
        <v>65</v>
      </c>
      <c r="R37" s="70" t="s">
        <v>1274</v>
      </c>
    </row>
    <row r="38" spans="2:18" x14ac:dyDescent="0.35">
      <c r="B38" s="70">
        <v>28</v>
      </c>
      <c r="C38" s="70" t="s">
        <v>1307</v>
      </c>
      <c r="D38" s="185">
        <v>34364</v>
      </c>
      <c r="E38" s="70">
        <v>1993</v>
      </c>
      <c r="F38" s="70" t="s">
        <v>1232</v>
      </c>
      <c r="G38" s="23" t="s">
        <v>33</v>
      </c>
      <c r="H38" s="70">
        <v>30</v>
      </c>
      <c r="I38" s="70">
        <v>13</v>
      </c>
      <c r="J38" s="23" t="s">
        <v>17</v>
      </c>
      <c r="K38" s="70" t="s">
        <v>1299</v>
      </c>
      <c r="L38" s="72" t="s">
        <v>1584</v>
      </c>
      <c r="M38" s="70" t="s">
        <v>1451</v>
      </c>
      <c r="N38" s="70" t="s">
        <v>1407</v>
      </c>
      <c r="O38" s="180">
        <v>72817</v>
      </c>
      <c r="P38" s="180" t="s">
        <v>1308</v>
      </c>
      <c r="Q38" s="180" t="s">
        <v>64</v>
      </c>
      <c r="R38" s="70" t="s">
        <v>1292</v>
      </c>
    </row>
    <row r="39" spans="2:18" x14ac:dyDescent="0.35">
      <c r="B39" s="70">
        <v>27</v>
      </c>
      <c r="C39" s="70" t="s">
        <v>1304</v>
      </c>
      <c r="D39" s="185">
        <v>34000</v>
      </c>
      <c r="E39" s="70">
        <v>1992</v>
      </c>
      <c r="F39" s="70" t="s">
        <v>1232</v>
      </c>
      <c r="G39" s="23" t="s">
        <v>33</v>
      </c>
      <c r="H39" s="70">
        <v>52</v>
      </c>
      <c r="I39" s="70">
        <v>17</v>
      </c>
      <c r="J39" s="23" t="s">
        <v>17</v>
      </c>
      <c r="K39" s="70" t="s">
        <v>1299</v>
      </c>
      <c r="L39" s="72" t="s">
        <v>1584</v>
      </c>
      <c r="M39" s="70" t="s">
        <v>1409</v>
      </c>
      <c r="N39" s="70" t="s">
        <v>1443</v>
      </c>
      <c r="O39" s="180">
        <v>98374</v>
      </c>
      <c r="P39" s="180" t="s">
        <v>1305</v>
      </c>
      <c r="Q39" s="180" t="s">
        <v>65</v>
      </c>
      <c r="R39" s="70" t="s">
        <v>1306</v>
      </c>
    </row>
    <row r="40" spans="2:18" x14ac:dyDescent="0.35">
      <c r="B40" s="70">
        <v>26</v>
      </c>
      <c r="C40" s="70" t="s">
        <v>1301</v>
      </c>
      <c r="D40" s="185">
        <v>33629</v>
      </c>
      <c r="E40" s="70">
        <v>1991</v>
      </c>
      <c r="F40" s="70" t="s">
        <v>1240</v>
      </c>
      <c r="G40" s="23" t="s">
        <v>56</v>
      </c>
      <c r="H40" s="70">
        <v>37</v>
      </c>
      <c r="I40" s="70">
        <v>24</v>
      </c>
      <c r="J40" s="23" t="s">
        <v>17</v>
      </c>
      <c r="K40" s="70" t="s">
        <v>1299</v>
      </c>
      <c r="L40" s="72" t="s">
        <v>1584</v>
      </c>
      <c r="M40" s="70" t="s">
        <v>1302</v>
      </c>
      <c r="N40" s="70" t="s">
        <v>1463</v>
      </c>
      <c r="O40" s="180">
        <v>63130</v>
      </c>
      <c r="P40" s="180" t="s">
        <v>1303</v>
      </c>
      <c r="Q40" s="180" t="s">
        <v>65</v>
      </c>
      <c r="R40" s="70" t="s">
        <v>1274</v>
      </c>
    </row>
    <row r="41" spans="2:18" x14ac:dyDescent="0.35">
      <c r="B41" s="70">
        <v>25</v>
      </c>
      <c r="C41" s="70" t="s">
        <v>1298</v>
      </c>
      <c r="D41" s="185">
        <v>33265</v>
      </c>
      <c r="E41" s="70">
        <v>1990</v>
      </c>
      <c r="F41" s="70" t="s">
        <v>1288</v>
      </c>
      <c r="G41" s="23" t="s">
        <v>48</v>
      </c>
      <c r="H41" s="70">
        <v>20</v>
      </c>
      <c r="I41" s="70">
        <v>19</v>
      </c>
      <c r="J41" s="23" t="s">
        <v>17</v>
      </c>
      <c r="K41" s="70" t="s">
        <v>1299</v>
      </c>
      <c r="L41" s="72" t="s">
        <v>1584</v>
      </c>
      <c r="M41" s="70" t="s">
        <v>1412</v>
      </c>
      <c r="N41" s="70" t="s">
        <v>1442</v>
      </c>
      <c r="O41" s="180">
        <v>73813</v>
      </c>
      <c r="P41" s="180" t="s">
        <v>1300</v>
      </c>
      <c r="Q41" s="180" t="s">
        <v>64</v>
      </c>
      <c r="R41" s="70" t="s">
        <v>1295</v>
      </c>
    </row>
    <row r="42" spans="2:18" x14ac:dyDescent="0.35">
      <c r="B42" s="70">
        <v>24</v>
      </c>
      <c r="C42" s="70" t="s">
        <v>1296</v>
      </c>
      <c r="D42" s="185">
        <v>32901</v>
      </c>
      <c r="E42" s="70">
        <v>1989</v>
      </c>
      <c r="F42" s="70" t="s">
        <v>1268</v>
      </c>
      <c r="G42" s="23" t="s">
        <v>53</v>
      </c>
      <c r="H42" s="70">
        <v>55</v>
      </c>
      <c r="I42" s="70">
        <v>10</v>
      </c>
      <c r="J42" s="23" t="s">
        <v>34</v>
      </c>
      <c r="K42" s="70" t="s">
        <v>1255</v>
      </c>
      <c r="L42" s="72" t="s">
        <v>1584</v>
      </c>
      <c r="M42" s="70" t="s">
        <v>1435</v>
      </c>
      <c r="N42" s="70" t="s">
        <v>1433</v>
      </c>
      <c r="O42" s="180">
        <v>72919</v>
      </c>
      <c r="P42" s="180" t="s">
        <v>1271</v>
      </c>
      <c r="Q42" s="180" t="s">
        <v>65</v>
      </c>
      <c r="R42" s="70" t="s">
        <v>1297</v>
      </c>
    </row>
    <row r="43" spans="2:18" x14ac:dyDescent="0.35">
      <c r="B43" s="70">
        <v>23</v>
      </c>
      <c r="C43" s="70" t="s">
        <v>1293</v>
      </c>
      <c r="D43" s="185">
        <v>32530</v>
      </c>
      <c r="E43" s="70">
        <v>1988</v>
      </c>
      <c r="F43" s="70" t="s">
        <v>1268</v>
      </c>
      <c r="G43" s="23" t="s">
        <v>53</v>
      </c>
      <c r="H43" s="70">
        <v>20</v>
      </c>
      <c r="I43" s="70">
        <v>16</v>
      </c>
      <c r="J43" s="23" t="s">
        <v>31</v>
      </c>
      <c r="K43" s="70" t="s">
        <v>1269</v>
      </c>
      <c r="L43" s="72" t="s">
        <v>1584</v>
      </c>
      <c r="M43" s="70" t="s">
        <v>1415</v>
      </c>
      <c r="N43" s="70" t="s">
        <v>1438</v>
      </c>
      <c r="O43" s="180">
        <v>75129</v>
      </c>
      <c r="P43" s="180" t="s">
        <v>1294</v>
      </c>
      <c r="Q43" s="180" t="s">
        <v>750</v>
      </c>
      <c r="R43" s="70" t="s">
        <v>1295</v>
      </c>
    </row>
    <row r="44" spans="2:18" x14ac:dyDescent="0.35">
      <c r="B44" s="70">
        <v>22</v>
      </c>
      <c r="C44" s="70" t="s">
        <v>1290</v>
      </c>
      <c r="D44" s="185">
        <v>32173</v>
      </c>
      <c r="E44" s="70">
        <v>1987</v>
      </c>
      <c r="F44" s="70" t="s">
        <v>1240</v>
      </c>
      <c r="G44" s="23" t="s">
        <v>56</v>
      </c>
      <c r="H44" s="70">
        <v>42</v>
      </c>
      <c r="I44" s="70">
        <v>10</v>
      </c>
      <c r="J44" s="23" t="s">
        <v>34</v>
      </c>
      <c r="K44" s="70" t="s">
        <v>1255</v>
      </c>
      <c r="L44" s="72" t="s">
        <v>1584</v>
      </c>
      <c r="M44" s="70" t="s">
        <v>1404</v>
      </c>
      <c r="N44" s="70" t="s">
        <v>1444</v>
      </c>
      <c r="O44" s="180">
        <v>73302</v>
      </c>
      <c r="P44" s="180" t="s">
        <v>1291</v>
      </c>
      <c r="Q44" s="180" t="s">
        <v>65</v>
      </c>
      <c r="R44" s="70" t="s">
        <v>1292</v>
      </c>
    </row>
    <row r="45" spans="2:18" x14ac:dyDescent="0.35">
      <c r="B45" s="70">
        <v>21</v>
      </c>
      <c r="C45" s="70" t="s">
        <v>1287</v>
      </c>
      <c r="D45" s="185">
        <v>31802</v>
      </c>
      <c r="E45" s="70">
        <v>1986</v>
      </c>
      <c r="F45" s="70" t="s">
        <v>1288</v>
      </c>
      <c r="G45" s="23" t="s">
        <v>48</v>
      </c>
      <c r="H45" s="70">
        <v>39</v>
      </c>
      <c r="I45" s="70">
        <v>20</v>
      </c>
      <c r="J45" s="23" t="s">
        <v>34</v>
      </c>
      <c r="K45" s="70" t="s">
        <v>1255</v>
      </c>
      <c r="L45" s="72" t="s">
        <v>1584</v>
      </c>
      <c r="M45" s="70" t="s">
        <v>1428</v>
      </c>
      <c r="N45" s="70" t="s">
        <v>1443</v>
      </c>
      <c r="O45" s="180">
        <v>101063</v>
      </c>
      <c r="P45" s="180" t="s">
        <v>1289</v>
      </c>
      <c r="Q45" s="180" t="s">
        <v>65</v>
      </c>
      <c r="R45" s="70" t="s">
        <v>1274</v>
      </c>
    </row>
    <row r="46" spans="2:18" x14ac:dyDescent="0.35">
      <c r="B46" s="70">
        <v>20</v>
      </c>
      <c r="C46" s="70" t="s">
        <v>1281</v>
      </c>
      <c r="D46" s="185">
        <v>31438</v>
      </c>
      <c r="E46" s="70">
        <v>1985</v>
      </c>
      <c r="F46" s="70" t="s">
        <v>1282</v>
      </c>
      <c r="G46" s="23" t="s">
        <v>30</v>
      </c>
      <c r="H46" s="70">
        <v>46</v>
      </c>
      <c r="I46" s="70">
        <v>10</v>
      </c>
      <c r="J46" s="23" t="s">
        <v>46</v>
      </c>
      <c r="K46" s="70" t="s">
        <v>1283</v>
      </c>
      <c r="L46" s="72" t="s">
        <v>1584</v>
      </c>
      <c r="M46" s="70" t="s">
        <v>1434</v>
      </c>
      <c r="N46" s="70" t="s">
        <v>1433</v>
      </c>
      <c r="O46" s="180">
        <v>73818</v>
      </c>
      <c r="P46" s="180" t="s">
        <v>1284</v>
      </c>
      <c r="Q46" s="180" t="s">
        <v>1285</v>
      </c>
      <c r="R46" s="70" t="s">
        <v>1286</v>
      </c>
    </row>
    <row r="47" spans="2:18" x14ac:dyDescent="0.35">
      <c r="B47" s="70">
        <v>19</v>
      </c>
      <c r="C47" s="70" t="s">
        <v>1280</v>
      </c>
      <c r="D47" s="185">
        <v>31067</v>
      </c>
      <c r="E47" s="70">
        <v>1984</v>
      </c>
      <c r="F47" s="70" t="s">
        <v>1268</v>
      </c>
      <c r="G47" s="23" t="s">
        <v>53</v>
      </c>
      <c r="H47" s="70">
        <v>38</v>
      </c>
      <c r="I47" s="70">
        <v>16</v>
      </c>
      <c r="J47" s="23" t="s">
        <v>44</v>
      </c>
      <c r="K47" s="70" t="s">
        <v>1236</v>
      </c>
      <c r="L47" s="72" t="s">
        <v>1584</v>
      </c>
      <c r="M47" s="70" t="s">
        <v>1430</v>
      </c>
      <c r="N47" s="70" t="s">
        <v>1449</v>
      </c>
      <c r="O47" s="180">
        <v>84059</v>
      </c>
      <c r="P47" s="180" t="s">
        <v>1271</v>
      </c>
      <c r="Q47" s="180" t="s">
        <v>65</v>
      </c>
      <c r="R47" s="70" t="s">
        <v>1260</v>
      </c>
    </row>
    <row r="48" spans="2:18" x14ac:dyDescent="0.35">
      <c r="B48" s="70">
        <v>18</v>
      </c>
      <c r="C48" s="70" t="s">
        <v>1275</v>
      </c>
      <c r="D48" s="185">
        <v>30703</v>
      </c>
      <c r="E48" s="70">
        <v>1983</v>
      </c>
      <c r="F48" s="70" t="s">
        <v>1276</v>
      </c>
      <c r="G48" s="23" t="s">
        <v>43</v>
      </c>
      <c r="H48" s="70">
        <v>38</v>
      </c>
      <c r="I48" s="70">
        <v>9</v>
      </c>
      <c r="J48" s="23" t="s">
        <v>56</v>
      </c>
      <c r="K48" s="70" t="s">
        <v>1240</v>
      </c>
      <c r="L48" s="72" t="s">
        <v>1584</v>
      </c>
      <c r="M48" s="70" t="s">
        <v>1277</v>
      </c>
      <c r="N48" s="70" t="s">
        <v>1437</v>
      </c>
      <c r="O48" s="180">
        <v>72920</v>
      </c>
      <c r="P48" s="180" t="s">
        <v>1278</v>
      </c>
      <c r="Q48" s="180" t="s">
        <v>64</v>
      </c>
      <c r="R48" s="70" t="s">
        <v>1279</v>
      </c>
    </row>
    <row r="49" spans="2:18" x14ac:dyDescent="0.35">
      <c r="B49" s="70">
        <v>17</v>
      </c>
      <c r="C49" s="70" t="s">
        <v>1272</v>
      </c>
      <c r="D49" s="185">
        <v>30346</v>
      </c>
      <c r="E49" s="70">
        <v>1982</v>
      </c>
      <c r="F49" s="70" t="s">
        <v>1240</v>
      </c>
      <c r="G49" s="23" t="s">
        <v>56</v>
      </c>
      <c r="H49" s="70">
        <v>27</v>
      </c>
      <c r="I49" s="70">
        <v>17</v>
      </c>
      <c r="J49" s="23" t="s">
        <v>44</v>
      </c>
      <c r="K49" s="70" t="s">
        <v>1236</v>
      </c>
      <c r="L49" s="72" t="s">
        <v>1584</v>
      </c>
      <c r="M49" s="70" t="s">
        <v>1428</v>
      </c>
      <c r="N49" s="70" t="s">
        <v>1443</v>
      </c>
      <c r="O49" s="180">
        <v>103667</v>
      </c>
      <c r="P49" s="180" t="s">
        <v>1273</v>
      </c>
      <c r="Q49" s="180" t="s">
        <v>64</v>
      </c>
      <c r="R49" s="70" t="s">
        <v>1274</v>
      </c>
    </row>
    <row r="50" spans="2:18" x14ac:dyDescent="0.35">
      <c r="B50" s="70">
        <v>16</v>
      </c>
      <c r="C50" s="70" t="s">
        <v>1267</v>
      </c>
      <c r="D50" s="185">
        <v>29975</v>
      </c>
      <c r="E50" s="70">
        <v>1981</v>
      </c>
      <c r="F50" s="70" t="s">
        <v>1268</v>
      </c>
      <c r="G50" s="23" t="s">
        <v>53</v>
      </c>
      <c r="H50" s="70">
        <v>26</v>
      </c>
      <c r="I50" s="70">
        <v>21</v>
      </c>
      <c r="J50" s="23" t="s">
        <v>31</v>
      </c>
      <c r="K50" s="70" t="s">
        <v>1269</v>
      </c>
      <c r="L50" s="72" t="s">
        <v>1584</v>
      </c>
      <c r="M50" s="70" t="s">
        <v>1270</v>
      </c>
      <c r="N50" s="70" t="s">
        <v>1458</v>
      </c>
      <c r="O50" s="180">
        <v>81270</v>
      </c>
      <c r="P50" s="180" t="s">
        <v>1271</v>
      </c>
      <c r="Q50" s="180" t="s">
        <v>65</v>
      </c>
      <c r="R50" s="70" t="s">
        <v>1260</v>
      </c>
    </row>
    <row r="51" spans="2:18" x14ac:dyDescent="0.35">
      <c r="B51" s="70">
        <v>15</v>
      </c>
      <c r="C51" s="70" t="s">
        <v>1264</v>
      </c>
      <c r="D51" s="185">
        <v>29611</v>
      </c>
      <c r="E51" s="70">
        <v>1980</v>
      </c>
      <c r="F51" s="70" t="s">
        <v>1218</v>
      </c>
      <c r="G51" s="23" t="s">
        <v>43</v>
      </c>
      <c r="H51" s="70">
        <v>27</v>
      </c>
      <c r="I51" s="70">
        <v>10</v>
      </c>
      <c r="J51" s="23" t="s">
        <v>50</v>
      </c>
      <c r="K51" s="70" t="s">
        <v>1265</v>
      </c>
      <c r="L51" s="72" t="s">
        <v>1584</v>
      </c>
      <c r="M51" s="70" t="s">
        <v>1435</v>
      </c>
      <c r="N51" s="70" t="s">
        <v>1433</v>
      </c>
      <c r="O51" s="180">
        <v>76135</v>
      </c>
      <c r="P51" s="180" t="s">
        <v>1266</v>
      </c>
      <c r="Q51" s="180" t="s">
        <v>65</v>
      </c>
      <c r="R51" s="70" t="s">
        <v>1245</v>
      </c>
    </row>
    <row r="52" spans="2:18" x14ac:dyDescent="0.35">
      <c r="B52" s="70">
        <v>14</v>
      </c>
      <c r="C52" s="70" t="s">
        <v>1261</v>
      </c>
      <c r="D52" s="185">
        <v>29240</v>
      </c>
      <c r="E52" s="70">
        <v>1979</v>
      </c>
      <c r="F52" s="70" t="s">
        <v>1247</v>
      </c>
      <c r="G52" s="23" t="s">
        <v>51</v>
      </c>
      <c r="H52" s="70">
        <v>31</v>
      </c>
      <c r="I52" s="70">
        <v>19</v>
      </c>
      <c r="J52" s="23" t="s">
        <v>42</v>
      </c>
      <c r="K52" s="70" t="s">
        <v>1262</v>
      </c>
      <c r="L52" s="72" t="s">
        <v>1584</v>
      </c>
      <c r="M52" s="70" t="s">
        <v>1428</v>
      </c>
      <c r="N52" s="70" t="s">
        <v>1443</v>
      </c>
      <c r="O52" s="180">
        <v>103985</v>
      </c>
      <c r="P52" s="180" t="s">
        <v>1259</v>
      </c>
      <c r="Q52" s="180" t="s">
        <v>65</v>
      </c>
      <c r="R52" s="70" t="s">
        <v>1263</v>
      </c>
    </row>
    <row r="53" spans="2:18" x14ac:dyDescent="0.35">
      <c r="B53" s="70">
        <v>13</v>
      </c>
      <c r="C53" s="70" t="s">
        <v>1258</v>
      </c>
      <c r="D53" s="185">
        <v>28876</v>
      </c>
      <c r="E53" s="70">
        <v>1978</v>
      </c>
      <c r="F53" s="70" t="s">
        <v>1247</v>
      </c>
      <c r="G53" s="23" t="s">
        <v>51</v>
      </c>
      <c r="H53" s="70">
        <v>35</v>
      </c>
      <c r="I53" s="70">
        <v>31</v>
      </c>
      <c r="J53" s="23" t="s">
        <v>33</v>
      </c>
      <c r="K53" s="70" t="s">
        <v>1232</v>
      </c>
      <c r="L53" s="72" t="s">
        <v>1584</v>
      </c>
      <c r="M53" s="70" t="s">
        <v>1413</v>
      </c>
      <c r="N53" s="70" t="s">
        <v>1438</v>
      </c>
      <c r="O53" s="180">
        <v>79484</v>
      </c>
      <c r="P53" s="180" t="s">
        <v>1259</v>
      </c>
      <c r="Q53" s="180" t="s">
        <v>65</v>
      </c>
      <c r="R53" s="70" t="s">
        <v>1260</v>
      </c>
    </row>
    <row r="54" spans="2:18" x14ac:dyDescent="0.35">
      <c r="B54" s="70">
        <v>12</v>
      </c>
      <c r="C54" s="70" t="s">
        <v>1254</v>
      </c>
      <c r="D54" s="185">
        <v>28505</v>
      </c>
      <c r="E54" s="70">
        <v>1977</v>
      </c>
      <c r="F54" s="70" t="s">
        <v>1232</v>
      </c>
      <c r="G54" s="23" t="s">
        <v>33</v>
      </c>
      <c r="H54" s="70">
        <v>27</v>
      </c>
      <c r="I54" s="70">
        <v>10</v>
      </c>
      <c r="J54" s="23" t="s">
        <v>34</v>
      </c>
      <c r="K54" s="70" t="s">
        <v>1255</v>
      </c>
      <c r="L54" s="72" t="s">
        <v>1584</v>
      </c>
      <c r="M54" s="70" t="s">
        <v>1434</v>
      </c>
      <c r="N54" s="70" t="s">
        <v>1433</v>
      </c>
      <c r="O54" s="180">
        <v>76400</v>
      </c>
      <c r="P54" s="180" t="s">
        <v>1256</v>
      </c>
      <c r="Q54" s="180" t="s">
        <v>1257</v>
      </c>
      <c r="R54" s="70" t="s">
        <v>1238</v>
      </c>
    </row>
    <row r="55" spans="2:18" x14ac:dyDescent="0.35">
      <c r="B55" s="70">
        <v>11</v>
      </c>
      <c r="C55" s="70" t="s">
        <v>1252</v>
      </c>
      <c r="D55" s="185">
        <v>28134</v>
      </c>
      <c r="E55" s="70">
        <v>1976</v>
      </c>
      <c r="F55" s="70" t="s">
        <v>1218</v>
      </c>
      <c r="G55" s="23" t="s">
        <v>43</v>
      </c>
      <c r="H55" s="70">
        <v>32</v>
      </c>
      <c r="I55" s="70">
        <v>14</v>
      </c>
      <c r="J55" s="23" t="s">
        <v>45</v>
      </c>
      <c r="K55" s="70" t="s">
        <v>1227</v>
      </c>
      <c r="L55" s="72" t="s">
        <v>1584</v>
      </c>
      <c r="M55" s="70" t="s">
        <v>1425</v>
      </c>
      <c r="N55" s="70" t="s">
        <v>1443</v>
      </c>
      <c r="O55" s="180">
        <v>103438</v>
      </c>
      <c r="P55" s="180" t="s">
        <v>1253</v>
      </c>
      <c r="Q55" s="180" t="s">
        <v>750</v>
      </c>
      <c r="R55" s="70" t="s">
        <v>1238</v>
      </c>
    </row>
    <row r="56" spans="2:18" x14ac:dyDescent="0.35">
      <c r="B56" s="70">
        <v>10</v>
      </c>
      <c r="C56" s="70" t="s">
        <v>1250</v>
      </c>
      <c r="D56" s="185">
        <v>27777</v>
      </c>
      <c r="E56" s="70">
        <v>1975</v>
      </c>
      <c r="F56" s="70" t="s">
        <v>1247</v>
      </c>
      <c r="G56" s="23" t="s">
        <v>51</v>
      </c>
      <c r="H56" s="70">
        <v>21</v>
      </c>
      <c r="I56" s="70">
        <v>17</v>
      </c>
      <c r="J56" s="23" t="s">
        <v>33</v>
      </c>
      <c r="K56" s="70" t="s">
        <v>1232</v>
      </c>
      <c r="L56" s="72" t="s">
        <v>1584</v>
      </c>
      <c r="M56" s="70" t="s">
        <v>1413</v>
      </c>
      <c r="N56" s="70" t="s">
        <v>1438</v>
      </c>
      <c r="O56" s="180">
        <v>80187</v>
      </c>
      <c r="P56" s="180" t="s">
        <v>1251</v>
      </c>
      <c r="Q56" s="180" t="s">
        <v>750</v>
      </c>
      <c r="R56" s="70" t="s">
        <v>1216</v>
      </c>
    </row>
    <row r="57" spans="2:18" x14ac:dyDescent="0.35">
      <c r="B57" s="70">
        <v>9</v>
      </c>
      <c r="C57" s="70" t="s">
        <v>1246</v>
      </c>
      <c r="D57" s="185">
        <v>27406</v>
      </c>
      <c r="E57" s="70">
        <v>1974</v>
      </c>
      <c r="F57" s="70" t="s">
        <v>1247</v>
      </c>
      <c r="G57" s="23" t="s">
        <v>51</v>
      </c>
      <c r="H57" s="70">
        <v>16</v>
      </c>
      <c r="I57" s="70">
        <v>6</v>
      </c>
      <c r="J57" s="23" t="s">
        <v>45</v>
      </c>
      <c r="K57" s="70" t="s">
        <v>1227</v>
      </c>
      <c r="L57" s="72" t="s">
        <v>1584</v>
      </c>
      <c r="M57" s="70" t="s">
        <v>1418</v>
      </c>
      <c r="N57" s="70" t="s">
        <v>1433</v>
      </c>
      <c r="O57" s="180">
        <v>80997</v>
      </c>
      <c r="P57" s="180" t="s">
        <v>1248</v>
      </c>
      <c r="Q57" s="180" t="s">
        <v>64</v>
      </c>
      <c r="R57" s="70" t="s">
        <v>1249</v>
      </c>
    </row>
    <row r="58" spans="2:18" x14ac:dyDescent="0.35">
      <c r="B58" s="70">
        <v>8</v>
      </c>
      <c r="C58" s="70" t="s">
        <v>1243</v>
      </c>
      <c r="D58" s="185">
        <v>27042</v>
      </c>
      <c r="E58" s="70">
        <v>1973</v>
      </c>
      <c r="F58" s="70" t="s">
        <v>1236</v>
      </c>
      <c r="G58" s="23" t="s">
        <v>44</v>
      </c>
      <c r="H58" s="70">
        <v>24</v>
      </c>
      <c r="I58" s="70">
        <v>7</v>
      </c>
      <c r="J58" s="23" t="s">
        <v>45</v>
      </c>
      <c r="K58" s="70" t="s">
        <v>1227</v>
      </c>
      <c r="L58" s="72" t="s">
        <v>1584</v>
      </c>
      <c r="M58" s="70" t="s">
        <v>1421</v>
      </c>
      <c r="N58" s="70" t="s">
        <v>1462</v>
      </c>
      <c r="O58" s="180">
        <v>71882</v>
      </c>
      <c r="P58" s="180" t="s">
        <v>1244</v>
      </c>
      <c r="Q58" s="180" t="s">
        <v>64</v>
      </c>
      <c r="R58" s="70" t="s">
        <v>1245</v>
      </c>
    </row>
    <row r="59" spans="2:18" x14ac:dyDescent="0.35">
      <c r="B59" s="70">
        <v>7</v>
      </c>
      <c r="C59" s="70" t="s">
        <v>1239</v>
      </c>
      <c r="D59" s="185">
        <v>26678</v>
      </c>
      <c r="E59" s="70">
        <v>1972</v>
      </c>
      <c r="F59" s="70" t="s">
        <v>1236</v>
      </c>
      <c r="G59" s="23" t="s">
        <v>44</v>
      </c>
      <c r="H59" s="70">
        <v>14</v>
      </c>
      <c r="I59" s="70">
        <v>7</v>
      </c>
      <c r="J59" s="23" t="s">
        <v>56</v>
      </c>
      <c r="K59" s="70" t="s">
        <v>1240</v>
      </c>
      <c r="L59" s="72" t="s">
        <v>1584</v>
      </c>
      <c r="M59" s="70" t="s">
        <v>1411</v>
      </c>
      <c r="N59" s="70" t="s">
        <v>1448</v>
      </c>
      <c r="O59" s="180">
        <v>90182</v>
      </c>
      <c r="P59" s="180" t="s">
        <v>1241</v>
      </c>
      <c r="Q59" s="180" t="s">
        <v>1242</v>
      </c>
      <c r="R59" s="70" t="s">
        <v>1225</v>
      </c>
    </row>
    <row r="60" spans="2:18" x14ac:dyDescent="0.35">
      <c r="B60" s="70">
        <v>6</v>
      </c>
      <c r="C60" s="70" t="s">
        <v>1235</v>
      </c>
      <c r="D60" s="185">
        <v>26314</v>
      </c>
      <c r="E60" s="70">
        <v>1971</v>
      </c>
      <c r="F60" s="70" t="s">
        <v>1232</v>
      </c>
      <c r="G60" s="23" t="s">
        <v>33</v>
      </c>
      <c r="H60" s="70">
        <v>24</v>
      </c>
      <c r="I60" s="70">
        <v>3</v>
      </c>
      <c r="J60" s="23" t="s">
        <v>44</v>
      </c>
      <c r="K60" s="70" t="s">
        <v>1236</v>
      </c>
      <c r="L60" s="72" t="s">
        <v>1584</v>
      </c>
      <c r="M60" s="70" t="s">
        <v>1228</v>
      </c>
      <c r="N60" s="70" t="s">
        <v>1433</v>
      </c>
      <c r="O60" s="180">
        <v>81023</v>
      </c>
      <c r="P60" s="180" t="s">
        <v>1237</v>
      </c>
      <c r="Q60" s="180" t="s">
        <v>65</v>
      </c>
      <c r="R60" s="70" t="s">
        <v>1238</v>
      </c>
    </row>
    <row r="61" spans="2:18" x14ac:dyDescent="0.35">
      <c r="B61" s="70">
        <v>5</v>
      </c>
      <c r="C61" s="70" t="s">
        <v>1231</v>
      </c>
      <c r="D61" s="185">
        <v>25950</v>
      </c>
      <c r="E61" s="70">
        <v>1970</v>
      </c>
      <c r="F61" s="70" t="s">
        <v>1223</v>
      </c>
      <c r="G61" s="23" t="s">
        <v>38</v>
      </c>
      <c r="H61" s="70">
        <v>16</v>
      </c>
      <c r="I61" s="70">
        <v>3</v>
      </c>
      <c r="J61" s="23" t="s">
        <v>33</v>
      </c>
      <c r="K61" s="70" t="s">
        <v>1232</v>
      </c>
      <c r="L61" s="72" t="s">
        <v>1584</v>
      </c>
      <c r="M61" s="70" t="s">
        <v>1413</v>
      </c>
      <c r="N61" s="70" t="s">
        <v>1438</v>
      </c>
      <c r="O61" s="180">
        <v>79204</v>
      </c>
      <c r="P61" s="180" t="s">
        <v>1233</v>
      </c>
      <c r="Q61" s="180" t="s">
        <v>1234</v>
      </c>
      <c r="R61" s="70" t="s">
        <v>1216</v>
      </c>
    </row>
    <row r="62" spans="2:18" x14ac:dyDescent="0.35">
      <c r="B62" s="70">
        <v>4</v>
      </c>
      <c r="C62" s="70" t="s">
        <v>1226</v>
      </c>
      <c r="D62" s="185">
        <v>25579</v>
      </c>
      <c r="E62" s="70">
        <v>1969</v>
      </c>
      <c r="F62" s="70" t="s">
        <v>1213</v>
      </c>
      <c r="G62" s="23" t="s">
        <v>40</v>
      </c>
      <c r="H62" s="70">
        <v>23</v>
      </c>
      <c r="I62" s="70">
        <v>7</v>
      </c>
      <c r="J62" s="23" t="s">
        <v>45</v>
      </c>
      <c r="K62" s="70" t="s">
        <v>1227</v>
      </c>
      <c r="L62" s="72" t="s">
        <v>1584</v>
      </c>
      <c r="M62" s="70" t="s">
        <v>1228</v>
      </c>
      <c r="N62" s="70" t="s">
        <v>1433</v>
      </c>
      <c r="O62" s="180">
        <v>80562</v>
      </c>
      <c r="P62" s="180" t="s">
        <v>1229</v>
      </c>
      <c r="Q62" s="180" t="s">
        <v>65</v>
      </c>
      <c r="R62" s="70" t="s">
        <v>1230</v>
      </c>
    </row>
    <row r="63" spans="2:18" x14ac:dyDescent="0.35">
      <c r="B63" s="70">
        <v>3</v>
      </c>
      <c r="C63" s="70" t="s">
        <v>1221</v>
      </c>
      <c r="D63" s="185">
        <v>25215</v>
      </c>
      <c r="E63" s="70">
        <v>1968</v>
      </c>
      <c r="F63" s="70" t="s">
        <v>1222</v>
      </c>
      <c r="G63" s="123" t="s">
        <v>49</v>
      </c>
      <c r="H63" s="70">
        <v>16</v>
      </c>
      <c r="I63" s="70">
        <v>7</v>
      </c>
      <c r="J63" s="123" t="s">
        <v>38</v>
      </c>
      <c r="K63" s="70" t="s">
        <v>1223</v>
      </c>
      <c r="L63" s="72" t="s">
        <v>1584</v>
      </c>
      <c r="M63" s="70" t="s">
        <v>1413</v>
      </c>
      <c r="N63" s="70" t="s">
        <v>1438</v>
      </c>
      <c r="O63" s="180">
        <v>75389</v>
      </c>
      <c r="P63" s="180" t="s">
        <v>1224</v>
      </c>
      <c r="Q63" s="180" t="s">
        <v>65</v>
      </c>
      <c r="R63" s="70" t="s">
        <v>1225</v>
      </c>
    </row>
    <row r="64" spans="2:18" x14ac:dyDescent="0.35">
      <c r="B64" s="70">
        <v>2</v>
      </c>
      <c r="C64" s="70" t="s">
        <v>1217</v>
      </c>
      <c r="D64" s="185">
        <v>24851</v>
      </c>
      <c r="E64" s="70">
        <v>1967</v>
      </c>
      <c r="F64" s="70" t="s">
        <v>1212</v>
      </c>
      <c r="G64" s="123" t="s">
        <v>36</v>
      </c>
      <c r="H64" s="70">
        <v>33</v>
      </c>
      <c r="I64" s="70">
        <v>14</v>
      </c>
      <c r="J64" s="123" t="s">
        <v>43</v>
      </c>
      <c r="K64" s="70" t="s">
        <v>1218</v>
      </c>
      <c r="L64" s="72" t="s">
        <v>1584</v>
      </c>
      <c r="M64" s="70" t="s">
        <v>1219</v>
      </c>
      <c r="N64" s="70" t="s">
        <v>1438</v>
      </c>
      <c r="O64" s="180">
        <v>75546</v>
      </c>
      <c r="P64" s="180" t="s">
        <v>1215</v>
      </c>
      <c r="Q64" s="180" t="s">
        <v>65</v>
      </c>
      <c r="R64" s="70" t="s">
        <v>1220</v>
      </c>
    </row>
    <row r="65" spans="2:18" x14ac:dyDescent="0.35">
      <c r="B65" s="70">
        <v>1</v>
      </c>
      <c r="C65" s="70" t="s">
        <v>1211</v>
      </c>
      <c r="D65" s="185">
        <v>24487</v>
      </c>
      <c r="E65" s="70">
        <v>1966</v>
      </c>
      <c r="F65" s="70" t="s">
        <v>1212</v>
      </c>
      <c r="G65" s="123" t="s">
        <v>36</v>
      </c>
      <c r="H65" s="70">
        <v>35</v>
      </c>
      <c r="I65" s="70">
        <v>10</v>
      </c>
      <c r="J65" s="123" t="s">
        <v>40</v>
      </c>
      <c r="K65" s="70" t="s">
        <v>1213</v>
      </c>
      <c r="L65" s="72" t="s">
        <v>1584</v>
      </c>
      <c r="M65" s="70" t="s">
        <v>1214</v>
      </c>
      <c r="N65" s="70" t="s">
        <v>1448</v>
      </c>
      <c r="O65" s="180">
        <v>61946</v>
      </c>
      <c r="P65" s="180" t="s">
        <v>1215</v>
      </c>
      <c r="Q65" s="180" t="s">
        <v>65</v>
      </c>
      <c r="R65" s="70" t="s">
        <v>1216</v>
      </c>
    </row>
    <row r="66" spans="2:18" x14ac:dyDescent="0.35">
      <c r="B66" s="70"/>
      <c r="C66" s="70"/>
      <c r="D66" s="70"/>
      <c r="E66" s="70"/>
      <c r="F66" s="70"/>
      <c r="G66" s="72"/>
      <c r="H66" s="70"/>
      <c r="I66" s="72"/>
      <c r="J66" s="72"/>
      <c r="K66" s="70"/>
      <c r="L66" s="70"/>
      <c r="M66" s="70"/>
      <c r="N66" s="180"/>
      <c r="O66" s="180"/>
      <c r="P66" s="180"/>
      <c r="Q66" s="70"/>
    </row>
  </sheetData>
  <mergeCells count="1">
    <mergeCell ref="B2:P2"/>
  </mergeCells>
  <conditionalFormatting sqref="G4:G66 H4:H65 I66:J66 J4:J65 L4:L65">
    <cfRule type="cellIs" dxfId="9289" priority="426" operator="equal">
      <formula>"LV"</formula>
    </cfRule>
    <cfRule type="cellIs" dxfId="9288" priority="427" operator="equal">
      <formula>"NE"</formula>
    </cfRule>
    <cfRule type="cellIs" dxfId="9287" priority="428" operator="equal">
      <formula>"MIN"</formula>
    </cfRule>
    <cfRule type="cellIs" dxfId="9286" priority="429" operator="equal">
      <formula>"PIT"</formula>
    </cfRule>
    <cfRule type="cellIs" dxfId="9285" priority="430" operator="equal">
      <formula>"DEN"</formula>
    </cfRule>
    <cfRule type="cellIs" dxfId="9284" priority="431" operator="equal">
      <formula>"CAR"</formula>
    </cfRule>
    <cfRule type="cellIs" dxfId="9283" priority="432" operator="equal">
      <formula>"NYG"</formula>
    </cfRule>
    <cfRule type="cellIs" dxfId="9282" priority="433" operator="equal">
      <formula>"NO"</formula>
    </cfRule>
    <cfRule type="cellIs" dxfId="9281" priority="434" operator="equal">
      <formula>"TEN"</formula>
    </cfRule>
    <cfRule type="cellIs" dxfId="9280" priority="435" operator="equal">
      <formula>"TB"</formula>
    </cfRule>
    <cfRule type="cellIs" dxfId="9279" priority="436" operator="equal">
      <formula>"CLE"</formula>
    </cfRule>
    <cfRule type="cellIs" dxfId="9278" priority="437" operator="equal">
      <formula>"NYJ"</formula>
    </cfRule>
    <cfRule type="cellIs" dxfId="9277" priority="438" operator="equal">
      <formula>"SEA"</formula>
    </cfRule>
    <cfRule type="cellIs" dxfId="9276" priority="439" operator="equal">
      <formula>"LAC"</formula>
    </cfRule>
    <cfRule type="cellIs" dxfId="9275" priority="440" operator="equal">
      <formula>"LAR"</formula>
    </cfRule>
    <cfRule type="cellIs" dxfId="9274" priority="441" operator="equal">
      <formula>"ATL"</formula>
    </cfRule>
    <cfRule type="cellIs" dxfId="9273" priority="442" operator="equal">
      <formula>"JAX"</formula>
    </cfRule>
    <cfRule type="cellIs" dxfId="9272" priority="443" operator="equal">
      <formula>"CHI"</formula>
    </cfRule>
    <cfRule type="cellIs" dxfId="9271" priority="444" operator="equal">
      <formula>"MIA"</formula>
    </cfRule>
    <cfRule type="cellIs" dxfId="9270" priority="445" operator="equal">
      <formula>"DET"</formula>
    </cfRule>
    <cfRule type="cellIs" dxfId="9269" priority="446" operator="equal">
      <formula>"SF"</formula>
    </cfRule>
    <cfRule type="cellIs" dxfId="9268" priority="447" operator="equal">
      <formula>"WAS"</formula>
    </cfRule>
    <cfRule type="cellIs" dxfId="9267" priority="448" operator="equal">
      <formula>"GB"</formula>
    </cfRule>
    <cfRule type="cellIs" dxfId="9266" priority="449" operator="equal">
      <formula>"DAL"</formula>
    </cfRule>
    <cfRule type="cellIs" dxfId="9265" priority="450" operator="equal">
      <formula>"CIN"</formula>
    </cfRule>
    <cfRule type="cellIs" dxfId="9264" priority="451" operator="equal">
      <formula>"ARI"</formula>
    </cfRule>
    <cfRule type="cellIs" dxfId="9263" priority="452" operator="equal">
      <formula>"HOU"</formula>
    </cfRule>
    <cfRule type="cellIs" dxfId="9262" priority="453" operator="equal">
      <formula>"IND"</formula>
    </cfRule>
    <cfRule type="cellIs" dxfId="9261" priority="454" operator="equal">
      <formula>"KC"</formula>
    </cfRule>
    <cfRule type="cellIs" dxfId="9260" priority="455" operator="equal">
      <formula>"BAL"</formula>
    </cfRule>
    <cfRule type="cellIs" dxfId="9259" priority="456" operator="equal">
      <formula>"PHI"</formula>
    </cfRule>
    <cfRule type="cellIs" dxfId="9258" priority="457" operator="equal">
      <formula>"BUF"</formula>
    </cfRule>
  </conditionalFormatting>
  <conditionalFormatting sqref="T4:T23">
    <cfRule type="cellIs" dxfId="9257" priority="362" operator="equal">
      <formula>"LV"</formula>
    </cfRule>
    <cfRule type="cellIs" dxfId="9256" priority="363" operator="equal">
      <formula>"NE"</formula>
    </cfRule>
    <cfRule type="cellIs" dxfId="9255" priority="364" operator="equal">
      <formula>"MIN"</formula>
    </cfRule>
    <cfRule type="cellIs" dxfId="9254" priority="365" operator="equal">
      <formula>"PIT"</formula>
    </cfRule>
    <cfRule type="cellIs" dxfId="9253" priority="366" operator="equal">
      <formula>"DEN"</formula>
    </cfRule>
    <cfRule type="cellIs" dxfId="9252" priority="367" operator="equal">
      <formula>"CAR"</formula>
    </cfRule>
    <cfRule type="cellIs" dxfId="9251" priority="368" operator="equal">
      <formula>"NYG"</formula>
    </cfRule>
    <cfRule type="cellIs" dxfId="9250" priority="369" operator="equal">
      <formula>"NO"</formula>
    </cfRule>
    <cfRule type="cellIs" dxfId="9249" priority="370" operator="equal">
      <formula>"TEN"</formula>
    </cfRule>
    <cfRule type="cellIs" dxfId="9248" priority="371" operator="equal">
      <formula>"TB"</formula>
    </cfRule>
    <cfRule type="cellIs" dxfId="9247" priority="372" operator="equal">
      <formula>"CLE"</formula>
    </cfRule>
    <cfRule type="cellIs" dxfId="9246" priority="373" operator="equal">
      <formula>"NYJ"</formula>
    </cfRule>
    <cfRule type="cellIs" dxfId="9245" priority="374" operator="equal">
      <formula>"SEA"</formula>
    </cfRule>
    <cfRule type="cellIs" dxfId="9244" priority="375" operator="equal">
      <formula>"LAC"</formula>
    </cfRule>
    <cfRule type="cellIs" dxfId="9243" priority="376" operator="equal">
      <formula>"LAR"</formula>
    </cfRule>
    <cfRule type="cellIs" dxfId="9242" priority="377" operator="equal">
      <formula>"ATL"</formula>
    </cfRule>
    <cfRule type="cellIs" dxfId="9241" priority="378" operator="equal">
      <formula>"JAX"</formula>
    </cfRule>
    <cfRule type="cellIs" dxfId="9240" priority="379" operator="equal">
      <formula>"CHI"</formula>
    </cfRule>
    <cfRule type="cellIs" dxfId="9239" priority="380" operator="equal">
      <formula>"MIA"</formula>
    </cfRule>
    <cfRule type="cellIs" dxfId="9238" priority="381" operator="equal">
      <formula>"DET"</formula>
    </cfRule>
    <cfRule type="cellIs" dxfId="9237" priority="382" operator="equal">
      <formula>"SF"</formula>
    </cfRule>
    <cfRule type="cellIs" dxfId="9236" priority="383" operator="equal">
      <formula>"WAS"</formula>
    </cfRule>
    <cfRule type="cellIs" dxfId="9235" priority="384" operator="equal">
      <formula>"GB"</formula>
    </cfRule>
    <cfRule type="cellIs" dxfId="9234" priority="385" operator="equal">
      <formula>"DAL"</formula>
    </cfRule>
    <cfRule type="cellIs" dxfId="9233" priority="386" operator="equal">
      <formula>"CIN"</formula>
    </cfRule>
    <cfRule type="cellIs" dxfId="9232" priority="387" operator="equal">
      <formula>"ARI"</formula>
    </cfRule>
    <cfRule type="cellIs" dxfId="9231" priority="388" operator="equal">
      <formula>"HOU"</formula>
    </cfRule>
    <cfRule type="cellIs" dxfId="9230" priority="389" operator="equal">
      <formula>"IND"</formula>
    </cfRule>
    <cfRule type="cellIs" dxfId="9229" priority="390" operator="equal">
      <formula>"KC"</formula>
    </cfRule>
    <cfRule type="cellIs" dxfId="9228" priority="391" operator="equal">
      <formula>"BAL"</formula>
    </cfRule>
    <cfRule type="cellIs" dxfId="9227" priority="392" operator="equal">
      <formula>"PHI"</formula>
    </cfRule>
    <cfRule type="cellIs" dxfId="9226" priority="393" operator="equal">
      <formula>"BUF"</formula>
    </cfRule>
  </conditionalFormatting>
  <conditionalFormatting pivot="1" sqref="U4:U23">
    <cfRule type="colorScale" priority="361">
      <colorScale>
        <cfvo type="min"/>
        <cfvo type="max"/>
        <color rgb="FFFCFCFF"/>
        <color rgb="FF63BE7B"/>
      </colorScale>
    </cfRule>
  </conditionalFormatting>
  <conditionalFormatting sqref="W4:W27">
    <cfRule type="cellIs" dxfId="9225" priority="329" operator="equal">
      <formula>"LV"</formula>
    </cfRule>
    <cfRule type="cellIs" dxfId="9224" priority="330" operator="equal">
      <formula>"NE"</formula>
    </cfRule>
    <cfRule type="cellIs" dxfId="9223" priority="331" operator="equal">
      <formula>"MIN"</formula>
    </cfRule>
    <cfRule type="cellIs" dxfId="9222" priority="332" operator="equal">
      <formula>"PIT"</formula>
    </cfRule>
    <cfRule type="cellIs" dxfId="9221" priority="333" operator="equal">
      <formula>"DEN"</formula>
    </cfRule>
    <cfRule type="cellIs" dxfId="9220" priority="334" operator="equal">
      <formula>"CAR"</formula>
    </cfRule>
    <cfRule type="cellIs" dxfId="9219" priority="335" operator="equal">
      <formula>"NYG"</formula>
    </cfRule>
    <cfRule type="cellIs" dxfId="9218" priority="336" operator="equal">
      <formula>"NO"</formula>
    </cfRule>
    <cfRule type="cellIs" dxfId="9217" priority="337" operator="equal">
      <formula>"TEN"</formula>
    </cfRule>
    <cfRule type="cellIs" dxfId="9216" priority="338" operator="equal">
      <formula>"TB"</formula>
    </cfRule>
    <cfRule type="cellIs" dxfId="9215" priority="339" operator="equal">
      <formula>"CLE"</formula>
    </cfRule>
    <cfRule type="cellIs" dxfId="9214" priority="340" operator="equal">
      <formula>"NYJ"</formula>
    </cfRule>
    <cfRule type="cellIs" dxfId="9213" priority="341" operator="equal">
      <formula>"SEA"</formula>
    </cfRule>
    <cfRule type="cellIs" dxfId="9212" priority="342" operator="equal">
      <formula>"LAC"</formula>
    </cfRule>
    <cfRule type="cellIs" dxfId="9211" priority="343" operator="equal">
      <formula>"LAR"</formula>
    </cfRule>
    <cfRule type="cellIs" dxfId="9210" priority="344" operator="equal">
      <formula>"ATL"</formula>
    </cfRule>
    <cfRule type="cellIs" dxfId="9209" priority="345" operator="equal">
      <formula>"JAX"</formula>
    </cfRule>
    <cfRule type="cellIs" dxfId="9208" priority="346" operator="equal">
      <formula>"CHI"</formula>
    </cfRule>
    <cfRule type="cellIs" dxfId="9207" priority="347" operator="equal">
      <formula>"MIA"</formula>
    </cfRule>
    <cfRule type="cellIs" dxfId="9206" priority="348" operator="equal">
      <formula>"DET"</formula>
    </cfRule>
    <cfRule type="cellIs" dxfId="9205" priority="349" operator="equal">
      <formula>"SF"</formula>
    </cfRule>
    <cfRule type="cellIs" dxfId="9204" priority="350" operator="equal">
      <formula>"WAS"</formula>
    </cfRule>
    <cfRule type="cellIs" dxfId="9203" priority="351" operator="equal">
      <formula>"GB"</formula>
    </cfRule>
    <cfRule type="cellIs" dxfId="9202" priority="352" operator="equal">
      <formula>"DAL"</formula>
    </cfRule>
    <cfRule type="cellIs" dxfId="9201" priority="353" operator="equal">
      <formula>"CIN"</formula>
    </cfRule>
    <cfRule type="cellIs" dxfId="9200" priority="354" operator="equal">
      <formula>"ARI"</formula>
    </cfRule>
    <cfRule type="cellIs" dxfId="9199" priority="355" operator="equal">
      <formula>"HOU"</formula>
    </cfRule>
    <cfRule type="cellIs" dxfId="9198" priority="356" operator="equal">
      <formula>"IND"</formula>
    </cfRule>
    <cfRule type="cellIs" dxfId="9197" priority="357" operator="equal">
      <formula>"KC"</formula>
    </cfRule>
    <cfRule type="cellIs" dxfId="9196" priority="358" operator="equal">
      <formula>"BAL"</formula>
    </cfRule>
    <cfRule type="cellIs" dxfId="9195" priority="359" operator="equal">
      <formula>"PHI"</formula>
    </cfRule>
    <cfRule type="cellIs" dxfId="9194" priority="360" operator="equal">
      <formula>"BUF"</formula>
    </cfRule>
  </conditionalFormatting>
  <conditionalFormatting pivot="1" sqref="X4:X27">
    <cfRule type="colorScale" priority="328">
      <colorScale>
        <cfvo type="min"/>
        <cfvo type="max"/>
        <color rgb="FFFCFCFF"/>
        <color rgb="FFF8696B"/>
      </colorScale>
    </cfRule>
  </conditionalFormatting>
  <conditionalFormatting sqref="L4:L65">
    <cfRule type="cellIs" dxfId="9193" priority="2" operator="equal">
      <formula>"No"</formula>
    </cfRule>
    <cfRule type="cellIs" dxfId="9192" priority="3" operator="equal">
      <formula>"Yes"</formula>
    </cfRule>
  </conditionalFormatting>
  <conditionalFormatting sqref="N4:N65">
    <cfRule type="duplicateValues" dxfId="9191" priority="1"/>
  </conditionalFormatting>
  <pageMargins left="0.25" right="0.25" top="0.75" bottom="0.75" header="0.3" footer="0.3"/>
  <pageSetup paperSize="3" scale="66" orientation="landscape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E599-63B4-44AB-9948-7FFE12983DD3}">
  <dimension ref="B2:J138"/>
  <sheetViews>
    <sheetView zoomScale="130" zoomScaleNormal="130" workbookViewId="0">
      <selection activeCell="G10" sqref="G10"/>
    </sheetView>
  </sheetViews>
  <sheetFormatPr defaultRowHeight="14.5" x14ac:dyDescent="0.35"/>
  <cols>
    <col min="2" max="2" width="9.26953125" bestFit="1" customWidth="1"/>
    <col min="3" max="3" width="11.453125" bestFit="1" customWidth="1"/>
    <col min="4" max="4" width="19.6328125" bestFit="1" customWidth="1"/>
    <col min="5" max="5" width="19.90625" bestFit="1" customWidth="1"/>
    <col min="6" max="6" width="23.08984375" bestFit="1" customWidth="1"/>
    <col min="7" max="7" width="19.7265625" bestFit="1" customWidth="1"/>
    <col min="8" max="8" width="27.1796875" bestFit="1" customWidth="1"/>
    <col min="9" max="9" width="16.6328125" bestFit="1" customWidth="1"/>
    <col min="10" max="10" width="18.453125" bestFit="1" customWidth="1"/>
  </cols>
  <sheetData>
    <row r="2" spans="2:10" ht="15" thickBot="1" x14ac:dyDescent="0.4">
      <c r="B2" s="186" t="s">
        <v>1466</v>
      </c>
      <c r="C2" s="186" t="s">
        <v>1465</v>
      </c>
      <c r="D2" s="186" t="s">
        <v>1471</v>
      </c>
      <c r="E2" s="186" t="s">
        <v>1472</v>
      </c>
      <c r="F2" s="186" t="s">
        <v>1473</v>
      </c>
      <c r="G2" s="186" t="s">
        <v>1474</v>
      </c>
      <c r="H2" s="186" t="s">
        <v>1475</v>
      </c>
      <c r="I2" s="186" t="s">
        <v>1476</v>
      </c>
      <c r="J2" s="186" t="s">
        <v>1477</v>
      </c>
    </row>
    <row r="3" spans="2:10" x14ac:dyDescent="0.35">
      <c r="B3" s="187">
        <v>2028</v>
      </c>
      <c r="C3" s="188">
        <v>2027</v>
      </c>
      <c r="D3" s="189"/>
      <c r="E3" s="189"/>
      <c r="F3" s="189"/>
      <c r="G3" s="188" t="s">
        <v>707</v>
      </c>
      <c r="H3" s="189" t="s">
        <v>1389</v>
      </c>
      <c r="I3" s="189" t="s">
        <v>1407</v>
      </c>
      <c r="J3" s="189"/>
    </row>
    <row r="4" spans="2:10" x14ac:dyDescent="0.35">
      <c r="B4" s="187">
        <v>2027</v>
      </c>
      <c r="C4" s="188">
        <v>2026</v>
      </c>
      <c r="D4" s="188"/>
      <c r="E4" s="188"/>
      <c r="F4" s="188"/>
      <c r="G4" s="188" t="s">
        <v>1581</v>
      </c>
      <c r="H4" s="188" t="s">
        <v>1394</v>
      </c>
      <c r="I4" s="188" t="s">
        <v>1406</v>
      </c>
      <c r="J4" s="188"/>
    </row>
    <row r="5" spans="2:10" x14ac:dyDescent="0.35">
      <c r="B5" s="187">
        <v>2026</v>
      </c>
      <c r="C5" s="188">
        <v>2025</v>
      </c>
      <c r="D5" s="188"/>
      <c r="E5" s="188"/>
      <c r="F5" s="188"/>
      <c r="G5" s="188" t="s">
        <v>1348</v>
      </c>
      <c r="H5" s="188" t="s">
        <v>1379</v>
      </c>
      <c r="I5" s="188" t="s">
        <v>1405</v>
      </c>
      <c r="J5" s="188"/>
    </row>
    <row r="6" spans="2:10" x14ac:dyDescent="0.35">
      <c r="B6" s="190">
        <v>2025</v>
      </c>
      <c r="C6" s="73">
        <v>2024</v>
      </c>
      <c r="D6" s="73" t="s">
        <v>1478</v>
      </c>
      <c r="E6" s="73" t="s">
        <v>1479</v>
      </c>
      <c r="F6" s="73" t="s">
        <v>1480</v>
      </c>
      <c r="G6" s="73" t="s">
        <v>1265</v>
      </c>
      <c r="H6" s="73" t="s">
        <v>1432</v>
      </c>
      <c r="I6" s="73" t="s">
        <v>1433</v>
      </c>
      <c r="J6" s="73" t="s">
        <v>1213</v>
      </c>
    </row>
    <row r="7" spans="2:10" x14ac:dyDescent="0.35">
      <c r="B7" s="190">
        <v>2024</v>
      </c>
      <c r="C7" s="73">
        <v>2023</v>
      </c>
      <c r="D7" s="73" t="s">
        <v>1478</v>
      </c>
      <c r="E7" s="73" t="s">
        <v>1481</v>
      </c>
      <c r="F7" s="73" t="s">
        <v>1480</v>
      </c>
      <c r="G7" s="73" t="s">
        <v>1213</v>
      </c>
      <c r="H7" s="73" t="s">
        <v>1398</v>
      </c>
      <c r="I7" s="73" t="s">
        <v>1456</v>
      </c>
      <c r="J7" s="73" t="s">
        <v>1268</v>
      </c>
    </row>
    <row r="8" spans="2:10" x14ac:dyDescent="0.35">
      <c r="B8" s="190">
        <v>2023</v>
      </c>
      <c r="C8" s="73">
        <v>2022</v>
      </c>
      <c r="D8" s="73" t="s">
        <v>1482</v>
      </c>
      <c r="E8" s="73" t="s">
        <v>1483</v>
      </c>
      <c r="F8" s="73" t="s">
        <v>1484</v>
      </c>
      <c r="G8" s="73" t="s">
        <v>1213</v>
      </c>
      <c r="H8" s="73" t="s">
        <v>1424</v>
      </c>
      <c r="I8" s="73" t="s">
        <v>1455</v>
      </c>
      <c r="J8" s="73" t="s">
        <v>1265</v>
      </c>
    </row>
    <row r="9" spans="2:10" x14ac:dyDescent="0.35">
      <c r="B9" s="190">
        <v>2022</v>
      </c>
      <c r="C9" s="73">
        <v>2021</v>
      </c>
      <c r="D9" s="73" t="s">
        <v>1485</v>
      </c>
      <c r="E9" s="191" t="s">
        <v>1486</v>
      </c>
      <c r="F9" s="73" t="s">
        <v>1487</v>
      </c>
      <c r="G9" s="191" t="s">
        <v>1262</v>
      </c>
      <c r="H9" s="191" t="s">
        <v>1394</v>
      </c>
      <c r="I9" s="191" t="s">
        <v>1447</v>
      </c>
      <c r="J9" s="73" t="s">
        <v>1269</v>
      </c>
    </row>
    <row r="10" spans="2:10" x14ac:dyDescent="0.35">
      <c r="B10" s="190">
        <v>2021</v>
      </c>
      <c r="C10" s="73">
        <v>2020</v>
      </c>
      <c r="D10" s="73" t="s">
        <v>1488</v>
      </c>
      <c r="E10" s="73" t="s">
        <v>1489</v>
      </c>
      <c r="F10" s="191" t="s">
        <v>1490</v>
      </c>
      <c r="G10" s="191" t="s">
        <v>1338</v>
      </c>
      <c r="H10" s="191" t="s">
        <v>1333</v>
      </c>
      <c r="I10" s="191" t="s">
        <v>1442</v>
      </c>
      <c r="J10" s="73" t="s">
        <v>1213</v>
      </c>
    </row>
    <row r="11" spans="2:10" x14ac:dyDescent="0.35">
      <c r="B11" s="190">
        <v>2020</v>
      </c>
      <c r="C11" s="73">
        <v>2019</v>
      </c>
      <c r="D11" s="191" t="s">
        <v>1478</v>
      </c>
      <c r="E11" s="191" t="s">
        <v>1491</v>
      </c>
      <c r="F11" s="73" t="s">
        <v>1490</v>
      </c>
      <c r="G11" s="73" t="s">
        <v>1213</v>
      </c>
      <c r="H11" s="73" t="s">
        <v>1431</v>
      </c>
      <c r="I11" s="73" t="s">
        <v>1440</v>
      </c>
      <c r="J11" s="73" t="s">
        <v>1268</v>
      </c>
    </row>
    <row r="12" spans="2:10" x14ac:dyDescent="0.35">
      <c r="B12" s="190">
        <v>2019</v>
      </c>
      <c r="C12" s="73">
        <v>2018</v>
      </c>
      <c r="D12" s="73" t="s">
        <v>1492</v>
      </c>
      <c r="E12" s="192" t="s">
        <v>1493</v>
      </c>
      <c r="F12" s="73" t="s">
        <v>1494</v>
      </c>
      <c r="G12" s="73" t="s">
        <v>1283</v>
      </c>
      <c r="H12" s="73" t="s">
        <v>1389</v>
      </c>
      <c r="I12" s="73" t="s">
        <v>1453</v>
      </c>
      <c r="J12" s="73" t="s">
        <v>1262</v>
      </c>
    </row>
    <row r="13" spans="2:10" x14ac:dyDescent="0.35">
      <c r="B13" s="190">
        <v>2018</v>
      </c>
      <c r="C13" s="73">
        <v>2017</v>
      </c>
      <c r="D13" s="73" t="s">
        <v>1495</v>
      </c>
      <c r="E13" s="73" t="s">
        <v>1486</v>
      </c>
      <c r="F13" s="73" t="s">
        <v>1496</v>
      </c>
      <c r="G13" s="73" t="s">
        <v>1265</v>
      </c>
      <c r="H13" s="73" t="s">
        <v>1385</v>
      </c>
      <c r="I13" s="73" t="s">
        <v>1463</v>
      </c>
      <c r="J13" s="73" t="s">
        <v>1283</v>
      </c>
    </row>
    <row r="14" spans="2:10" x14ac:dyDescent="0.35">
      <c r="B14" s="190">
        <v>2017</v>
      </c>
      <c r="C14" s="73">
        <v>2016</v>
      </c>
      <c r="D14" s="191" t="s">
        <v>1485</v>
      </c>
      <c r="E14" s="73" t="s">
        <v>1486</v>
      </c>
      <c r="F14" s="73" t="s">
        <v>1497</v>
      </c>
      <c r="G14" s="73" t="s">
        <v>1283</v>
      </c>
      <c r="H14" s="73" t="s">
        <v>1423</v>
      </c>
      <c r="I14" s="191" t="s">
        <v>1462</v>
      </c>
      <c r="J14" s="73" t="s">
        <v>1324</v>
      </c>
    </row>
    <row r="15" spans="2:10" x14ac:dyDescent="0.35">
      <c r="B15" s="190">
        <v>2016</v>
      </c>
      <c r="C15" s="73">
        <v>2015</v>
      </c>
      <c r="D15" s="73" t="s">
        <v>1498</v>
      </c>
      <c r="E15" s="73" t="s">
        <v>1499</v>
      </c>
      <c r="F15" s="73" t="s">
        <v>1497</v>
      </c>
      <c r="G15" s="73" t="s">
        <v>1255</v>
      </c>
      <c r="H15" s="73" t="s">
        <v>1379</v>
      </c>
      <c r="I15" s="73" t="s">
        <v>1445</v>
      </c>
      <c r="J15" s="73" t="s">
        <v>1342</v>
      </c>
    </row>
    <row r="16" spans="2:10" x14ac:dyDescent="0.35">
      <c r="B16" s="190">
        <v>2015</v>
      </c>
      <c r="C16" s="73">
        <v>2014</v>
      </c>
      <c r="D16" s="73" t="s">
        <v>1500</v>
      </c>
      <c r="E16" s="73" t="s">
        <v>1486</v>
      </c>
      <c r="F16" s="73" t="s">
        <v>1501</v>
      </c>
      <c r="G16" s="73" t="s">
        <v>1283</v>
      </c>
      <c r="H16" s="73" t="s">
        <v>1426</v>
      </c>
      <c r="I16" s="73" t="s">
        <v>1455</v>
      </c>
      <c r="J16" s="73" t="s">
        <v>1348</v>
      </c>
    </row>
    <row r="17" spans="2:10" x14ac:dyDescent="0.35">
      <c r="B17" s="190">
        <v>2014</v>
      </c>
      <c r="C17" s="73">
        <v>2013</v>
      </c>
      <c r="D17" s="191" t="s">
        <v>1502</v>
      </c>
      <c r="E17" s="73" t="s">
        <v>1503</v>
      </c>
      <c r="F17" s="191" t="s">
        <v>1504</v>
      </c>
      <c r="G17" s="73" t="s">
        <v>1348</v>
      </c>
      <c r="H17" s="73" t="s">
        <v>1375</v>
      </c>
      <c r="I17" s="73" t="s">
        <v>1459</v>
      </c>
      <c r="J17" s="73" t="s">
        <v>1255</v>
      </c>
    </row>
    <row r="18" spans="2:10" x14ac:dyDescent="0.35">
      <c r="B18" s="190">
        <v>2013</v>
      </c>
      <c r="C18" s="73">
        <v>2012</v>
      </c>
      <c r="D18" s="73" t="s">
        <v>1495</v>
      </c>
      <c r="E18" s="73" t="s">
        <v>1505</v>
      </c>
      <c r="F18" s="73" t="s">
        <v>1501</v>
      </c>
      <c r="G18" s="73" t="s">
        <v>1332</v>
      </c>
      <c r="H18" s="73" t="s">
        <v>1408</v>
      </c>
      <c r="I18" s="73" t="s">
        <v>1433</v>
      </c>
      <c r="J18" s="73" t="s">
        <v>1268</v>
      </c>
    </row>
    <row r="19" spans="2:10" x14ac:dyDescent="0.35">
      <c r="B19" s="190">
        <v>2012</v>
      </c>
      <c r="C19" s="73">
        <v>2011</v>
      </c>
      <c r="D19" s="191" t="s">
        <v>1502</v>
      </c>
      <c r="E19" s="73" t="s">
        <v>1505</v>
      </c>
      <c r="F19" s="191" t="s">
        <v>1504</v>
      </c>
      <c r="G19" s="73" t="s">
        <v>1288</v>
      </c>
      <c r="H19" s="73" t="s">
        <v>1370</v>
      </c>
      <c r="I19" s="73" t="s">
        <v>1506</v>
      </c>
      <c r="J19" s="73" t="s">
        <v>1283</v>
      </c>
    </row>
    <row r="20" spans="2:10" x14ac:dyDescent="0.35">
      <c r="B20" s="190">
        <v>2011</v>
      </c>
      <c r="C20" s="73">
        <v>2010</v>
      </c>
      <c r="D20" s="73" t="s">
        <v>1507</v>
      </c>
      <c r="E20" s="73" t="s">
        <v>1508</v>
      </c>
      <c r="F20" s="73" t="s">
        <v>1509</v>
      </c>
      <c r="G20" s="73" t="s">
        <v>1212</v>
      </c>
      <c r="H20" s="73" t="s">
        <v>1367</v>
      </c>
      <c r="I20" s="73" t="s">
        <v>1460</v>
      </c>
      <c r="J20" s="73" t="s">
        <v>1247</v>
      </c>
    </row>
    <row r="21" spans="2:10" x14ac:dyDescent="0.35">
      <c r="B21" s="190">
        <v>2010</v>
      </c>
      <c r="C21" s="73">
        <v>2009</v>
      </c>
      <c r="D21" s="191" t="s">
        <v>1502</v>
      </c>
      <c r="E21" s="191" t="s">
        <v>1491</v>
      </c>
      <c r="F21" s="73" t="s">
        <v>1501</v>
      </c>
      <c r="G21" s="73" t="s">
        <v>1363</v>
      </c>
      <c r="H21" s="73" t="s">
        <v>1427</v>
      </c>
      <c r="I21" s="73" t="s">
        <v>1440</v>
      </c>
      <c r="J21" s="73" t="s">
        <v>1353</v>
      </c>
    </row>
    <row r="22" spans="2:10" x14ac:dyDescent="0.35">
      <c r="B22" s="190">
        <v>2009</v>
      </c>
      <c r="C22" s="73">
        <v>2008</v>
      </c>
      <c r="D22" s="73" t="s">
        <v>1510</v>
      </c>
      <c r="E22" s="73" t="s">
        <v>1491</v>
      </c>
      <c r="F22" s="191" t="s">
        <v>1497</v>
      </c>
      <c r="G22" s="191" t="s">
        <v>1247</v>
      </c>
      <c r="H22" s="73" t="s">
        <v>1414</v>
      </c>
      <c r="I22" s="73" t="s">
        <v>1442</v>
      </c>
      <c r="J22" s="73" t="s">
        <v>1360</v>
      </c>
    </row>
    <row r="23" spans="2:10" x14ac:dyDescent="0.35">
      <c r="B23" s="190">
        <v>2008</v>
      </c>
      <c r="C23" s="73">
        <v>2007</v>
      </c>
      <c r="D23" s="73" t="s">
        <v>1511</v>
      </c>
      <c r="E23" s="73" t="s">
        <v>1481</v>
      </c>
      <c r="F23" s="73" t="s">
        <v>1512</v>
      </c>
      <c r="G23" s="73" t="s">
        <v>1288</v>
      </c>
      <c r="H23" s="73" t="s">
        <v>1429</v>
      </c>
      <c r="I23" s="73" t="s">
        <v>1455</v>
      </c>
      <c r="J23" s="73" t="s">
        <v>1283</v>
      </c>
    </row>
    <row r="24" spans="2:10" x14ac:dyDescent="0.35">
      <c r="B24" s="190">
        <v>2007</v>
      </c>
      <c r="C24" s="73">
        <v>2006</v>
      </c>
      <c r="D24" s="73" t="s">
        <v>1495</v>
      </c>
      <c r="E24" s="73" t="s">
        <v>1503</v>
      </c>
      <c r="F24" s="73" t="s">
        <v>1513</v>
      </c>
      <c r="G24" s="73" t="s">
        <v>1353</v>
      </c>
      <c r="H24" s="73" t="s">
        <v>1420</v>
      </c>
      <c r="I24" s="73" t="s">
        <v>1440</v>
      </c>
      <c r="J24" s="73" t="s">
        <v>1282</v>
      </c>
    </row>
    <row r="25" spans="2:10" x14ac:dyDescent="0.35">
      <c r="B25" s="190">
        <v>2006</v>
      </c>
      <c r="C25" s="73">
        <v>2005</v>
      </c>
      <c r="D25" s="73" t="s">
        <v>1507</v>
      </c>
      <c r="E25" s="73" t="s">
        <v>1505</v>
      </c>
      <c r="F25" s="73" t="s">
        <v>1514</v>
      </c>
      <c r="G25" s="73" t="s">
        <v>1247</v>
      </c>
      <c r="H25" s="73" t="s">
        <v>1349</v>
      </c>
      <c r="I25" s="73" t="s">
        <v>1457</v>
      </c>
      <c r="J25" s="73" t="s">
        <v>1348</v>
      </c>
    </row>
    <row r="26" spans="2:10" x14ac:dyDescent="0.35">
      <c r="B26" s="190">
        <v>2005</v>
      </c>
      <c r="C26" s="73">
        <v>2004</v>
      </c>
      <c r="D26" s="73" t="s">
        <v>1515</v>
      </c>
      <c r="E26" s="73" t="s">
        <v>1503</v>
      </c>
      <c r="F26" s="73" t="s">
        <v>1198</v>
      </c>
      <c r="G26" s="73" t="s">
        <v>1283</v>
      </c>
      <c r="H26" s="73" t="s">
        <v>1344</v>
      </c>
      <c r="I26" s="73" t="s">
        <v>1441</v>
      </c>
      <c r="J26" s="73" t="s">
        <v>1265</v>
      </c>
    </row>
    <row r="27" spans="2:10" x14ac:dyDescent="0.35">
      <c r="B27" s="190">
        <v>2004</v>
      </c>
      <c r="C27" s="73">
        <v>2003</v>
      </c>
      <c r="D27" s="73" t="s">
        <v>1495</v>
      </c>
      <c r="E27" s="73" t="s">
        <v>1516</v>
      </c>
      <c r="F27" s="73" t="s">
        <v>1490</v>
      </c>
      <c r="G27" s="73" t="s">
        <v>1283</v>
      </c>
      <c r="H27" s="73" t="s">
        <v>1422</v>
      </c>
      <c r="I27" s="73" t="s">
        <v>1462</v>
      </c>
      <c r="J27" s="73" t="s">
        <v>1342</v>
      </c>
    </row>
    <row r="28" spans="2:10" x14ac:dyDescent="0.35">
      <c r="B28" s="190">
        <v>2003</v>
      </c>
      <c r="C28" s="73">
        <v>2002</v>
      </c>
      <c r="D28" s="191" t="s">
        <v>1517</v>
      </c>
      <c r="E28" s="73" t="s">
        <v>1503</v>
      </c>
      <c r="F28" s="73" t="s">
        <v>1518</v>
      </c>
      <c r="G28" s="191" t="s">
        <v>1338</v>
      </c>
      <c r="H28" s="73" t="s">
        <v>1419</v>
      </c>
      <c r="I28" s="73" t="s">
        <v>1444</v>
      </c>
      <c r="J28" s="73" t="s">
        <v>1218</v>
      </c>
    </row>
    <row r="29" spans="2:10" x14ac:dyDescent="0.35">
      <c r="B29" s="190">
        <v>2002</v>
      </c>
      <c r="C29" s="73">
        <v>2001</v>
      </c>
      <c r="D29" s="191" t="s">
        <v>1519</v>
      </c>
      <c r="E29" s="191" t="s">
        <v>1491</v>
      </c>
      <c r="F29" s="73" t="s">
        <v>1512</v>
      </c>
      <c r="G29" s="73" t="s">
        <v>1283</v>
      </c>
      <c r="H29" s="73" t="s">
        <v>1435</v>
      </c>
      <c r="I29" s="73" t="s">
        <v>1433</v>
      </c>
      <c r="J29" s="73" t="s">
        <v>1328</v>
      </c>
    </row>
    <row r="30" spans="2:10" x14ac:dyDescent="0.35">
      <c r="B30" s="190">
        <v>2001</v>
      </c>
      <c r="C30" s="73">
        <v>2000</v>
      </c>
      <c r="D30" s="73" t="s">
        <v>1520</v>
      </c>
      <c r="E30" s="73" t="s">
        <v>1491</v>
      </c>
      <c r="F30" s="73" t="s">
        <v>1487</v>
      </c>
      <c r="G30" s="73" t="s">
        <v>1332</v>
      </c>
      <c r="H30" s="73" t="s">
        <v>1333</v>
      </c>
      <c r="I30" s="73" t="s">
        <v>1437</v>
      </c>
      <c r="J30" s="73" t="s">
        <v>1288</v>
      </c>
    </row>
    <row r="31" spans="2:10" x14ac:dyDescent="0.35">
      <c r="B31" s="190">
        <v>2000</v>
      </c>
      <c r="C31" s="73">
        <v>1999</v>
      </c>
      <c r="D31" s="73" t="s">
        <v>1510</v>
      </c>
      <c r="E31" s="73" t="s">
        <v>1491</v>
      </c>
      <c r="F31" s="73" t="s">
        <v>1518</v>
      </c>
      <c r="G31" s="73" t="s">
        <v>1328</v>
      </c>
      <c r="H31" s="73" t="s">
        <v>1452</v>
      </c>
      <c r="I31" s="73" t="s">
        <v>1453</v>
      </c>
      <c r="J31" s="73" t="s">
        <v>1329</v>
      </c>
    </row>
    <row r="32" spans="2:10" x14ac:dyDescent="0.35">
      <c r="B32" s="190">
        <v>1999</v>
      </c>
      <c r="C32" s="73">
        <v>1998</v>
      </c>
      <c r="D32" s="73" t="s">
        <v>1510</v>
      </c>
      <c r="E32" s="73" t="s">
        <v>1503</v>
      </c>
      <c r="F32" s="73" t="s">
        <v>1521</v>
      </c>
      <c r="G32" s="73" t="s">
        <v>1255</v>
      </c>
      <c r="H32" s="73" t="s">
        <v>1417</v>
      </c>
      <c r="I32" s="73" t="s">
        <v>1438</v>
      </c>
      <c r="J32" s="73" t="s">
        <v>1324</v>
      </c>
    </row>
    <row r="33" spans="2:10" x14ac:dyDescent="0.35">
      <c r="B33" s="190">
        <v>1998</v>
      </c>
      <c r="C33" s="73">
        <v>1997</v>
      </c>
      <c r="D33" s="73" t="s">
        <v>1510</v>
      </c>
      <c r="E33" s="73" t="s">
        <v>1522</v>
      </c>
      <c r="F33" s="73" t="s">
        <v>1512</v>
      </c>
      <c r="G33" s="73" t="s">
        <v>1255</v>
      </c>
      <c r="H33" s="73" t="s">
        <v>1410</v>
      </c>
      <c r="I33" s="73" t="s">
        <v>1444</v>
      </c>
      <c r="J33" s="73" t="s">
        <v>1212</v>
      </c>
    </row>
    <row r="34" spans="2:10" x14ac:dyDescent="0.35">
      <c r="B34" s="190">
        <v>1997</v>
      </c>
      <c r="C34" s="73">
        <v>1996</v>
      </c>
      <c r="D34" s="73" t="s">
        <v>1517</v>
      </c>
      <c r="E34" s="73" t="s">
        <v>1522</v>
      </c>
      <c r="F34" s="73" t="s">
        <v>1512</v>
      </c>
      <c r="G34" s="73" t="s">
        <v>1212</v>
      </c>
      <c r="H34" s="73" t="s">
        <v>1435</v>
      </c>
      <c r="I34" s="73" t="s">
        <v>1433</v>
      </c>
      <c r="J34" s="73" t="s">
        <v>1283</v>
      </c>
    </row>
    <row r="35" spans="2:10" x14ac:dyDescent="0.35">
      <c r="B35" s="190">
        <v>1996</v>
      </c>
      <c r="C35" s="73">
        <v>1995</v>
      </c>
      <c r="D35" s="73" t="s">
        <v>1510</v>
      </c>
      <c r="E35" s="73" t="s">
        <v>1522</v>
      </c>
      <c r="F35" s="73" t="s">
        <v>1487</v>
      </c>
      <c r="G35" s="73" t="s">
        <v>1232</v>
      </c>
      <c r="H35" s="73" t="s">
        <v>1313</v>
      </c>
      <c r="I35" s="73" t="s">
        <v>1454</v>
      </c>
      <c r="J35" s="73" t="s">
        <v>1247</v>
      </c>
    </row>
    <row r="36" spans="2:10" x14ac:dyDescent="0.35">
      <c r="B36" s="190">
        <v>1995</v>
      </c>
      <c r="C36" s="73">
        <v>1994</v>
      </c>
      <c r="D36" s="73" t="s">
        <v>1488</v>
      </c>
      <c r="E36" s="73" t="s">
        <v>1523</v>
      </c>
      <c r="F36" s="73" t="s">
        <v>1518</v>
      </c>
      <c r="G36" s="73" t="s">
        <v>1268</v>
      </c>
      <c r="H36" s="73" t="s">
        <v>1416</v>
      </c>
      <c r="I36" s="73" t="s">
        <v>1438</v>
      </c>
      <c r="J36" s="73" t="s">
        <v>1310</v>
      </c>
    </row>
    <row r="37" spans="2:10" x14ac:dyDescent="0.35">
      <c r="B37" s="190">
        <v>1994</v>
      </c>
      <c r="C37" s="73">
        <v>1993</v>
      </c>
      <c r="D37" s="192" t="s">
        <v>1524</v>
      </c>
      <c r="E37" s="191" t="s">
        <v>1523</v>
      </c>
      <c r="F37" s="73" t="s">
        <v>1525</v>
      </c>
      <c r="G37" s="191" t="s">
        <v>1232</v>
      </c>
      <c r="H37" s="73" t="s">
        <v>1451</v>
      </c>
      <c r="I37" s="73" t="s">
        <v>1407</v>
      </c>
      <c r="J37" s="73" t="s">
        <v>1299</v>
      </c>
    </row>
    <row r="38" spans="2:10" x14ac:dyDescent="0.35">
      <c r="B38" s="190">
        <v>1993</v>
      </c>
      <c r="C38" s="73">
        <v>1992</v>
      </c>
      <c r="D38" s="192" t="s">
        <v>1524</v>
      </c>
      <c r="E38" s="73" t="s">
        <v>1522</v>
      </c>
      <c r="F38" s="192" t="s">
        <v>1526</v>
      </c>
      <c r="G38" s="73" t="s">
        <v>1232</v>
      </c>
      <c r="H38" s="73" t="s">
        <v>1409</v>
      </c>
      <c r="I38" s="73" t="s">
        <v>1443</v>
      </c>
      <c r="J38" s="73" t="s">
        <v>1299</v>
      </c>
    </row>
    <row r="39" spans="2:10" x14ac:dyDescent="0.35">
      <c r="B39" s="190">
        <v>1992</v>
      </c>
      <c r="C39" s="73">
        <v>1991</v>
      </c>
      <c r="D39" s="73" t="s">
        <v>1527</v>
      </c>
      <c r="E39" s="73" t="s">
        <v>1522</v>
      </c>
      <c r="F39" s="73" t="s">
        <v>1497</v>
      </c>
      <c r="G39" s="73" t="s">
        <v>1240</v>
      </c>
      <c r="H39" s="73" t="s">
        <v>1302</v>
      </c>
      <c r="I39" s="73" t="s">
        <v>1464</v>
      </c>
      <c r="J39" s="73" t="s">
        <v>1299</v>
      </c>
    </row>
    <row r="40" spans="2:10" x14ac:dyDescent="0.35">
      <c r="B40" s="190">
        <v>1991</v>
      </c>
      <c r="C40" s="73">
        <v>1990</v>
      </c>
      <c r="D40" s="73" t="s">
        <v>1528</v>
      </c>
      <c r="E40" s="73" t="s">
        <v>1522</v>
      </c>
      <c r="F40" s="73" t="s">
        <v>1497</v>
      </c>
      <c r="G40" s="73" t="s">
        <v>1288</v>
      </c>
      <c r="H40" s="73" t="s">
        <v>1412</v>
      </c>
      <c r="I40" s="73" t="s">
        <v>1442</v>
      </c>
      <c r="J40" s="73" t="s">
        <v>1299</v>
      </c>
    </row>
    <row r="41" spans="2:10" x14ac:dyDescent="0.35">
      <c r="B41" s="190">
        <v>1990</v>
      </c>
      <c r="C41" s="73">
        <v>1989</v>
      </c>
      <c r="D41" s="191" t="s">
        <v>1529</v>
      </c>
      <c r="E41" s="73" t="s">
        <v>1516</v>
      </c>
      <c r="F41" s="192" t="s">
        <v>1530</v>
      </c>
      <c r="G41" s="191" t="s">
        <v>1268</v>
      </c>
      <c r="H41" s="73" t="s">
        <v>1435</v>
      </c>
      <c r="I41" s="73" t="s">
        <v>1433</v>
      </c>
      <c r="J41" s="73" t="s">
        <v>1255</v>
      </c>
    </row>
    <row r="42" spans="2:10" x14ac:dyDescent="0.35">
      <c r="B42" s="190">
        <v>1989</v>
      </c>
      <c r="C42" s="73">
        <v>1988</v>
      </c>
      <c r="D42" s="191" t="s">
        <v>1478</v>
      </c>
      <c r="E42" s="73" t="s">
        <v>1516</v>
      </c>
      <c r="F42" s="73" t="s">
        <v>1531</v>
      </c>
      <c r="G42" s="191" t="s">
        <v>1268</v>
      </c>
      <c r="H42" s="73" t="s">
        <v>1415</v>
      </c>
      <c r="I42" s="73" t="s">
        <v>1438</v>
      </c>
      <c r="J42" s="73" t="s">
        <v>1269</v>
      </c>
    </row>
    <row r="43" spans="2:10" x14ac:dyDescent="0.35">
      <c r="B43" s="190">
        <v>1988</v>
      </c>
      <c r="C43" s="73">
        <v>1987</v>
      </c>
      <c r="D43" s="73" t="s">
        <v>1527</v>
      </c>
      <c r="E43" s="73" t="s">
        <v>1491</v>
      </c>
      <c r="F43" s="192" t="s">
        <v>1530</v>
      </c>
      <c r="G43" s="73" t="s">
        <v>1240</v>
      </c>
      <c r="H43" s="73" t="s">
        <v>1404</v>
      </c>
      <c r="I43" s="73" t="s">
        <v>1450</v>
      </c>
      <c r="J43" s="73" t="s">
        <v>1255</v>
      </c>
    </row>
    <row r="44" spans="2:10" x14ac:dyDescent="0.35">
      <c r="B44" s="190">
        <v>1987</v>
      </c>
      <c r="C44" s="73">
        <v>1986</v>
      </c>
      <c r="D44" s="191" t="s">
        <v>1532</v>
      </c>
      <c r="E44" s="73" t="s">
        <v>1491</v>
      </c>
      <c r="F44" s="192" t="s">
        <v>1530</v>
      </c>
      <c r="G44" s="191" t="s">
        <v>1288</v>
      </c>
      <c r="H44" s="73" t="s">
        <v>1428</v>
      </c>
      <c r="I44" s="73" t="s">
        <v>1443</v>
      </c>
      <c r="J44" s="73" t="s">
        <v>1255</v>
      </c>
    </row>
    <row r="45" spans="2:10" x14ac:dyDescent="0.35">
      <c r="B45" s="190">
        <v>1986</v>
      </c>
      <c r="C45" s="73">
        <v>1985</v>
      </c>
      <c r="D45" s="73" t="s">
        <v>1500</v>
      </c>
      <c r="E45" s="73" t="s">
        <v>1481</v>
      </c>
      <c r="F45" s="192" t="s">
        <v>1526</v>
      </c>
      <c r="G45" s="73" t="s">
        <v>1282</v>
      </c>
      <c r="H45" s="73" t="s">
        <v>1434</v>
      </c>
      <c r="I45" s="73" t="s">
        <v>1433</v>
      </c>
      <c r="J45" s="73" t="s">
        <v>1283</v>
      </c>
    </row>
    <row r="46" spans="2:10" x14ac:dyDescent="0.35">
      <c r="B46" s="190">
        <v>1985</v>
      </c>
      <c r="C46" s="73">
        <v>1984</v>
      </c>
      <c r="D46" s="73" t="s">
        <v>1533</v>
      </c>
      <c r="E46" s="191" t="s">
        <v>1491</v>
      </c>
      <c r="F46" s="192" t="s">
        <v>1530</v>
      </c>
      <c r="G46" s="191" t="s">
        <v>1268</v>
      </c>
      <c r="H46" s="191" t="s">
        <v>1430</v>
      </c>
      <c r="I46" s="191" t="s">
        <v>1449</v>
      </c>
      <c r="J46" s="73" t="s">
        <v>1236</v>
      </c>
    </row>
    <row r="47" spans="2:10" x14ac:dyDescent="0.35">
      <c r="B47" s="190">
        <v>1984</v>
      </c>
      <c r="C47" s="73">
        <v>1983</v>
      </c>
      <c r="D47" s="73" t="s">
        <v>1534</v>
      </c>
      <c r="E47" s="73" t="s">
        <v>1481</v>
      </c>
      <c r="F47" s="192" t="s">
        <v>1530</v>
      </c>
      <c r="G47" s="73" t="s">
        <v>1276</v>
      </c>
      <c r="H47" s="73" t="s">
        <v>1277</v>
      </c>
      <c r="I47" s="73" t="s">
        <v>1437</v>
      </c>
      <c r="J47" s="73" t="s">
        <v>1240</v>
      </c>
    </row>
    <row r="48" spans="2:10" x14ac:dyDescent="0.35">
      <c r="B48" s="190">
        <v>1983</v>
      </c>
      <c r="C48" s="73">
        <v>1982</v>
      </c>
      <c r="D48" s="73" t="s">
        <v>1507</v>
      </c>
      <c r="E48" s="73" t="s">
        <v>1535</v>
      </c>
      <c r="F48" s="73" t="s">
        <v>1536</v>
      </c>
      <c r="G48" s="73" t="s">
        <v>1240</v>
      </c>
      <c r="H48" s="73" t="s">
        <v>1428</v>
      </c>
      <c r="I48" s="73" t="s">
        <v>1443</v>
      </c>
      <c r="J48" s="73" t="s">
        <v>1236</v>
      </c>
    </row>
    <row r="49" spans="2:10" x14ac:dyDescent="0.35">
      <c r="B49" s="190">
        <v>1982</v>
      </c>
      <c r="C49" s="73">
        <v>1981</v>
      </c>
      <c r="D49" s="191" t="s">
        <v>1478</v>
      </c>
      <c r="E49" s="191" t="s">
        <v>1491</v>
      </c>
      <c r="F49" s="73" t="s">
        <v>1536</v>
      </c>
      <c r="G49" s="191" t="s">
        <v>1268</v>
      </c>
      <c r="H49" s="73" t="s">
        <v>1270</v>
      </c>
      <c r="I49" s="73" t="s">
        <v>1458</v>
      </c>
      <c r="J49" s="73" t="s">
        <v>1269</v>
      </c>
    </row>
    <row r="50" spans="2:10" x14ac:dyDescent="0.35">
      <c r="B50" s="190">
        <v>1981</v>
      </c>
      <c r="C50" s="73">
        <v>1980</v>
      </c>
      <c r="D50" s="73" t="s">
        <v>1511</v>
      </c>
      <c r="E50" s="73" t="s">
        <v>1481</v>
      </c>
      <c r="F50" s="73" t="s">
        <v>1536</v>
      </c>
      <c r="G50" s="73" t="s">
        <v>1218</v>
      </c>
      <c r="H50" s="73" t="s">
        <v>1435</v>
      </c>
      <c r="I50" s="73" t="s">
        <v>1433</v>
      </c>
      <c r="J50" s="73" t="s">
        <v>1265</v>
      </c>
    </row>
    <row r="51" spans="2:10" x14ac:dyDescent="0.35">
      <c r="B51" s="190">
        <v>1980</v>
      </c>
      <c r="C51" s="73">
        <v>1979</v>
      </c>
      <c r="D51" s="191" t="s">
        <v>1537</v>
      </c>
      <c r="E51" s="73" t="s">
        <v>1491</v>
      </c>
      <c r="F51" s="73" t="s">
        <v>1536</v>
      </c>
      <c r="G51" s="191" t="s">
        <v>1247</v>
      </c>
      <c r="H51" s="73" t="s">
        <v>1428</v>
      </c>
      <c r="I51" s="191" t="s">
        <v>1443</v>
      </c>
      <c r="J51" s="191" t="s">
        <v>1262</v>
      </c>
    </row>
    <row r="52" spans="2:10" x14ac:dyDescent="0.35">
      <c r="B52" s="190">
        <v>1979</v>
      </c>
      <c r="C52" s="73">
        <v>1978</v>
      </c>
      <c r="D52" s="73" t="s">
        <v>1510</v>
      </c>
      <c r="E52" s="73" t="s">
        <v>1538</v>
      </c>
      <c r="F52" s="192" t="s">
        <v>1526</v>
      </c>
      <c r="G52" s="73" t="s">
        <v>1247</v>
      </c>
      <c r="H52" s="73" t="s">
        <v>1413</v>
      </c>
      <c r="I52" s="73" t="s">
        <v>1438</v>
      </c>
      <c r="J52" s="73" t="s">
        <v>1232</v>
      </c>
    </row>
    <row r="53" spans="2:10" x14ac:dyDescent="0.35">
      <c r="B53" s="190">
        <v>1978</v>
      </c>
      <c r="C53" s="73">
        <v>1977</v>
      </c>
      <c r="D53" s="73" t="s">
        <v>1510</v>
      </c>
      <c r="E53" s="73" t="s">
        <v>1539</v>
      </c>
      <c r="F53" s="192" t="s">
        <v>1526</v>
      </c>
      <c r="G53" s="73" t="s">
        <v>1232</v>
      </c>
      <c r="H53" s="73" t="s">
        <v>1434</v>
      </c>
      <c r="I53" s="73" t="s">
        <v>1433</v>
      </c>
      <c r="J53" s="73" t="s">
        <v>1255</v>
      </c>
    </row>
    <row r="54" spans="2:10" x14ac:dyDescent="0.35">
      <c r="B54" s="190">
        <v>1977</v>
      </c>
      <c r="C54" s="73">
        <v>1976</v>
      </c>
      <c r="D54" s="73" t="s">
        <v>1528</v>
      </c>
      <c r="E54" s="73" t="s">
        <v>1540</v>
      </c>
      <c r="F54" s="192" t="s">
        <v>1526</v>
      </c>
      <c r="G54" s="73" t="s">
        <v>1218</v>
      </c>
      <c r="H54" s="73" t="s">
        <v>1425</v>
      </c>
      <c r="I54" s="73" t="s">
        <v>1443</v>
      </c>
      <c r="J54" s="73" t="s">
        <v>1227</v>
      </c>
    </row>
    <row r="55" spans="2:10" x14ac:dyDescent="0.35">
      <c r="B55" s="190">
        <v>1976</v>
      </c>
      <c r="C55" s="73">
        <v>1975</v>
      </c>
      <c r="D55" s="73" t="s">
        <v>1528</v>
      </c>
      <c r="E55" s="73" t="s">
        <v>1481</v>
      </c>
      <c r="F55" s="192" t="s">
        <v>1526</v>
      </c>
      <c r="G55" s="73" t="s">
        <v>1247</v>
      </c>
      <c r="H55" s="73" t="s">
        <v>1413</v>
      </c>
      <c r="I55" s="73" t="s">
        <v>1438</v>
      </c>
      <c r="J55" s="73" t="s">
        <v>1232</v>
      </c>
    </row>
    <row r="56" spans="2:10" x14ac:dyDescent="0.35">
      <c r="B56" s="190">
        <v>1975</v>
      </c>
      <c r="C56" s="73">
        <v>1974</v>
      </c>
      <c r="D56" s="73" t="s">
        <v>1529</v>
      </c>
      <c r="E56" s="73" t="s">
        <v>1541</v>
      </c>
      <c r="F56" s="191" t="s">
        <v>1542</v>
      </c>
      <c r="G56" s="191" t="s">
        <v>1247</v>
      </c>
      <c r="H56" s="73" t="s">
        <v>1418</v>
      </c>
      <c r="I56" s="73" t="s">
        <v>1433</v>
      </c>
      <c r="J56" s="73" t="s">
        <v>1227</v>
      </c>
    </row>
    <row r="57" spans="2:10" x14ac:dyDescent="0.35">
      <c r="B57" s="190">
        <v>1974</v>
      </c>
      <c r="C57" s="73">
        <v>1973</v>
      </c>
      <c r="D57" s="191" t="s">
        <v>1529</v>
      </c>
      <c r="E57" s="191" t="s">
        <v>1486</v>
      </c>
      <c r="F57" s="73" t="s">
        <v>1542</v>
      </c>
      <c r="G57" s="73" t="s">
        <v>1236</v>
      </c>
      <c r="H57" s="73" t="s">
        <v>1421</v>
      </c>
      <c r="I57" s="73" t="s">
        <v>1461</v>
      </c>
      <c r="J57" s="73" t="s">
        <v>1227</v>
      </c>
    </row>
    <row r="58" spans="2:10" x14ac:dyDescent="0.35">
      <c r="B58" s="190">
        <v>1973</v>
      </c>
      <c r="C58" s="73">
        <v>1972</v>
      </c>
      <c r="D58" s="73" t="s">
        <v>1529</v>
      </c>
      <c r="E58" s="73" t="s">
        <v>1543</v>
      </c>
      <c r="F58" s="192" t="s">
        <v>1526</v>
      </c>
      <c r="G58" s="73" t="s">
        <v>1236</v>
      </c>
      <c r="H58" s="73" t="s">
        <v>1411</v>
      </c>
      <c r="I58" s="73" t="s">
        <v>1448</v>
      </c>
      <c r="J58" s="73" t="s">
        <v>1240</v>
      </c>
    </row>
    <row r="59" spans="2:10" x14ac:dyDescent="0.35">
      <c r="B59" s="190">
        <v>1972</v>
      </c>
      <c r="C59" s="73">
        <v>1971</v>
      </c>
      <c r="D59" s="73" t="s">
        <v>1537</v>
      </c>
      <c r="E59" s="191" t="s">
        <v>1481</v>
      </c>
      <c r="F59" s="191" t="s">
        <v>1509</v>
      </c>
      <c r="G59" s="73" t="s">
        <v>1232</v>
      </c>
      <c r="H59" s="73" t="s">
        <v>1228</v>
      </c>
      <c r="I59" s="73" t="s">
        <v>1433</v>
      </c>
      <c r="J59" s="73" t="s">
        <v>1236</v>
      </c>
    </row>
    <row r="60" spans="2:10" x14ac:dyDescent="0.35">
      <c r="B60" s="190">
        <v>1971</v>
      </c>
      <c r="C60" s="73">
        <v>1970</v>
      </c>
      <c r="D60" s="191" t="s">
        <v>1534</v>
      </c>
      <c r="E60" s="73" t="s">
        <v>1541</v>
      </c>
      <c r="F60" s="192" t="s">
        <v>1526</v>
      </c>
      <c r="G60" s="191" t="s">
        <v>1223</v>
      </c>
      <c r="H60" s="73" t="s">
        <v>1413</v>
      </c>
      <c r="I60" s="73" t="s">
        <v>1438</v>
      </c>
      <c r="J60" s="73" t="s">
        <v>1232</v>
      </c>
    </row>
    <row r="61" spans="2:10" x14ac:dyDescent="0.35">
      <c r="B61" s="190">
        <v>1970</v>
      </c>
      <c r="C61" s="73">
        <v>1969</v>
      </c>
      <c r="D61" s="191" t="s">
        <v>1532</v>
      </c>
      <c r="E61" s="191" t="s">
        <v>1544</v>
      </c>
      <c r="F61" s="73" t="s">
        <v>1509</v>
      </c>
      <c r="G61" s="73" t="s">
        <v>1213</v>
      </c>
      <c r="H61" s="73" t="s">
        <v>1228</v>
      </c>
      <c r="I61" s="73" t="s">
        <v>1436</v>
      </c>
      <c r="J61" s="73" t="s">
        <v>1227</v>
      </c>
    </row>
    <row r="62" spans="2:10" x14ac:dyDescent="0.35">
      <c r="B62" s="190">
        <v>1969</v>
      </c>
      <c r="C62" s="73">
        <v>1968</v>
      </c>
      <c r="D62" s="73" t="s">
        <v>1533</v>
      </c>
      <c r="E62" s="73" t="s">
        <v>1545</v>
      </c>
      <c r="F62" s="192" t="s">
        <v>1526</v>
      </c>
      <c r="G62" s="73" t="s">
        <v>1222</v>
      </c>
      <c r="H62" s="73" t="s">
        <v>1413</v>
      </c>
      <c r="I62" s="73" t="s">
        <v>1438</v>
      </c>
      <c r="J62" s="73" t="s">
        <v>1223</v>
      </c>
    </row>
    <row r="63" spans="2:10" x14ac:dyDescent="0.35">
      <c r="B63" s="190">
        <v>1968</v>
      </c>
      <c r="C63" s="73">
        <v>1967</v>
      </c>
      <c r="D63" s="73" t="s">
        <v>1507</v>
      </c>
      <c r="E63" s="73" t="s">
        <v>1491</v>
      </c>
      <c r="F63" s="192" t="s">
        <v>1526</v>
      </c>
      <c r="G63" s="73" t="s">
        <v>1212</v>
      </c>
      <c r="H63" s="73" t="s">
        <v>1219</v>
      </c>
      <c r="I63" s="73" t="s">
        <v>1439</v>
      </c>
      <c r="J63" s="73" t="s">
        <v>1218</v>
      </c>
    </row>
    <row r="64" spans="2:10" x14ac:dyDescent="0.35">
      <c r="B64" s="190">
        <v>1967</v>
      </c>
      <c r="C64" s="74">
        <v>1966</v>
      </c>
      <c r="D64" s="73" t="s">
        <v>1534</v>
      </c>
      <c r="E64" s="73" t="s">
        <v>1545</v>
      </c>
      <c r="F64" s="193" t="s">
        <v>1546</v>
      </c>
      <c r="G64" s="74" t="s">
        <v>1212</v>
      </c>
      <c r="H64" s="73" t="s">
        <v>1214</v>
      </c>
      <c r="I64" s="73" t="s">
        <v>1446</v>
      </c>
      <c r="J64" s="73" t="s">
        <v>1213</v>
      </c>
    </row>
    <row r="65" spans="2:10" x14ac:dyDescent="0.35">
      <c r="B65" s="190"/>
      <c r="C65" s="73"/>
      <c r="D65" s="73" t="s">
        <v>1478</v>
      </c>
      <c r="E65" s="73" t="s">
        <v>1489</v>
      </c>
      <c r="F65" s="192" t="s">
        <v>1526</v>
      </c>
      <c r="G65" s="73"/>
      <c r="H65" s="73"/>
      <c r="I65" s="73"/>
      <c r="J65" s="73"/>
    </row>
    <row r="66" spans="2:10" x14ac:dyDescent="0.35">
      <c r="B66" s="190"/>
      <c r="C66" s="73"/>
      <c r="D66" s="73" t="s">
        <v>1507</v>
      </c>
      <c r="E66" s="73" t="s">
        <v>1547</v>
      </c>
      <c r="F66" s="192" t="s">
        <v>1526</v>
      </c>
      <c r="G66" s="73"/>
      <c r="H66" s="73"/>
      <c r="I66" s="73"/>
      <c r="J66" s="73"/>
    </row>
    <row r="67" spans="2:10" x14ac:dyDescent="0.35">
      <c r="B67" s="190"/>
      <c r="C67" s="73"/>
      <c r="D67" s="73" t="s">
        <v>1478</v>
      </c>
      <c r="E67" s="73" t="s">
        <v>1544</v>
      </c>
      <c r="F67" s="192" t="s">
        <v>1546</v>
      </c>
      <c r="G67" s="73"/>
      <c r="H67" s="73"/>
      <c r="I67" s="73"/>
      <c r="J67" s="73"/>
    </row>
    <row r="68" spans="2:10" x14ac:dyDescent="0.35">
      <c r="B68" s="190"/>
      <c r="C68" s="73"/>
      <c r="D68" s="73" t="s">
        <v>1510</v>
      </c>
      <c r="E68" s="73" t="s">
        <v>1545</v>
      </c>
      <c r="F68" s="192" t="s">
        <v>1546</v>
      </c>
      <c r="G68" s="73"/>
      <c r="H68" s="73"/>
      <c r="I68" s="73"/>
      <c r="J68" s="73"/>
    </row>
    <row r="69" spans="2:10" x14ac:dyDescent="0.35">
      <c r="B69" s="190"/>
      <c r="C69" s="73"/>
      <c r="D69" s="73" t="s">
        <v>1510</v>
      </c>
      <c r="E69" s="73" t="s">
        <v>1481</v>
      </c>
      <c r="F69" s="192" t="s">
        <v>1546</v>
      </c>
      <c r="G69" s="73"/>
      <c r="H69" s="73"/>
      <c r="I69" s="73"/>
      <c r="J69" s="73"/>
    </row>
    <row r="70" spans="2:10" x14ac:dyDescent="0.35">
      <c r="B70" s="190"/>
      <c r="C70" s="73"/>
      <c r="D70" s="73" t="s">
        <v>1537</v>
      </c>
      <c r="E70" s="73" t="s">
        <v>1548</v>
      </c>
      <c r="F70" s="73" t="s">
        <v>1549</v>
      </c>
      <c r="G70" s="73"/>
      <c r="H70" s="73"/>
      <c r="I70" s="73"/>
      <c r="J70" s="73"/>
    </row>
    <row r="71" spans="2:10" x14ac:dyDescent="0.35">
      <c r="B71" s="190"/>
      <c r="C71" s="73"/>
      <c r="D71" s="73" t="s">
        <v>1478</v>
      </c>
      <c r="E71" s="73" t="s">
        <v>1481</v>
      </c>
      <c r="F71" s="192" t="s">
        <v>1526</v>
      </c>
      <c r="G71" s="73"/>
      <c r="H71" s="73"/>
      <c r="I71" s="73"/>
      <c r="J71" s="73"/>
    </row>
    <row r="72" spans="2:10" x14ac:dyDescent="0.35">
      <c r="B72" s="190"/>
      <c r="C72" s="73"/>
      <c r="D72" s="73" t="s">
        <v>1510</v>
      </c>
      <c r="E72" s="73" t="s">
        <v>1550</v>
      </c>
      <c r="F72" s="192" t="s">
        <v>1526</v>
      </c>
      <c r="G72" s="73"/>
      <c r="H72" s="73"/>
      <c r="I72" s="73"/>
      <c r="J72" s="73"/>
    </row>
    <row r="73" spans="2:10" x14ac:dyDescent="0.35">
      <c r="B73" s="190"/>
      <c r="C73" s="73"/>
      <c r="D73" s="73" t="s">
        <v>1551</v>
      </c>
      <c r="E73" s="73" t="s">
        <v>1535</v>
      </c>
      <c r="F73" s="192" t="s">
        <v>1526</v>
      </c>
      <c r="G73" s="73"/>
      <c r="H73" s="73"/>
      <c r="I73" s="73"/>
      <c r="J73" s="73"/>
    </row>
    <row r="74" spans="2:10" x14ac:dyDescent="0.35">
      <c r="B74" s="190"/>
      <c r="C74" s="73"/>
      <c r="D74" s="73" t="s">
        <v>1510</v>
      </c>
      <c r="E74" s="73" t="s">
        <v>1481</v>
      </c>
      <c r="F74" s="192" t="s">
        <v>1526</v>
      </c>
      <c r="G74" s="73"/>
      <c r="H74" s="73"/>
      <c r="I74" s="73"/>
      <c r="J74" s="73"/>
    </row>
    <row r="75" spans="2:10" x14ac:dyDescent="0.35">
      <c r="B75" s="190"/>
      <c r="C75" s="73"/>
      <c r="D75" s="73" t="s">
        <v>1552</v>
      </c>
      <c r="E75" s="73" t="s">
        <v>1481</v>
      </c>
      <c r="F75" s="192" t="s">
        <v>1526</v>
      </c>
      <c r="G75" s="73"/>
      <c r="H75" s="73"/>
      <c r="I75" s="73"/>
      <c r="J75" s="73"/>
    </row>
    <row r="76" spans="2:10" x14ac:dyDescent="0.35">
      <c r="B76" s="190"/>
      <c r="C76" s="73"/>
      <c r="D76" s="73" t="s">
        <v>1288</v>
      </c>
      <c r="E76" s="73" t="s">
        <v>1481</v>
      </c>
      <c r="F76" s="73" t="s">
        <v>1512</v>
      </c>
      <c r="G76" s="73"/>
      <c r="H76" s="73"/>
      <c r="I76" s="73"/>
      <c r="J76" s="73"/>
    </row>
    <row r="77" spans="2:10" x14ac:dyDescent="0.35">
      <c r="B77" s="190"/>
      <c r="C77" s="73"/>
      <c r="D77" s="73" t="s">
        <v>1510</v>
      </c>
      <c r="E77" s="73" t="s">
        <v>1481</v>
      </c>
      <c r="F77" s="73" t="s">
        <v>1512</v>
      </c>
      <c r="G77" s="73"/>
      <c r="H77" s="73"/>
      <c r="I77" s="73"/>
      <c r="J77" s="73"/>
    </row>
    <row r="78" spans="2:10" x14ac:dyDescent="0.35">
      <c r="B78" s="190"/>
      <c r="C78" s="73"/>
      <c r="D78" s="73" t="s">
        <v>1510</v>
      </c>
      <c r="E78" s="73" t="s">
        <v>1481</v>
      </c>
      <c r="F78" s="192" t="s">
        <v>1526</v>
      </c>
      <c r="G78" s="73"/>
      <c r="H78" s="73"/>
      <c r="I78" s="73"/>
      <c r="J78" s="73"/>
    </row>
    <row r="79" spans="2:10" x14ac:dyDescent="0.35">
      <c r="B79" s="190"/>
      <c r="C79" s="73"/>
      <c r="D79" s="73" t="s">
        <v>1510</v>
      </c>
      <c r="E79" s="73" t="s">
        <v>1481</v>
      </c>
      <c r="F79" s="73" t="s">
        <v>1512</v>
      </c>
      <c r="G79" s="73"/>
      <c r="H79" s="73"/>
      <c r="I79" s="73"/>
      <c r="J79" s="73"/>
    </row>
    <row r="80" spans="2:10" x14ac:dyDescent="0.35">
      <c r="B80" s="190"/>
      <c r="C80" s="73"/>
      <c r="D80" s="73" t="s">
        <v>1510</v>
      </c>
      <c r="E80" s="73" t="s">
        <v>1481</v>
      </c>
      <c r="F80" s="192" t="s">
        <v>1546</v>
      </c>
      <c r="G80" s="73"/>
      <c r="H80" s="73"/>
      <c r="I80" s="73"/>
      <c r="J80" s="73"/>
    </row>
    <row r="81" spans="2:10" x14ac:dyDescent="0.35">
      <c r="B81" s="190"/>
      <c r="C81" s="73"/>
      <c r="D81" s="73" t="s">
        <v>1510</v>
      </c>
      <c r="E81" s="73" t="s">
        <v>1481</v>
      </c>
      <c r="F81" s="73" t="s">
        <v>1512</v>
      </c>
      <c r="G81" s="73"/>
      <c r="H81" s="73"/>
      <c r="I81" s="73"/>
      <c r="J81" s="73"/>
    </row>
    <row r="82" spans="2:10" x14ac:dyDescent="0.35">
      <c r="B82" s="190"/>
      <c r="C82" s="73"/>
      <c r="D82" s="73" t="s">
        <v>1553</v>
      </c>
      <c r="E82" s="73" t="s">
        <v>1554</v>
      </c>
      <c r="F82" s="192" t="s">
        <v>1546</v>
      </c>
      <c r="G82" s="73"/>
      <c r="H82" s="73"/>
      <c r="I82" s="73"/>
      <c r="J82" s="73"/>
    </row>
    <row r="83" spans="2:10" x14ac:dyDescent="0.35">
      <c r="B83" s="190"/>
      <c r="C83" s="73"/>
      <c r="D83" s="73" t="s">
        <v>1510</v>
      </c>
      <c r="E83" s="73" t="s">
        <v>1481</v>
      </c>
      <c r="F83" s="192" t="s">
        <v>1546</v>
      </c>
      <c r="G83" s="73"/>
      <c r="H83" s="73"/>
      <c r="I83" s="73"/>
      <c r="J83" s="73"/>
    </row>
    <row r="84" spans="2:10" x14ac:dyDescent="0.35">
      <c r="B84" s="190"/>
      <c r="C84" s="73"/>
      <c r="D84" s="73" t="s">
        <v>1507</v>
      </c>
      <c r="E84" s="73" t="s">
        <v>1555</v>
      </c>
      <c r="F84" s="192" t="s">
        <v>1546</v>
      </c>
      <c r="G84" s="73"/>
      <c r="H84" s="73"/>
      <c r="I84" s="73"/>
      <c r="J84" s="73"/>
    </row>
    <row r="85" spans="2:10" x14ac:dyDescent="0.35">
      <c r="B85" s="190"/>
      <c r="C85" s="73"/>
      <c r="D85" s="73" t="s">
        <v>1533</v>
      </c>
      <c r="E85" s="73" t="s">
        <v>1556</v>
      </c>
      <c r="F85" s="192" t="s">
        <v>1526</v>
      </c>
      <c r="G85" s="73"/>
      <c r="H85" s="73"/>
      <c r="I85" s="73"/>
      <c r="J85" s="73"/>
    </row>
    <row r="86" spans="2:10" x14ac:dyDescent="0.35">
      <c r="B86" s="190"/>
      <c r="C86" s="73"/>
      <c r="D86" s="73" t="s">
        <v>1507</v>
      </c>
      <c r="E86" s="73" t="s">
        <v>1557</v>
      </c>
      <c r="F86" s="192" t="s">
        <v>1546</v>
      </c>
      <c r="G86" s="73"/>
      <c r="H86" s="73"/>
      <c r="I86" s="73"/>
      <c r="J86" s="73"/>
    </row>
    <row r="87" spans="2:10" x14ac:dyDescent="0.35">
      <c r="B87" s="190"/>
      <c r="C87" s="73"/>
      <c r="D87" s="73" t="s">
        <v>1510</v>
      </c>
      <c r="E87" s="73" t="s">
        <v>1557</v>
      </c>
      <c r="F87" s="192" t="s">
        <v>1526</v>
      </c>
      <c r="G87" s="73"/>
      <c r="H87" s="73"/>
      <c r="I87" s="73"/>
      <c r="J87" s="73"/>
    </row>
    <row r="88" spans="2:10" x14ac:dyDescent="0.35">
      <c r="B88" s="190"/>
      <c r="C88" s="73"/>
      <c r="D88" s="73" t="s">
        <v>1507</v>
      </c>
      <c r="E88" s="73" t="s">
        <v>1557</v>
      </c>
      <c r="F88" s="73" t="s">
        <v>1512</v>
      </c>
      <c r="G88" s="73"/>
      <c r="H88" s="73"/>
      <c r="I88" s="73"/>
      <c r="J88" s="73"/>
    </row>
    <row r="89" spans="2:10" x14ac:dyDescent="0.35">
      <c r="B89" s="190"/>
      <c r="C89" s="73"/>
      <c r="D89" s="191" t="s">
        <v>1510</v>
      </c>
      <c r="E89" s="191" t="s">
        <v>1558</v>
      </c>
      <c r="F89" s="192" t="s">
        <v>1546</v>
      </c>
      <c r="G89" s="73"/>
      <c r="H89" s="73"/>
      <c r="I89" s="73"/>
      <c r="J89" s="73"/>
    </row>
    <row r="90" spans="2:10" x14ac:dyDescent="0.35">
      <c r="B90" s="190"/>
      <c r="C90" s="73"/>
      <c r="D90" s="73" t="s">
        <v>1528</v>
      </c>
      <c r="E90" s="73" t="s">
        <v>1557</v>
      </c>
      <c r="F90" s="73" t="s">
        <v>1509</v>
      </c>
      <c r="G90" s="73"/>
      <c r="H90" s="73"/>
      <c r="I90" s="73"/>
      <c r="J90" s="73"/>
    </row>
    <row r="91" spans="2:10" x14ac:dyDescent="0.35">
      <c r="B91" s="190"/>
      <c r="C91" s="73"/>
      <c r="D91" s="191" t="s">
        <v>1510</v>
      </c>
      <c r="E91" s="73" t="s">
        <v>1557</v>
      </c>
      <c r="F91" s="191" t="s">
        <v>1525</v>
      </c>
      <c r="G91" s="73"/>
      <c r="H91" s="73"/>
      <c r="I91" s="73"/>
      <c r="J91" s="73"/>
    </row>
    <row r="92" spans="2:10" x14ac:dyDescent="0.35">
      <c r="B92" s="190"/>
      <c r="C92" s="73"/>
      <c r="D92" s="73" t="s">
        <v>1510</v>
      </c>
      <c r="E92" s="73" t="s">
        <v>1559</v>
      </c>
      <c r="F92" s="73" t="s">
        <v>1509</v>
      </c>
      <c r="G92" s="73"/>
      <c r="H92" s="73"/>
      <c r="I92" s="73"/>
      <c r="J92" s="73"/>
    </row>
    <row r="93" spans="2:10" x14ac:dyDescent="0.35">
      <c r="B93" s="190"/>
      <c r="C93" s="73"/>
      <c r="D93" s="73" t="s">
        <v>1510</v>
      </c>
      <c r="E93" s="73" t="s">
        <v>1555</v>
      </c>
      <c r="F93" s="73" t="s">
        <v>1549</v>
      </c>
      <c r="G93" s="73"/>
      <c r="H93" s="73"/>
      <c r="I93" s="73"/>
      <c r="J93" s="73"/>
    </row>
    <row r="94" spans="2:10" x14ac:dyDescent="0.35">
      <c r="B94" s="190"/>
      <c r="C94" s="73"/>
      <c r="D94" s="73" t="s">
        <v>1510</v>
      </c>
      <c r="E94" s="73"/>
      <c r="F94" s="73" t="s">
        <v>1512</v>
      </c>
      <c r="G94" s="73"/>
      <c r="H94" s="73"/>
      <c r="I94" s="73"/>
      <c r="J94" s="73"/>
    </row>
    <row r="95" spans="2:10" x14ac:dyDescent="0.35">
      <c r="B95" s="190"/>
      <c r="C95" s="73"/>
      <c r="D95" s="191" t="s">
        <v>1533</v>
      </c>
      <c r="E95" s="73"/>
      <c r="F95" s="191" t="s">
        <v>1512</v>
      </c>
      <c r="G95" s="73"/>
      <c r="H95" s="73"/>
      <c r="I95" s="73"/>
      <c r="J95" s="73"/>
    </row>
    <row r="96" spans="2:10" x14ac:dyDescent="0.35">
      <c r="B96" s="190"/>
      <c r="C96" s="73"/>
      <c r="D96" s="73" t="s">
        <v>1507</v>
      </c>
      <c r="E96" s="73"/>
      <c r="F96" s="192" t="s">
        <v>1560</v>
      </c>
      <c r="G96" s="73"/>
      <c r="H96" s="73"/>
      <c r="I96" s="73"/>
      <c r="J96" s="73"/>
    </row>
    <row r="97" spans="2:10" x14ac:dyDescent="0.35">
      <c r="B97" s="190"/>
      <c r="C97" s="73"/>
      <c r="D97" s="73" t="s">
        <v>1288</v>
      </c>
      <c r="E97" s="73"/>
      <c r="F97" s="73" t="s">
        <v>1549</v>
      </c>
      <c r="G97" s="73"/>
      <c r="H97" s="73"/>
      <c r="I97" s="73"/>
      <c r="J97" s="73"/>
    </row>
    <row r="98" spans="2:10" x14ac:dyDescent="0.35">
      <c r="B98" s="190"/>
      <c r="C98" s="73"/>
      <c r="D98" s="191" t="s">
        <v>1510</v>
      </c>
      <c r="E98" s="73"/>
      <c r="F98" s="191" t="s">
        <v>1525</v>
      </c>
      <c r="G98" s="73"/>
      <c r="H98" s="73"/>
      <c r="I98" s="73"/>
      <c r="J98" s="73"/>
    </row>
    <row r="99" spans="2:10" x14ac:dyDescent="0.35">
      <c r="B99" s="190"/>
      <c r="C99" s="73"/>
      <c r="D99" s="73" t="s">
        <v>1507</v>
      </c>
      <c r="E99" s="73"/>
      <c r="F99" s="192" t="s">
        <v>1546</v>
      </c>
      <c r="G99" s="73"/>
      <c r="H99" s="73"/>
      <c r="I99" s="73"/>
      <c r="J99" s="73"/>
    </row>
    <row r="100" spans="2:10" x14ac:dyDescent="0.35">
      <c r="B100" s="190"/>
      <c r="C100" s="73"/>
      <c r="D100" s="73" t="s">
        <v>1561</v>
      </c>
      <c r="E100" s="73"/>
      <c r="F100" s="192" t="s">
        <v>1526</v>
      </c>
      <c r="G100" s="73"/>
      <c r="H100" s="73"/>
      <c r="I100" s="73"/>
      <c r="J100" s="73"/>
    </row>
    <row r="101" spans="2:10" x14ac:dyDescent="0.35">
      <c r="B101" s="190"/>
      <c r="C101" s="73"/>
      <c r="D101" s="73" t="s">
        <v>1561</v>
      </c>
      <c r="E101" s="73"/>
      <c r="F101" s="192" t="s">
        <v>1526</v>
      </c>
      <c r="G101" s="73"/>
      <c r="H101" s="73"/>
      <c r="I101" s="73"/>
      <c r="J101" s="73"/>
    </row>
    <row r="102" spans="2:10" x14ac:dyDescent="0.35">
      <c r="B102" s="190"/>
      <c r="C102" s="73"/>
      <c r="D102" s="73" t="s">
        <v>1510</v>
      </c>
      <c r="E102" s="73"/>
      <c r="F102" s="73" t="s">
        <v>1509</v>
      </c>
      <c r="G102" s="73"/>
      <c r="H102" s="73"/>
      <c r="I102" s="73"/>
      <c r="J102" s="73"/>
    </row>
    <row r="103" spans="2:10" x14ac:dyDescent="0.35">
      <c r="B103" s="190"/>
      <c r="C103" s="73"/>
      <c r="D103" s="191" t="s">
        <v>1510</v>
      </c>
      <c r="E103" s="73"/>
      <c r="F103" s="191" t="s">
        <v>1525</v>
      </c>
      <c r="G103" s="73"/>
      <c r="H103" s="73"/>
      <c r="I103" s="73"/>
      <c r="J103" s="73"/>
    </row>
    <row r="104" spans="2:10" x14ac:dyDescent="0.35">
      <c r="B104" s="190"/>
      <c r="C104" s="73"/>
      <c r="D104" s="73" t="s">
        <v>1507</v>
      </c>
      <c r="E104" s="73"/>
      <c r="F104" s="192" t="s">
        <v>1562</v>
      </c>
      <c r="G104" s="73"/>
      <c r="H104" s="73"/>
      <c r="I104" s="73"/>
      <c r="J104" s="73"/>
    </row>
    <row r="105" spans="2:10" x14ac:dyDescent="0.35">
      <c r="B105" s="190"/>
      <c r="C105" s="73"/>
      <c r="D105" s="73" t="s">
        <v>1537</v>
      </c>
      <c r="E105" s="73"/>
      <c r="F105" s="192" t="s">
        <v>1560</v>
      </c>
      <c r="G105" s="73"/>
      <c r="H105" s="73"/>
      <c r="I105" s="73"/>
      <c r="J105" s="73"/>
    </row>
    <row r="106" spans="2:10" x14ac:dyDescent="0.35">
      <c r="B106" s="190"/>
      <c r="C106" s="73"/>
      <c r="D106" s="73" t="s">
        <v>1563</v>
      </c>
      <c r="E106" s="73"/>
      <c r="F106" s="192" t="s">
        <v>1564</v>
      </c>
      <c r="G106" s="73"/>
      <c r="H106" s="73"/>
      <c r="I106" s="73"/>
      <c r="J106" s="73"/>
    </row>
    <row r="107" spans="2:10" x14ac:dyDescent="0.35">
      <c r="B107" s="190"/>
      <c r="C107" s="73"/>
      <c r="D107" s="73" t="s">
        <v>1510</v>
      </c>
      <c r="E107" s="73"/>
      <c r="F107" s="192" t="s">
        <v>1526</v>
      </c>
      <c r="G107" s="73"/>
      <c r="H107" s="73"/>
      <c r="I107" s="73"/>
      <c r="J107" s="73"/>
    </row>
    <row r="108" spans="2:10" x14ac:dyDescent="0.35">
      <c r="B108" s="190"/>
      <c r="C108" s="73"/>
      <c r="D108" s="73" t="s">
        <v>1288</v>
      </c>
      <c r="E108" s="73"/>
      <c r="F108" s="192" t="s">
        <v>1562</v>
      </c>
      <c r="G108" s="73"/>
      <c r="H108" s="73"/>
      <c r="I108" s="73"/>
      <c r="J108" s="73"/>
    </row>
    <row r="109" spans="2:10" x14ac:dyDescent="0.35">
      <c r="B109" s="190"/>
      <c r="C109" s="73"/>
      <c r="D109" s="73" t="s">
        <v>1288</v>
      </c>
      <c r="E109" s="73"/>
      <c r="F109" s="192" t="s">
        <v>1565</v>
      </c>
      <c r="G109" s="73"/>
      <c r="H109" s="73"/>
      <c r="I109" s="73"/>
      <c r="J109" s="73"/>
    </row>
    <row r="110" spans="2:10" x14ac:dyDescent="0.35">
      <c r="B110" s="190"/>
      <c r="C110" s="73"/>
      <c r="D110" s="73" t="s">
        <v>1553</v>
      </c>
      <c r="E110" s="73"/>
      <c r="F110" s="192" t="s">
        <v>1562</v>
      </c>
      <c r="G110" s="73"/>
      <c r="H110" s="73"/>
      <c r="I110" s="73"/>
      <c r="J110" s="73"/>
    </row>
    <row r="111" spans="2:10" x14ac:dyDescent="0.35">
      <c r="B111" s="190"/>
      <c r="C111" s="73"/>
      <c r="D111" s="73" t="s">
        <v>1528</v>
      </c>
      <c r="E111" s="73"/>
      <c r="F111" s="192" t="s">
        <v>1562</v>
      </c>
      <c r="G111" s="73"/>
      <c r="H111" s="73"/>
      <c r="I111" s="73"/>
      <c r="J111" s="73"/>
    </row>
    <row r="112" spans="2:10" ht="22" x14ac:dyDescent="0.35">
      <c r="B112" s="190"/>
      <c r="C112" s="73"/>
      <c r="D112" s="73" t="s">
        <v>1495</v>
      </c>
      <c r="E112" s="73"/>
      <c r="F112" s="194" t="s">
        <v>1566</v>
      </c>
      <c r="G112" s="73"/>
      <c r="H112" s="73"/>
      <c r="I112" s="73"/>
      <c r="J112" s="73"/>
    </row>
    <row r="113" spans="2:10" x14ac:dyDescent="0.35">
      <c r="B113" s="190"/>
      <c r="C113" s="73"/>
      <c r="D113" s="73" t="s">
        <v>1515</v>
      </c>
      <c r="E113" s="73"/>
      <c r="F113" s="192" t="s">
        <v>1567</v>
      </c>
      <c r="G113" s="73"/>
      <c r="H113" s="73"/>
      <c r="I113" s="73"/>
      <c r="J113" s="73"/>
    </row>
    <row r="114" spans="2:10" x14ac:dyDescent="0.35">
      <c r="B114" s="190"/>
      <c r="C114" s="73"/>
      <c r="D114" s="73" t="s">
        <v>1495</v>
      </c>
      <c r="E114" s="73"/>
      <c r="F114" s="73" t="s">
        <v>1568</v>
      </c>
      <c r="G114" s="73"/>
      <c r="H114" s="73"/>
      <c r="I114" s="73"/>
      <c r="J114" s="73"/>
    </row>
    <row r="115" spans="2:10" x14ac:dyDescent="0.35">
      <c r="B115" s="190"/>
      <c r="C115" s="73"/>
      <c r="D115" s="73" t="s">
        <v>1495</v>
      </c>
      <c r="E115" s="73"/>
      <c r="F115" s="192" t="s">
        <v>1526</v>
      </c>
      <c r="G115" s="73"/>
      <c r="H115" s="73"/>
      <c r="I115" s="73"/>
      <c r="J115" s="73"/>
    </row>
    <row r="116" spans="2:10" x14ac:dyDescent="0.35">
      <c r="B116" s="190"/>
      <c r="C116" s="73"/>
      <c r="D116" s="73" t="s">
        <v>1569</v>
      </c>
      <c r="E116" s="73"/>
      <c r="F116" s="192" t="s">
        <v>1570</v>
      </c>
      <c r="G116" s="73"/>
      <c r="H116" s="73"/>
      <c r="I116" s="73"/>
      <c r="J116" s="73"/>
    </row>
    <row r="117" spans="2:10" x14ac:dyDescent="0.35">
      <c r="B117" s="190"/>
      <c r="C117" s="73"/>
      <c r="D117" s="73" t="s">
        <v>1561</v>
      </c>
      <c r="E117" s="73"/>
      <c r="F117" s="192" t="s">
        <v>1571</v>
      </c>
      <c r="G117" s="73"/>
      <c r="H117" s="73"/>
      <c r="I117" s="73"/>
      <c r="J117" s="73"/>
    </row>
    <row r="118" spans="2:10" x14ac:dyDescent="0.35">
      <c r="B118" s="190"/>
      <c r="C118" s="73"/>
      <c r="D118" s="73" t="s">
        <v>1495</v>
      </c>
      <c r="E118" s="73"/>
      <c r="F118" s="192" t="s">
        <v>1572</v>
      </c>
      <c r="G118" s="73"/>
      <c r="H118" s="73"/>
      <c r="I118" s="73"/>
      <c r="J118" s="73"/>
    </row>
    <row r="119" spans="2:10" x14ac:dyDescent="0.35">
      <c r="B119" s="190"/>
      <c r="C119" s="73"/>
      <c r="D119" s="73" t="s">
        <v>1561</v>
      </c>
      <c r="E119" s="73"/>
      <c r="F119" s="192" t="s">
        <v>1572</v>
      </c>
      <c r="G119" s="73"/>
      <c r="H119" s="73"/>
      <c r="I119" s="73"/>
      <c r="J119" s="73"/>
    </row>
    <row r="120" spans="2:10" x14ac:dyDescent="0.35">
      <c r="B120" s="190"/>
      <c r="C120" s="73"/>
      <c r="D120" s="73" t="s">
        <v>1561</v>
      </c>
      <c r="E120" s="73"/>
      <c r="F120" s="192" t="s">
        <v>1562</v>
      </c>
      <c r="G120" s="73"/>
      <c r="H120" s="73"/>
      <c r="I120" s="73"/>
      <c r="J120" s="73"/>
    </row>
    <row r="121" spans="2:10" x14ac:dyDescent="0.35">
      <c r="B121" s="190"/>
      <c r="C121" s="73"/>
      <c r="D121" s="73" t="s">
        <v>1537</v>
      </c>
      <c r="E121" s="73"/>
      <c r="F121" s="192" t="s">
        <v>1573</v>
      </c>
      <c r="G121" s="73"/>
      <c r="H121" s="73"/>
      <c r="I121" s="73"/>
      <c r="J121" s="73"/>
    </row>
    <row r="122" spans="2:10" x14ac:dyDescent="0.35">
      <c r="B122" s="190"/>
      <c r="C122" s="73"/>
      <c r="D122" s="73" t="s">
        <v>1498</v>
      </c>
      <c r="E122" s="73"/>
      <c r="F122" s="192" t="s">
        <v>1562</v>
      </c>
      <c r="G122" s="73"/>
      <c r="H122" s="73"/>
      <c r="I122" s="73"/>
      <c r="J122" s="73"/>
    </row>
    <row r="123" spans="2:10" x14ac:dyDescent="0.35">
      <c r="B123" s="190"/>
      <c r="C123" s="73"/>
      <c r="D123" s="73" t="s">
        <v>1498</v>
      </c>
      <c r="E123" s="73"/>
      <c r="F123" s="192" t="s">
        <v>1573</v>
      </c>
      <c r="G123" s="73"/>
      <c r="H123" s="73"/>
      <c r="I123" s="73"/>
      <c r="J123" s="73"/>
    </row>
    <row r="124" spans="2:10" x14ac:dyDescent="0.35">
      <c r="B124" s="190"/>
      <c r="C124" s="73"/>
      <c r="D124" s="73" t="s">
        <v>1515</v>
      </c>
      <c r="E124" s="73"/>
      <c r="F124" s="192" t="s">
        <v>1573</v>
      </c>
      <c r="G124" s="73"/>
      <c r="H124" s="73"/>
      <c r="I124" s="73"/>
      <c r="J124" s="73"/>
    </row>
    <row r="125" spans="2:10" x14ac:dyDescent="0.35">
      <c r="B125" s="190"/>
      <c r="C125" s="73"/>
      <c r="D125" s="73" t="s">
        <v>1288</v>
      </c>
      <c r="E125" s="73"/>
      <c r="F125" s="192" t="s">
        <v>1573</v>
      </c>
      <c r="G125" s="73"/>
      <c r="H125" s="73"/>
      <c r="I125" s="73"/>
      <c r="J125" s="73"/>
    </row>
    <row r="126" spans="2:10" x14ac:dyDescent="0.35">
      <c r="B126" s="190"/>
      <c r="C126" s="73"/>
      <c r="D126" s="73" t="s">
        <v>1574</v>
      </c>
      <c r="E126" s="73"/>
      <c r="F126" s="192" t="s">
        <v>1575</v>
      </c>
      <c r="G126" s="73"/>
      <c r="H126" s="73"/>
      <c r="I126" s="73"/>
      <c r="J126" s="73"/>
    </row>
    <row r="127" spans="2:10" x14ac:dyDescent="0.35">
      <c r="B127" s="190"/>
      <c r="C127" s="73"/>
      <c r="D127" s="73"/>
      <c r="E127" s="73"/>
      <c r="F127" s="192" t="s">
        <v>1575</v>
      </c>
      <c r="G127" s="73"/>
      <c r="H127" s="73"/>
      <c r="I127" s="73"/>
      <c r="J127" s="73"/>
    </row>
    <row r="128" spans="2:10" x14ac:dyDescent="0.35">
      <c r="B128" s="190"/>
      <c r="C128" s="73"/>
      <c r="D128" s="73"/>
      <c r="E128" s="73"/>
      <c r="F128" s="192" t="s">
        <v>1575</v>
      </c>
      <c r="G128" s="73"/>
      <c r="H128" s="73"/>
      <c r="I128" s="73"/>
      <c r="J128" s="73"/>
    </row>
    <row r="129" spans="2:10" x14ac:dyDescent="0.35">
      <c r="B129" s="190"/>
      <c r="C129" s="73"/>
      <c r="D129" s="73"/>
      <c r="E129" s="73"/>
      <c r="F129" s="192" t="s">
        <v>1576</v>
      </c>
      <c r="G129" s="73"/>
      <c r="H129" s="73"/>
      <c r="I129" s="73"/>
      <c r="J129" s="73"/>
    </row>
    <row r="130" spans="2:10" x14ac:dyDescent="0.35">
      <c r="B130" s="190"/>
      <c r="C130" s="73"/>
      <c r="D130" s="73" t="s">
        <v>1577</v>
      </c>
      <c r="E130" s="73"/>
      <c r="F130" s="192" t="s">
        <v>1578</v>
      </c>
      <c r="G130" s="73"/>
      <c r="H130" s="73"/>
      <c r="I130" s="73"/>
      <c r="J130" s="73"/>
    </row>
    <row r="131" spans="2:10" x14ac:dyDescent="0.35">
      <c r="B131" s="190"/>
      <c r="C131" s="73"/>
      <c r="D131" s="73"/>
      <c r="E131" s="73"/>
      <c r="F131" s="192" t="s">
        <v>1579</v>
      </c>
      <c r="G131" s="73"/>
      <c r="H131" s="73"/>
      <c r="I131" s="73"/>
      <c r="J131" s="73"/>
    </row>
    <row r="132" spans="2:10" x14ac:dyDescent="0.35">
      <c r="B132" s="190"/>
      <c r="C132" s="73"/>
      <c r="D132" s="73"/>
      <c r="E132" s="73"/>
      <c r="F132" s="192" t="s">
        <v>1579</v>
      </c>
      <c r="G132" s="73"/>
      <c r="H132" s="73"/>
      <c r="I132" s="73"/>
      <c r="J132" s="73"/>
    </row>
    <row r="133" spans="2:10" x14ac:dyDescent="0.35">
      <c r="B133" s="190"/>
      <c r="C133" s="73"/>
      <c r="D133" s="73"/>
      <c r="E133" s="73"/>
      <c r="F133" s="192" t="s">
        <v>1580</v>
      </c>
      <c r="G133" s="73"/>
      <c r="H133" s="73"/>
      <c r="I133" s="73"/>
      <c r="J133" s="73"/>
    </row>
    <row r="134" spans="2:10" x14ac:dyDescent="0.35">
      <c r="B134" s="190"/>
      <c r="C134" s="73"/>
      <c r="D134" s="73"/>
      <c r="E134" s="73"/>
      <c r="F134" s="192" t="s">
        <v>1580</v>
      </c>
      <c r="G134" s="73"/>
      <c r="H134" s="73"/>
      <c r="I134" s="73"/>
      <c r="J134" s="73"/>
    </row>
    <row r="135" spans="2:10" x14ac:dyDescent="0.35">
      <c r="B135" s="190"/>
      <c r="C135" s="73"/>
      <c r="D135" s="73"/>
      <c r="E135" s="73"/>
      <c r="F135" s="192" t="s">
        <v>1580</v>
      </c>
      <c r="G135" s="73"/>
      <c r="H135" s="73"/>
      <c r="I135" s="73"/>
      <c r="J135" s="73"/>
    </row>
    <row r="136" spans="2:10" x14ac:dyDescent="0.35">
      <c r="B136" s="190"/>
      <c r="C136" s="73"/>
      <c r="D136" s="73"/>
      <c r="E136" s="73"/>
      <c r="F136" s="192" t="s">
        <v>1580</v>
      </c>
      <c r="G136" s="73"/>
      <c r="H136" s="73"/>
      <c r="I136" s="73"/>
      <c r="J136" s="73"/>
    </row>
    <row r="137" spans="2:10" x14ac:dyDescent="0.35">
      <c r="B137" s="190"/>
      <c r="C137" s="73"/>
      <c r="D137" s="73"/>
      <c r="E137" s="73"/>
      <c r="F137" s="192" t="s">
        <v>1576</v>
      </c>
      <c r="G137" s="73"/>
      <c r="H137" s="73"/>
      <c r="I137" s="73"/>
      <c r="J137" s="73"/>
    </row>
    <row r="138" spans="2:10" x14ac:dyDescent="0.35">
      <c r="B138" s="190"/>
      <c r="C138" s="73"/>
      <c r="D138" s="74"/>
      <c r="E138" s="74"/>
      <c r="F138" s="192" t="s">
        <v>1576</v>
      </c>
      <c r="G138" s="73"/>
      <c r="H138" s="74"/>
      <c r="I138" s="74"/>
      <c r="J138" s="7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FD38-79AF-433E-95D6-B265D11BD928}">
  <dimension ref="A1:U25"/>
  <sheetViews>
    <sheetView zoomScale="130" zoomScaleNormal="130" workbookViewId="0">
      <selection activeCell="H35" sqref="H35"/>
    </sheetView>
  </sheetViews>
  <sheetFormatPr defaultRowHeight="14.5" x14ac:dyDescent="0.35"/>
  <cols>
    <col min="2" max="2" width="2.81640625" bestFit="1" customWidth="1"/>
    <col min="3" max="3" width="12.7265625" bestFit="1" customWidth="1"/>
    <col min="4" max="4" width="4.26953125" bestFit="1" customWidth="1"/>
    <col min="5" max="5" width="4.08984375" bestFit="1" customWidth="1"/>
    <col min="7" max="7" width="2.81640625" bestFit="1" customWidth="1"/>
    <col min="8" max="8" width="11.1796875" bestFit="1" customWidth="1"/>
    <col min="9" max="9" width="4.26953125" bestFit="1" customWidth="1"/>
    <col min="10" max="10" width="4.36328125" bestFit="1" customWidth="1"/>
    <col min="12" max="12" width="2.81640625" bestFit="1" customWidth="1"/>
    <col min="13" max="13" width="11.81640625" bestFit="1" customWidth="1"/>
    <col min="14" max="15" width="4.26953125" bestFit="1" customWidth="1"/>
    <col min="17" max="17" width="2.81640625" bestFit="1" customWidth="1"/>
    <col min="18" max="18" width="11.26953125" bestFit="1" customWidth="1"/>
    <col min="19" max="20" width="4.26953125" bestFit="1" customWidth="1"/>
  </cols>
  <sheetData>
    <row r="1" spans="1:21" x14ac:dyDescent="0.35">
      <c r="A1" s="196" t="s">
        <v>1190</v>
      </c>
      <c r="B1" s="196"/>
    </row>
    <row r="2" spans="1:21" x14ac:dyDescent="0.35">
      <c r="A2" s="196"/>
      <c r="B2" s="196"/>
    </row>
    <row r="4" spans="1:21" x14ac:dyDescent="0.35">
      <c r="C4" s="197" t="s">
        <v>1191</v>
      </c>
      <c r="D4" s="197"/>
      <c r="E4" s="197"/>
      <c r="F4" s="197"/>
      <c r="H4" s="197" t="s">
        <v>1192</v>
      </c>
      <c r="I4" s="197"/>
      <c r="J4" s="197"/>
      <c r="K4" s="197"/>
      <c r="M4" s="197" t="s">
        <v>1193</v>
      </c>
      <c r="N4" s="197"/>
      <c r="O4" s="197"/>
      <c r="P4" s="197"/>
      <c r="R4" s="197" t="s">
        <v>1197</v>
      </c>
      <c r="S4" s="197"/>
      <c r="T4" s="197"/>
      <c r="U4" s="197"/>
    </row>
    <row r="5" spans="1:21" x14ac:dyDescent="0.35">
      <c r="B5">
        <v>1</v>
      </c>
      <c r="C5" s="24" t="s">
        <v>121</v>
      </c>
      <c r="D5" s="97" t="s">
        <v>395</v>
      </c>
      <c r="E5" s="97" t="s">
        <v>17</v>
      </c>
      <c r="F5" s="24">
        <v>1</v>
      </c>
      <c r="G5">
        <v>1</v>
      </c>
      <c r="H5" s="24" t="s">
        <v>143</v>
      </c>
      <c r="I5" s="97" t="s">
        <v>66</v>
      </c>
      <c r="J5" s="97" t="s">
        <v>16</v>
      </c>
      <c r="K5" s="24">
        <v>1</v>
      </c>
      <c r="L5">
        <v>1</v>
      </c>
      <c r="M5" s="24" t="s">
        <v>237</v>
      </c>
      <c r="N5" s="97" t="s">
        <v>394</v>
      </c>
      <c r="O5" s="97" t="s">
        <v>39</v>
      </c>
      <c r="P5" s="24">
        <v>1</v>
      </c>
      <c r="Q5">
        <v>1</v>
      </c>
      <c r="R5" s="24" t="s">
        <v>357</v>
      </c>
      <c r="S5" s="97" t="s">
        <v>399</v>
      </c>
      <c r="T5" s="97" t="s">
        <v>53</v>
      </c>
      <c r="U5" s="24"/>
    </row>
    <row r="6" spans="1:21" x14ac:dyDescent="0.35">
      <c r="B6">
        <v>2</v>
      </c>
      <c r="C6" s="24" t="s">
        <v>119</v>
      </c>
      <c r="D6" s="97" t="s">
        <v>395</v>
      </c>
      <c r="E6" s="97" t="s">
        <v>15</v>
      </c>
      <c r="F6" s="24">
        <v>1</v>
      </c>
      <c r="G6">
        <v>2</v>
      </c>
      <c r="H6" s="24" t="s">
        <v>390</v>
      </c>
      <c r="I6" s="97" t="s">
        <v>66</v>
      </c>
      <c r="J6" s="97" t="s">
        <v>56</v>
      </c>
      <c r="K6" s="24">
        <v>1</v>
      </c>
      <c r="L6">
        <v>2</v>
      </c>
      <c r="M6" s="24" t="s">
        <v>116</v>
      </c>
      <c r="N6" s="97" t="s">
        <v>395</v>
      </c>
      <c r="O6" s="97" t="s">
        <v>17</v>
      </c>
      <c r="P6" s="24">
        <v>1</v>
      </c>
      <c r="Q6">
        <v>2</v>
      </c>
      <c r="R6" s="24" t="s">
        <v>236</v>
      </c>
      <c r="S6" s="97" t="s">
        <v>395</v>
      </c>
      <c r="T6" s="97" t="s">
        <v>39</v>
      </c>
      <c r="U6" s="24"/>
    </row>
    <row r="7" spans="1:21" x14ac:dyDescent="0.35">
      <c r="B7">
        <v>3</v>
      </c>
      <c r="C7" s="24" t="s">
        <v>379</v>
      </c>
      <c r="D7" s="97" t="s">
        <v>394</v>
      </c>
      <c r="E7" s="97" t="s">
        <v>55</v>
      </c>
      <c r="F7" s="24">
        <v>1</v>
      </c>
      <c r="G7">
        <v>3</v>
      </c>
      <c r="H7" s="24" t="s">
        <v>128</v>
      </c>
      <c r="I7" s="97" t="s">
        <v>397</v>
      </c>
      <c r="J7" s="97" t="s">
        <v>0</v>
      </c>
      <c r="K7" s="24">
        <v>1</v>
      </c>
      <c r="L7">
        <v>3</v>
      </c>
      <c r="M7" s="24" t="s">
        <v>223</v>
      </c>
      <c r="N7" s="97" t="s">
        <v>67</v>
      </c>
      <c r="O7" s="97" t="s">
        <v>37</v>
      </c>
      <c r="P7" s="24">
        <v>1</v>
      </c>
      <c r="Q7">
        <v>3</v>
      </c>
      <c r="R7" s="24" t="s">
        <v>360</v>
      </c>
      <c r="S7" s="97" t="s">
        <v>395</v>
      </c>
      <c r="T7" s="97" t="s">
        <v>53</v>
      </c>
      <c r="U7" s="24"/>
    </row>
    <row r="8" spans="1:21" x14ac:dyDescent="0.35">
      <c r="B8">
        <v>4</v>
      </c>
      <c r="C8" s="24" t="s">
        <v>196</v>
      </c>
      <c r="D8" s="97" t="s">
        <v>66</v>
      </c>
      <c r="E8" s="97" t="s">
        <v>34</v>
      </c>
      <c r="F8" s="24">
        <v>1</v>
      </c>
      <c r="G8">
        <v>4</v>
      </c>
      <c r="H8" s="24" t="s">
        <v>305</v>
      </c>
      <c r="I8" s="97" t="s">
        <v>394</v>
      </c>
      <c r="J8" s="97" t="s">
        <v>46</v>
      </c>
      <c r="K8" s="24">
        <v>1</v>
      </c>
      <c r="L8">
        <v>4</v>
      </c>
      <c r="M8" s="24" t="s">
        <v>238</v>
      </c>
      <c r="N8" s="97" t="s">
        <v>395</v>
      </c>
      <c r="O8" s="97" t="s">
        <v>39</v>
      </c>
      <c r="P8" s="24">
        <v>1</v>
      </c>
      <c r="Q8">
        <v>4</v>
      </c>
      <c r="R8" s="24" t="s">
        <v>266</v>
      </c>
      <c r="S8" s="97" t="s">
        <v>395</v>
      </c>
      <c r="T8" s="97" t="s">
        <v>42</v>
      </c>
      <c r="U8" s="24"/>
    </row>
    <row r="9" spans="1:21" x14ac:dyDescent="0.35">
      <c r="B9">
        <v>5</v>
      </c>
      <c r="C9" s="24" t="s">
        <v>262</v>
      </c>
      <c r="D9" s="97" t="s">
        <v>66</v>
      </c>
      <c r="E9" s="97" t="s">
        <v>41</v>
      </c>
      <c r="F9" s="24">
        <v>1</v>
      </c>
      <c r="G9">
        <v>5</v>
      </c>
      <c r="H9" s="24" t="s">
        <v>1194</v>
      </c>
      <c r="I9" s="97" t="s">
        <v>397</v>
      </c>
      <c r="J9" s="97" t="s">
        <v>41</v>
      </c>
      <c r="K9" s="24">
        <v>1</v>
      </c>
      <c r="L9">
        <v>5</v>
      </c>
      <c r="M9" s="24" t="s">
        <v>272</v>
      </c>
      <c r="N9" s="97" t="s">
        <v>66</v>
      </c>
      <c r="O9" s="97" t="s">
        <v>42</v>
      </c>
      <c r="P9" s="24">
        <v>1</v>
      </c>
      <c r="Q9">
        <v>5</v>
      </c>
      <c r="R9" s="24" t="s">
        <v>514</v>
      </c>
      <c r="S9" s="97" t="s">
        <v>66</v>
      </c>
      <c r="T9" s="97" t="s">
        <v>36</v>
      </c>
      <c r="U9" s="24"/>
    </row>
    <row r="10" spans="1:21" x14ac:dyDescent="0.35">
      <c r="B10">
        <v>6</v>
      </c>
      <c r="C10" s="24" t="s">
        <v>143</v>
      </c>
      <c r="D10" s="97" t="s">
        <v>66</v>
      </c>
      <c r="E10" s="97" t="s">
        <v>16</v>
      </c>
      <c r="F10" s="24">
        <v>1</v>
      </c>
      <c r="G10">
        <v>6</v>
      </c>
      <c r="H10" s="24" t="s">
        <v>364</v>
      </c>
      <c r="I10" s="97" t="s">
        <v>66</v>
      </c>
      <c r="J10" s="97" t="s">
        <v>53</v>
      </c>
      <c r="K10" s="24">
        <v>1</v>
      </c>
      <c r="L10">
        <v>6</v>
      </c>
      <c r="M10" s="24" t="s">
        <v>203</v>
      </c>
      <c r="N10" s="97" t="s">
        <v>66</v>
      </c>
      <c r="O10" s="97" t="s">
        <v>35</v>
      </c>
      <c r="P10" s="24">
        <v>1</v>
      </c>
      <c r="Q10">
        <v>6</v>
      </c>
      <c r="R10" s="24" t="s">
        <v>141</v>
      </c>
      <c r="S10" s="97" t="s">
        <v>66</v>
      </c>
      <c r="T10" s="97" t="s">
        <v>29</v>
      </c>
      <c r="U10" s="24"/>
    </row>
    <row r="11" spans="1:21" x14ac:dyDescent="0.35">
      <c r="B11">
        <v>7</v>
      </c>
      <c r="C11" s="24" t="s">
        <v>1189</v>
      </c>
      <c r="D11" s="97" t="s">
        <v>397</v>
      </c>
      <c r="E11" s="97" t="s">
        <v>15</v>
      </c>
      <c r="F11" s="24">
        <v>1</v>
      </c>
      <c r="G11">
        <v>7</v>
      </c>
      <c r="H11" s="24" t="s">
        <v>186</v>
      </c>
      <c r="I11" s="97" t="s">
        <v>397</v>
      </c>
      <c r="J11" s="97" t="s">
        <v>33</v>
      </c>
      <c r="K11" s="24">
        <v>1</v>
      </c>
      <c r="L11">
        <v>7</v>
      </c>
      <c r="M11" s="24" t="s">
        <v>149</v>
      </c>
      <c r="N11" s="97" t="s">
        <v>67</v>
      </c>
      <c r="O11" s="97" t="s">
        <v>29</v>
      </c>
      <c r="P11" s="24">
        <v>1</v>
      </c>
      <c r="Q11">
        <v>7</v>
      </c>
      <c r="R11" s="24" t="s">
        <v>341</v>
      </c>
      <c r="S11" s="97" t="s">
        <v>67</v>
      </c>
      <c r="T11" s="97" t="s">
        <v>50</v>
      </c>
      <c r="U11" s="24"/>
    </row>
    <row r="12" spans="1:21" x14ac:dyDescent="0.35">
      <c r="B12">
        <v>8</v>
      </c>
      <c r="C12" s="24" t="s">
        <v>278</v>
      </c>
      <c r="D12" s="97" t="s">
        <v>397</v>
      </c>
      <c r="E12" s="97" t="s">
        <v>43</v>
      </c>
      <c r="F12" s="24">
        <v>1</v>
      </c>
      <c r="G12">
        <v>8</v>
      </c>
      <c r="H12" s="24" t="s">
        <v>323</v>
      </c>
      <c r="I12" s="97" t="s">
        <v>399</v>
      </c>
      <c r="J12" s="97" t="s">
        <v>48</v>
      </c>
      <c r="K12" s="24">
        <v>1</v>
      </c>
      <c r="L12">
        <v>8</v>
      </c>
      <c r="M12" s="24" t="s">
        <v>614</v>
      </c>
      <c r="N12" s="97" t="s">
        <v>397</v>
      </c>
      <c r="O12" s="97" t="s">
        <v>29</v>
      </c>
      <c r="P12" s="24">
        <v>1</v>
      </c>
      <c r="Q12">
        <v>8</v>
      </c>
      <c r="R12" s="24" t="s">
        <v>264</v>
      </c>
      <c r="S12" s="97" t="s">
        <v>67</v>
      </c>
      <c r="T12" s="97" t="s">
        <v>41</v>
      </c>
      <c r="U12" s="24"/>
    </row>
    <row r="13" spans="1:21" x14ac:dyDescent="0.35">
      <c r="B13">
        <v>9</v>
      </c>
      <c r="C13" s="24" t="s">
        <v>339</v>
      </c>
      <c r="D13" s="97" t="s">
        <v>397</v>
      </c>
      <c r="E13" s="97" t="s">
        <v>50</v>
      </c>
      <c r="F13" s="24">
        <v>1</v>
      </c>
      <c r="G13">
        <v>9</v>
      </c>
      <c r="H13" s="24" t="s">
        <v>167</v>
      </c>
      <c r="I13" s="97" t="s">
        <v>66</v>
      </c>
      <c r="J13" s="97" t="s">
        <v>31</v>
      </c>
      <c r="K13" s="24">
        <v>1</v>
      </c>
      <c r="L13">
        <v>9</v>
      </c>
      <c r="M13" s="24" t="s">
        <v>495</v>
      </c>
      <c r="N13" s="97" t="s">
        <v>398</v>
      </c>
      <c r="O13" s="97" t="s">
        <v>51</v>
      </c>
      <c r="P13" s="24">
        <v>1</v>
      </c>
      <c r="Q13">
        <v>9</v>
      </c>
      <c r="R13" s="24" t="s">
        <v>349</v>
      </c>
      <c r="S13" s="97" t="s">
        <v>67</v>
      </c>
      <c r="T13" s="97" t="s">
        <v>51</v>
      </c>
      <c r="U13" s="24"/>
    </row>
    <row r="14" spans="1:21" x14ac:dyDescent="0.35">
      <c r="B14">
        <v>10</v>
      </c>
      <c r="C14" s="24" t="s">
        <v>337</v>
      </c>
      <c r="D14" s="97" t="s">
        <v>395</v>
      </c>
      <c r="E14" s="97" t="s">
        <v>50</v>
      </c>
      <c r="F14" s="24">
        <v>1</v>
      </c>
      <c r="G14">
        <v>10</v>
      </c>
      <c r="H14" s="24" t="s">
        <v>1195</v>
      </c>
      <c r="I14" s="97" t="s">
        <v>397</v>
      </c>
      <c r="J14" s="97" t="s">
        <v>32</v>
      </c>
      <c r="K14" s="24">
        <v>1</v>
      </c>
      <c r="L14">
        <v>10</v>
      </c>
      <c r="M14" s="24" t="s">
        <v>166</v>
      </c>
      <c r="N14" s="97" t="s">
        <v>67</v>
      </c>
      <c r="O14" s="97" t="s">
        <v>31</v>
      </c>
      <c r="P14" s="24">
        <v>1</v>
      </c>
      <c r="Q14">
        <v>10</v>
      </c>
      <c r="R14" s="24" t="s">
        <v>221</v>
      </c>
      <c r="S14" s="97" t="s">
        <v>397</v>
      </c>
      <c r="T14" s="97" t="s">
        <v>37</v>
      </c>
      <c r="U14" s="24"/>
    </row>
    <row r="15" spans="1:21" x14ac:dyDescent="0.35">
      <c r="B15">
        <v>11</v>
      </c>
      <c r="C15" s="24" t="s">
        <v>355</v>
      </c>
      <c r="D15" s="97" t="s">
        <v>66</v>
      </c>
      <c r="E15" s="97" t="s">
        <v>52</v>
      </c>
      <c r="F15" s="24">
        <v>1</v>
      </c>
      <c r="G15">
        <v>11</v>
      </c>
      <c r="H15" s="24" t="s">
        <v>339</v>
      </c>
      <c r="I15" s="97" t="s">
        <v>397</v>
      </c>
      <c r="J15" s="97" t="s">
        <v>50</v>
      </c>
      <c r="K15" s="24">
        <v>1</v>
      </c>
      <c r="L15">
        <v>11</v>
      </c>
      <c r="M15" s="24" t="s">
        <v>143</v>
      </c>
      <c r="N15" s="97" t="s">
        <v>66</v>
      </c>
      <c r="O15" s="97" t="s">
        <v>16</v>
      </c>
      <c r="P15" s="24">
        <v>1</v>
      </c>
      <c r="Q15">
        <v>11</v>
      </c>
      <c r="R15" s="24"/>
      <c r="S15" s="97"/>
      <c r="T15" s="97"/>
      <c r="U15" s="24"/>
    </row>
    <row r="16" spans="1:21" x14ac:dyDescent="0.35">
      <c r="B16">
        <v>12</v>
      </c>
      <c r="C16" s="24" t="s">
        <v>270</v>
      </c>
      <c r="D16" s="97" t="s">
        <v>397</v>
      </c>
      <c r="E16" s="97" t="s">
        <v>42</v>
      </c>
      <c r="F16" s="24">
        <v>1</v>
      </c>
      <c r="G16">
        <v>12</v>
      </c>
      <c r="H16" s="24" t="s">
        <v>319</v>
      </c>
      <c r="I16" s="97" t="s">
        <v>66</v>
      </c>
      <c r="J16" s="97" t="s">
        <v>47</v>
      </c>
      <c r="K16" s="24">
        <v>1</v>
      </c>
      <c r="L16">
        <v>12</v>
      </c>
      <c r="M16" s="24" t="s">
        <v>323</v>
      </c>
      <c r="N16" s="97" t="s">
        <v>399</v>
      </c>
      <c r="O16" s="97" t="s">
        <v>48</v>
      </c>
      <c r="P16" s="24">
        <v>0</v>
      </c>
      <c r="Q16">
        <v>12</v>
      </c>
      <c r="R16" s="24"/>
      <c r="S16" s="97"/>
      <c r="T16" s="97"/>
      <c r="U16" s="24"/>
    </row>
    <row r="17" spans="2:21" x14ac:dyDescent="0.35">
      <c r="B17">
        <v>13</v>
      </c>
      <c r="C17" s="24" t="s">
        <v>213</v>
      </c>
      <c r="D17" s="97" t="s">
        <v>67</v>
      </c>
      <c r="E17" s="97" t="s">
        <v>36</v>
      </c>
      <c r="F17" s="24">
        <v>1</v>
      </c>
      <c r="G17">
        <v>13</v>
      </c>
      <c r="H17" s="24" t="s">
        <v>374</v>
      </c>
      <c r="I17" s="97" t="s">
        <v>67</v>
      </c>
      <c r="J17" s="97" t="s">
        <v>54</v>
      </c>
      <c r="K17" s="24">
        <v>1</v>
      </c>
      <c r="L17">
        <v>13</v>
      </c>
      <c r="M17" s="24" t="s">
        <v>112</v>
      </c>
      <c r="N17" s="97" t="s">
        <v>399</v>
      </c>
      <c r="O17" s="97" t="s">
        <v>29</v>
      </c>
      <c r="P17" s="24">
        <v>0</v>
      </c>
      <c r="Q17">
        <v>13</v>
      </c>
      <c r="R17" s="24"/>
      <c r="S17" s="97"/>
      <c r="T17" s="97"/>
      <c r="U17" s="24"/>
    </row>
    <row r="18" spans="2:21" x14ac:dyDescent="0.35">
      <c r="B18">
        <v>14</v>
      </c>
      <c r="C18" s="24" t="s">
        <v>369</v>
      </c>
      <c r="D18" s="97" t="s">
        <v>395</v>
      </c>
      <c r="E18" s="97" t="s">
        <v>54</v>
      </c>
      <c r="F18" s="24">
        <v>0</v>
      </c>
      <c r="G18">
        <v>14</v>
      </c>
      <c r="H18" s="24" t="s">
        <v>191</v>
      </c>
      <c r="I18" s="97" t="s">
        <v>399</v>
      </c>
      <c r="J18" s="97" t="s">
        <v>34</v>
      </c>
      <c r="K18" s="24">
        <v>1</v>
      </c>
      <c r="L18">
        <v>14</v>
      </c>
      <c r="M18" s="24" t="s">
        <v>1196</v>
      </c>
      <c r="N18" s="97" t="s">
        <v>399</v>
      </c>
      <c r="O18" s="97" t="s">
        <v>40</v>
      </c>
      <c r="P18" s="24">
        <v>0</v>
      </c>
      <c r="Q18">
        <v>14</v>
      </c>
      <c r="R18" s="24"/>
      <c r="S18" s="97"/>
      <c r="T18" s="97"/>
      <c r="U18" s="24"/>
    </row>
    <row r="19" spans="2:21" x14ac:dyDescent="0.35">
      <c r="B19">
        <v>15</v>
      </c>
      <c r="C19" s="24" t="s">
        <v>317</v>
      </c>
      <c r="D19" s="97" t="s">
        <v>397</v>
      </c>
      <c r="E19" s="97" t="s">
        <v>47</v>
      </c>
      <c r="F19" s="24">
        <v>0</v>
      </c>
      <c r="G19">
        <v>15</v>
      </c>
      <c r="H19" s="24" t="s">
        <v>212</v>
      </c>
      <c r="I19" s="97" t="s">
        <v>68</v>
      </c>
      <c r="J19" s="97" t="s">
        <v>36</v>
      </c>
      <c r="K19" s="24">
        <v>0</v>
      </c>
      <c r="L19">
        <v>15</v>
      </c>
      <c r="M19" s="24" t="s">
        <v>187</v>
      </c>
      <c r="N19" s="97" t="s">
        <v>67</v>
      </c>
      <c r="O19" s="97" t="s">
        <v>33</v>
      </c>
      <c r="P19" s="24">
        <v>0</v>
      </c>
      <c r="Q19">
        <v>15</v>
      </c>
      <c r="R19" s="24"/>
      <c r="S19" s="97"/>
      <c r="T19" s="97"/>
      <c r="U19" s="24"/>
    </row>
    <row r="20" spans="2:21" x14ac:dyDescent="0.35">
      <c r="B20">
        <v>16</v>
      </c>
      <c r="C20" s="24" t="s">
        <v>186</v>
      </c>
      <c r="D20" s="97" t="s">
        <v>397</v>
      </c>
      <c r="E20" s="97" t="s">
        <v>33</v>
      </c>
      <c r="F20" s="24">
        <v>0</v>
      </c>
      <c r="G20">
        <v>16</v>
      </c>
      <c r="H20" s="24" t="s">
        <v>289</v>
      </c>
      <c r="I20" s="97" t="s">
        <v>397</v>
      </c>
      <c r="J20" s="97" t="s">
        <v>44</v>
      </c>
      <c r="K20" s="24">
        <v>0</v>
      </c>
      <c r="L20">
        <v>16</v>
      </c>
      <c r="M20" s="24" t="s">
        <v>488</v>
      </c>
      <c r="N20" s="97" t="s">
        <v>397</v>
      </c>
      <c r="O20" s="97" t="s">
        <v>32</v>
      </c>
      <c r="P20" s="24">
        <v>0</v>
      </c>
      <c r="Q20">
        <v>16</v>
      </c>
      <c r="R20" s="24"/>
      <c r="S20" s="97"/>
      <c r="T20" s="97"/>
      <c r="U20" s="24"/>
    </row>
    <row r="21" spans="2:21" x14ac:dyDescent="0.35">
      <c r="B21">
        <v>17</v>
      </c>
      <c r="C21" s="24" t="s">
        <v>191</v>
      </c>
      <c r="D21" s="97" t="s">
        <v>399</v>
      </c>
      <c r="E21" s="97" t="s">
        <v>34</v>
      </c>
      <c r="F21" s="24">
        <v>0</v>
      </c>
      <c r="G21">
        <v>17</v>
      </c>
      <c r="H21" s="24" t="s">
        <v>221</v>
      </c>
      <c r="I21" s="97" t="s">
        <v>397</v>
      </c>
      <c r="J21" s="97" t="s">
        <v>37</v>
      </c>
      <c r="K21" s="24">
        <v>0</v>
      </c>
      <c r="L21">
        <v>17</v>
      </c>
      <c r="M21" s="24" t="s">
        <v>308</v>
      </c>
      <c r="N21" s="97" t="s">
        <v>398</v>
      </c>
      <c r="O21" s="97" t="s">
        <v>46</v>
      </c>
      <c r="P21" s="24">
        <v>0</v>
      </c>
      <c r="Q21">
        <v>17</v>
      </c>
      <c r="R21" s="24"/>
      <c r="S21" s="97"/>
      <c r="T21" s="97"/>
      <c r="U21" s="24"/>
    </row>
    <row r="22" spans="2:21" x14ac:dyDescent="0.35">
      <c r="B22">
        <v>18</v>
      </c>
      <c r="C22" s="24" t="s">
        <v>203</v>
      </c>
      <c r="D22" s="97" t="s">
        <v>66</v>
      </c>
      <c r="E22" s="97" t="s">
        <v>35</v>
      </c>
      <c r="F22" s="24">
        <v>0</v>
      </c>
      <c r="G22">
        <v>18</v>
      </c>
      <c r="H22" s="24" t="s">
        <v>138</v>
      </c>
      <c r="I22" s="97" t="s">
        <v>66</v>
      </c>
      <c r="J22" s="97" t="s">
        <v>15</v>
      </c>
      <c r="K22" s="24">
        <v>0</v>
      </c>
      <c r="L22">
        <v>18</v>
      </c>
      <c r="M22" s="24" t="s">
        <v>134</v>
      </c>
      <c r="N22" s="97" t="s">
        <v>397</v>
      </c>
      <c r="O22" s="97" t="s">
        <v>16</v>
      </c>
      <c r="P22" s="24">
        <v>0</v>
      </c>
      <c r="Q22">
        <v>18</v>
      </c>
      <c r="R22" s="24"/>
      <c r="S22" s="97"/>
      <c r="T22" s="97"/>
      <c r="U22" s="24"/>
    </row>
    <row r="23" spans="2:21" x14ac:dyDescent="0.35">
      <c r="B23">
        <v>19</v>
      </c>
      <c r="C23" s="24" t="s">
        <v>134</v>
      </c>
      <c r="D23" s="97" t="s">
        <v>398</v>
      </c>
      <c r="E23" s="97" t="s">
        <v>16</v>
      </c>
      <c r="F23" s="24">
        <v>0</v>
      </c>
      <c r="G23">
        <v>19</v>
      </c>
      <c r="H23" s="24" t="s">
        <v>286</v>
      </c>
      <c r="I23" s="97" t="s">
        <v>395</v>
      </c>
      <c r="J23" s="97" t="s">
        <v>44</v>
      </c>
      <c r="K23" s="24">
        <v>0</v>
      </c>
      <c r="L23">
        <v>19</v>
      </c>
      <c r="M23" s="24" t="s">
        <v>115</v>
      </c>
      <c r="N23" s="97" t="s">
        <v>395</v>
      </c>
      <c r="O23" s="97" t="s">
        <v>16</v>
      </c>
      <c r="P23" s="24">
        <v>0</v>
      </c>
      <c r="Q23">
        <v>19</v>
      </c>
      <c r="R23" s="24"/>
      <c r="S23" s="97"/>
      <c r="T23" s="97"/>
      <c r="U23" s="24"/>
    </row>
    <row r="24" spans="2:21" x14ac:dyDescent="0.35">
      <c r="B24">
        <v>20</v>
      </c>
      <c r="C24" s="24" t="s">
        <v>199</v>
      </c>
      <c r="D24" s="97" t="s">
        <v>399</v>
      </c>
      <c r="E24" s="97" t="s">
        <v>35</v>
      </c>
      <c r="F24" s="24">
        <v>0</v>
      </c>
      <c r="G24">
        <v>20</v>
      </c>
      <c r="H24" s="24" t="s">
        <v>136</v>
      </c>
      <c r="I24" s="97" t="s">
        <v>67</v>
      </c>
      <c r="J24" s="97" t="s">
        <v>51</v>
      </c>
      <c r="K24" s="24">
        <v>0</v>
      </c>
      <c r="L24">
        <v>20</v>
      </c>
      <c r="M24" s="24" t="s">
        <v>156</v>
      </c>
      <c r="N24" s="97" t="s">
        <v>66</v>
      </c>
      <c r="O24" s="97" t="s">
        <v>30</v>
      </c>
      <c r="P24" s="24">
        <v>0</v>
      </c>
      <c r="Q24">
        <v>20</v>
      </c>
      <c r="R24" s="24"/>
      <c r="S24" s="97"/>
      <c r="T24" s="97"/>
      <c r="U24" s="24"/>
    </row>
    <row r="25" spans="2:21" x14ac:dyDescent="0.35">
      <c r="C25" s="198">
        <f>SUM(F5:F24)/COUNTA(C5:C24)</f>
        <v>0.65</v>
      </c>
      <c r="D25" s="198"/>
      <c r="E25" s="198"/>
      <c r="F25" s="198"/>
      <c r="H25" s="198">
        <f>SUM(K5:K24)/COUNTA(H5:H24)</f>
        <v>0.7</v>
      </c>
      <c r="I25" s="198"/>
      <c r="J25" s="198"/>
      <c r="K25" s="198"/>
      <c r="M25" s="198">
        <f>SUM(P5:P24)/COUNTA(M5:M24)</f>
        <v>0.55000000000000004</v>
      </c>
      <c r="N25" s="198"/>
      <c r="O25" s="198"/>
      <c r="P25" s="198"/>
      <c r="R25" s="198">
        <f>SUM(U5:U24)/COUNTA(R5:R24)</f>
        <v>0</v>
      </c>
      <c r="S25" s="198"/>
      <c r="T25" s="198"/>
      <c r="U25" s="198"/>
    </row>
  </sheetData>
  <sortState xmlns:xlrd2="http://schemas.microsoft.com/office/spreadsheetml/2017/richdata2" ref="M5:P24">
    <sortCondition descending="1" ref="P5:P24"/>
  </sortState>
  <mergeCells count="9">
    <mergeCell ref="A1:B2"/>
    <mergeCell ref="H4:K4"/>
    <mergeCell ref="H25:K25"/>
    <mergeCell ref="R4:U4"/>
    <mergeCell ref="R25:U25"/>
    <mergeCell ref="M4:P4"/>
    <mergeCell ref="M25:P25"/>
    <mergeCell ref="C25:F25"/>
    <mergeCell ref="C4:F4"/>
  </mergeCells>
  <conditionalFormatting sqref="C25:F25 H25:K25 M25:P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24">
    <cfRule type="cellIs" dxfId="4321" priority="350" operator="equal">
      <formula>"TE4"</formula>
    </cfRule>
    <cfRule type="cellIs" dxfId="4320" priority="351" operator="equal">
      <formula>"WR4"</formula>
    </cfRule>
    <cfRule type="cellIs" dxfId="4319" priority="352" operator="equal">
      <formula>"RB4"</formula>
    </cfRule>
    <cfRule type="cellIs" dxfId="4318" priority="353" operator="equal">
      <formula>"QB4"</formula>
    </cfRule>
    <cfRule type="cellIs" dxfId="4317" priority="358" operator="equal">
      <formula>"TE2"</formula>
    </cfRule>
    <cfRule type="cellIs" dxfId="4316" priority="354" operator="equal">
      <formula>"TE3"</formula>
    </cfRule>
    <cfRule type="cellIs" dxfId="4315" priority="355" operator="equal">
      <formula>"WR3"</formula>
    </cfRule>
    <cfRule type="cellIs" dxfId="4314" priority="357" operator="equal">
      <formula>"QB3"</formula>
    </cfRule>
    <cfRule type="cellIs" dxfId="4313" priority="356" operator="equal">
      <formula>"RB3"</formula>
    </cfRule>
    <cfRule type="cellIs" dxfId="4312" priority="347" operator="equal">
      <formula>"WR5"</formula>
    </cfRule>
    <cfRule type="cellIs" dxfId="4311" priority="365" operator="equal">
      <formula>"QB1"</formula>
    </cfRule>
    <cfRule type="cellIs" dxfId="4310" priority="364" operator="equal">
      <formula>"RB1"</formula>
    </cfRule>
    <cfRule type="cellIs" dxfId="4309" priority="363" operator="equal">
      <formula>"WR1"</formula>
    </cfRule>
    <cfRule type="cellIs" dxfId="4308" priority="362" operator="equal">
      <formula>"TE1"</formula>
    </cfRule>
    <cfRule type="cellIs" dxfId="4307" priority="361" operator="equal">
      <formula>"QB2"</formula>
    </cfRule>
    <cfRule type="cellIs" dxfId="4306" priority="360" operator="equal">
      <formula>"RB2"</formula>
    </cfRule>
    <cfRule type="cellIs" dxfId="4305" priority="359" operator="equal">
      <formula>"WR2"</formula>
    </cfRule>
    <cfRule type="cellIs" dxfId="4304" priority="345" operator="equal">
      <formula>"WR6"</formula>
    </cfRule>
    <cfRule type="cellIs" dxfId="4303" priority="341" operator="equal">
      <formula>"d/st"</formula>
    </cfRule>
    <cfRule type="cellIs" dxfId="4302" priority="342" operator="equal">
      <formula>"WR9"</formula>
    </cfRule>
    <cfRule type="cellIs" dxfId="4301" priority="343" operator="equal">
      <formula>"WR8"</formula>
    </cfRule>
    <cfRule type="cellIs" dxfId="4300" priority="344" operator="equal">
      <formula>"WR7"</formula>
    </cfRule>
    <cfRule type="cellIs" dxfId="4299" priority="346" operator="equal">
      <formula>"TE5"</formula>
    </cfRule>
    <cfRule type="cellIs" dxfId="4298" priority="348" operator="equal">
      <formula>"RB5"</formula>
    </cfRule>
    <cfRule type="cellIs" dxfId="4297" priority="349" operator="equal">
      <formula>"QB5"</formula>
    </cfRule>
  </conditionalFormatting>
  <conditionalFormatting sqref="E5:E24">
    <cfRule type="cellIs" dxfId="4296" priority="279" operator="equal">
      <formula>"PIT"</formula>
    </cfRule>
    <cfRule type="cellIs" dxfId="4295" priority="278" operator="equal">
      <formula>"MIN"</formula>
    </cfRule>
    <cfRule type="cellIs" dxfId="4294" priority="277" operator="equal">
      <formula>"NE"</formula>
    </cfRule>
    <cfRule type="cellIs" dxfId="4293" priority="276" operator="equal">
      <formula>"LV"</formula>
    </cfRule>
    <cfRule type="cellIs" dxfId="4292" priority="292" operator="equal">
      <formula>"JAX"</formula>
    </cfRule>
    <cfRule type="cellIs" dxfId="4291" priority="275" operator="equal">
      <formula>"BYE"</formula>
    </cfRule>
    <cfRule type="cellIs" dxfId="4290" priority="291" operator="equal">
      <formula>"ATL"</formula>
    </cfRule>
    <cfRule type="cellIs" dxfId="4289" priority="289" operator="equal">
      <formula>"LAC"</formula>
    </cfRule>
    <cfRule type="cellIs" dxfId="4288" priority="288" operator="equal">
      <formula>"SEA"</formula>
    </cfRule>
    <cfRule type="cellIs" dxfId="4287" priority="287" operator="equal">
      <formula>"NYJ"</formula>
    </cfRule>
    <cfRule type="cellIs" dxfId="4286" priority="286" operator="equal">
      <formula>"CLE"</formula>
    </cfRule>
    <cfRule type="cellIs" dxfId="4285" priority="285" operator="equal">
      <formula>"TB"</formula>
    </cfRule>
    <cfRule type="cellIs" dxfId="4284" priority="284" operator="equal">
      <formula>"TEN"</formula>
    </cfRule>
    <cfRule type="cellIs" dxfId="4283" priority="283" operator="equal">
      <formula>"NO"</formula>
    </cfRule>
    <cfRule type="cellIs" dxfId="4282" priority="281" operator="equal">
      <formula>"CAR"</formula>
    </cfRule>
    <cfRule type="cellIs" dxfId="4281" priority="280" operator="equal">
      <formula>"DEN"</formula>
    </cfRule>
    <cfRule type="cellIs" dxfId="4280" priority="282" operator="equal">
      <formula>"NYG"</formula>
    </cfRule>
    <cfRule type="cellIs" dxfId="4279" priority="290" operator="equal">
      <formula>"LAR"</formula>
    </cfRule>
    <cfRule type="cellIs" dxfId="4278" priority="307" operator="equal">
      <formula>"BUF"</formula>
    </cfRule>
    <cfRule type="cellIs" dxfId="4277" priority="306" operator="equal">
      <formula>"PHI"</formula>
    </cfRule>
    <cfRule type="cellIs" dxfId="4276" priority="305" operator="equal">
      <formula>"BAL"</formula>
    </cfRule>
    <cfRule type="cellIs" dxfId="4275" priority="304" operator="equal">
      <formula>"KC"</formula>
    </cfRule>
    <cfRule type="cellIs" dxfId="4274" priority="303" operator="equal">
      <formula>"IND"</formula>
    </cfRule>
    <cfRule type="cellIs" dxfId="4273" priority="302" operator="equal">
      <formula>"HOU"</formula>
    </cfRule>
    <cfRule type="cellIs" dxfId="4272" priority="301" operator="equal">
      <formula>"ARI"</formula>
    </cfRule>
    <cfRule type="cellIs" dxfId="4271" priority="300" operator="equal">
      <formula>"CIN"</formula>
    </cfRule>
    <cfRule type="cellIs" dxfId="4270" priority="299" operator="equal">
      <formula>"DAL"</formula>
    </cfRule>
    <cfRule type="cellIs" dxfId="4269" priority="298" operator="equal">
      <formula>"GB"</formula>
    </cfRule>
    <cfRule type="cellIs" dxfId="4268" priority="297" operator="equal">
      <formula>"WAS"</formula>
    </cfRule>
    <cfRule type="cellIs" dxfId="4267" priority="296" operator="equal">
      <formula>"SF"</formula>
    </cfRule>
    <cfRule type="cellIs" dxfId="4266" priority="295" operator="equal">
      <formula>"DET"</formula>
    </cfRule>
    <cfRule type="cellIs" dxfId="4265" priority="294" operator="equal">
      <formula>"MIA"</formula>
    </cfRule>
    <cfRule type="cellIs" dxfId="4264" priority="293" operator="equal">
      <formula>"CHI"</formula>
    </cfRule>
  </conditionalFormatting>
  <conditionalFormatting sqref="F5:F24">
    <cfRule type="iconSet" priority="400">
      <iconSet iconSet="3Symbols" showValue="0">
        <cfvo type="percent" val="0"/>
        <cfvo type="percent" val="33"/>
        <cfvo type="percent" val="67"/>
      </iconSet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24 M5:M24 C5:C24">
    <cfRule type="duplicateValues" dxfId="4263" priority="394"/>
  </conditionalFormatting>
  <conditionalFormatting sqref="I5:I24">
    <cfRule type="cellIs" dxfId="4262" priority="251" operator="equal">
      <formula>"WR9"</formula>
    </cfRule>
    <cfRule type="cellIs" dxfId="4261" priority="274" operator="equal">
      <formula>"QB1"</formula>
    </cfRule>
    <cfRule type="cellIs" dxfId="4260" priority="273" operator="equal">
      <formula>"RB1"</formula>
    </cfRule>
    <cfRule type="cellIs" dxfId="4259" priority="272" operator="equal">
      <formula>"WR1"</formula>
    </cfRule>
    <cfRule type="cellIs" dxfId="4258" priority="270" operator="equal">
      <formula>"QB2"</formula>
    </cfRule>
    <cfRule type="cellIs" dxfId="4257" priority="269" operator="equal">
      <formula>"RB2"</formula>
    </cfRule>
    <cfRule type="cellIs" dxfId="4256" priority="268" operator="equal">
      <formula>"WR2"</formula>
    </cfRule>
    <cfRule type="cellIs" dxfId="4255" priority="267" operator="equal">
      <formula>"TE2"</formula>
    </cfRule>
    <cfRule type="cellIs" dxfId="4254" priority="266" operator="equal">
      <formula>"QB3"</formula>
    </cfRule>
    <cfRule type="cellIs" dxfId="4253" priority="265" operator="equal">
      <formula>"RB3"</formula>
    </cfRule>
    <cfRule type="cellIs" dxfId="4252" priority="264" operator="equal">
      <formula>"WR3"</formula>
    </cfRule>
    <cfRule type="cellIs" dxfId="4251" priority="259" operator="equal">
      <formula>"TE4"</formula>
    </cfRule>
    <cfRule type="cellIs" dxfId="4250" priority="260" operator="equal">
      <formula>"WR4"</formula>
    </cfRule>
    <cfRule type="cellIs" dxfId="4249" priority="261" operator="equal">
      <formula>"RB4"</formula>
    </cfRule>
    <cfRule type="cellIs" dxfId="4248" priority="262" operator="equal">
      <formula>"QB4"</formula>
    </cfRule>
    <cfRule type="cellIs" dxfId="4247" priority="271" operator="equal">
      <formula>"TE1"</formula>
    </cfRule>
    <cfRule type="cellIs" dxfId="4246" priority="250" operator="equal">
      <formula>"d/st"</formula>
    </cfRule>
    <cfRule type="cellIs" dxfId="4245" priority="252" operator="equal">
      <formula>"WR8"</formula>
    </cfRule>
    <cfRule type="cellIs" dxfId="4244" priority="253" operator="equal">
      <formula>"WR7"</formula>
    </cfRule>
    <cfRule type="cellIs" dxfId="4243" priority="254" operator="equal">
      <formula>"WR6"</formula>
    </cfRule>
    <cfRule type="cellIs" dxfId="4242" priority="255" operator="equal">
      <formula>"TE5"</formula>
    </cfRule>
    <cfRule type="cellIs" dxfId="4241" priority="256" operator="equal">
      <formula>"WR5"</formula>
    </cfRule>
    <cfRule type="cellIs" dxfId="4240" priority="257" operator="equal">
      <formula>"RB5"</formula>
    </cfRule>
    <cfRule type="cellIs" dxfId="4239" priority="263" operator="equal">
      <formula>"TE3"</formula>
    </cfRule>
    <cfRule type="cellIs" dxfId="4238" priority="258" operator="equal">
      <formula>"QB5"</formula>
    </cfRule>
  </conditionalFormatting>
  <conditionalFormatting sqref="J5:J24">
    <cfRule type="cellIs" dxfId="4237" priority="187" operator="equal">
      <formula>"MIN"</formula>
    </cfRule>
    <cfRule type="cellIs" dxfId="4236" priority="188" operator="equal">
      <formula>"PIT"</formula>
    </cfRule>
    <cfRule type="cellIs" dxfId="4235" priority="189" operator="equal">
      <formula>"DEN"</formula>
    </cfRule>
    <cfRule type="cellIs" dxfId="4234" priority="190" operator="equal">
      <formula>"CAR"</formula>
    </cfRule>
    <cfRule type="cellIs" dxfId="4233" priority="191" operator="equal">
      <formula>"NYG"</formula>
    </cfRule>
    <cfRule type="cellIs" dxfId="4232" priority="192" operator="equal">
      <formula>"NO"</formula>
    </cfRule>
    <cfRule type="cellIs" dxfId="4231" priority="193" operator="equal">
      <formula>"TEN"</formula>
    </cfRule>
    <cfRule type="cellIs" dxfId="4230" priority="194" operator="equal">
      <formula>"TB"</formula>
    </cfRule>
    <cfRule type="cellIs" dxfId="4229" priority="195" operator="equal">
      <formula>"CLE"</formula>
    </cfRule>
    <cfRule type="cellIs" dxfId="4228" priority="196" operator="equal">
      <formula>"NYJ"</formula>
    </cfRule>
    <cfRule type="cellIs" dxfId="4227" priority="197" operator="equal">
      <formula>"SEA"</formula>
    </cfRule>
    <cfRule type="cellIs" dxfId="4226" priority="198" operator="equal">
      <formula>"LAC"</formula>
    </cfRule>
    <cfRule type="cellIs" dxfId="4225" priority="199" operator="equal">
      <formula>"LAR"</formula>
    </cfRule>
    <cfRule type="cellIs" dxfId="4224" priority="200" operator="equal">
      <formula>"ATL"</formula>
    </cfRule>
    <cfRule type="cellIs" dxfId="4223" priority="201" operator="equal">
      <formula>"JAX"</formula>
    </cfRule>
    <cfRule type="cellIs" dxfId="4222" priority="202" operator="equal">
      <formula>"CHI"</formula>
    </cfRule>
    <cfRule type="cellIs" dxfId="4221" priority="203" operator="equal">
      <formula>"MIA"</formula>
    </cfRule>
    <cfRule type="cellIs" dxfId="4220" priority="204" operator="equal">
      <formula>"DET"</formula>
    </cfRule>
    <cfRule type="cellIs" dxfId="4219" priority="205" operator="equal">
      <formula>"SF"</formula>
    </cfRule>
    <cfRule type="cellIs" dxfId="4218" priority="206" operator="equal">
      <formula>"WAS"</formula>
    </cfRule>
    <cfRule type="cellIs" dxfId="4217" priority="207" operator="equal">
      <formula>"GB"</formula>
    </cfRule>
    <cfRule type="cellIs" dxfId="4216" priority="208" operator="equal">
      <formula>"DAL"</formula>
    </cfRule>
    <cfRule type="cellIs" dxfId="4215" priority="209" operator="equal">
      <formula>"CIN"</formula>
    </cfRule>
    <cfRule type="cellIs" dxfId="4214" priority="210" operator="equal">
      <formula>"ARI"</formula>
    </cfRule>
    <cfRule type="cellIs" dxfId="4213" priority="211" operator="equal">
      <formula>"HOU"</formula>
    </cfRule>
    <cfRule type="cellIs" dxfId="4212" priority="212" operator="equal">
      <formula>"IND"</formula>
    </cfRule>
    <cfRule type="cellIs" dxfId="4211" priority="213" operator="equal">
      <formula>"KC"</formula>
    </cfRule>
    <cfRule type="cellIs" dxfId="4210" priority="214" operator="equal">
      <formula>"BAL"</formula>
    </cfRule>
    <cfRule type="cellIs" dxfId="4209" priority="215" operator="equal">
      <formula>"PHI"</formula>
    </cfRule>
    <cfRule type="cellIs" dxfId="4208" priority="216" operator="equal">
      <formula>"BUF"</formula>
    </cfRule>
    <cfRule type="cellIs" dxfId="4207" priority="184" operator="equal">
      <formula>"BYE"</formula>
    </cfRule>
    <cfRule type="cellIs" dxfId="4206" priority="185" operator="equal">
      <formula>"LV"</formula>
    </cfRule>
    <cfRule type="cellIs" dxfId="4205" priority="186" operator="equal">
      <formula>"NE"</formula>
    </cfRule>
  </conditionalFormatting>
  <conditionalFormatting sqref="K5:K24">
    <cfRule type="iconSet" priority="398">
      <iconSet iconSet="3Symbols" showValue="0">
        <cfvo type="percent" val="0"/>
        <cfvo type="percent" val="33"/>
        <cfvo type="percent" val="67"/>
      </iconSet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24">
    <cfRule type="cellIs" dxfId="4204" priority="183" operator="equal">
      <formula>"QB1"</formula>
    </cfRule>
    <cfRule type="cellIs" dxfId="4203" priority="180" operator="equal">
      <formula>"TE1"</formula>
    </cfRule>
    <cfRule type="cellIs" dxfId="4202" priority="181" operator="equal">
      <formula>"WR1"</formula>
    </cfRule>
    <cfRule type="cellIs" dxfId="4201" priority="182" operator="equal">
      <formula>"RB1"</formula>
    </cfRule>
    <cfRule type="cellIs" dxfId="4200" priority="176" operator="equal">
      <formula>"TE2"</formula>
    </cfRule>
    <cfRule type="cellIs" dxfId="4199" priority="166" operator="equal">
      <formula>"RB5"</formula>
    </cfRule>
    <cfRule type="cellIs" dxfId="4198" priority="179" operator="equal">
      <formula>"QB2"</formula>
    </cfRule>
    <cfRule type="cellIs" dxfId="4197" priority="178" operator="equal">
      <formula>"RB2"</formula>
    </cfRule>
    <cfRule type="cellIs" dxfId="4196" priority="177" operator="equal">
      <formula>"WR2"</formula>
    </cfRule>
    <cfRule type="cellIs" dxfId="4195" priority="175" operator="equal">
      <formula>"QB3"</formula>
    </cfRule>
    <cfRule type="cellIs" dxfId="4194" priority="174" operator="equal">
      <formula>"RB3"</formula>
    </cfRule>
    <cfRule type="cellIs" dxfId="4193" priority="173" operator="equal">
      <formula>"WR3"</formula>
    </cfRule>
    <cfRule type="cellIs" dxfId="4192" priority="172" operator="equal">
      <formula>"TE3"</formula>
    </cfRule>
    <cfRule type="cellIs" dxfId="4191" priority="171" operator="equal">
      <formula>"QB4"</formula>
    </cfRule>
    <cfRule type="cellIs" dxfId="4190" priority="170" operator="equal">
      <formula>"RB4"</formula>
    </cfRule>
    <cfRule type="cellIs" dxfId="4189" priority="169" operator="equal">
      <formula>"WR4"</formula>
    </cfRule>
    <cfRule type="cellIs" dxfId="4188" priority="168" operator="equal">
      <formula>"TE4"</formula>
    </cfRule>
    <cfRule type="cellIs" dxfId="4187" priority="167" operator="equal">
      <formula>"QB5"</formula>
    </cfRule>
    <cfRule type="cellIs" dxfId="4186" priority="165" operator="equal">
      <formula>"WR5"</formula>
    </cfRule>
    <cfRule type="cellIs" dxfId="4185" priority="164" operator="equal">
      <formula>"TE5"</formula>
    </cfRule>
    <cfRule type="cellIs" dxfId="4184" priority="163" operator="equal">
      <formula>"WR6"</formula>
    </cfRule>
    <cfRule type="cellIs" dxfId="4183" priority="162" operator="equal">
      <formula>"WR7"</formula>
    </cfRule>
    <cfRule type="cellIs" dxfId="4182" priority="161" operator="equal">
      <formula>"WR8"</formula>
    </cfRule>
    <cfRule type="cellIs" dxfId="4181" priority="160" operator="equal">
      <formula>"WR9"</formula>
    </cfRule>
    <cfRule type="cellIs" dxfId="4180" priority="159" operator="equal">
      <formula>"d/st"</formula>
    </cfRule>
  </conditionalFormatting>
  <conditionalFormatting sqref="O5:O24">
    <cfRule type="cellIs" dxfId="4179" priority="115" operator="equal">
      <formula>"WAS"</formula>
    </cfRule>
    <cfRule type="cellIs" dxfId="4178" priority="116" operator="equal">
      <formula>"GB"</formula>
    </cfRule>
    <cfRule type="cellIs" dxfId="4177" priority="117" operator="equal">
      <formula>"DAL"</formula>
    </cfRule>
    <cfRule type="cellIs" dxfId="4176" priority="118" operator="equal">
      <formula>"CIN"</formula>
    </cfRule>
    <cfRule type="cellIs" dxfId="4175" priority="96" operator="equal">
      <formula>"MIN"</formula>
    </cfRule>
    <cfRule type="cellIs" dxfId="4174" priority="94" operator="equal">
      <formula>"LV"</formula>
    </cfRule>
    <cfRule type="cellIs" dxfId="4173" priority="93" operator="equal">
      <formula>"BYE"</formula>
    </cfRule>
    <cfRule type="cellIs" dxfId="4172" priority="95" operator="equal">
      <formula>"NE"</formula>
    </cfRule>
    <cfRule type="cellIs" dxfId="4171" priority="125" operator="equal">
      <formula>"BUF"</formula>
    </cfRule>
    <cfRule type="cellIs" dxfId="4170" priority="97" operator="equal">
      <formula>"PIT"</formula>
    </cfRule>
    <cfRule type="cellIs" dxfId="4169" priority="98" operator="equal">
      <formula>"DEN"</formula>
    </cfRule>
    <cfRule type="cellIs" dxfId="4168" priority="99" operator="equal">
      <formula>"CAR"</formula>
    </cfRule>
    <cfRule type="cellIs" dxfId="4167" priority="100" operator="equal">
      <formula>"NYG"</formula>
    </cfRule>
    <cfRule type="cellIs" dxfId="4166" priority="101" operator="equal">
      <formula>"NO"</formula>
    </cfRule>
    <cfRule type="cellIs" dxfId="4165" priority="102" operator="equal">
      <formula>"TEN"</formula>
    </cfRule>
    <cfRule type="cellIs" dxfId="4164" priority="103" operator="equal">
      <formula>"TB"</formula>
    </cfRule>
    <cfRule type="cellIs" dxfId="4163" priority="119" operator="equal">
      <formula>"ARI"</formula>
    </cfRule>
    <cfRule type="cellIs" dxfId="4162" priority="104" operator="equal">
      <formula>"CLE"</formula>
    </cfRule>
    <cfRule type="cellIs" dxfId="4161" priority="105" operator="equal">
      <formula>"NYJ"</formula>
    </cfRule>
    <cfRule type="cellIs" dxfId="4160" priority="106" operator="equal">
      <formula>"SEA"</formula>
    </cfRule>
    <cfRule type="cellIs" dxfId="4159" priority="107" operator="equal">
      <formula>"LAC"</formula>
    </cfRule>
    <cfRule type="cellIs" dxfId="4158" priority="108" operator="equal">
      <formula>"LAR"</formula>
    </cfRule>
    <cfRule type="cellIs" dxfId="4157" priority="109" operator="equal">
      <formula>"ATL"</formula>
    </cfRule>
    <cfRule type="cellIs" dxfId="4156" priority="110" operator="equal">
      <formula>"JAX"</formula>
    </cfRule>
    <cfRule type="cellIs" dxfId="4155" priority="111" operator="equal">
      <formula>"CHI"</formula>
    </cfRule>
    <cfRule type="cellIs" dxfId="4154" priority="112" operator="equal">
      <formula>"MIA"</formula>
    </cfRule>
    <cfRule type="cellIs" dxfId="4153" priority="124" operator="equal">
      <formula>"PHI"</formula>
    </cfRule>
    <cfRule type="cellIs" dxfId="4152" priority="123" operator="equal">
      <formula>"BAL"</formula>
    </cfRule>
    <cfRule type="cellIs" dxfId="4151" priority="122" operator="equal">
      <formula>"KC"</formula>
    </cfRule>
    <cfRule type="cellIs" dxfId="4150" priority="121" operator="equal">
      <formula>"IND"</formula>
    </cfRule>
    <cfRule type="cellIs" dxfId="4149" priority="120" operator="equal">
      <formula>"HOU"</formula>
    </cfRule>
    <cfRule type="cellIs" dxfId="4148" priority="113" operator="equal">
      <formula>"DET"</formula>
    </cfRule>
    <cfRule type="cellIs" dxfId="4147" priority="114" operator="equal">
      <formula>"SF"</formula>
    </cfRule>
  </conditionalFormatting>
  <conditionalFormatting sqref="P5:P24"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396">
      <iconSet iconSet="3Symbols" showValue="0">
        <cfvo type="percent" val="0"/>
        <cfvo type="percent" val="33"/>
        <cfvo type="percent" val="67"/>
      </iconSet>
    </cfRule>
  </conditionalFormatting>
  <conditionalFormatting sqref="R5:R24">
    <cfRule type="duplicateValues" dxfId="4146" priority="391"/>
  </conditionalFormatting>
  <conditionalFormatting sqref="S5:S24">
    <cfRule type="cellIs" dxfId="4145" priority="91" operator="equal">
      <formula>"RB1"</formula>
    </cfRule>
    <cfRule type="cellIs" dxfId="4144" priority="90" operator="equal">
      <formula>"WR1"</formula>
    </cfRule>
    <cfRule type="cellIs" dxfId="4143" priority="89" operator="equal">
      <formula>"TE1"</formula>
    </cfRule>
    <cfRule type="cellIs" dxfId="4142" priority="88" operator="equal">
      <formula>"QB2"</formula>
    </cfRule>
    <cfRule type="cellIs" dxfId="4141" priority="87" operator="equal">
      <formula>"RB2"</formula>
    </cfRule>
    <cfRule type="cellIs" dxfId="4140" priority="86" operator="equal">
      <formula>"WR2"</formula>
    </cfRule>
    <cfRule type="cellIs" dxfId="4139" priority="85" operator="equal">
      <formula>"TE2"</formula>
    </cfRule>
    <cfRule type="cellIs" dxfId="4138" priority="84" operator="equal">
      <formula>"QB3"</formula>
    </cfRule>
    <cfRule type="cellIs" dxfId="4137" priority="83" operator="equal">
      <formula>"RB3"</formula>
    </cfRule>
    <cfRule type="cellIs" dxfId="4136" priority="82" operator="equal">
      <formula>"WR3"</formula>
    </cfRule>
    <cfRule type="cellIs" dxfId="4135" priority="81" operator="equal">
      <formula>"TE3"</formula>
    </cfRule>
    <cfRule type="cellIs" dxfId="4134" priority="80" operator="equal">
      <formula>"QB4"</formula>
    </cfRule>
    <cfRule type="cellIs" dxfId="4133" priority="79" operator="equal">
      <formula>"RB4"</formula>
    </cfRule>
    <cfRule type="cellIs" dxfId="4132" priority="78" operator="equal">
      <formula>"WR4"</formula>
    </cfRule>
    <cfRule type="cellIs" dxfId="4131" priority="77" operator="equal">
      <formula>"TE4"</formula>
    </cfRule>
    <cfRule type="cellIs" dxfId="4130" priority="76" operator="equal">
      <formula>"QB5"</formula>
    </cfRule>
    <cfRule type="cellIs" dxfId="4129" priority="75" operator="equal">
      <formula>"RB5"</formula>
    </cfRule>
    <cfRule type="cellIs" dxfId="4128" priority="73" operator="equal">
      <formula>"TE5"</formula>
    </cfRule>
    <cfRule type="cellIs" dxfId="4127" priority="72" operator="equal">
      <formula>"WR6"</formula>
    </cfRule>
    <cfRule type="cellIs" dxfId="4126" priority="71" operator="equal">
      <formula>"WR7"</formula>
    </cfRule>
    <cfRule type="cellIs" dxfId="4125" priority="70" operator="equal">
      <formula>"WR8"</formula>
    </cfRule>
    <cfRule type="cellIs" dxfId="4124" priority="69" operator="equal">
      <formula>"WR9"</formula>
    </cfRule>
    <cfRule type="cellIs" dxfId="4123" priority="68" operator="equal">
      <formula>"d/st"</formula>
    </cfRule>
    <cfRule type="cellIs" dxfId="4122" priority="74" operator="equal">
      <formula>"WR5"</formula>
    </cfRule>
    <cfRule type="cellIs" dxfId="4121" priority="92" operator="equal">
      <formula>"QB1"</formula>
    </cfRule>
  </conditionalFormatting>
  <conditionalFormatting sqref="T5:T24">
    <cfRule type="cellIs" dxfId="4120" priority="17" operator="equal">
      <formula>"LAR"</formula>
    </cfRule>
    <cfRule type="cellIs" dxfId="4119" priority="32" operator="equal">
      <formula>"BAL"</formula>
    </cfRule>
    <cfRule type="cellIs" dxfId="4118" priority="30" operator="equal">
      <formula>"IND"</formula>
    </cfRule>
    <cfRule type="cellIs" dxfId="4117" priority="29" operator="equal">
      <formula>"HOU"</formula>
    </cfRule>
    <cfRule type="cellIs" dxfId="4116" priority="6" operator="equal">
      <formula>"PIT"</formula>
    </cfRule>
    <cfRule type="cellIs" dxfId="4115" priority="28" operator="equal">
      <formula>"ARI"</formula>
    </cfRule>
    <cfRule type="cellIs" dxfId="4114" priority="27" operator="equal">
      <formula>"CIN"</formula>
    </cfRule>
    <cfRule type="cellIs" dxfId="4113" priority="26" operator="equal">
      <formula>"DAL"</formula>
    </cfRule>
    <cfRule type="cellIs" dxfId="4112" priority="25" operator="equal">
      <formula>"GB"</formula>
    </cfRule>
    <cfRule type="cellIs" dxfId="4111" priority="24" operator="equal">
      <formula>"WAS"</formula>
    </cfRule>
    <cfRule type="cellIs" dxfId="4110" priority="23" operator="equal">
      <formula>"SF"</formula>
    </cfRule>
    <cfRule type="cellIs" dxfId="4109" priority="22" operator="equal">
      <formula>"DET"</formula>
    </cfRule>
    <cfRule type="cellIs" dxfId="4108" priority="21" operator="equal">
      <formula>"MIA"</formula>
    </cfRule>
    <cfRule type="cellIs" dxfId="4107" priority="20" operator="equal">
      <formula>"CHI"</formula>
    </cfRule>
    <cfRule type="cellIs" dxfId="4106" priority="19" operator="equal">
      <formula>"JAX"</formula>
    </cfRule>
    <cfRule type="cellIs" dxfId="4105" priority="18" operator="equal">
      <formula>"ATL"</formula>
    </cfRule>
    <cfRule type="cellIs" dxfId="4104" priority="16" operator="equal">
      <formula>"LAC"</formula>
    </cfRule>
    <cfRule type="cellIs" dxfId="4103" priority="15" operator="equal">
      <formula>"SEA"</formula>
    </cfRule>
    <cfRule type="cellIs" dxfId="4102" priority="14" operator="equal">
      <formula>"NYJ"</formula>
    </cfRule>
    <cfRule type="cellIs" dxfId="4101" priority="2" operator="equal">
      <formula>"BYE"</formula>
    </cfRule>
    <cfRule type="cellIs" dxfId="4100" priority="13" operator="equal">
      <formula>"CLE"</formula>
    </cfRule>
    <cfRule type="cellIs" dxfId="4099" priority="12" operator="equal">
      <formula>"TB"</formula>
    </cfRule>
    <cfRule type="cellIs" dxfId="4098" priority="11" operator="equal">
      <formula>"TEN"</formula>
    </cfRule>
    <cfRule type="cellIs" dxfId="4097" priority="10" operator="equal">
      <formula>"NO"</formula>
    </cfRule>
    <cfRule type="cellIs" dxfId="4096" priority="9" operator="equal">
      <formula>"NYG"</formula>
    </cfRule>
    <cfRule type="cellIs" dxfId="4095" priority="5" operator="equal">
      <formula>"MIN"</formula>
    </cfRule>
    <cfRule type="cellIs" dxfId="4094" priority="8" operator="equal">
      <formula>"CAR"</formula>
    </cfRule>
    <cfRule type="cellIs" dxfId="4093" priority="4" operator="equal">
      <formula>"NE"</formula>
    </cfRule>
    <cfRule type="cellIs" dxfId="4092" priority="3" operator="equal">
      <formula>"LV"</formula>
    </cfRule>
    <cfRule type="cellIs" dxfId="4091" priority="31" operator="equal">
      <formula>"KC"</formula>
    </cfRule>
    <cfRule type="cellIs" dxfId="4090" priority="7" operator="equal">
      <formula>"DEN"</formula>
    </cfRule>
    <cfRule type="cellIs" dxfId="4089" priority="34" operator="equal">
      <formula>"BUF"</formula>
    </cfRule>
    <cfRule type="cellIs" dxfId="4088" priority="33" operator="equal">
      <formula>"PHI"</formula>
    </cfRule>
  </conditionalFormatting>
  <conditionalFormatting sqref="U5:U24">
    <cfRule type="iconSet" priority="393">
      <iconSet iconSet="3Symbols" showValue="0">
        <cfvo type="percent" val="0"/>
        <cfvo type="percent" val="33"/>
        <cfvo type="percent" val="67"/>
      </iconSet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30DC-AD0D-406D-BFC6-8AD178ECDAFC}">
  <sheetPr>
    <tabColor theme="7" tint="0.79998168889431442"/>
    <pageSetUpPr fitToPage="1"/>
  </sheetPr>
  <dimension ref="B1:X590"/>
  <sheetViews>
    <sheetView zoomScale="140" zoomScaleNormal="140" workbookViewId="0">
      <selection activeCell="AB380" sqref="AB380"/>
    </sheetView>
  </sheetViews>
  <sheetFormatPr defaultRowHeight="14.5" x14ac:dyDescent="0.35"/>
  <cols>
    <col min="1" max="1" width="1.6328125" customWidth="1"/>
    <col min="2" max="2" width="13.179687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8" width="7.453125" customWidth="1"/>
    <col min="9" max="9" width="9" customWidth="1"/>
    <col min="10" max="13" width="9.26953125" customWidth="1"/>
    <col min="14" max="14" width="8.1796875" customWidth="1"/>
    <col min="15" max="15" width="6" customWidth="1"/>
    <col min="16" max="16" width="7.54296875" customWidth="1"/>
    <col min="17" max="21" width="7.81640625" customWidth="1"/>
    <col min="22" max="22" width="6.7265625" bestFit="1" customWidth="1"/>
    <col min="23" max="23" width="6.90625" customWidth="1"/>
  </cols>
  <sheetData>
    <row r="1" spans="2:24" x14ac:dyDescent="0.35">
      <c r="B1" s="199" t="s">
        <v>701</v>
      </c>
      <c r="C1" s="199"/>
      <c r="D1" s="199"/>
      <c r="E1" s="199"/>
      <c r="F1" s="199"/>
      <c r="G1" s="200" t="s">
        <v>702</v>
      </c>
      <c r="H1" s="200"/>
      <c r="I1" s="200"/>
      <c r="J1" s="200"/>
      <c r="K1" s="200"/>
      <c r="L1" s="201" t="s">
        <v>703</v>
      </c>
      <c r="M1" s="201"/>
      <c r="N1" s="71" t="s">
        <v>72</v>
      </c>
      <c r="O1" s="200" t="s">
        <v>704</v>
      </c>
      <c r="P1" s="200"/>
      <c r="Q1" s="200"/>
      <c r="R1" s="200"/>
      <c r="S1" s="200"/>
      <c r="T1" s="201" t="s">
        <v>705</v>
      </c>
      <c r="U1" s="201"/>
      <c r="V1" s="71" t="s">
        <v>72</v>
      </c>
      <c r="W1" s="145" t="s">
        <v>649</v>
      </c>
    </row>
    <row r="2" spans="2:24" ht="15" thickBot="1" x14ac:dyDescent="0.4">
      <c r="B2" s="91" t="s">
        <v>107</v>
      </c>
      <c r="C2" s="91" t="s">
        <v>58</v>
      </c>
      <c r="D2" s="91" t="s">
        <v>392</v>
      </c>
      <c r="E2" s="91" t="s">
        <v>739</v>
      </c>
      <c r="F2" s="91" t="s">
        <v>63</v>
      </c>
      <c r="G2" s="91" t="s">
        <v>659</v>
      </c>
      <c r="H2" s="91" t="s">
        <v>660</v>
      </c>
      <c r="I2" s="91" t="s">
        <v>661</v>
      </c>
      <c r="J2" s="91" t="s">
        <v>655</v>
      </c>
      <c r="K2" s="91" t="s">
        <v>695</v>
      </c>
      <c r="L2" s="91" t="s">
        <v>657</v>
      </c>
      <c r="M2" s="91" t="s">
        <v>652</v>
      </c>
      <c r="N2" s="91" t="s">
        <v>653</v>
      </c>
      <c r="O2" s="107" t="s">
        <v>73</v>
      </c>
      <c r="P2" s="107" t="s">
        <v>96</v>
      </c>
      <c r="Q2" s="107" t="s">
        <v>19</v>
      </c>
      <c r="R2" s="107" t="s">
        <v>74</v>
      </c>
      <c r="S2" s="107" t="s">
        <v>95</v>
      </c>
      <c r="T2" s="107" t="s">
        <v>656</v>
      </c>
      <c r="U2" s="107" t="s">
        <v>104</v>
      </c>
      <c r="V2" s="107" t="s">
        <v>72</v>
      </c>
      <c r="W2" s="107" t="s">
        <v>649</v>
      </c>
      <c r="X2" s="107" t="s">
        <v>740</v>
      </c>
    </row>
    <row r="3" spans="2:24" hidden="1" x14ac:dyDescent="0.35">
      <c r="B3" s="6" t="s">
        <v>369</v>
      </c>
      <c r="C3" s="97" t="s">
        <v>54</v>
      </c>
      <c r="D3" s="97" t="s">
        <v>395</v>
      </c>
      <c r="E3" s="23" t="str" cm="1">
        <f t="array" ref="E3">_xlfn.XLOOKUP(Table117821341[[#This Row],[Team]],Table4334[Team],'2425'!$C$3:$C$34)</f>
        <v>n/a</v>
      </c>
      <c r="F3" s="97" t="str">
        <f>_xlfn.XLOOKUP(Table117821341[[#This Row],[Team]],Table4334[Team],Table4334[OPP])</f>
        <v>n/a</v>
      </c>
      <c r="G3" s="148" t="str" cm="1">
        <f t="array" ref="G3">IF(Table117821341[[#This Row],[Pos.]]="QB1",_xlfn.XLOOKUP(Table117821341[[#This Row],[Opp]],Table123[DEF],'2425'!$G$3:$G$34),"#N/A")</f>
        <v>#N/A</v>
      </c>
      <c r="H3" s="148" t="str" cm="1">
        <f t="array" ref="H3">IF(Table117821341[[#This Row],[Pos.]]="QB1",_xlfn.XLOOKUP(Table117821341[[#This Row],[Opp]],Table123[DEF],'2425'!$J$3:$J$34),"#N/A")</f>
        <v>#N/A</v>
      </c>
      <c r="I3" s="148" t="str" cm="1">
        <f t="array" ref="I3">IF(Table117821341[[#This Row],[Pos.]]="QB1",_xlfn.XLOOKUP(Table117821341[[#This Row],[Opp]],Table123[DEF],'2425'!$K$3:$K$34),"#N/A")</f>
        <v>#N/A</v>
      </c>
      <c r="J3" s="148" t="e" cm="1">
        <f t="array" ref="J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" s="148" t="e" cm="1">
        <f t="array" ref="K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" s="148" t="e" cm="1">
        <f t="array" ref="L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" s="148" t="e" cm="1">
        <f t="array" ref="M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" s="148" t="e" cm="1">
        <f t="array" ref="N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" s="149" t="str">
        <f>IF(Table117821341[[#This Row],[Pos.]]="QB1",_xlfn.XLOOKUP(Table117821341[[#This Row],[Opp]],Table123[DEF],Table123[P]),"#N/A")</f>
        <v>#N/A</v>
      </c>
      <c r="P3" s="149" t="str">
        <f>IF(Table117821341[[#This Row],[Pos.]]="QB1",_xlfn.XLOOKUP(Table117821341[[#This Row],[Opp]],Table123[DEF],Table123[P+R]),"#N/A")</f>
        <v>#N/A</v>
      </c>
      <c r="Q3" s="150" t="str">
        <f>IF(Table117821341[[#This Row],[Pos.]]="QB1",_xlfn.XLOOKUP(Table117821341[[#This Row],[Opp]],Table123[DEF],Table123[P TD]),"#N/A")</f>
        <v>#N/A</v>
      </c>
      <c r="R3" s="149" t="e" cm="1">
        <f t="array" ref="R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" s="150" t="e" cm="1">
        <f t="array" ref="S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" s="150" t="e" cm="1">
        <f t="array" ref="T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" s="150" t="e" cm="1">
        <f t="array" ref="U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" s="162" t="e" cm="1">
        <f t="array" ref="V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" s="148" t="e" cm="1">
        <f t="array" ref="W3">_xlfn.IFS(Table117821341[[#This Row],[Pos.]]="QB1",AVERAGE(G3,H3,I3,J3,N3),Table117821341[[#This Row],[Pos.]]="RB1",AVERAGE(J3,K3,N3),Table117821341[[#This Row],[Pos.]]="RB2",AVERAGE(J3,K3,N3),Table117821341[[#This Row],[Pos.]]="WR1",AVERAGE(L3,M3,N3),Table117821341[[#This Row],[Pos.]]="WR2",AVERAGE(L3,M3,N3),Table117821341[[#This Row],[Pos.]]="WR3",AVERAGE(L3,M3,N3),Table117821341[[#This Row],[Pos.]]="WR4",AVERAGE(L3,M3,N3),Table117821341[[#This Row],[Pos.]]="TE1",AVERAGE(L3,M3,N3),Table117821341[[#This Row],[Pos.]]="TE2",AVERAGE(L3,M3,N3),Table117821341[[#This Row],[Pos.]]="D/ST",AVERAGE(Table117821341[[#This Row],[*TD*]]))</f>
        <v>#N/A</v>
      </c>
      <c r="X3" s="94" t="e">
        <f t="shared" ref="X3:X66" si="0">AVERAGE(N3,W3)</f>
        <v>#N/A</v>
      </c>
    </row>
    <row r="4" spans="2:24" hidden="1" x14ac:dyDescent="0.35">
      <c r="B4" s="6" t="s">
        <v>174</v>
      </c>
      <c r="C4" s="97" t="s">
        <v>32</v>
      </c>
      <c r="D4" s="97" t="s">
        <v>395</v>
      </c>
      <c r="E4" s="23" t="str" cm="1">
        <f t="array" ref="E4">_xlfn.XLOOKUP(Table117821341[[#This Row],[Team]],Table4334[Team],'2425'!$C$3:$C$34)</f>
        <v>n/a</v>
      </c>
      <c r="F4" s="97" t="str">
        <f>_xlfn.XLOOKUP(Table117821341[[#This Row],[Team]],Table4334[Team],Table4334[OPP])</f>
        <v>n/a</v>
      </c>
      <c r="G4" s="148" t="str" cm="1">
        <f t="array" ref="G4">IF(Table117821341[[#This Row],[Pos.]]="QB1",_xlfn.XLOOKUP(Table117821341[[#This Row],[Opp]],Table123[DEF],'2425'!$G$3:$G$34),"#N/A")</f>
        <v>#N/A</v>
      </c>
      <c r="H4" s="148" t="str" cm="1">
        <f t="array" ref="H4">IF(Table117821341[[#This Row],[Pos.]]="QB1",_xlfn.XLOOKUP(Table117821341[[#This Row],[Opp]],Table123[DEF],'2425'!$J$3:$J$34),"#N/A")</f>
        <v>#N/A</v>
      </c>
      <c r="I4" s="148" t="str" cm="1">
        <f t="array" ref="I4">IF(Table117821341[[#This Row],[Pos.]]="QB1",_xlfn.XLOOKUP(Table117821341[[#This Row],[Opp]],Table123[DEF],'2425'!$K$3:$K$34),"#N/A")</f>
        <v>#N/A</v>
      </c>
      <c r="J4" s="148" t="e" cm="1">
        <f t="array" ref="J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" s="148" t="e" cm="1">
        <f t="array" ref="K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" s="148" t="e" cm="1">
        <f t="array" ref="L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" s="148" t="e" cm="1">
        <f t="array" ref="M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" s="148" t="e" cm="1">
        <f t="array" ref="N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" s="149" t="str">
        <f>IF(Table117821341[[#This Row],[Pos.]]="QB1",_xlfn.XLOOKUP(Table117821341[[#This Row],[Opp]],Table123[DEF],Table123[P]),"#N/A")</f>
        <v>#N/A</v>
      </c>
      <c r="P4" s="149" t="str">
        <f>IF(Table117821341[[#This Row],[Pos.]]="QB1",_xlfn.XLOOKUP(Table117821341[[#This Row],[Opp]],Table123[DEF],Table123[P+R]),"#N/A")</f>
        <v>#N/A</v>
      </c>
      <c r="Q4" s="150" t="str">
        <f>IF(Table117821341[[#This Row],[Pos.]]="QB1",_xlfn.XLOOKUP(Table117821341[[#This Row],[Opp]],Table123[DEF],Table123[P TD]),"#N/A")</f>
        <v>#N/A</v>
      </c>
      <c r="R4" s="149" t="e" cm="1">
        <f t="array" ref="R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" s="150" t="e" cm="1">
        <f t="array" ref="S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" s="150" t="e" cm="1">
        <f t="array" ref="T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" s="150" t="e" cm="1">
        <f t="array" ref="U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" s="162" t="e" cm="1">
        <f t="array" ref="V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" s="148" t="e" cm="1">
        <f t="array" ref="W4">_xlfn.IFS(Table117821341[[#This Row],[Pos.]]="QB1",AVERAGE(G4,H4,I4,J4,N4),Table117821341[[#This Row],[Pos.]]="RB1",AVERAGE(J4,K4,N4),Table117821341[[#This Row],[Pos.]]="RB2",AVERAGE(J4,K4,N4),Table117821341[[#This Row],[Pos.]]="WR1",AVERAGE(L4,M4,N4),Table117821341[[#This Row],[Pos.]]="WR2",AVERAGE(L4,M4,N4),Table117821341[[#This Row],[Pos.]]="WR3",AVERAGE(L4,M4,N4),Table117821341[[#This Row],[Pos.]]="WR4",AVERAGE(L4,M4,N4),Table117821341[[#This Row],[Pos.]]="TE1",AVERAGE(L4,M4,N4),Table117821341[[#This Row],[Pos.]]="TE2",AVERAGE(L4,M4,N4),Table117821341[[#This Row],[Pos.]]="D/ST",AVERAGE(Table117821341[[#This Row],[*TD*]]))</f>
        <v>#N/A</v>
      </c>
      <c r="X4" s="94" t="e">
        <f t="shared" si="0"/>
        <v>#N/A</v>
      </c>
    </row>
    <row r="5" spans="2:24" hidden="1" x14ac:dyDescent="0.35">
      <c r="B5" s="6" t="s">
        <v>553</v>
      </c>
      <c r="C5" s="97" t="s">
        <v>0</v>
      </c>
      <c r="D5" s="97" t="s">
        <v>405</v>
      </c>
      <c r="E5" s="23" t="str" cm="1">
        <f t="array" ref="E5">_xlfn.XLOOKUP(Table117821341[[#This Row],[Team]],Table4334[Team],'2425'!$C$3:$C$34)</f>
        <v>n/a</v>
      </c>
      <c r="F5" s="97" t="str">
        <f>_xlfn.XLOOKUP(Table117821341[[#This Row],[Team]],Table4334[Team],Table4334[OPP])</f>
        <v>n/a</v>
      </c>
      <c r="G5" s="148" t="str" cm="1">
        <f t="array" ref="G5">IF(Table117821341[[#This Row],[Pos.]]="QB1",_xlfn.XLOOKUP(Table117821341[[#This Row],[Opp]],Table123[DEF],'2425'!$G$3:$G$34),"#N/A")</f>
        <v>#N/A</v>
      </c>
      <c r="H5" s="148" t="str" cm="1">
        <f t="array" ref="H5">IF(Table117821341[[#This Row],[Pos.]]="QB1",_xlfn.XLOOKUP(Table117821341[[#This Row],[Opp]],Table123[DEF],'2425'!$J$3:$J$34),"#N/A")</f>
        <v>#N/A</v>
      </c>
      <c r="I5" s="148" t="str" cm="1">
        <f t="array" ref="I5">IF(Table117821341[[#This Row],[Pos.]]="QB1",_xlfn.XLOOKUP(Table117821341[[#This Row],[Opp]],Table123[DEF],'2425'!$K$3:$K$34),"#N/A")</f>
        <v>#N/A</v>
      </c>
      <c r="J5" s="148" t="e" cm="1">
        <f t="array" ref="J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" s="148" t="e" cm="1">
        <f t="array" ref="K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" s="148" t="e" cm="1">
        <f t="array" ref="L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" s="148" t="e" cm="1">
        <f t="array" ref="M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" s="148" t="e" cm="1">
        <f t="array" ref="N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" s="149" t="str">
        <f>IF(Table117821341[[#This Row],[Pos.]]="QB1",_xlfn.XLOOKUP(Table117821341[[#This Row],[Opp]],Table123[DEF],Table123[P]),"#N/A")</f>
        <v>#N/A</v>
      </c>
      <c r="P5" s="149" t="str">
        <f>IF(Table117821341[[#This Row],[Pos.]]="QB1",_xlfn.XLOOKUP(Table117821341[[#This Row],[Opp]],Table123[DEF],Table123[P+R]),"#N/A")</f>
        <v>#N/A</v>
      </c>
      <c r="Q5" s="150" t="str">
        <f>IF(Table117821341[[#This Row],[Pos.]]="QB1",_xlfn.XLOOKUP(Table117821341[[#This Row],[Opp]],Table123[DEF],Table123[P TD]),"#N/A")</f>
        <v>#N/A</v>
      </c>
      <c r="R5" s="149" t="e" cm="1">
        <f t="array" ref="R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" s="150" t="e" cm="1">
        <f t="array" ref="S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" s="150" t="e" cm="1">
        <f t="array" ref="T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" s="150" t="e" cm="1">
        <f t="array" ref="U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" s="150" t="e" cm="1">
        <f t="array" ref="V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" s="148" t="e" cm="1">
        <f t="array" ref="W5">_xlfn.IFS(Table117821341[[#This Row],[Pos.]]="QB1",AVERAGE(G5,H5,I5,J5,N5),Table117821341[[#This Row],[Pos.]]="RB1",AVERAGE(J5,K5,N5),Table117821341[[#This Row],[Pos.]]="RB2",AVERAGE(J5,K5,N5),Table117821341[[#This Row],[Pos.]]="WR1",AVERAGE(L5,M5,N5),Table117821341[[#This Row],[Pos.]]="WR2",AVERAGE(L5,M5,N5),Table117821341[[#This Row],[Pos.]]="WR3",AVERAGE(L5,M5,N5),Table117821341[[#This Row],[Pos.]]="WR4",AVERAGE(L5,M5,N5),Table117821341[[#This Row],[Pos.]]="TE1",AVERAGE(L5,M5,N5),Table117821341[[#This Row],[Pos.]]="TE2",AVERAGE(L5,M5,N5),Table117821341[[#This Row],[Pos.]]="D/ST",AVERAGE(Table117821341[[#This Row],[*TD*]]))</f>
        <v>#N/A</v>
      </c>
      <c r="X5" s="94" t="e">
        <f t="shared" si="0"/>
        <v>#N/A</v>
      </c>
    </row>
    <row r="6" spans="2:24" hidden="1" x14ac:dyDescent="0.35">
      <c r="B6" s="6" t="s">
        <v>332</v>
      </c>
      <c r="C6" s="97" t="s">
        <v>49</v>
      </c>
      <c r="D6" s="97" t="s">
        <v>395</v>
      </c>
      <c r="E6" s="23" t="str" cm="1">
        <f t="array" ref="E6">_xlfn.XLOOKUP(Table117821341[[#This Row],[Team]],Table4334[Team],'2425'!$C$3:$C$34)</f>
        <v>n/a</v>
      </c>
      <c r="F6" s="97" t="str">
        <f>_xlfn.XLOOKUP(Table117821341[[#This Row],[Team]],Table4334[Team],Table4334[OPP])</f>
        <v>n/a</v>
      </c>
      <c r="G6" s="148" t="str" cm="1">
        <f t="array" ref="G6">IF(Table117821341[[#This Row],[Pos.]]="QB1",_xlfn.XLOOKUP(Table117821341[[#This Row],[Opp]],Table123[DEF],'2425'!$G$3:$G$34),"#N/A")</f>
        <v>#N/A</v>
      </c>
      <c r="H6" s="148" t="str" cm="1">
        <f t="array" ref="H6">IF(Table117821341[[#This Row],[Pos.]]="QB1",_xlfn.XLOOKUP(Table117821341[[#This Row],[Opp]],Table123[DEF],'2425'!$J$3:$J$34),"#N/A")</f>
        <v>#N/A</v>
      </c>
      <c r="I6" s="148" t="str" cm="1">
        <f t="array" ref="I6">IF(Table117821341[[#This Row],[Pos.]]="QB1",_xlfn.XLOOKUP(Table117821341[[#This Row],[Opp]],Table123[DEF],'2425'!$K$3:$K$34),"#N/A")</f>
        <v>#N/A</v>
      </c>
      <c r="J6" s="148" t="e" cm="1">
        <f t="array" ref="J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" s="148" t="e" cm="1">
        <f t="array" ref="K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" s="148" t="e" cm="1">
        <f t="array" ref="L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" s="148" t="e" cm="1">
        <f t="array" ref="M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" s="148" t="e" cm="1">
        <f t="array" ref="N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" s="149" t="str">
        <f>IF(Table117821341[[#This Row],[Pos.]]="QB1",_xlfn.XLOOKUP(Table117821341[[#This Row],[Opp]],Table123[DEF],Table123[P]),"#N/A")</f>
        <v>#N/A</v>
      </c>
      <c r="P6" s="149" t="str">
        <f>IF(Table117821341[[#This Row],[Pos.]]="QB1",_xlfn.XLOOKUP(Table117821341[[#This Row],[Opp]],Table123[DEF],Table123[P+R]),"#N/A")</f>
        <v>#N/A</v>
      </c>
      <c r="Q6" s="150" t="str">
        <f>IF(Table117821341[[#This Row],[Pos.]]="QB1",_xlfn.XLOOKUP(Table117821341[[#This Row],[Opp]],Table123[DEF],Table123[P TD]),"#N/A")</f>
        <v>#N/A</v>
      </c>
      <c r="R6" s="149" t="e" cm="1">
        <f t="array" ref="R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" s="150" t="e" cm="1">
        <f t="array" ref="S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" s="150" t="e" cm="1">
        <f t="array" ref="T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" s="150" t="e" cm="1">
        <f t="array" ref="U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" s="162" t="e" cm="1">
        <f t="array" ref="V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" s="148" t="e" cm="1">
        <f t="array" ref="W6">_xlfn.IFS(Table117821341[[#This Row],[Pos.]]="QB1",AVERAGE(G6,H6,I6,J6,N6),Table117821341[[#This Row],[Pos.]]="RB1",AVERAGE(J6,K6,N6),Table117821341[[#This Row],[Pos.]]="RB2",AVERAGE(J6,K6,N6),Table117821341[[#This Row],[Pos.]]="WR1",AVERAGE(L6,M6,N6),Table117821341[[#This Row],[Pos.]]="WR2",AVERAGE(L6,M6,N6),Table117821341[[#This Row],[Pos.]]="WR3",AVERAGE(L6,M6,N6),Table117821341[[#This Row],[Pos.]]="WR4",AVERAGE(L6,M6,N6),Table117821341[[#This Row],[Pos.]]="TE1",AVERAGE(L6,M6,N6),Table117821341[[#This Row],[Pos.]]="TE2",AVERAGE(L6,M6,N6),Table117821341[[#This Row],[Pos.]]="D/ST",AVERAGE(Table117821341[[#This Row],[*TD*]]))</f>
        <v>#N/A</v>
      </c>
      <c r="X6" s="94" t="e">
        <f t="shared" si="0"/>
        <v>#N/A</v>
      </c>
    </row>
    <row r="7" spans="2:24" hidden="1" x14ac:dyDescent="0.35">
      <c r="B7" s="6" t="s">
        <v>123</v>
      </c>
      <c r="C7" s="97" t="s">
        <v>0</v>
      </c>
      <c r="D7" s="97" t="s">
        <v>394</v>
      </c>
      <c r="E7" s="23" t="str" cm="1">
        <f t="array" ref="E7">_xlfn.XLOOKUP(Table117821341[[#This Row],[Team]],Table4334[Team],'2425'!$C$3:$C$34)</f>
        <v>n/a</v>
      </c>
      <c r="F7" s="97" t="str">
        <f>_xlfn.XLOOKUP(Table117821341[[#This Row],[Team]],Table4334[Team],Table4334[OPP])</f>
        <v>n/a</v>
      </c>
      <c r="G7" s="148" t="str" cm="1">
        <f t="array" ref="G7">IF(Table117821341[[#This Row],[Pos.]]="QB1",_xlfn.XLOOKUP(Table117821341[[#This Row],[Opp]],Table123[DEF],'2425'!$G$3:$G$34),"#N/A")</f>
        <v>#N/A</v>
      </c>
      <c r="H7" s="148" t="str" cm="1">
        <f t="array" ref="H7">IF(Table117821341[[#This Row],[Pos.]]="QB1",_xlfn.XLOOKUP(Table117821341[[#This Row],[Opp]],Table123[DEF],'2425'!$J$3:$J$34),"#N/A")</f>
        <v>#N/A</v>
      </c>
      <c r="I7" s="148" t="str" cm="1">
        <f t="array" ref="I7">IF(Table117821341[[#This Row],[Pos.]]="QB1",_xlfn.XLOOKUP(Table117821341[[#This Row],[Opp]],Table123[DEF],'2425'!$K$3:$K$34),"#N/A")</f>
        <v>#N/A</v>
      </c>
      <c r="J7" s="148" t="e" cm="1">
        <f t="array" ref="J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" s="148" t="e" cm="1">
        <f t="array" ref="K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" s="148" t="e" cm="1">
        <f t="array" ref="L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" s="148" t="e" cm="1">
        <f t="array" ref="M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" s="148" t="e" cm="1">
        <f t="array" ref="N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" s="149" t="str">
        <f>IF(Table117821341[[#This Row],[Pos.]]="QB1",_xlfn.XLOOKUP(Table117821341[[#This Row],[Opp]],Table123[DEF],Table123[P]),"#N/A")</f>
        <v>#N/A</v>
      </c>
      <c r="P7" s="149" t="str">
        <f>IF(Table117821341[[#This Row],[Pos.]]="QB1",_xlfn.XLOOKUP(Table117821341[[#This Row],[Opp]],Table123[DEF],Table123[P+R]),"#N/A")</f>
        <v>#N/A</v>
      </c>
      <c r="Q7" s="150" t="str">
        <f>IF(Table117821341[[#This Row],[Pos.]]="QB1",_xlfn.XLOOKUP(Table117821341[[#This Row],[Opp]],Table123[DEF],Table123[P TD]),"#N/A")</f>
        <v>#N/A</v>
      </c>
      <c r="R7" s="149" t="e" cm="1">
        <f t="array" ref="R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" s="150" t="e" cm="1">
        <f t="array" ref="S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" s="150" t="e" cm="1">
        <f t="array" ref="T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" s="150" t="e" cm="1">
        <f t="array" ref="U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" s="150" t="e" cm="1">
        <f t="array" ref="V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" s="148" t="e" cm="1">
        <f t="array" ref="W7">_xlfn.IFS(Table117821341[[#This Row],[Pos.]]="QB1",AVERAGE(G7,H7,I7,J7,N7),Table117821341[[#This Row],[Pos.]]="RB1",AVERAGE(J7,K7,N7),Table117821341[[#This Row],[Pos.]]="RB2",AVERAGE(J7,K7,N7),Table117821341[[#This Row],[Pos.]]="WR1",AVERAGE(L7,M7,N7),Table117821341[[#This Row],[Pos.]]="WR2",AVERAGE(L7,M7,N7),Table117821341[[#This Row],[Pos.]]="WR3",AVERAGE(L7,M7,N7),Table117821341[[#This Row],[Pos.]]="WR4",AVERAGE(L7,M7,N7),Table117821341[[#This Row],[Pos.]]="TE1",AVERAGE(L7,M7,N7),Table117821341[[#This Row],[Pos.]]="TE2",AVERAGE(L7,M7,N7),Table117821341[[#This Row],[Pos.]]="D/ST",AVERAGE(Table117821341[[#This Row],[*TD*]]))</f>
        <v>#N/A</v>
      </c>
      <c r="X7" s="94" t="e">
        <f t="shared" si="0"/>
        <v>#N/A</v>
      </c>
    </row>
    <row r="8" spans="2:24" hidden="1" x14ac:dyDescent="0.35">
      <c r="B8" s="6" t="s">
        <v>118</v>
      </c>
      <c r="C8" s="97" t="s">
        <v>0</v>
      </c>
      <c r="D8" s="97" t="s">
        <v>396</v>
      </c>
      <c r="E8" s="23" t="str" cm="1">
        <f t="array" ref="E8">_xlfn.XLOOKUP(Table117821341[[#This Row],[Team]],Table4334[Team],'2425'!$C$3:$C$34)</f>
        <v>n/a</v>
      </c>
      <c r="F8" s="97" t="str">
        <f>_xlfn.XLOOKUP(Table117821341[[#This Row],[Team]],Table4334[Team],Table4334[OPP])</f>
        <v>n/a</v>
      </c>
      <c r="G8" s="148" t="str" cm="1">
        <f t="array" ref="G8">IF(Table117821341[[#This Row],[Pos.]]="QB1",_xlfn.XLOOKUP(Table117821341[[#This Row],[Opp]],Table123[DEF],'2425'!$G$3:$G$34),"#N/A")</f>
        <v>#N/A</v>
      </c>
      <c r="H8" s="148" t="str" cm="1">
        <f t="array" ref="H8">IF(Table117821341[[#This Row],[Pos.]]="QB1",_xlfn.XLOOKUP(Table117821341[[#This Row],[Opp]],Table123[DEF],'2425'!$J$3:$J$34),"#N/A")</f>
        <v>#N/A</v>
      </c>
      <c r="I8" s="148" t="str" cm="1">
        <f t="array" ref="I8">IF(Table117821341[[#This Row],[Pos.]]="QB1",_xlfn.XLOOKUP(Table117821341[[#This Row],[Opp]],Table123[DEF],'2425'!$K$3:$K$34),"#N/A")</f>
        <v>#N/A</v>
      </c>
      <c r="J8" s="148" t="e" cm="1">
        <f t="array" ref="J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" s="148" t="e" cm="1">
        <f t="array" ref="K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" s="148" t="e" cm="1">
        <f t="array" ref="L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" s="148" t="e" cm="1">
        <f t="array" ref="M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" s="148" t="e" cm="1">
        <f t="array" ref="N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" s="149" t="str">
        <f>IF(Table117821341[[#This Row],[Pos.]]="QB1",_xlfn.XLOOKUP(Table117821341[[#This Row],[Opp]],Table123[DEF],Table123[P]),"#N/A")</f>
        <v>#N/A</v>
      </c>
      <c r="P8" s="149" t="str">
        <f>IF(Table117821341[[#This Row],[Pos.]]="QB1",_xlfn.XLOOKUP(Table117821341[[#This Row],[Opp]],Table123[DEF],Table123[P+R]),"#N/A")</f>
        <v>#N/A</v>
      </c>
      <c r="Q8" s="150" t="str">
        <f>IF(Table117821341[[#This Row],[Pos.]]="QB1",_xlfn.XLOOKUP(Table117821341[[#This Row],[Opp]],Table123[DEF],Table123[P TD]),"#N/A")</f>
        <v>#N/A</v>
      </c>
      <c r="R8" s="149" t="e" cm="1">
        <f t="array" ref="R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" s="150" t="e" cm="1">
        <f t="array" ref="S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" s="150" t="e" cm="1">
        <f t="array" ref="T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" s="150" t="e" cm="1">
        <f t="array" ref="U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" s="150" t="e" cm="1">
        <f t="array" ref="V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" s="148" t="e" cm="1">
        <f t="array" ref="W8">_xlfn.IFS(Table117821341[[#This Row],[Pos.]]="QB1",AVERAGE(G8,H8,I8,J8,N8),Table117821341[[#This Row],[Pos.]]="RB1",AVERAGE(J8,K8,N8),Table117821341[[#This Row],[Pos.]]="RB2",AVERAGE(J8,K8,N8),Table117821341[[#This Row],[Pos.]]="WR1",AVERAGE(L8,M8,N8),Table117821341[[#This Row],[Pos.]]="WR2",AVERAGE(L8,M8,N8),Table117821341[[#This Row],[Pos.]]="WR3",AVERAGE(L8,M8,N8),Table117821341[[#This Row],[Pos.]]="WR4",AVERAGE(L8,M8,N8),Table117821341[[#This Row],[Pos.]]="TE1",AVERAGE(L8,M8,N8),Table117821341[[#This Row],[Pos.]]="TE2",AVERAGE(L8,M8,N8),Table117821341[[#This Row],[Pos.]]="D/ST",AVERAGE(Table117821341[[#This Row],[*TD*]]))</f>
        <v>#N/A</v>
      </c>
      <c r="X8" s="94" t="e">
        <f t="shared" si="0"/>
        <v>#N/A</v>
      </c>
    </row>
    <row r="9" spans="2:24" hidden="1" x14ac:dyDescent="0.35">
      <c r="B9" s="6" t="s">
        <v>113</v>
      </c>
      <c r="C9" s="97" t="s">
        <v>0</v>
      </c>
      <c r="D9" s="97" t="s">
        <v>407</v>
      </c>
      <c r="E9" s="23" t="str" cm="1">
        <f t="array" ref="E9">_xlfn.XLOOKUP(Table117821341[[#This Row],[Team]],Table4334[Team],'2425'!$C$3:$C$34)</f>
        <v>n/a</v>
      </c>
      <c r="F9" s="97" t="str">
        <f>_xlfn.XLOOKUP(Table117821341[[#This Row],[Team]],Table4334[Team],Table4334[OPP])</f>
        <v>n/a</v>
      </c>
      <c r="G9" s="148" t="str" cm="1">
        <f t="array" ref="G9">IF(Table117821341[[#This Row],[Pos.]]="QB1",_xlfn.XLOOKUP(Table117821341[[#This Row],[Opp]],Table123[DEF],'2425'!$G$3:$G$34),"#N/A")</f>
        <v>#N/A</v>
      </c>
      <c r="H9" s="148" t="str" cm="1">
        <f t="array" ref="H9">IF(Table117821341[[#This Row],[Pos.]]="QB1",_xlfn.XLOOKUP(Table117821341[[#This Row],[Opp]],Table123[DEF],'2425'!$J$3:$J$34),"#N/A")</f>
        <v>#N/A</v>
      </c>
      <c r="I9" s="148" t="str" cm="1">
        <f t="array" ref="I9">IF(Table117821341[[#This Row],[Pos.]]="QB1",_xlfn.XLOOKUP(Table117821341[[#This Row],[Opp]],Table123[DEF],'2425'!$K$3:$K$34),"#N/A")</f>
        <v>#N/A</v>
      </c>
      <c r="J9" s="148" t="e" cm="1">
        <f t="array" ref="J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" s="148" t="e" cm="1">
        <f t="array" ref="K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" s="148" t="e" cm="1">
        <f t="array" ref="L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" s="148" t="e" cm="1">
        <f t="array" ref="M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" s="148" t="e" cm="1">
        <f t="array" ref="N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" s="149" t="str">
        <f>IF(Table117821341[[#This Row],[Pos.]]="QB1",_xlfn.XLOOKUP(Table117821341[[#This Row],[Opp]],Table123[DEF],Table123[P]),"#N/A")</f>
        <v>#N/A</v>
      </c>
      <c r="P9" s="149" t="str">
        <f>IF(Table117821341[[#This Row],[Pos.]]="QB1",_xlfn.XLOOKUP(Table117821341[[#This Row],[Opp]],Table123[DEF],Table123[P+R]),"#N/A")</f>
        <v>#N/A</v>
      </c>
      <c r="Q9" s="150" t="str">
        <f>IF(Table117821341[[#This Row],[Pos.]]="QB1",_xlfn.XLOOKUP(Table117821341[[#This Row],[Opp]],Table123[DEF],Table123[P TD]),"#N/A")</f>
        <v>#N/A</v>
      </c>
      <c r="R9" s="149" t="e" cm="1">
        <f t="array" ref="R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" s="150" t="e" cm="1">
        <f t="array" ref="S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" s="150" t="e" cm="1">
        <f t="array" ref="T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" s="150" t="e" cm="1">
        <f t="array" ref="U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" s="150" t="e" cm="1">
        <f t="array" ref="V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" s="148" t="e" cm="1">
        <f t="array" ref="W9">_xlfn.IFS(Table117821341[[#This Row],[Pos.]]="QB1",AVERAGE(G9,H9,I9,J9,N9),Table117821341[[#This Row],[Pos.]]="RB1",AVERAGE(J9,K9,N9),Table117821341[[#This Row],[Pos.]]="RB2",AVERAGE(J9,K9,N9),Table117821341[[#This Row],[Pos.]]="WR1",AVERAGE(L9,M9,N9),Table117821341[[#This Row],[Pos.]]="WR2",AVERAGE(L9,M9,N9),Table117821341[[#This Row],[Pos.]]="WR3",AVERAGE(L9,M9,N9),Table117821341[[#This Row],[Pos.]]="WR4",AVERAGE(L9,M9,N9),Table117821341[[#This Row],[Pos.]]="TE1",AVERAGE(L9,M9,N9),Table117821341[[#This Row],[Pos.]]="TE2",AVERAGE(L9,M9,N9),Table117821341[[#This Row],[Pos.]]="D/ST",AVERAGE(Table117821341[[#This Row],[*TD*]]))</f>
        <v>#N/A</v>
      </c>
      <c r="X9" s="94" t="e">
        <f t="shared" si="0"/>
        <v>#N/A</v>
      </c>
    </row>
    <row r="10" spans="2:24" hidden="1" x14ac:dyDescent="0.35">
      <c r="B10" s="6" t="s">
        <v>325</v>
      </c>
      <c r="C10" s="97" t="s">
        <v>48</v>
      </c>
      <c r="D10" s="97" t="s">
        <v>395</v>
      </c>
      <c r="E10" s="23" t="str" cm="1">
        <f t="array" ref="E10">_xlfn.XLOOKUP(Table117821341[[#This Row],[Team]],Table4334[Team],'2425'!$C$3:$C$34)</f>
        <v>n/a</v>
      </c>
      <c r="F10" s="97" t="str">
        <f>_xlfn.XLOOKUP(Table117821341[[#This Row],[Team]],Table4334[Team],Table4334[OPP])</f>
        <v>n/a</v>
      </c>
      <c r="G10" s="148" t="str" cm="1">
        <f t="array" ref="G10">IF(Table117821341[[#This Row],[Pos.]]="QB1",_xlfn.XLOOKUP(Table117821341[[#This Row],[Opp]],Table123[DEF],'2425'!$G$3:$G$34),"#N/A")</f>
        <v>#N/A</v>
      </c>
      <c r="H10" s="148" t="str" cm="1">
        <f t="array" ref="H10">IF(Table117821341[[#This Row],[Pos.]]="QB1",_xlfn.XLOOKUP(Table117821341[[#This Row],[Opp]],Table123[DEF],'2425'!$J$3:$J$34),"#N/A")</f>
        <v>#N/A</v>
      </c>
      <c r="I10" s="148" t="str" cm="1">
        <f t="array" ref="I10">IF(Table117821341[[#This Row],[Pos.]]="QB1",_xlfn.XLOOKUP(Table117821341[[#This Row],[Opp]],Table123[DEF],'2425'!$K$3:$K$34),"#N/A")</f>
        <v>#N/A</v>
      </c>
      <c r="J10" s="148" t="e" cm="1">
        <f t="array" ref="J1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" s="148" t="e" cm="1">
        <f t="array" ref="K1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" s="148" t="e" cm="1">
        <f t="array" ref="L1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" s="148" t="e" cm="1">
        <f t="array" ref="M1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" s="148" t="e" cm="1">
        <f t="array" ref="N1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" s="149" t="str">
        <f>IF(Table117821341[[#This Row],[Pos.]]="QB1",_xlfn.XLOOKUP(Table117821341[[#This Row],[Opp]],Table123[DEF],Table123[P]),"#N/A")</f>
        <v>#N/A</v>
      </c>
      <c r="P10" s="149" t="str">
        <f>IF(Table117821341[[#This Row],[Pos.]]="QB1",_xlfn.XLOOKUP(Table117821341[[#This Row],[Opp]],Table123[DEF],Table123[P+R]),"#N/A")</f>
        <v>#N/A</v>
      </c>
      <c r="Q10" s="150" t="str">
        <f>IF(Table117821341[[#This Row],[Pos.]]="QB1",_xlfn.XLOOKUP(Table117821341[[#This Row],[Opp]],Table123[DEF],Table123[P TD]),"#N/A")</f>
        <v>#N/A</v>
      </c>
      <c r="R10" s="149" t="e" cm="1">
        <f t="array" ref="R1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" s="150" t="e" cm="1">
        <f t="array" ref="S1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" s="150" t="e" cm="1">
        <f t="array" ref="T1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" s="150" t="e" cm="1">
        <f t="array" ref="U1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" s="162" t="e" cm="1">
        <f t="array" ref="V1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" s="148" t="e" cm="1">
        <f t="array" ref="W10">_xlfn.IFS(Table117821341[[#This Row],[Pos.]]="QB1",AVERAGE(G10,H10,I10,J10,N10),Table117821341[[#This Row],[Pos.]]="RB1",AVERAGE(J10,K10,N10),Table117821341[[#This Row],[Pos.]]="RB2",AVERAGE(J10,K10,N10),Table117821341[[#This Row],[Pos.]]="WR1",AVERAGE(L10,M10,N10),Table117821341[[#This Row],[Pos.]]="WR2",AVERAGE(L10,M10,N10),Table117821341[[#This Row],[Pos.]]="WR3",AVERAGE(L10,M10,N10),Table117821341[[#This Row],[Pos.]]="WR4",AVERAGE(L10,M10,N10),Table117821341[[#This Row],[Pos.]]="TE1",AVERAGE(L10,M10,N10),Table117821341[[#This Row],[Pos.]]="TE2",AVERAGE(L10,M10,N10),Table117821341[[#This Row],[Pos.]]="D/ST",AVERAGE(Table117821341[[#This Row],[*TD*]]))</f>
        <v>#N/A</v>
      </c>
      <c r="X10" s="94" t="e">
        <f t="shared" si="0"/>
        <v>#N/A</v>
      </c>
    </row>
    <row r="11" spans="2:24" hidden="1" x14ac:dyDescent="0.35">
      <c r="B11" s="6" t="s">
        <v>132</v>
      </c>
      <c r="C11" s="97" t="s">
        <v>0</v>
      </c>
      <c r="D11" s="97" t="s">
        <v>398</v>
      </c>
      <c r="E11" s="23" t="str" cm="1">
        <f t="array" ref="E11">_xlfn.XLOOKUP(Table117821341[[#This Row],[Team]],Table4334[Team],'2425'!$C$3:$C$34)</f>
        <v>n/a</v>
      </c>
      <c r="F11" s="97" t="str">
        <f>_xlfn.XLOOKUP(Table117821341[[#This Row],[Team]],Table4334[Team],Table4334[OPP])</f>
        <v>n/a</v>
      </c>
      <c r="G11" s="148" t="str" cm="1">
        <f t="array" ref="G11">IF(Table117821341[[#This Row],[Pos.]]="QB1",_xlfn.XLOOKUP(Table117821341[[#This Row],[Opp]],Table123[DEF],'2425'!$G$3:$G$34),"#N/A")</f>
        <v>#N/A</v>
      </c>
      <c r="H11" s="148" t="str" cm="1">
        <f t="array" ref="H11">IF(Table117821341[[#This Row],[Pos.]]="QB1",_xlfn.XLOOKUP(Table117821341[[#This Row],[Opp]],Table123[DEF],'2425'!$J$3:$J$34),"#N/A")</f>
        <v>#N/A</v>
      </c>
      <c r="I11" s="148" t="str" cm="1">
        <f t="array" ref="I11">IF(Table117821341[[#This Row],[Pos.]]="QB1",_xlfn.XLOOKUP(Table117821341[[#This Row],[Opp]],Table123[DEF],'2425'!$K$3:$K$34),"#N/A")</f>
        <v>#N/A</v>
      </c>
      <c r="J11" s="148" t="e" cm="1">
        <f t="array" ref="J1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" s="148" t="e" cm="1">
        <f t="array" ref="K1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" s="148" t="e" cm="1">
        <f t="array" ref="L1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" s="148" t="e" cm="1">
        <f t="array" ref="M1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" s="148" t="e" cm="1">
        <f t="array" ref="N1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" s="149" t="str">
        <f>IF(Table117821341[[#This Row],[Pos.]]="QB1",_xlfn.XLOOKUP(Table117821341[[#This Row],[Opp]],Table123[DEF],Table123[P]),"#N/A")</f>
        <v>#N/A</v>
      </c>
      <c r="P11" s="149" t="str">
        <f>IF(Table117821341[[#This Row],[Pos.]]="QB1",_xlfn.XLOOKUP(Table117821341[[#This Row],[Opp]],Table123[DEF],Table123[P+R]),"#N/A")</f>
        <v>#N/A</v>
      </c>
      <c r="Q11" s="150" t="str">
        <f>IF(Table117821341[[#This Row],[Pos.]]="QB1",_xlfn.XLOOKUP(Table117821341[[#This Row],[Opp]],Table123[DEF],Table123[P TD]),"#N/A")</f>
        <v>#N/A</v>
      </c>
      <c r="R11" s="149" t="e" cm="1">
        <f t="array" ref="R1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" s="150" t="e" cm="1">
        <f t="array" ref="S1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" s="150" t="e" cm="1">
        <f t="array" ref="T1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" s="150" t="e" cm="1">
        <f t="array" ref="U1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" s="150" t="e" cm="1">
        <f t="array" ref="V1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" s="148" t="e" cm="1">
        <f t="array" ref="W11">_xlfn.IFS(Table117821341[[#This Row],[Pos.]]="QB1",AVERAGE(G11,H11,I11,J11,N11),Table117821341[[#This Row],[Pos.]]="RB1",AVERAGE(J11,K11,N11),Table117821341[[#This Row],[Pos.]]="RB2",AVERAGE(J11,K11,N11),Table117821341[[#This Row],[Pos.]]="WR1",AVERAGE(L11,M11,N11),Table117821341[[#This Row],[Pos.]]="WR2",AVERAGE(L11,M11,N11),Table117821341[[#This Row],[Pos.]]="WR3",AVERAGE(L11,M11,N11),Table117821341[[#This Row],[Pos.]]="WR4",AVERAGE(L11,M11,N11),Table117821341[[#This Row],[Pos.]]="TE1",AVERAGE(L11,M11,N11),Table117821341[[#This Row],[Pos.]]="TE2",AVERAGE(L11,M11,N11),Table117821341[[#This Row],[Pos.]]="D/ST",AVERAGE(Table117821341[[#This Row],[*TD*]]))</f>
        <v>#N/A</v>
      </c>
      <c r="X11" s="94" t="e">
        <f t="shared" si="0"/>
        <v>#N/A</v>
      </c>
    </row>
    <row r="12" spans="2:24" hidden="1" x14ac:dyDescent="0.35">
      <c r="B12" s="6" t="s">
        <v>558</v>
      </c>
      <c r="C12" s="97" t="s">
        <v>0</v>
      </c>
      <c r="D12" s="97" t="s">
        <v>430</v>
      </c>
      <c r="E12" s="23" t="str" cm="1">
        <f t="array" ref="E12">_xlfn.XLOOKUP(Table117821341[[#This Row],[Team]],Table4334[Team],'2425'!$C$3:$C$34)</f>
        <v>n/a</v>
      </c>
      <c r="F12" s="97" t="str">
        <f>_xlfn.XLOOKUP(Table117821341[[#This Row],[Team]],Table4334[Team],Table4334[OPP])</f>
        <v>n/a</v>
      </c>
      <c r="G12" s="148" t="str" cm="1">
        <f t="array" ref="G12">IF(Table117821341[[#This Row],[Pos.]]="QB1",_xlfn.XLOOKUP(Table117821341[[#This Row],[Opp]],Table123[DEF],'2425'!$G$3:$G$34),"#N/A")</f>
        <v>#N/A</v>
      </c>
      <c r="H12" s="148" t="str" cm="1">
        <f t="array" ref="H12">IF(Table117821341[[#This Row],[Pos.]]="QB1",_xlfn.XLOOKUP(Table117821341[[#This Row],[Opp]],Table123[DEF],'2425'!$J$3:$J$34),"#N/A")</f>
        <v>#N/A</v>
      </c>
      <c r="I12" s="148" t="str" cm="1">
        <f t="array" ref="I12">IF(Table117821341[[#This Row],[Pos.]]="QB1",_xlfn.XLOOKUP(Table117821341[[#This Row],[Opp]],Table123[DEF],'2425'!$K$3:$K$34),"#N/A")</f>
        <v>#N/A</v>
      </c>
      <c r="J12" s="148" t="e" cm="1">
        <f t="array" ref="J1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" s="148" t="e" cm="1">
        <f t="array" ref="K1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" s="148" t="e" cm="1">
        <f t="array" ref="L1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" s="148" t="e" cm="1">
        <f t="array" ref="M1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" s="148" t="e" cm="1">
        <f t="array" ref="N1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" s="149" t="str">
        <f>IF(Table117821341[[#This Row],[Pos.]]="QB1",_xlfn.XLOOKUP(Table117821341[[#This Row],[Opp]],Table123[DEF],Table123[P]),"#N/A")</f>
        <v>#N/A</v>
      </c>
      <c r="P12" s="149" t="str">
        <f>IF(Table117821341[[#This Row],[Pos.]]="QB1",_xlfn.XLOOKUP(Table117821341[[#This Row],[Opp]],Table123[DEF],Table123[P+R]),"#N/A")</f>
        <v>#N/A</v>
      </c>
      <c r="Q12" s="150" t="str">
        <f>IF(Table117821341[[#This Row],[Pos.]]="QB1",_xlfn.XLOOKUP(Table117821341[[#This Row],[Opp]],Table123[DEF],Table123[P TD]),"#N/A")</f>
        <v>#N/A</v>
      </c>
      <c r="R12" s="149" t="e" cm="1">
        <f t="array" ref="R1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" s="150" t="e" cm="1">
        <f t="array" ref="S1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" s="150" t="e" cm="1">
        <f t="array" ref="T1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" s="150" t="e" cm="1">
        <f t="array" ref="U1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" s="150" t="e" cm="1">
        <f t="array" ref="V1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" s="148" t="e" cm="1">
        <f t="array" ref="W12">_xlfn.IFS(Table117821341[[#This Row],[Pos.]]="QB1",AVERAGE(G12,H12,I12,J12,N12),Table117821341[[#This Row],[Pos.]]="RB1",AVERAGE(J12,K12,N12),Table117821341[[#This Row],[Pos.]]="RB2",AVERAGE(J12,K12,N12),Table117821341[[#This Row],[Pos.]]="WR1",AVERAGE(L12,M12,N12),Table117821341[[#This Row],[Pos.]]="WR2",AVERAGE(L12,M12,N12),Table117821341[[#This Row],[Pos.]]="WR3",AVERAGE(L12,M12,N12),Table117821341[[#This Row],[Pos.]]="WR4",AVERAGE(L12,M12,N12),Table117821341[[#This Row],[Pos.]]="TE1",AVERAGE(L12,M12,N12),Table117821341[[#This Row],[Pos.]]="TE2",AVERAGE(L12,M12,N12),Table117821341[[#This Row],[Pos.]]="D/ST",AVERAGE(Table117821341[[#This Row],[*TD*]]))</f>
        <v>#N/A</v>
      </c>
      <c r="X12" s="94" t="e">
        <f t="shared" si="0"/>
        <v>#N/A</v>
      </c>
    </row>
    <row r="13" spans="2:24" hidden="1" x14ac:dyDescent="0.35">
      <c r="B13" s="6" t="s">
        <v>559</v>
      </c>
      <c r="C13" s="97" t="s">
        <v>0</v>
      </c>
      <c r="D13" s="97" t="s">
        <v>435</v>
      </c>
      <c r="E13" s="23" t="str" cm="1">
        <f t="array" ref="E13">_xlfn.XLOOKUP(Table117821341[[#This Row],[Team]],Table4334[Team],'2425'!$C$3:$C$34)</f>
        <v>n/a</v>
      </c>
      <c r="F13" s="97" t="str">
        <f>_xlfn.XLOOKUP(Table117821341[[#This Row],[Team]],Table4334[Team],Table4334[OPP])</f>
        <v>n/a</v>
      </c>
      <c r="G13" s="148" t="str" cm="1">
        <f t="array" ref="G13">IF(Table117821341[[#This Row],[Pos.]]="QB1",_xlfn.XLOOKUP(Table117821341[[#This Row],[Opp]],Table123[DEF],'2425'!$G$3:$G$34),"#N/A")</f>
        <v>#N/A</v>
      </c>
      <c r="H13" s="148" t="str" cm="1">
        <f t="array" ref="H13">IF(Table117821341[[#This Row],[Pos.]]="QB1",_xlfn.XLOOKUP(Table117821341[[#This Row],[Opp]],Table123[DEF],'2425'!$J$3:$J$34),"#N/A")</f>
        <v>#N/A</v>
      </c>
      <c r="I13" s="148" t="str" cm="1">
        <f t="array" ref="I13">IF(Table117821341[[#This Row],[Pos.]]="QB1",_xlfn.XLOOKUP(Table117821341[[#This Row],[Opp]],Table123[DEF],'2425'!$K$3:$K$34),"#N/A")</f>
        <v>#N/A</v>
      </c>
      <c r="J13" s="148" t="e" cm="1">
        <f t="array" ref="J1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" s="148" t="e" cm="1">
        <f t="array" ref="K1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" s="148" t="e" cm="1">
        <f t="array" ref="L1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" s="148" t="e" cm="1">
        <f t="array" ref="M1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" s="148" t="e" cm="1">
        <f t="array" ref="N1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" s="149" t="str">
        <f>IF(Table117821341[[#This Row],[Pos.]]="QB1",_xlfn.XLOOKUP(Table117821341[[#This Row],[Opp]],Table123[DEF],Table123[P]),"#N/A")</f>
        <v>#N/A</v>
      </c>
      <c r="P13" s="149" t="str">
        <f>IF(Table117821341[[#This Row],[Pos.]]="QB1",_xlfn.XLOOKUP(Table117821341[[#This Row],[Opp]],Table123[DEF],Table123[P+R]),"#N/A")</f>
        <v>#N/A</v>
      </c>
      <c r="Q13" s="150" t="str">
        <f>IF(Table117821341[[#This Row],[Pos.]]="QB1",_xlfn.XLOOKUP(Table117821341[[#This Row],[Opp]],Table123[DEF],Table123[P TD]),"#N/A")</f>
        <v>#N/A</v>
      </c>
      <c r="R13" s="149" t="e" cm="1">
        <f t="array" ref="R1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" s="150" t="e" cm="1">
        <f t="array" ref="S1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" s="150" t="e" cm="1">
        <f t="array" ref="T1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" s="150" t="e" cm="1">
        <f t="array" ref="U1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" s="150" t="e" cm="1">
        <f t="array" ref="V1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" s="148" t="e" cm="1">
        <f t="array" ref="W13">_xlfn.IFS(Table117821341[[#This Row],[Pos.]]="QB1",AVERAGE(G13,H13,I13,J13,N13),Table117821341[[#This Row],[Pos.]]="RB1",AVERAGE(J13,K13,N13),Table117821341[[#This Row],[Pos.]]="RB2",AVERAGE(J13,K13,N13),Table117821341[[#This Row],[Pos.]]="WR1",AVERAGE(L13,M13,N13),Table117821341[[#This Row],[Pos.]]="WR2",AVERAGE(L13,M13,N13),Table117821341[[#This Row],[Pos.]]="WR3",AVERAGE(L13,M13,N13),Table117821341[[#This Row],[Pos.]]="WR4",AVERAGE(L13,M13,N13),Table117821341[[#This Row],[Pos.]]="TE1",AVERAGE(L13,M13,N13),Table117821341[[#This Row],[Pos.]]="TE2",AVERAGE(L13,M13,N13),Table117821341[[#This Row],[Pos.]]="D/ST",AVERAGE(Table117821341[[#This Row],[*TD*]]))</f>
        <v>#N/A</v>
      </c>
      <c r="X13" s="94" t="e">
        <f t="shared" si="0"/>
        <v>#N/A</v>
      </c>
    </row>
    <row r="14" spans="2:24" hidden="1" x14ac:dyDescent="0.35">
      <c r="B14" s="6" t="s">
        <v>351</v>
      </c>
      <c r="C14" s="97" t="s">
        <v>52</v>
      </c>
      <c r="D14" s="97" t="s">
        <v>395</v>
      </c>
      <c r="E14" s="23" t="str" cm="1">
        <f t="array" ref="E14">_xlfn.XLOOKUP(Table117821341[[#This Row],[Team]],Table4334[Team],'2425'!$C$3:$C$34)</f>
        <v>SB LX</v>
      </c>
      <c r="F14" s="97" t="str">
        <f>_xlfn.XLOOKUP(Table117821341[[#This Row],[Team]],Table4334[Team],Table4334[OPP])</f>
        <v>NE</v>
      </c>
      <c r="G14" s="148" t="str" cm="1">
        <f t="array" ref="G14">IF(Table117821341[[#This Row],[Pos.]]="QB1",_xlfn.XLOOKUP(Table117821341[[#This Row],[Opp]],Table123[DEF],'2425'!$G$3:$G$34),"#N/A")</f>
        <v>#N/A</v>
      </c>
      <c r="H14" s="148" t="str" cm="1">
        <f t="array" ref="H14">IF(Table117821341[[#This Row],[Pos.]]="QB1",_xlfn.XLOOKUP(Table117821341[[#This Row],[Opp]],Table123[DEF],'2425'!$J$3:$J$34),"#N/A")</f>
        <v>#N/A</v>
      </c>
      <c r="I14" s="148" t="str" cm="1">
        <f t="array" ref="I14">IF(Table117821341[[#This Row],[Pos.]]="QB1",_xlfn.XLOOKUP(Table117821341[[#This Row],[Opp]],Table123[DEF],'2425'!$K$3:$K$34),"#N/A")</f>
        <v>#N/A</v>
      </c>
      <c r="J14" s="148" cm="1">
        <f t="array" ref="J1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14.5</v>
      </c>
      <c r="K14" s="148" cm="1">
        <f t="array" ref="K14">_xlfn.IFS(Table117821341[[#This Row],[Pos.]]="RB1",_xlfn.XLOOKUP(Table117821341[[#This Row],[Opp]],Table2040[DEF],'2425'!$K$38:$K$69),Table117821341[[#This Row],[Pos.]]="RB2",_xlfn.XLOOKUP(Table117821341[[#This Row],[Opp]],Table2040[DEF],'2425'!$K$38:$K$69))</f>
        <v>20</v>
      </c>
      <c r="L14" s="148" cm="1">
        <f t="array" ref="L1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20</v>
      </c>
      <c r="M14" s="148" cm="1">
        <f t="array" ref="M1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26</v>
      </c>
      <c r="N14" s="148" cm="1">
        <f t="array" ref="N1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16</v>
      </c>
      <c r="O14" s="149" t="str">
        <f>IF(Table117821341[[#This Row],[Pos.]]="QB1",_xlfn.XLOOKUP(Table117821341[[#This Row],[Opp]],Table123[DEF],Table123[P]),"#N/A")</f>
        <v>#N/A</v>
      </c>
      <c r="P14" s="149" t="str">
        <f>IF(Table117821341[[#This Row],[Pos.]]="QB1",_xlfn.XLOOKUP(Table117821341[[#This Row],[Opp]],Table123[DEF],Table123[P+R]),"#N/A")</f>
        <v>#N/A</v>
      </c>
      <c r="Q14" s="150" t="str">
        <f>IF(Table117821341[[#This Row],[Pos.]]="QB1",_xlfn.XLOOKUP(Table117821341[[#This Row],[Opp]],Table123[DEF],Table123[P TD]),"#N/A")</f>
        <v>#N/A</v>
      </c>
      <c r="R14" s="149" cm="1">
        <f t="array" ref="R1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96.558823529411768</v>
      </c>
      <c r="S14" s="150" cm="1">
        <f t="array" ref="S14">_xlfn.IFS(Table117821341[[#This Row],[Pos.]]="RB1",_xlfn.XLOOKUP(Table117821341[[#This Row],[Opp]],Table2040[DEF],Table2040[R+R]),Table117821341[[#This Row],[Pos.]]="RB2",_xlfn.XLOOKUP(Table117821341[[#This Row],[Opp]],Table2040[DEF],Table2040[R+R]))</f>
        <v>123.85294117647059</v>
      </c>
      <c r="T14" s="150" cm="1">
        <f t="array" ref="T1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4.0882352941176467</v>
      </c>
      <c r="U14" s="150" cm="1">
        <f t="array" ref="U1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27.294117647058826</v>
      </c>
      <c r="V14" s="162" cm="1">
        <f t="array" ref="V1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0.91176470588235303</v>
      </c>
      <c r="W14" s="148" cm="1">
        <f t="array" ref="W14">_xlfn.IFS(Table117821341[[#This Row],[Pos.]]="QB1",AVERAGE(G14,H14,I14,J14,N14),Table117821341[[#This Row],[Pos.]]="RB1",AVERAGE(J14,K14,N14),Table117821341[[#This Row],[Pos.]]="RB2",AVERAGE(J14,K14,N14),Table117821341[[#This Row],[Pos.]]="WR1",AVERAGE(L14,M14,N14),Table117821341[[#This Row],[Pos.]]="WR2",AVERAGE(L14,M14,N14),Table117821341[[#This Row],[Pos.]]="WR3",AVERAGE(L14,M14,N14),Table117821341[[#This Row],[Pos.]]="WR4",AVERAGE(L14,M14,N14),Table117821341[[#This Row],[Pos.]]="TE1",AVERAGE(L14,M14,N14),Table117821341[[#This Row],[Pos.]]="TE2",AVERAGE(L14,M14,N14),Table117821341[[#This Row],[Pos.]]="D/ST",AVERAGE(Table117821341[[#This Row],[*TD*]]))</f>
        <v>16.833333333333332</v>
      </c>
      <c r="X14" s="94">
        <f t="shared" si="0"/>
        <v>16.416666666666664</v>
      </c>
    </row>
    <row r="15" spans="2:24" hidden="1" x14ac:dyDescent="0.35">
      <c r="B15" s="6" t="s">
        <v>378</v>
      </c>
      <c r="C15" s="97" t="s">
        <v>55</v>
      </c>
      <c r="D15" s="97" t="s">
        <v>395</v>
      </c>
      <c r="E15" s="23" t="str" cm="1">
        <f t="array" ref="E15">_xlfn.XLOOKUP(Table117821341[[#This Row],[Team]],Table4334[Team],'2425'!$C$3:$C$34)</f>
        <v>n/a</v>
      </c>
      <c r="F15" s="97" t="str">
        <f>_xlfn.XLOOKUP(Table117821341[[#This Row],[Team]],Table4334[Team],Table4334[OPP])</f>
        <v>n/a</v>
      </c>
      <c r="G15" s="148" t="str" cm="1">
        <f t="array" ref="G15">IF(Table117821341[[#This Row],[Pos.]]="QB1",_xlfn.XLOOKUP(Table117821341[[#This Row],[Opp]],Table123[DEF],'2425'!$G$3:$G$34),"#N/A")</f>
        <v>#N/A</v>
      </c>
      <c r="H15" s="148" t="str" cm="1">
        <f t="array" ref="H15">IF(Table117821341[[#This Row],[Pos.]]="QB1",_xlfn.XLOOKUP(Table117821341[[#This Row],[Opp]],Table123[DEF],'2425'!$J$3:$J$34),"#N/A")</f>
        <v>#N/A</v>
      </c>
      <c r="I15" s="148" t="str" cm="1">
        <f t="array" ref="I15">IF(Table117821341[[#This Row],[Pos.]]="QB1",_xlfn.XLOOKUP(Table117821341[[#This Row],[Opp]],Table123[DEF],'2425'!$K$3:$K$34),"#N/A")</f>
        <v>#N/A</v>
      </c>
      <c r="J15" s="148" t="e" cm="1">
        <f t="array" ref="J1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" s="148" t="e" cm="1">
        <f t="array" ref="K1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" s="148" t="e" cm="1">
        <f t="array" ref="L1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" s="148" t="e" cm="1">
        <f t="array" ref="M1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" s="148" t="e" cm="1">
        <f t="array" ref="N1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" s="149" t="str">
        <f>IF(Table117821341[[#This Row],[Pos.]]="QB1",_xlfn.XLOOKUP(Table117821341[[#This Row],[Opp]],Table123[DEF],Table123[P]),"#N/A")</f>
        <v>#N/A</v>
      </c>
      <c r="P15" s="149" t="str">
        <f>IF(Table117821341[[#This Row],[Pos.]]="QB1",_xlfn.XLOOKUP(Table117821341[[#This Row],[Opp]],Table123[DEF],Table123[P+R]),"#N/A")</f>
        <v>#N/A</v>
      </c>
      <c r="Q15" s="150" t="str">
        <f>IF(Table117821341[[#This Row],[Pos.]]="QB1",_xlfn.XLOOKUP(Table117821341[[#This Row],[Opp]],Table123[DEF],Table123[P TD]),"#N/A")</f>
        <v>#N/A</v>
      </c>
      <c r="R15" s="149" t="e" cm="1">
        <f t="array" ref="R1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" s="150" t="e" cm="1">
        <f t="array" ref="S1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" s="150" t="e" cm="1">
        <f t="array" ref="T1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" s="150" t="e" cm="1">
        <f t="array" ref="U1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" s="162" t="e" cm="1">
        <f t="array" ref="V1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" s="148" t="e" cm="1">
        <f t="array" ref="W15">_xlfn.IFS(Table117821341[[#This Row],[Pos.]]="QB1",AVERAGE(G15,H15,I15,J15,N15),Table117821341[[#This Row],[Pos.]]="RB1",AVERAGE(J15,K15,N15),Table117821341[[#This Row],[Pos.]]="RB2",AVERAGE(J15,K15,N15),Table117821341[[#This Row],[Pos.]]="WR1",AVERAGE(L15,M15,N15),Table117821341[[#This Row],[Pos.]]="WR2",AVERAGE(L15,M15,N15),Table117821341[[#This Row],[Pos.]]="WR3",AVERAGE(L15,M15,N15),Table117821341[[#This Row],[Pos.]]="WR4",AVERAGE(L15,M15,N15),Table117821341[[#This Row],[Pos.]]="TE1",AVERAGE(L15,M15,N15),Table117821341[[#This Row],[Pos.]]="TE2",AVERAGE(L15,M15,N15),Table117821341[[#This Row],[Pos.]]="D/ST",AVERAGE(Table117821341[[#This Row],[*TD*]]))</f>
        <v>#N/A</v>
      </c>
      <c r="X15" s="94" t="e">
        <f t="shared" si="0"/>
        <v>#N/A</v>
      </c>
    </row>
    <row r="16" spans="2:24" hidden="1" x14ac:dyDescent="0.35">
      <c r="B16" s="6" t="s">
        <v>184</v>
      </c>
      <c r="C16" s="97" t="s">
        <v>33</v>
      </c>
      <c r="D16" s="97" t="s">
        <v>395</v>
      </c>
      <c r="E16" s="23" t="str" cm="1">
        <f t="array" ref="E16">_xlfn.XLOOKUP(Table117821341[[#This Row],[Team]],Table4334[Team],'2425'!$C$3:$C$34)</f>
        <v>n/a</v>
      </c>
      <c r="F16" s="97" t="str">
        <f>_xlfn.XLOOKUP(Table117821341[[#This Row],[Team]],Table4334[Team],Table4334[OPP])</f>
        <v>n/a</v>
      </c>
      <c r="G16" s="148" t="str" cm="1">
        <f t="array" ref="G16">IF(Table117821341[[#This Row],[Pos.]]="QB1",_xlfn.XLOOKUP(Table117821341[[#This Row],[Opp]],Table123[DEF],'2425'!$G$3:$G$34),"#N/A")</f>
        <v>#N/A</v>
      </c>
      <c r="H16" s="148" t="str" cm="1">
        <f t="array" ref="H16">IF(Table117821341[[#This Row],[Pos.]]="QB1",_xlfn.XLOOKUP(Table117821341[[#This Row],[Opp]],Table123[DEF],'2425'!$J$3:$J$34),"#N/A")</f>
        <v>#N/A</v>
      </c>
      <c r="I16" s="148" t="str" cm="1">
        <f t="array" ref="I16">IF(Table117821341[[#This Row],[Pos.]]="QB1",_xlfn.XLOOKUP(Table117821341[[#This Row],[Opp]],Table123[DEF],'2425'!$K$3:$K$34),"#N/A")</f>
        <v>#N/A</v>
      </c>
      <c r="J16" s="148" t="e" cm="1">
        <f t="array" ref="J1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" s="148" t="e" cm="1">
        <f t="array" ref="K1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" s="148" t="e" cm="1">
        <f t="array" ref="L1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" s="148" t="e" cm="1">
        <f t="array" ref="M1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" s="148" t="e" cm="1">
        <f t="array" ref="N1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" s="149" t="str">
        <f>IF(Table117821341[[#This Row],[Pos.]]="QB1",_xlfn.XLOOKUP(Table117821341[[#This Row],[Opp]],Table123[DEF],Table123[P]),"#N/A")</f>
        <v>#N/A</v>
      </c>
      <c r="P16" s="149" t="str">
        <f>IF(Table117821341[[#This Row],[Pos.]]="QB1",_xlfn.XLOOKUP(Table117821341[[#This Row],[Opp]],Table123[DEF],Table123[P+R]),"#N/A")</f>
        <v>#N/A</v>
      </c>
      <c r="Q16" s="150" t="str">
        <f>IF(Table117821341[[#This Row],[Pos.]]="QB1",_xlfn.XLOOKUP(Table117821341[[#This Row],[Opp]],Table123[DEF],Table123[P TD]),"#N/A")</f>
        <v>#N/A</v>
      </c>
      <c r="R16" s="149" t="e" cm="1">
        <f t="array" ref="R1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" s="150" t="e" cm="1">
        <f t="array" ref="S1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" s="150" t="e" cm="1">
        <f t="array" ref="T1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" s="150" t="e" cm="1">
        <f t="array" ref="U1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" s="162" t="e" cm="1">
        <f t="array" ref="V1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" s="148" t="e" cm="1">
        <f t="array" ref="W16">_xlfn.IFS(Table117821341[[#This Row],[Pos.]]="QB1",AVERAGE(G16,H16,I16,J16,N16),Table117821341[[#This Row],[Pos.]]="RB1",AVERAGE(J16,K16,N16),Table117821341[[#This Row],[Pos.]]="RB2",AVERAGE(J16,K16,N16),Table117821341[[#This Row],[Pos.]]="WR1",AVERAGE(L16,M16,N16),Table117821341[[#This Row],[Pos.]]="WR2",AVERAGE(L16,M16,N16),Table117821341[[#This Row],[Pos.]]="WR3",AVERAGE(L16,M16,N16),Table117821341[[#This Row],[Pos.]]="WR4",AVERAGE(L16,M16,N16),Table117821341[[#This Row],[Pos.]]="TE1",AVERAGE(L16,M16,N16),Table117821341[[#This Row],[Pos.]]="TE2",AVERAGE(L16,M16,N16),Table117821341[[#This Row],[Pos.]]="D/ST",AVERAGE(Table117821341[[#This Row],[*TD*]]))</f>
        <v>#N/A</v>
      </c>
      <c r="X16" s="94" t="e">
        <f t="shared" si="0"/>
        <v>#N/A</v>
      </c>
    </row>
    <row r="17" spans="2:24" hidden="1" x14ac:dyDescent="0.35">
      <c r="B17" s="6" t="s">
        <v>119</v>
      </c>
      <c r="C17" s="97" t="s">
        <v>15</v>
      </c>
      <c r="D17" s="97" t="s">
        <v>395</v>
      </c>
      <c r="E17" s="23" t="str" cm="1">
        <f t="array" ref="E17">_xlfn.XLOOKUP(Table117821341[[#This Row],[Team]],Table4334[Team],'2425'!$C$3:$C$34)</f>
        <v>n/a</v>
      </c>
      <c r="F17" s="97" t="str">
        <f>_xlfn.XLOOKUP(Table117821341[[#This Row],[Team]],Table4334[Team],Table4334[OPP])</f>
        <v>n/a</v>
      </c>
      <c r="G17" s="148" t="str" cm="1">
        <f t="array" ref="G17">IF(Table117821341[[#This Row],[Pos.]]="QB1",_xlfn.XLOOKUP(Table117821341[[#This Row],[Opp]],Table123[DEF],'2425'!$G$3:$G$34),"#N/A")</f>
        <v>#N/A</v>
      </c>
      <c r="H17" s="148" t="str" cm="1">
        <f t="array" ref="H17">IF(Table117821341[[#This Row],[Pos.]]="QB1",_xlfn.XLOOKUP(Table117821341[[#This Row],[Opp]],Table123[DEF],'2425'!$J$3:$J$34),"#N/A")</f>
        <v>#N/A</v>
      </c>
      <c r="I17" s="148" t="str" cm="1">
        <f t="array" ref="I17">IF(Table117821341[[#This Row],[Pos.]]="QB1",_xlfn.XLOOKUP(Table117821341[[#This Row],[Opp]],Table123[DEF],'2425'!$K$3:$K$34),"#N/A")</f>
        <v>#N/A</v>
      </c>
      <c r="J17" s="148" t="e" cm="1">
        <f t="array" ref="J1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" s="148" t="e" cm="1">
        <f t="array" ref="K1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" s="148" t="e" cm="1">
        <f t="array" ref="L1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" s="148" t="e" cm="1">
        <f t="array" ref="M1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" s="148" t="e" cm="1">
        <f t="array" ref="N1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" s="149" t="str">
        <f>IF(Table117821341[[#This Row],[Pos.]]="QB1",_xlfn.XLOOKUP(Table117821341[[#This Row],[Opp]],Table123[DEF],Table123[P]),"#N/A")</f>
        <v>#N/A</v>
      </c>
      <c r="P17" s="149" t="str">
        <f>IF(Table117821341[[#This Row],[Pos.]]="QB1",_xlfn.XLOOKUP(Table117821341[[#This Row],[Opp]],Table123[DEF],Table123[P+R]),"#N/A")</f>
        <v>#N/A</v>
      </c>
      <c r="Q17" s="150" t="str">
        <f>IF(Table117821341[[#This Row],[Pos.]]="QB1",_xlfn.XLOOKUP(Table117821341[[#This Row],[Opp]],Table123[DEF],Table123[P TD]),"#N/A")</f>
        <v>#N/A</v>
      </c>
      <c r="R17" s="149" t="e" cm="1">
        <f t="array" ref="R1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" s="150" t="e" cm="1">
        <f t="array" ref="S1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" s="150" t="e" cm="1">
        <f t="array" ref="T1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" s="150" t="e" cm="1">
        <f t="array" ref="U1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" s="162" t="e" cm="1">
        <f t="array" ref="V1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" s="148" t="e" cm="1">
        <f t="array" ref="W17">_xlfn.IFS(Table117821341[[#This Row],[Pos.]]="QB1",AVERAGE(G17,H17,I17,J17,N17),Table117821341[[#This Row],[Pos.]]="RB1",AVERAGE(J17,K17,N17),Table117821341[[#This Row],[Pos.]]="RB2",AVERAGE(J17,K17,N17),Table117821341[[#This Row],[Pos.]]="WR1",AVERAGE(L17,M17,N17),Table117821341[[#This Row],[Pos.]]="WR2",AVERAGE(L17,M17,N17),Table117821341[[#This Row],[Pos.]]="WR3",AVERAGE(L17,M17,N17),Table117821341[[#This Row],[Pos.]]="WR4",AVERAGE(L17,M17,N17),Table117821341[[#This Row],[Pos.]]="TE1",AVERAGE(L17,M17,N17),Table117821341[[#This Row],[Pos.]]="TE2",AVERAGE(L17,M17,N17),Table117821341[[#This Row],[Pos.]]="D/ST",AVERAGE(Table117821341[[#This Row],[*TD*]]))</f>
        <v>#N/A</v>
      </c>
      <c r="X17" s="94" t="e">
        <f t="shared" si="0"/>
        <v>#N/A</v>
      </c>
    </row>
    <row r="18" spans="2:24" hidden="1" x14ac:dyDescent="0.35">
      <c r="B18" s="6" t="s">
        <v>556</v>
      </c>
      <c r="C18" s="97" t="s">
        <v>0</v>
      </c>
      <c r="D18" s="97" t="s">
        <v>403</v>
      </c>
      <c r="E18" s="23" t="str" cm="1">
        <f t="array" ref="E18">_xlfn.XLOOKUP(Table117821341[[#This Row],[Team]],Table4334[Team],'2425'!$C$3:$C$34)</f>
        <v>n/a</v>
      </c>
      <c r="F18" s="97" t="str">
        <f>_xlfn.XLOOKUP(Table117821341[[#This Row],[Team]],Table4334[Team],Table4334[OPP])</f>
        <v>n/a</v>
      </c>
      <c r="G18" s="148" t="str" cm="1">
        <f t="array" ref="G18">IF(Table117821341[[#This Row],[Pos.]]="QB1",_xlfn.XLOOKUP(Table117821341[[#This Row],[Opp]],Table123[DEF],'2425'!$G$3:$G$34),"#N/A")</f>
        <v>#N/A</v>
      </c>
      <c r="H18" s="148" t="str" cm="1">
        <f t="array" ref="H18">IF(Table117821341[[#This Row],[Pos.]]="QB1",_xlfn.XLOOKUP(Table117821341[[#This Row],[Opp]],Table123[DEF],'2425'!$J$3:$J$34),"#N/A")</f>
        <v>#N/A</v>
      </c>
      <c r="I18" s="148" t="str" cm="1">
        <f t="array" ref="I18">IF(Table117821341[[#This Row],[Pos.]]="QB1",_xlfn.XLOOKUP(Table117821341[[#This Row],[Opp]],Table123[DEF],'2425'!$K$3:$K$34),"#N/A")</f>
        <v>#N/A</v>
      </c>
      <c r="J18" s="148" t="e" cm="1">
        <f t="array" ref="J1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" s="148" t="e" cm="1">
        <f t="array" ref="K1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" s="148" t="e" cm="1">
        <f t="array" ref="L1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" s="148" t="e" cm="1">
        <f t="array" ref="M1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" s="148" t="e" cm="1">
        <f t="array" ref="N1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" s="149" t="str">
        <f>IF(Table117821341[[#This Row],[Pos.]]="QB1",_xlfn.XLOOKUP(Table117821341[[#This Row],[Opp]],Table123[DEF],Table123[P]),"#N/A")</f>
        <v>#N/A</v>
      </c>
      <c r="P18" s="149" t="str">
        <f>IF(Table117821341[[#This Row],[Pos.]]="QB1",_xlfn.XLOOKUP(Table117821341[[#This Row],[Opp]],Table123[DEF],Table123[P+R]),"#N/A")</f>
        <v>#N/A</v>
      </c>
      <c r="Q18" s="150" t="str">
        <f>IF(Table117821341[[#This Row],[Pos.]]="QB1",_xlfn.XLOOKUP(Table117821341[[#This Row],[Opp]],Table123[DEF],Table123[P TD]),"#N/A")</f>
        <v>#N/A</v>
      </c>
      <c r="R18" s="149" t="e" cm="1">
        <f t="array" ref="R1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" s="150" t="e" cm="1">
        <f t="array" ref="S1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" s="150" t="e" cm="1">
        <f t="array" ref="T1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" s="150" t="e" cm="1">
        <f t="array" ref="U1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" s="150" t="e" cm="1">
        <f t="array" ref="V1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" s="148" t="e" cm="1">
        <f t="array" ref="W18">_xlfn.IFS(Table117821341[[#This Row],[Pos.]]="QB1",AVERAGE(G18,H18,I18,J18,N18),Table117821341[[#This Row],[Pos.]]="RB1",AVERAGE(J18,K18,N18),Table117821341[[#This Row],[Pos.]]="RB2",AVERAGE(J18,K18,N18),Table117821341[[#This Row],[Pos.]]="WR1",AVERAGE(L18,M18,N18),Table117821341[[#This Row],[Pos.]]="WR2",AVERAGE(L18,M18,N18),Table117821341[[#This Row],[Pos.]]="WR3",AVERAGE(L18,M18,N18),Table117821341[[#This Row],[Pos.]]="WR4",AVERAGE(L18,M18,N18),Table117821341[[#This Row],[Pos.]]="TE1",AVERAGE(L18,M18,N18),Table117821341[[#This Row],[Pos.]]="TE2",AVERAGE(L18,M18,N18),Table117821341[[#This Row],[Pos.]]="D/ST",AVERAGE(Table117821341[[#This Row],[*TD*]]))</f>
        <v>#N/A</v>
      </c>
      <c r="X18" s="94" t="e">
        <f t="shared" si="0"/>
        <v>#N/A</v>
      </c>
    </row>
    <row r="19" spans="2:24" hidden="1" x14ac:dyDescent="0.35">
      <c r="B19" s="6" t="s">
        <v>557</v>
      </c>
      <c r="C19" s="97" t="s">
        <v>0</v>
      </c>
      <c r="D19" s="97" t="s">
        <v>411</v>
      </c>
      <c r="E19" s="23" t="str" cm="1">
        <f t="array" ref="E19">_xlfn.XLOOKUP(Table117821341[[#This Row],[Team]],Table4334[Team],'2425'!$C$3:$C$34)</f>
        <v>n/a</v>
      </c>
      <c r="F19" s="97" t="str">
        <f>_xlfn.XLOOKUP(Table117821341[[#This Row],[Team]],Table4334[Team],Table4334[OPP])</f>
        <v>n/a</v>
      </c>
      <c r="G19" s="148" t="str" cm="1">
        <f t="array" ref="G19">IF(Table117821341[[#This Row],[Pos.]]="QB1",_xlfn.XLOOKUP(Table117821341[[#This Row],[Opp]],Table123[DEF],'2425'!$G$3:$G$34),"#N/A")</f>
        <v>#N/A</v>
      </c>
      <c r="H19" s="148" t="str" cm="1">
        <f t="array" ref="H19">IF(Table117821341[[#This Row],[Pos.]]="QB1",_xlfn.XLOOKUP(Table117821341[[#This Row],[Opp]],Table123[DEF],'2425'!$J$3:$J$34),"#N/A")</f>
        <v>#N/A</v>
      </c>
      <c r="I19" s="148" t="str" cm="1">
        <f t="array" ref="I19">IF(Table117821341[[#This Row],[Pos.]]="QB1",_xlfn.XLOOKUP(Table117821341[[#This Row],[Opp]],Table123[DEF],'2425'!$K$3:$K$34),"#N/A")</f>
        <v>#N/A</v>
      </c>
      <c r="J19" s="148" t="e" cm="1">
        <f t="array" ref="J1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" s="148" t="e" cm="1">
        <f t="array" ref="K1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" s="148" t="e" cm="1">
        <f t="array" ref="L1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" s="148" t="e" cm="1">
        <f t="array" ref="M1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" s="148" t="e" cm="1">
        <f t="array" ref="N1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" s="149" t="str">
        <f>IF(Table117821341[[#This Row],[Pos.]]="QB1",_xlfn.XLOOKUP(Table117821341[[#This Row],[Opp]],Table123[DEF],Table123[P]),"#N/A")</f>
        <v>#N/A</v>
      </c>
      <c r="P19" s="149" t="str">
        <f>IF(Table117821341[[#This Row],[Pos.]]="QB1",_xlfn.XLOOKUP(Table117821341[[#This Row],[Opp]],Table123[DEF],Table123[P+R]),"#N/A")</f>
        <v>#N/A</v>
      </c>
      <c r="Q19" s="150" t="str">
        <f>IF(Table117821341[[#This Row],[Pos.]]="QB1",_xlfn.XLOOKUP(Table117821341[[#This Row],[Opp]],Table123[DEF],Table123[P TD]),"#N/A")</f>
        <v>#N/A</v>
      </c>
      <c r="R19" s="149" t="e" cm="1">
        <f t="array" ref="R1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" s="150" t="e" cm="1">
        <f t="array" ref="S1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" s="150" t="e" cm="1">
        <f t="array" ref="T1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" s="150" t="e" cm="1">
        <f t="array" ref="U1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" s="150" t="e" cm="1">
        <f t="array" ref="V1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" s="148" t="e" cm="1">
        <f t="array" ref="W19">_xlfn.IFS(Table117821341[[#This Row],[Pos.]]="QB1",AVERAGE(G19,H19,I19,J19,N19),Table117821341[[#This Row],[Pos.]]="RB1",AVERAGE(J19,K19,N19),Table117821341[[#This Row],[Pos.]]="RB2",AVERAGE(J19,K19,N19),Table117821341[[#This Row],[Pos.]]="WR1",AVERAGE(L19,M19,N19),Table117821341[[#This Row],[Pos.]]="WR2",AVERAGE(L19,M19,N19),Table117821341[[#This Row],[Pos.]]="WR3",AVERAGE(L19,M19,N19),Table117821341[[#This Row],[Pos.]]="WR4",AVERAGE(L19,M19,N19),Table117821341[[#This Row],[Pos.]]="TE1",AVERAGE(L19,M19,N19),Table117821341[[#This Row],[Pos.]]="TE2",AVERAGE(L19,M19,N19),Table117821341[[#This Row],[Pos.]]="D/ST",AVERAGE(Table117821341[[#This Row],[*TD*]]))</f>
        <v>#N/A</v>
      </c>
      <c r="X19" s="94" t="e">
        <f t="shared" si="0"/>
        <v>#N/A</v>
      </c>
    </row>
    <row r="20" spans="2:24" hidden="1" x14ac:dyDescent="0.35">
      <c r="B20" s="6" t="s">
        <v>245</v>
      </c>
      <c r="C20" s="97" t="s">
        <v>40</v>
      </c>
      <c r="D20" s="97" t="s">
        <v>395</v>
      </c>
      <c r="E20" s="23" t="str" cm="1">
        <f t="array" ref="E20">_xlfn.XLOOKUP(Table117821341[[#This Row],[Team]],Table4334[Team],'2425'!$C$3:$C$34)</f>
        <v>n/a</v>
      </c>
      <c r="F20" s="97" t="str">
        <f>_xlfn.XLOOKUP(Table117821341[[#This Row],[Team]],Table4334[Team],Table4334[OPP])</f>
        <v>n/a</v>
      </c>
      <c r="G20" s="148" t="str" cm="1">
        <f t="array" ref="G20">IF(Table117821341[[#This Row],[Pos.]]="QB1",_xlfn.XLOOKUP(Table117821341[[#This Row],[Opp]],Table123[DEF],'2425'!$G$3:$G$34),"#N/A")</f>
        <v>#N/A</v>
      </c>
      <c r="H20" s="148" t="str" cm="1">
        <f t="array" ref="H20">IF(Table117821341[[#This Row],[Pos.]]="QB1",_xlfn.XLOOKUP(Table117821341[[#This Row],[Opp]],Table123[DEF],'2425'!$J$3:$J$34),"#N/A")</f>
        <v>#N/A</v>
      </c>
      <c r="I20" s="148" t="str" cm="1">
        <f t="array" ref="I20">IF(Table117821341[[#This Row],[Pos.]]="QB1",_xlfn.XLOOKUP(Table117821341[[#This Row],[Opp]],Table123[DEF],'2425'!$K$3:$K$34),"#N/A")</f>
        <v>#N/A</v>
      </c>
      <c r="J20" s="148" t="e" cm="1">
        <f t="array" ref="J2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" s="148" t="e" cm="1">
        <f t="array" ref="K2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" s="148" t="e" cm="1">
        <f t="array" ref="L2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" s="148" t="e" cm="1">
        <f t="array" ref="M2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" s="148" t="e" cm="1">
        <f t="array" ref="N2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" s="149" t="str">
        <f>IF(Table117821341[[#This Row],[Pos.]]="QB1",_xlfn.XLOOKUP(Table117821341[[#This Row],[Opp]],Table123[DEF],Table123[P]),"#N/A")</f>
        <v>#N/A</v>
      </c>
      <c r="P20" s="149" t="str">
        <f>IF(Table117821341[[#This Row],[Pos.]]="QB1",_xlfn.XLOOKUP(Table117821341[[#This Row],[Opp]],Table123[DEF],Table123[P+R]),"#N/A")</f>
        <v>#N/A</v>
      </c>
      <c r="Q20" s="150" t="str">
        <f>IF(Table117821341[[#This Row],[Pos.]]="QB1",_xlfn.XLOOKUP(Table117821341[[#This Row],[Opp]],Table123[DEF],Table123[P TD]),"#N/A")</f>
        <v>#N/A</v>
      </c>
      <c r="R20" s="149" t="e" cm="1">
        <f t="array" ref="R2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" s="150" t="e" cm="1">
        <f t="array" ref="S2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" s="150" t="e" cm="1">
        <f t="array" ref="T2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" s="150" t="e" cm="1">
        <f t="array" ref="U2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" s="162" t="e" cm="1">
        <f t="array" ref="V2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" s="148" t="e" cm="1">
        <f t="array" ref="W20">_xlfn.IFS(Table117821341[[#This Row],[Pos.]]="QB1",AVERAGE(G20,H20,I20,J20,N20),Table117821341[[#This Row],[Pos.]]="RB1",AVERAGE(J20,K20,N20),Table117821341[[#This Row],[Pos.]]="RB2",AVERAGE(J20,K20,N20),Table117821341[[#This Row],[Pos.]]="WR1",AVERAGE(L20,M20,N20),Table117821341[[#This Row],[Pos.]]="WR2",AVERAGE(L20,M20,N20),Table117821341[[#This Row],[Pos.]]="WR3",AVERAGE(L20,M20,N20),Table117821341[[#This Row],[Pos.]]="WR4",AVERAGE(L20,M20,N20),Table117821341[[#This Row],[Pos.]]="TE1",AVERAGE(L20,M20,N20),Table117821341[[#This Row],[Pos.]]="TE2",AVERAGE(L20,M20,N20),Table117821341[[#This Row],[Pos.]]="D/ST",AVERAGE(Table117821341[[#This Row],[*TD*]]))</f>
        <v>#N/A</v>
      </c>
      <c r="X20" s="94" t="e">
        <f t="shared" si="0"/>
        <v>#N/A</v>
      </c>
    </row>
    <row r="21" spans="2:24" hidden="1" x14ac:dyDescent="0.35">
      <c r="B21" s="6" t="s">
        <v>200</v>
      </c>
      <c r="C21" s="97" t="s">
        <v>35</v>
      </c>
      <c r="D21" s="97" t="s">
        <v>395</v>
      </c>
      <c r="E21" s="23" t="str" cm="1">
        <f t="array" ref="E21">_xlfn.XLOOKUP(Table117821341[[#This Row],[Team]],Table4334[Team],'2425'!$C$3:$C$34)</f>
        <v>n/a</v>
      </c>
      <c r="F21" s="97" t="str">
        <f>_xlfn.XLOOKUP(Table117821341[[#This Row],[Team]],Table4334[Team],Table4334[OPP])</f>
        <v>n/a</v>
      </c>
      <c r="G21" s="148" t="str" cm="1">
        <f t="array" ref="G21">IF(Table117821341[[#This Row],[Pos.]]="QB1",_xlfn.XLOOKUP(Table117821341[[#This Row],[Opp]],Table123[DEF],'2425'!$G$3:$G$34),"#N/A")</f>
        <v>#N/A</v>
      </c>
      <c r="H21" s="148" t="str" cm="1">
        <f t="array" ref="H21">IF(Table117821341[[#This Row],[Pos.]]="QB1",_xlfn.XLOOKUP(Table117821341[[#This Row],[Opp]],Table123[DEF],'2425'!$J$3:$J$34),"#N/A")</f>
        <v>#N/A</v>
      </c>
      <c r="I21" s="148" t="str" cm="1">
        <f t="array" ref="I21">IF(Table117821341[[#This Row],[Pos.]]="QB1",_xlfn.XLOOKUP(Table117821341[[#This Row],[Opp]],Table123[DEF],'2425'!$K$3:$K$34),"#N/A")</f>
        <v>#N/A</v>
      </c>
      <c r="J21" s="148" t="e" cm="1">
        <f t="array" ref="J2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" s="148" t="e" cm="1">
        <f t="array" ref="K2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" s="148" t="e" cm="1">
        <f t="array" ref="L2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" s="148" t="e" cm="1">
        <f t="array" ref="M2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" s="148" t="e" cm="1">
        <f t="array" ref="N2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" s="149" t="str">
        <f>IF(Table117821341[[#This Row],[Pos.]]="QB1",_xlfn.XLOOKUP(Table117821341[[#This Row],[Opp]],Table123[DEF],Table123[P]),"#N/A")</f>
        <v>#N/A</v>
      </c>
      <c r="P21" s="149" t="str">
        <f>IF(Table117821341[[#This Row],[Pos.]]="QB1",_xlfn.XLOOKUP(Table117821341[[#This Row],[Opp]],Table123[DEF],Table123[P+R]),"#N/A")</f>
        <v>#N/A</v>
      </c>
      <c r="Q21" s="150" t="str">
        <f>IF(Table117821341[[#This Row],[Pos.]]="QB1",_xlfn.XLOOKUP(Table117821341[[#This Row],[Opp]],Table123[DEF],Table123[P TD]),"#N/A")</f>
        <v>#N/A</v>
      </c>
      <c r="R21" s="149" t="e" cm="1">
        <f t="array" ref="R2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" s="150" t="e" cm="1">
        <f t="array" ref="S2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" s="150" t="e" cm="1">
        <f t="array" ref="T2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" s="150" t="e" cm="1">
        <f t="array" ref="U2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" s="162" t="e" cm="1">
        <f t="array" ref="V2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" s="148" t="e" cm="1">
        <f t="array" ref="W21">_xlfn.IFS(Table117821341[[#This Row],[Pos.]]="QB1",AVERAGE(G21,H21,I21,J21,N21),Table117821341[[#This Row],[Pos.]]="RB1",AVERAGE(J21,K21,N21),Table117821341[[#This Row],[Pos.]]="RB2",AVERAGE(J21,K21,N21),Table117821341[[#This Row],[Pos.]]="WR1",AVERAGE(L21,M21,N21),Table117821341[[#This Row],[Pos.]]="WR2",AVERAGE(L21,M21,N21),Table117821341[[#This Row],[Pos.]]="WR3",AVERAGE(L21,M21,N21),Table117821341[[#This Row],[Pos.]]="WR4",AVERAGE(L21,M21,N21),Table117821341[[#This Row],[Pos.]]="TE1",AVERAGE(L21,M21,N21),Table117821341[[#This Row],[Pos.]]="TE2",AVERAGE(L21,M21,N21),Table117821341[[#This Row],[Pos.]]="D/ST",AVERAGE(Table117821341[[#This Row],[*TD*]]))</f>
        <v>#N/A</v>
      </c>
      <c r="X21" s="94" t="e">
        <f t="shared" si="0"/>
        <v>#N/A</v>
      </c>
    </row>
    <row r="22" spans="2:24" hidden="1" x14ac:dyDescent="0.35">
      <c r="B22" s="6" t="s">
        <v>114</v>
      </c>
      <c r="C22" s="97" t="s">
        <v>15</v>
      </c>
      <c r="D22" s="97" t="s">
        <v>405</v>
      </c>
      <c r="E22" s="23" t="str" cm="1">
        <f t="array" ref="E22">_xlfn.XLOOKUP(Table117821341[[#This Row],[Team]],Table4334[Team],'2425'!$C$3:$C$34)</f>
        <v>n/a</v>
      </c>
      <c r="F22" s="97" t="str">
        <f>_xlfn.XLOOKUP(Table117821341[[#This Row],[Team]],Table4334[Team],Table4334[OPP])</f>
        <v>n/a</v>
      </c>
      <c r="G22" s="148" t="str" cm="1">
        <f t="array" ref="G22">IF(Table117821341[[#This Row],[Pos.]]="QB1",_xlfn.XLOOKUP(Table117821341[[#This Row],[Opp]],Table123[DEF],'2425'!$G$3:$G$34),"#N/A")</f>
        <v>#N/A</v>
      </c>
      <c r="H22" s="148" t="str" cm="1">
        <f t="array" ref="H22">IF(Table117821341[[#This Row],[Pos.]]="QB1",_xlfn.XLOOKUP(Table117821341[[#This Row],[Opp]],Table123[DEF],'2425'!$J$3:$J$34),"#N/A")</f>
        <v>#N/A</v>
      </c>
      <c r="I22" s="148" t="str" cm="1">
        <f t="array" ref="I22">IF(Table117821341[[#This Row],[Pos.]]="QB1",_xlfn.XLOOKUP(Table117821341[[#This Row],[Opp]],Table123[DEF],'2425'!$K$3:$K$34),"#N/A")</f>
        <v>#N/A</v>
      </c>
      <c r="J22" s="148" t="e" cm="1">
        <f t="array" ref="J2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" s="148" t="e" cm="1">
        <f t="array" ref="K2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" s="148" t="e" cm="1">
        <f t="array" ref="L2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" s="148" t="e" cm="1">
        <f t="array" ref="M2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" s="148" t="e" cm="1">
        <f t="array" ref="N2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" s="149" t="str">
        <f>IF(Table117821341[[#This Row],[Pos.]]="QB1",_xlfn.XLOOKUP(Table117821341[[#This Row],[Opp]],Table123[DEF],Table123[P]),"#N/A")</f>
        <v>#N/A</v>
      </c>
      <c r="P22" s="149" t="str">
        <f>IF(Table117821341[[#This Row],[Pos.]]="QB1",_xlfn.XLOOKUP(Table117821341[[#This Row],[Opp]],Table123[DEF],Table123[P+R]),"#N/A")</f>
        <v>#N/A</v>
      </c>
      <c r="Q22" s="150" t="str">
        <f>IF(Table117821341[[#This Row],[Pos.]]="QB1",_xlfn.XLOOKUP(Table117821341[[#This Row],[Opp]],Table123[DEF],Table123[P TD]),"#N/A")</f>
        <v>#N/A</v>
      </c>
      <c r="R22" s="149" t="e" cm="1">
        <f t="array" ref="R2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" s="150" t="e" cm="1">
        <f t="array" ref="S2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" s="150" t="e" cm="1">
        <f t="array" ref="T2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" s="150" t="e" cm="1">
        <f t="array" ref="U2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" s="150" t="e" cm="1">
        <f t="array" ref="V2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" s="148" t="e" cm="1">
        <f t="array" ref="W22">_xlfn.IFS(Table117821341[[#This Row],[Pos.]]="QB1",AVERAGE(G22,H22,I22,J22,N22),Table117821341[[#This Row],[Pos.]]="RB1",AVERAGE(J22,K22,N22),Table117821341[[#This Row],[Pos.]]="RB2",AVERAGE(J22,K22,N22),Table117821341[[#This Row],[Pos.]]="WR1",AVERAGE(L22,M22,N22),Table117821341[[#This Row],[Pos.]]="WR2",AVERAGE(L22,M22,N22),Table117821341[[#This Row],[Pos.]]="WR3",AVERAGE(L22,M22,N22),Table117821341[[#This Row],[Pos.]]="WR4",AVERAGE(L22,M22,N22),Table117821341[[#This Row],[Pos.]]="TE1",AVERAGE(L22,M22,N22),Table117821341[[#This Row],[Pos.]]="TE2",AVERAGE(L22,M22,N22),Table117821341[[#This Row],[Pos.]]="D/ST",AVERAGE(Table117821341[[#This Row],[*TD*]]))</f>
        <v>#N/A</v>
      </c>
      <c r="X22" s="94" t="e">
        <f t="shared" si="0"/>
        <v>#N/A</v>
      </c>
    </row>
    <row r="23" spans="2:24" hidden="1" x14ac:dyDescent="0.35">
      <c r="B23" s="6" t="s">
        <v>597</v>
      </c>
      <c r="C23" s="97" t="s">
        <v>15</v>
      </c>
      <c r="D23" s="97" t="s">
        <v>425</v>
      </c>
      <c r="E23" s="23" t="str" cm="1">
        <f t="array" ref="E23">_xlfn.XLOOKUP(Table117821341[[#This Row],[Team]],Table4334[Team],'2425'!$C$3:$C$34)</f>
        <v>n/a</v>
      </c>
      <c r="F23" s="97" t="str">
        <f>_xlfn.XLOOKUP(Table117821341[[#This Row],[Team]],Table4334[Team],Table4334[OPP])</f>
        <v>n/a</v>
      </c>
      <c r="G23" s="148" t="str" cm="1">
        <f t="array" ref="G23">IF(Table117821341[[#This Row],[Pos.]]="QB1",_xlfn.XLOOKUP(Table117821341[[#This Row],[Opp]],Table123[DEF],'2425'!$G$3:$G$34),"#N/A")</f>
        <v>#N/A</v>
      </c>
      <c r="H23" s="148" t="str" cm="1">
        <f t="array" ref="H23">IF(Table117821341[[#This Row],[Pos.]]="QB1",_xlfn.XLOOKUP(Table117821341[[#This Row],[Opp]],Table123[DEF],'2425'!$J$3:$J$34),"#N/A")</f>
        <v>#N/A</v>
      </c>
      <c r="I23" s="148" t="str" cm="1">
        <f t="array" ref="I23">IF(Table117821341[[#This Row],[Pos.]]="QB1",_xlfn.XLOOKUP(Table117821341[[#This Row],[Opp]],Table123[DEF],'2425'!$K$3:$K$34),"#N/A")</f>
        <v>#N/A</v>
      </c>
      <c r="J23" s="148" t="e" cm="1">
        <f t="array" ref="J2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" s="148" t="e" cm="1">
        <f t="array" ref="K2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" s="148" t="e" cm="1">
        <f t="array" ref="L2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" s="148" t="e" cm="1">
        <f t="array" ref="M2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" s="148" t="e" cm="1">
        <f t="array" ref="N2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" s="149" t="str">
        <f>IF(Table117821341[[#This Row],[Pos.]]="QB1",_xlfn.XLOOKUP(Table117821341[[#This Row],[Opp]],Table123[DEF],Table123[P]),"#N/A")</f>
        <v>#N/A</v>
      </c>
      <c r="P23" s="149" t="str">
        <f>IF(Table117821341[[#This Row],[Pos.]]="QB1",_xlfn.XLOOKUP(Table117821341[[#This Row],[Opp]],Table123[DEF],Table123[P+R]),"#N/A")</f>
        <v>#N/A</v>
      </c>
      <c r="Q23" s="150" t="str">
        <f>IF(Table117821341[[#This Row],[Pos.]]="QB1",_xlfn.XLOOKUP(Table117821341[[#This Row],[Opp]],Table123[DEF],Table123[P TD]),"#N/A")</f>
        <v>#N/A</v>
      </c>
      <c r="R23" s="149" t="e" cm="1">
        <f t="array" ref="R2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" s="150" t="e" cm="1">
        <f t="array" ref="S2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" s="150" t="e" cm="1">
        <f t="array" ref="T2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" s="150" t="e" cm="1">
        <f t="array" ref="U2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" s="150" t="e" cm="1">
        <f t="array" ref="V2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" s="148" t="e" cm="1">
        <f t="array" ref="W23">_xlfn.IFS(Table117821341[[#This Row],[Pos.]]="QB1",AVERAGE(G23,H23,I23,J23,N23),Table117821341[[#This Row],[Pos.]]="RB1",AVERAGE(J23,K23,N23),Table117821341[[#This Row],[Pos.]]="RB2",AVERAGE(J23,K23,N23),Table117821341[[#This Row],[Pos.]]="WR1",AVERAGE(L23,M23,N23),Table117821341[[#This Row],[Pos.]]="WR2",AVERAGE(L23,M23,N23),Table117821341[[#This Row],[Pos.]]="WR3",AVERAGE(L23,M23,N23),Table117821341[[#This Row],[Pos.]]="WR4",AVERAGE(L23,M23,N23),Table117821341[[#This Row],[Pos.]]="TE1",AVERAGE(L23,M23,N23),Table117821341[[#This Row],[Pos.]]="TE2",AVERAGE(L23,M23,N23),Table117821341[[#This Row],[Pos.]]="D/ST",AVERAGE(Table117821341[[#This Row],[*TD*]]))</f>
        <v>#N/A</v>
      </c>
      <c r="X23" s="94" t="e">
        <f t="shared" si="0"/>
        <v>#N/A</v>
      </c>
    </row>
    <row r="24" spans="2:24" hidden="1" x14ac:dyDescent="0.35">
      <c r="B24" s="6" t="s">
        <v>286</v>
      </c>
      <c r="C24" s="97" t="s">
        <v>44</v>
      </c>
      <c r="D24" s="97" t="s">
        <v>395</v>
      </c>
      <c r="E24" s="23" t="str" cm="1">
        <f t="array" ref="E24">_xlfn.XLOOKUP(Table117821341[[#This Row],[Team]],Table4334[Team],'2425'!$C$3:$C$34)</f>
        <v>n/a</v>
      </c>
      <c r="F24" s="97" t="str">
        <f>_xlfn.XLOOKUP(Table117821341[[#This Row],[Team]],Table4334[Team],Table4334[OPP])</f>
        <v>n/a</v>
      </c>
      <c r="G24" s="148" t="str" cm="1">
        <f t="array" ref="G24">IF(Table117821341[[#This Row],[Pos.]]="QB1",_xlfn.XLOOKUP(Table117821341[[#This Row],[Opp]],Table123[DEF],'2425'!$G$3:$G$34),"#N/A")</f>
        <v>#N/A</v>
      </c>
      <c r="H24" s="148" t="str" cm="1">
        <f t="array" ref="H24">IF(Table117821341[[#This Row],[Pos.]]="QB1",_xlfn.XLOOKUP(Table117821341[[#This Row],[Opp]],Table123[DEF],'2425'!$J$3:$J$34),"#N/A")</f>
        <v>#N/A</v>
      </c>
      <c r="I24" s="148" t="str" cm="1">
        <f t="array" ref="I24">IF(Table117821341[[#This Row],[Pos.]]="QB1",_xlfn.XLOOKUP(Table117821341[[#This Row],[Opp]],Table123[DEF],'2425'!$K$3:$K$34),"#N/A")</f>
        <v>#N/A</v>
      </c>
      <c r="J24" s="148" t="e" cm="1">
        <f t="array" ref="J2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" s="148" t="e" cm="1">
        <f t="array" ref="K2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" s="148" t="e" cm="1">
        <f t="array" ref="L2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" s="148" t="e" cm="1">
        <f t="array" ref="M2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" s="148" t="e" cm="1">
        <f t="array" ref="N2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" s="149" t="str">
        <f>IF(Table117821341[[#This Row],[Pos.]]="QB1",_xlfn.XLOOKUP(Table117821341[[#This Row],[Opp]],Table123[DEF],Table123[P]),"#N/A")</f>
        <v>#N/A</v>
      </c>
      <c r="P24" s="149" t="str">
        <f>IF(Table117821341[[#This Row],[Pos.]]="QB1",_xlfn.XLOOKUP(Table117821341[[#This Row],[Opp]],Table123[DEF],Table123[P+R]),"#N/A")</f>
        <v>#N/A</v>
      </c>
      <c r="Q24" s="150" t="str">
        <f>IF(Table117821341[[#This Row],[Pos.]]="QB1",_xlfn.XLOOKUP(Table117821341[[#This Row],[Opp]],Table123[DEF],Table123[P TD]),"#N/A")</f>
        <v>#N/A</v>
      </c>
      <c r="R24" s="149" t="e" cm="1">
        <f t="array" ref="R2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" s="150" t="e" cm="1">
        <f t="array" ref="S2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" s="150" t="e" cm="1">
        <f t="array" ref="T2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" s="150" t="e" cm="1">
        <f t="array" ref="U2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" s="162" t="e" cm="1">
        <f t="array" ref="V2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" s="148" t="e" cm="1">
        <f t="array" ref="W24">_xlfn.IFS(Table117821341[[#This Row],[Pos.]]="QB1",AVERAGE(G24,H24,I24,J24,N24),Table117821341[[#This Row],[Pos.]]="RB1",AVERAGE(J24,K24,N24),Table117821341[[#This Row],[Pos.]]="RB2",AVERAGE(J24,K24,N24),Table117821341[[#This Row],[Pos.]]="WR1",AVERAGE(L24,M24,N24),Table117821341[[#This Row],[Pos.]]="WR2",AVERAGE(L24,M24,N24),Table117821341[[#This Row],[Pos.]]="WR3",AVERAGE(L24,M24,N24),Table117821341[[#This Row],[Pos.]]="WR4",AVERAGE(L24,M24,N24),Table117821341[[#This Row],[Pos.]]="TE1",AVERAGE(L24,M24,N24),Table117821341[[#This Row],[Pos.]]="TE2",AVERAGE(L24,M24,N24),Table117821341[[#This Row],[Pos.]]="D/ST",AVERAGE(Table117821341[[#This Row],[*TD*]]))</f>
        <v>#N/A</v>
      </c>
      <c r="X24" s="94" t="e">
        <f t="shared" si="0"/>
        <v>#N/A</v>
      </c>
    </row>
    <row r="25" spans="2:24" hidden="1" x14ac:dyDescent="0.35">
      <c r="B25" s="6" t="s">
        <v>124</v>
      </c>
      <c r="C25" s="97" t="s">
        <v>15</v>
      </c>
      <c r="D25" s="97" t="s">
        <v>394</v>
      </c>
      <c r="E25" s="23" t="str" cm="1">
        <f t="array" ref="E25">_xlfn.XLOOKUP(Table117821341[[#This Row],[Team]],Table4334[Team],'2425'!$C$3:$C$34)</f>
        <v>n/a</v>
      </c>
      <c r="F25" s="97" t="str">
        <f>_xlfn.XLOOKUP(Table117821341[[#This Row],[Team]],Table4334[Team],Table4334[OPP])</f>
        <v>n/a</v>
      </c>
      <c r="G25" s="148" t="str" cm="1">
        <f t="array" ref="G25">IF(Table117821341[[#This Row],[Pos.]]="QB1",_xlfn.XLOOKUP(Table117821341[[#This Row],[Opp]],Table123[DEF],'2425'!$G$3:$G$34),"#N/A")</f>
        <v>#N/A</v>
      </c>
      <c r="H25" s="148" t="str" cm="1">
        <f t="array" ref="H25">IF(Table117821341[[#This Row],[Pos.]]="QB1",_xlfn.XLOOKUP(Table117821341[[#This Row],[Opp]],Table123[DEF],'2425'!$J$3:$J$34),"#N/A")</f>
        <v>#N/A</v>
      </c>
      <c r="I25" s="148" t="str" cm="1">
        <f t="array" ref="I25">IF(Table117821341[[#This Row],[Pos.]]="QB1",_xlfn.XLOOKUP(Table117821341[[#This Row],[Opp]],Table123[DEF],'2425'!$K$3:$K$34),"#N/A")</f>
        <v>#N/A</v>
      </c>
      <c r="J25" s="148" t="e" cm="1">
        <f t="array" ref="J2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" s="148" t="e" cm="1">
        <f t="array" ref="K2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" s="148" t="e" cm="1">
        <f t="array" ref="L2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" s="148" t="e" cm="1">
        <f t="array" ref="M2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" s="148" t="e" cm="1">
        <f t="array" ref="N2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" s="149" t="str">
        <f>IF(Table117821341[[#This Row],[Pos.]]="QB1",_xlfn.XLOOKUP(Table117821341[[#This Row],[Opp]],Table123[DEF],Table123[P]),"#N/A")</f>
        <v>#N/A</v>
      </c>
      <c r="P25" s="149" t="str">
        <f>IF(Table117821341[[#This Row],[Pos.]]="QB1",_xlfn.XLOOKUP(Table117821341[[#This Row],[Opp]],Table123[DEF],Table123[P+R]),"#N/A")</f>
        <v>#N/A</v>
      </c>
      <c r="Q25" s="150" t="str">
        <f>IF(Table117821341[[#This Row],[Pos.]]="QB1",_xlfn.XLOOKUP(Table117821341[[#This Row],[Opp]],Table123[DEF],Table123[P TD]),"#N/A")</f>
        <v>#N/A</v>
      </c>
      <c r="R25" s="149" t="e" cm="1">
        <f t="array" ref="R2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" s="150" t="e" cm="1">
        <f t="array" ref="S2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" s="150" t="e" cm="1">
        <f t="array" ref="T2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" s="150" t="e" cm="1">
        <f t="array" ref="U2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" s="150" t="e" cm="1">
        <f t="array" ref="V2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" s="148" t="e" cm="1">
        <f t="array" ref="W25">_xlfn.IFS(Table117821341[[#This Row],[Pos.]]="QB1",AVERAGE(G25,H25,I25,J25,N25),Table117821341[[#This Row],[Pos.]]="RB1",AVERAGE(J25,K25,N25),Table117821341[[#This Row],[Pos.]]="RB2",AVERAGE(J25,K25,N25),Table117821341[[#This Row],[Pos.]]="WR1",AVERAGE(L25,M25,N25),Table117821341[[#This Row],[Pos.]]="WR2",AVERAGE(L25,M25,N25),Table117821341[[#This Row],[Pos.]]="WR3",AVERAGE(L25,M25,N25),Table117821341[[#This Row],[Pos.]]="WR4",AVERAGE(L25,M25,N25),Table117821341[[#This Row],[Pos.]]="TE1",AVERAGE(L25,M25,N25),Table117821341[[#This Row],[Pos.]]="TE2",AVERAGE(L25,M25,N25),Table117821341[[#This Row],[Pos.]]="D/ST",AVERAGE(Table117821341[[#This Row],[*TD*]]))</f>
        <v>#N/A</v>
      </c>
      <c r="X25" s="94" t="e">
        <f t="shared" si="0"/>
        <v>#N/A</v>
      </c>
    </row>
    <row r="26" spans="2:24" hidden="1" x14ac:dyDescent="0.35">
      <c r="B26" s="6" t="s">
        <v>598</v>
      </c>
      <c r="C26" s="97" t="s">
        <v>15</v>
      </c>
      <c r="D26" s="97" t="s">
        <v>396</v>
      </c>
      <c r="E26" s="23" t="str" cm="1">
        <f t="array" ref="E26">_xlfn.XLOOKUP(Table117821341[[#This Row],[Team]],Table4334[Team],'2425'!$C$3:$C$34)</f>
        <v>n/a</v>
      </c>
      <c r="F26" s="97" t="str">
        <f>_xlfn.XLOOKUP(Table117821341[[#This Row],[Team]],Table4334[Team],Table4334[OPP])</f>
        <v>n/a</v>
      </c>
      <c r="G26" s="148" t="str" cm="1">
        <f t="array" ref="G26">IF(Table117821341[[#This Row],[Pos.]]="QB1",_xlfn.XLOOKUP(Table117821341[[#This Row],[Opp]],Table123[DEF],'2425'!$G$3:$G$34),"#N/A")</f>
        <v>#N/A</v>
      </c>
      <c r="H26" s="148" t="str" cm="1">
        <f t="array" ref="H26">IF(Table117821341[[#This Row],[Pos.]]="QB1",_xlfn.XLOOKUP(Table117821341[[#This Row],[Opp]],Table123[DEF],'2425'!$J$3:$J$34),"#N/A")</f>
        <v>#N/A</v>
      </c>
      <c r="I26" s="148" t="str" cm="1">
        <f t="array" ref="I26">IF(Table117821341[[#This Row],[Pos.]]="QB1",_xlfn.XLOOKUP(Table117821341[[#This Row],[Opp]],Table123[DEF],'2425'!$K$3:$K$34),"#N/A")</f>
        <v>#N/A</v>
      </c>
      <c r="J26" s="148" t="e" cm="1">
        <f t="array" ref="J2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" s="148" t="e" cm="1">
        <f t="array" ref="K2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" s="148" t="e" cm="1">
        <f t="array" ref="L2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" s="148" t="e" cm="1">
        <f t="array" ref="M2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" s="148" t="e" cm="1">
        <f t="array" ref="N2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" s="149" t="str">
        <f>IF(Table117821341[[#This Row],[Pos.]]="QB1",_xlfn.XLOOKUP(Table117821341[[#This Row],[Opp]],Table123[DEF],Table123[P]),"#N/A")</f>
        <v>#N/A</v>
      </c>
      <c r="P26" s="149" t="str">
        <f>IF(Table117821341[[#This Row],[Pos.]]="QB1",_xlfn.XLOOKUP(Table117821341[[#This Row],[Opp]],Table123[DEF],Table123[P+R]),"#N/A")</f>
        <v>#N/A</v>
      </c>
      <c r="Q26" s="150" t="str">
        <f>IF(Table117821341[[#This Row],[Pos.]]="QB1",_xlfn.XLOOKUP(Table117821341[[#This Row],[Opp]],Table123[DEF],Table123[P TD]),"#N/A")</f>
        <v>#N/A</v>
      </c>
      <c r="R26" s="149" t="e" cm="1">
        <f t="array" ref="R2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" s="150" t="e" cm="1">
        <f t="array" ref="S2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" s="150" t="e" cm="1">
        <f t="array" ref="T2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" s="150" t="e" cm="1">
        <f t="array" ref="U2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" s="150" t="e" cm="1">
        <f t="array" ref="V2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" s="148" t="e" cm="1">
        <f t="array" ref="W26">_xlfn.IFS(Table117821341[[#This Row],[Pos.]]="QB1",AVERAGE(G26,H26,I26,J26,N26),Table117821341[[#This Row],[Pos.]]="RB1",AVERAGE(J26,K26,N26),Table117821341[[#This Row],[Pos.]]="RB2",AVERAGE(J26,K26,N26),Table117821341[[#This Row],[Pos.]]="WR1",AVERAGE(L26,M26,N26),Table117821341[[#This Row],[Pos.]]="WR2",AVERAGE(L26,M26,N26),Table117821341[[#This Row],[Pos.]]="WR3",AVERAGE(L26,M26,N26),Table117821341[[#This Row],[Pos.]]="WR4",AVERAGE(L26,M26,N26),Table117821341[[#This Row],[Pos.]]="TE1",AVERAGE(L26,M26,N26),Table117821341[[#This Row],[Pos.]]="TE2",AVERAGE(L26,M26,N26),Table117821341[[#This Row],[Pos.]]="D/ST",AVERAGE(Table117821341[[#This Row],[*TD*]]))</f>
        <v>#N/A</v>
      </c>
      <c r="X26" s="94" t="e">
        <f t="shared" si="0"/>
        <v>#N/A</v>
      </c>
    </row>
    <row r="27" spans="2:24" hidden="1" x14ac:dyDescent="0.35">
      <c r="B27" s="6" t="s">
        <v>161</v>
      </c>
      <c r="C27" s="97" t="s">
        <v>31</v>
      </c>
      <c r="D27" s="97" t="s">
        <v>395</v>
      </c>
      <c r="E27" s="23" t="str" cm="1">
        <f t="array" ref="E27">_xlfn.XLOOKUP(Table117821341[[#This Row],[Team]],Table4334[Team],'2425'!$C$3:$C$34)</f>
        <v>n/a</v>
      </c>
      <c r="F27" s="97" t="str">
        <f>_xlfn.XLOOKUP(Table117821341[[#This Row],[Team]],Table4334[Team],Table4334[OPP])</f>
        <v>n/a</v>
      </c>
      <c r="G27" s="148" t="str" cm="1">
        <f t="array" ref="G27">IF(Table117821341[[#This Row],[Pos.]]="QB1",_xlfn.XLOOKUP(Table117821341[[#This Row],[Opp]],Table123[DEF],'2425'!$G$3:$G$34),"#N/A")</f>
        <v>#N/A</v>
      </c>
      <c r="H27" s="148" t="str" cm="1">
        <f t="array" ref="H27">IF(Table117821341[[#This Row],[Pos.]]="QB1",_xlfn.XLOOKUP(Table117821341[[#This Row],[Opp]],Table123[DEF],'2425'!$J$3:$J$34),"#N/A")</f>
        <v>#N/A</v>
      </c>
      <c r="I27" s="148" t="str" cm="1">
        <f t="array" ref="I27">IF(Table117821341[[#This Row],[Pos.]]="QB1",_xlfn.XLOOKUP(Table117821341[[#This Row],[Opp]],Table123[DEF],'2425'!$K$3:$K$34),"#N/A")</f>
        <v>#N/A</v>
      </c>
      <c r="J27" s="148" t="e" cm="1">
        <f t="array" ref="J2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" s="148" t="e" cm="1">
        <f t="array" ref="K2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" s="148" t="e" cm="1">
        <f t="array" ref="L2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" s="148" t="e" cm="1">
        <f t="array" ref="M2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" s="148" t="e" cm="1">
        <f t="array" ref="N2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" s="149" t="str">
        <f>IF(Table117821341[[#This Row],[Pos.]]="QB1",_xlfn.XLOOKUP(Table117821341[[#This Row],[Opp]],Table123[DEF],Table123[P]),"#N/A")</f>
        <v>#N/A</v>
      </c>
      <c r="P27" s="149" t="str">
        <f>IF(Table117821341[[#This Row],[Pos.]]="QB1",_xlfn.XLOOKUP(Table117821341[[#This Row],[Opp]],Table123[DEF],Table123[P+R]),"#N/A")</f>
        <v>#N/A</v>
      </c>
      <c r="Q27" s="150" t="str">
        <f>IF(Table117821341[[#This Row],[Pos.]]="QB1",_xlfn.XLOOKUP(Table117821341[[#This Row],[Opp]],Table123[DEF],Table123[P TD]),"#N/A")</f>
        <v>#N/A</v>
      </c>
      <c r="R27" s="149" t="e" cm="1">
        <f t="array" ref="R2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" s="150" t="e" cm="1">
        <f t="array" ref="S2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" s="150" t="e" cm="1">
        <f t="array" ref="T2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" s="150" t="e" cm="1">
        <f t="array" ref="U2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" s="162" t="e" cm="1">
        <f t="array" ref="V2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" s="148" t="e" cm="1">
        <f t="array" ref="W27">_xlfn.IFS(Table117821341[[#This Row],[Pos.]]="QB1",AVERAGE(G27,H27,I27,J27,N27),Table117821341[[#This Row],[Pos.]]="RB1",AVERAGE(J27,K27,N27),Table117821341[[#This Row],[Pos.]]="RB2",AVERAGE(J27,K27,N27),Table117821341[[#This Row],[Pos.]]="WR1",AVERAGE(L27,M27,N27),Table117821341[[#This Row],[Pos.]]="WR2",AVERAGE(L27,M27,N27),Table117821341[[#This Row],[Pos.]]="WR3",AVERAGE(L27,M27,N27),Table117821341[[#This Row],[Pos.]]="WR4",AVERAGE(L27,M27,N27),Table117821341[[#This Row],[Pos.]]="TE1",AVERAGE(L27,M27,N27),Table117821341[[#This Row],[Pos.]]="TE2",AVERAGE(L27,M27,N27),Table117821341[[#This Row],[Pos.]]="D/ST",AVERAGE(Table117821341[[#This Row],[*TD*]]))</f>
        <v>#N/A</v>
      </c>
      <c r="X27" s="94" t="e">
        <f t="shared" si="0"/>
        <v>#N/A</v>
      </c>
    </row>
    <row r="28" spans="2:24" hidden="1" x14ac:dyDescent="0.35">
      <c r="B28" s="6" t="s">
        <v>604</v>
      </c>
      <c r="C28" s="97" t="s">
        <v>15</v>
      </c>
      <c r="D28" s="97" t="s">
        <v>398</v>
      </c>
      <c r="E28" s="23" t="str" cm="1">
        <f t="array" ref="E28">_xlfn.XLOOKUP(Table117821341[[#This Row],[Team]],Table4334[Team],'2425'!$C$3:$C$34)</f>
        <v>n/a</v>
      </c>
      <c r="F28" s="97" t="str">
        <f>_xlfn.XLOOKUP(Table117821341[[#This Row],[Team]],Table4334[Team],Table4334[OPP])</f>
        <v>n/a</v>
      </c>
      <c r="G28" s="148" t="str" cm="1">
        <f t="array" ref="G28">IF(Table117821341[[#This Row],[Pos.]]="QB1",_xlfn.XLOOKUP(Table117821341[[#This Row],[Opp]],Table123[DEF],'2425'!$G$3:$G$34),"#N/A")</f>
        <v>#N/A</v>
      </c>
      <c r="H28" s="148" t="str" cm="1">
        <f t="array" ref="H28">IF(Table117821341[[#This Row],[Pos.]]="QB1",_xlfn.XLOOKUP(Table117821341[[#This Row],[Opp]],Table123[DEF],'2425'!$J$3:$J$34),"#N/A")</f>
        <v>#N/A</v>
      </c>
      <c r="I28" s="148" t="str" cm="1">
        <f t="array" ref="I28">IF(Table117821341[[#This Row],[Pos.]]="QB1",_xlfn.XLOOKUP(Table117821341[[#This Row],[Opp]],Table123[DEF],'2425'!$K$3:$K$34),"#N/A")</f>
        <v>#N/A</v>
      </c>
      <c r="J28" s="148" t="e" cm="1">
        <f t="array" ref="J2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" s="148" t="e" cm="1">
        <f t="array" ref="K2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" s="148" t="e" cm="1">
        <f t="array" ref="L2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" s="148" t="e" cm="1">
        <f t="array" ref="M2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" s="148" t="e" cm="1">
        <f t="array" ref="N2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" s="149" t="str">
        <f>IF(Table117821341[[#This Row],[Pos.]]="QB1",_xlfn.XLOOKUP(Table117821341[[#This Row],[Opp]],Table123[DEF],Table123[P]),"#N/A")</f>
        <v>#N/A</v>
      </c>
      <c r="P28" s="149" t="str">
        <f>IF(Table117821341[[#This Row],[Pos.]]="QB1",_xlfn.XLOOKUP(Table117821341[[#This Row],[Opp]],Table123[DEF],Table123[P+R]),"#N/A")</f>
        <v>#N/A</v>
      </c>
      <c r="Q28" s="150" t="str">
        <f>IF(Table117821341[[#This Row],[Pos.]]="QB1",_xlfn.XLOOKUP(Table117821341[[#This Row],[Opp]],Table123[DEF],Table123[P TD]),"#N/A")</f>
        <v>#N/A</v>
      </c>
      <c r="R28" s="149" t="e" cm="1">
        <f t="array" ref="R2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" s="150" t="e" cm="1">
        <f t="array" ref="S2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" s="150" t="e" cm="1">
        <f t="array" ref="T2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" s="150" t="e" cm="1">
        <f t="array" ref="U2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" s="150" t="e" cm="1">
        <f t="array" ref="V2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" s="148" t="e" cm="1">
        <f t="array" ref="W28">_xlfn.IFS(Table117821341[[#This Row],[Pos.]]="QB1",AVERAGE(G28,H28,I28,J28,N28),Table117821341[[#This Row],[Pos.]]="RB1",AVERAGE(J28,K28,N28),Table117821341[[#This Row],[Pos.]]="RB2",AVERAGE(J28,K28,N28),Table117821341[[#This Row],[Pos.]]="WR1",AVERAGE(L28,M28,N28),Table117821341[[#This Row],[Pos.]]="WR2",AVERAGE(L28,M28,N28),Table117821341[[#This Row],[Pos.]]="WR3",AVERAGE(L28,M28,N28),Table117821341[[#This Row],[Pos.]]="WR4",AVERAGE(L28,M28,N28),Table117821341[[#This Row],[Pos.]]="TE1",AVERAGE(L28,M28,N28),Table117821341[[#This Row],[Pos.]]="TE2",AVERAGE(L28,M28,N28),Table117821341[[#This Row],[Pos.]]="D/ST",AVERAGE(Table117821341[[#This Row],[*TD*]]))</f>
        <v>#N/A</v>
      </c>
      <c r="X28" s="94" t="e">
        <f t="shared" si="0"/>
        <v>#N/A</v>
      </c>
    </row>
    <row r="29" spans="2:24" hidden="1" x14ac:dyDescent="0.35">
      <c r="B29" s="6" t="s">
        <v>605</v>
      </c>
      <c r="C29" s="97" t="s">
        <v>15</v>
      </c>
      <c r="D29" s="97" t="s">
        <v>430</v>
      </c>
      <c r="E29" s="23" t="str" cm="1">
        <f t="array" ref="E29">_xlfn.XLOOKUP(Table117821341[[#This Row],[Team]],Table4334[Team],'2425'!$C$3:$C$34)</f>
        <v>n/a</v>
      </c>
      <c r="F29" s="97" t="str">
        <f>_xlfn.XLOOKUP(Table117821341[[#This Row],[Team]],Table4334[Team],Table4334[OPP])</f>
        <v>n/a</v>
      </c>
      <c r="G29" s="148" t="str" cm="1">
        <f t="array" ref="G29">IF(Table117821341[[#This Row],[Pos.]]="QB1",_xlfn.XLOOKUP(Table117821341[[#This Row],[Opp]],Table123[DEF],'2425'!$G$3:$G$34),"#N/A")</f>
        <v>#N/A</v>
      </c>
      <c r="H29" s="148" t="str" cm="1">
        <f t="array" ref="H29">IF(Table117821341[[#This Row],[Pos.]]="QB1",_xlfn.XLOOKUP(Table117821341[[#This Row],[Opp]],Table123[DEF],'2425'!$J$3:$J$34),"#N/A")</f>
        <v>#N/A</v>
      </c>
      <c r="I29" s="148" t="str" cm="1">
        <f t="array" ref="I29">IF(Table117821341[[#This Row],[Pos.]]="QB1",_xlfn.XLOOKUP(Table117821341[[#This Row],[Opp]],Table123[DEF],'2425'!$K$3:$K$34),"#N/A")</f>
        <v>#N/A</v>
      </c>
      <c r="J29" s="148" t="e" cm="1">
        <f t="array" ref="J2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" s="148" t="e" cm="1">
        <f t="array" ref="K2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" s="148" t="e" cm="1">
        <f t="array" ref="L2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" s="148" t="e" cm="1">
        <f t="array" ref="M2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" s="148" t="e" cm="1">
        <f t="array" ref="N2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" s="149" t="str">
        <f>IF(Table117821341[[#This Row],[Pos.]]="QB1",_xlfn.XLOOKUP(Table117821341[[#This Row],[Opp]],Table123[DEF],Table123[P]),"#N/A")</f>
        <v>#N/A</v>
      </c>
      <c r="P29" s="149" t="str">
        <f>IF(Table117821341[[#This Row],[Pos.]]="QB1",_xlfn.XLOOKUP(Table117821341[[#This Row],[Opp]],Table123[DEF],Table123[P+R]),"#N/A")</f>
        <v>#N/A</v>
      </c>
      <c r="Q29" s="150" t="str">
        <f>IF(Table117821341[[#This Row],[Pos.]]="QB1",_xlfn.XLOOKUP(Table117821341[[#This Row],[Opp]],Table123[DEF],Table123[P TD]),"#N/A")</f>
        <v>#N/A</v>
      </c>
      <c r="R29" s="149" t="e" cm="1">
        <f t="array" ref="R2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" s="150" t="e" cm="1">
        <f t="array" ref="S2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" s="150" t="e" cm="1">
        <f t="array" ref="T2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" s="150" t="e" cm="1">
        <f t="array" ref="U2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" s="150" t="e" cm="1">
        <f t="array" ref="V2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" s="148" t="e" cm="1">
        <f t="array" ref="W29">_xlfn.IFS(Table117821341[[#This Row],[Pos.]]="QB1",AVERAGE(G29,H29,I29,J29,N29),Table117821341[[#This Row],[Pos.]]="RB1",AVERAGE(J29,K29,N29),Table117821341[[#This Row],[Pos.]]="RB2",AVERAGE(J29,K29,N29),Table117821341[[#This Row],[Pos.]]="WR1",AVERAGE(L29,M29,N29),Table117821341[[#This Row],[Pos.]]="WR2",AVERAGE(L29,M29,N29),Table117821341[[#This Row],[Pos.]]="WR3",AVERAGE(L29,M29,N29),Table117821341[[#This Row],[Pos.]]="WR4",AVERAGE(L29,M29,N29),Table117821341[[#This Row],[Pos.]]="TE1",AVERAGE(L29,M29,N29),Table117821341[[#This Row],[Pos.]]="TE2",AVERAGE(L29,M29,N29),Table117821341[[#This Row],[Pos.]]="D/ST",AVERAGE(Table117821341[[#This Row],[*TD*]]))</f>
        <v>#N/A</v>
      </c>
      <c r="X29" s="94" t="e">
        <f t="shared" si="0"/>
        <v>#N/A</v>
      </c>
    </row>
    <row r="30" spans="2:24" hidden="1" x14ac:dyDescent="0.35">
      <c r="B30" s="6" t="s">
        <v>606</v>
      </c>
      <c r="C30" s="97" t="s">
        <v>15</v>
      </c>
      <c r="D30" s="97" t="s">
        <v>435</v>
      </c>
      <c r="E30" s="23" t="str" cm="1">
        <f t="array" ref="E30">_xlfn.XLOOKUP(Table117821341[[#This Row],[Team]],Table4334[Team],'2425'!$C$3:$C$34)</f>
        <v>n/a</v>
      </c>
      <c r="F30" s="97" t="str">
        <f>_xlfn.XLOOKUP(Table117821341[[#This Row],[Team]],Table4334[Team],Table4334[OPP])</f>
        <v>n/a</v>
      </c>
      <c r="G30" s="148" t="str" cm="1">
        <f t="array" ref="G30">IF(Table117821341[[#This Row],[Pos.]]="QB1",_xlfn.XLOOKUP(Table117821341[[#This Row],[Opp]],Table123[DEF],'2425'!$G$3:$G$34),"#N/A")</f>
        <v>#N/A</v>
      </c>
      <c r="H30" s="148" t="str" cm="1">
        <f t="array" ref="H30">IF(Table117821341[[#This Row],[Pos.]]="QB1",_xlfn.XLOOKUP(Table117821341[[#This Row],[Opp]],Table123[DEF],'2425'!$J$3:$J$34),"#N/A")</f>
        <v>#N/A</v>
      </c>
      <c r="I30" s="148" t="str" cm="1">
        <f t="array" ref="I30">IF(Table117821341[[#This Row],[Pos.]]="QB1",_xlfn.XLOOKUP(Table117821341[[#This Row],[Opp]],Table123[DEF],'2425'!$K$3:$K$34),"#N/A")</f>
        <v>#N/A</v>
      </c>
      <c r="J30" s="148" t="e" cm="1">
        <f t="array" ref="J3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" s="148" t="e" cm="1">
        <f t="array" ref="K3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" s="148" t="e" cm="1">
        <f t="array" ref="L3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" s="148" t="e" cm="1">
        <f t="array" ref="M3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" s="148" t="e" cm="1">
        <f t="array" ref="N3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" s="149" t="str">
        <f>IF(Table117821341[[#This Row],[Pos.]]="QB1",_xlfn.XLOOKUP(Table117821341[[#This Row],[Opp]],Table123[DEF],Table123[P]),"#N/A")</f>
        <v>#N/A</v>
      </c>
      <c r="P30" s="149" t="str">
        <f>IF(Table117821341[[#This Row],[Pos.]]="QB1",_xlfn.XLOOKUP(Table117821341[[#This Row],[Opp]],Table123[DEF],Table123[P+R]),"#N/A")</f>
        <v>#N/A</v>
      </c>
      <c r="Q30" s="150" t="str">
        <f>IF(Table117821341[[#This Row],[Pos.]]="QB1",_xlfn.XLOOKUP(Table117821341[[#This Row],[Opp]],Table123[DEF],Table123[P TD]),"#N/A")</f>
        <v>#N/A</v>
      </c>
      <c r="R30" s="149" t="e" cm="1">
        <f t="array" ref="R3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" s="150" t="e" cm="1">
        <f t="array" ref="S3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" s="150" t="e" cm="1">
        <f t="array" ref="T3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" s="150" t="e" cm="1">
        <f t="array" ref="U3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" s="150" t="e" cm="1">
        <f t="array" ref="V3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" s="148" t="e" cm="1">
        <f t="array" ref="W30">_xlfn.IFS(Table117821341[[#This Row],[Pos.]]="QB1",AVERAGE(G30,H30,I30,J30,N30),Table117821341[[#This Row],[Pos.]]="RB1",AVERAGE(J30,K30,N30),Table117821341[[#This Row],[Pos.]]="RB2",AVERAGE(J30,K30,N30),Table117821341[[#This Row],[Pos.]]="WR1",AVERAGE(L30,M30,N30),Table117821341[[#This Row],[Pos.]]="WR2",AVERAGE(L30,M30,N30),Table117821341[[#This Row],[Pos.]]="WR3",AVERAGE(L30,M30,N30),Table117821341[[#This Row],[Pos.]]="WR4",AVERAGE(L30,M30,N30),Table117821341[[#This Row],[Pos.]]="TE1",AVERAGE(L30,M30,N30),Table117821341[[#This Row],[Pos.]]="TE2",AVERAGE(L30,M30,N30),Table117821341[[#This Row],[Pos.]]="D/ST",AVERAGE(Table117821341[[#This Row],[*TD*]]))</f>
        <v>#N/A</v>
      </c>
      <c r="X30" s="94" t="e">
        <f t="shared" si="0"/>
        <v>#N/A</v>
      </c>
    </row>
    <row r="31" spans="2:24" hidden="1" x14ac:dyDescent="0.35">
      <c r="B31" s="6" t="s">
        <v>177</v>
      </c>
      <c r="C31" s="97" t="s">
        <v>32</v>
      </c>
      <c r="D31" s="97" t="s">
        <v>397</v>
      </c>
      <c r="E31" s="23" t="str" cm="1">
        <f t="array" ref="E31">_xlfn.XLOOKUP(Table117821341[[#This Row],[Team]],Table4334[Team],'2425'!$C$3:$C$34)</f>
        <v>n/a</v>
      </c>
      <c r="F31" s="97" t="str">
        <f>_xlfn.XLOOKUP(Table117821341[[#This Row],[Team]],Table4334[Team],Table4334[OPP])</f>
        <v>n/a</v>
      </c>
      <c r="G31" s="148" t="str" cm="1">
        <f t="array" ref="G31">IF(Table117821341[[#This Row],[Pos.]]="QB1",_xlfn.XLOOKUP(Table117821341[[#This Row],[Opp]],Table123[DEF],'2425'!$G$3:$G$34),"#N/A")</f>
        <v>#N/A</v>
      </c>
      <c r="H31" s="148" t="str" cm="1">
        <f t="array" ref="H31">IF(Table117821341[[#This Row],[Pos.]]="QB1",_xlfn.XLOOKUP(Table117821341[[#This Row],[Opp]],Table123[DEF],'2425'!$J$3:$J$34),"#N/A")</f>
        <v>#N/A</v>
      </c>
      <c r="I31" s="148" t="str" cm="1">
        <f t="array" ref="I31">IF(Table117821341[[#This Row],[Pos.]]="QB1",_xlfn.XLOOKUP(Table117821341[[#This Row],[Opp]],Table123[DEF],'2425'!$K$3:$K$34),"#N/A")</f>
        <v>#N/A</v>
      </c>
      <c r="J31" s="148" t="e" cm="1">
        <f t="array" ref="J3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" s="148" t="e" cm="1">
        <f t="array" ref="K3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" s="148" t="e" cm="1">
        <f t="array" ref="L3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" s="148" t="e" cm="1">
        <f t="array" ref="M3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" s="148" t="e" cm="1">
        <f t="array" ref="N3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" s="149" t="str">
        <f>IF(Table117821341[[#This Row],[Pos.]]="QB1",_xlfn.XLOOKUP(Table117821341[[#This Row],[Opp]],Table123[DEF],Table123[P]),"#N/A")</f>
        <v>#N/A</v>
      </c>
      <c r="P31" s="149" t="str">
        <f>IF(Table117821341[[#This Row],[Pos.]]="QB1",_xlfn.XLOOKUP(Table117821341[[#This Row],[Opp]],Table123[DEF],Table123[P+R]),"#N/A")</f>
        <v>#N/A</v>
      </c>
      <c r="Q31" s="150" t="str">
        <f>IF(Table117821341[[#This Row],[Pos.]]="QB1",_xlfn.XLOOKUP(Table117821341[[#This Row],[Opp]],Table123[DEF],Table123[P TD]),"#N/A")</f>
        <v>#N/A</v>
      </c>
      <c r="R31" s="149" t="e" cm="1">
        <f t="array" ref="R3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" s="150" t="e" cm="1">
        <f t="array" ref="S3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" s="150" t="e" cm="1">
        <f t="array" ref="T3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" s="150" t="e" cm="1">
        <f t="array" ref="U3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" s="162" t="e" cm="1">
        <f t="array" ref="V3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" s="148" t="e" cm="1">
        <f t="array" ref="W31">_xlfn.IFS(Table117821341[[#This Row],[Pos.]]="QB1",AVERAGE(G31,H31,I31,J31,N31),Table117821341[[#This Row],[Pos.]]="RB1",AVERAGE(J31,K31,N31),Table117821341[[#This Row],[Pos.]]="RB2",AVERAGE(J31,K31,N31),Table117821341[[#This Row],[Pos.]]="WR1",AVERAGE(L31,M31,N31),Table117821341[[#This Row],[Pos.]]="WR2",AVERAGE(L31,M31,N31),Table117821341[[#This Row],[Pos.]]="WR3",AVERAGE(L31,M31,N31),Table117821341[[#This Row],[Pos.]]="WR4",AVERAGE(L31,M31,N31),Table117821341[[#This Row],[Pos.]]="TE1",AVERAGE(L31,M31,N31),Table117821341[[#This Row],[Pos.]]="TE2",AVERAGE(L31,M31,N31),Table117821341[[#This Row],[Pos.]]="D/ST",AVERAGE(Table117821341[[#This Row],[*TD*]]))</f>
        <v>#N/A</v>
      </c>
      <c r="X31" s="94" t="e">
        <f t="shared" si="0"/>
        <v>#N/A</v>
      </c>
    </row>
    <row r="32" spans="2:24" hidden="1" x14ac:dyDescent="0.35">
      <c r="B32" s="6" t="s">
        <v>295</v>
      </c>
      <c r="C32" s="97" t="s">
        <v>45</v>
      </c>
      <c r="D32" s="97" t="s">
        <v>395</v>
      </c>
      <c r="E32" s="23" t="str" cm="1">
        <f t="array" ref="E32">_xlfn.XLOOKUP(Table117821341[[#This Row],[Team]],Table4334[Team],'2425'!$C$3:$C$34)</f>
        <v>n/a</v>
      </c>
      <c r="F32" s="97" t="str">
        <f>_xlfn.XLOOKUP(Table117821341[[#This Row],[Team]],Table4334[Team],Table4334[OPP])</f>
        <v>n/a</v>
      </c>
      <c r="G32" s="148" t="str" cm="1">
        <f t="array" ref="G32">IF(Table117821341[[#This Row],[Pos.]]="QB1",_xlfn.XLOOKUP(Table117821341[[#This Row],[Opp]],Table123[DEF],'2425'!$G$3:$G$34),"#N/A")</f>
        <v>#N/A</v>
      </c>
      <c r="H32" s="148" t="str" cm="1">
        <f t="array" ref="H32">IF(Table117821341[[#This Row],[Pos.]]="QB1",_xlfn.XLOOKUP(Table117821341[[#This Row],[Opp]],Table123[DEF],'2425'!$J$3:$J$34),"#N/A")</f>
        <v>#N/A</v>
      </c>
      <c r="I32" s="148" t="str" cm="1">
        <f t="array" ref="I32">IF(Table117821341[[#This Row],[Pos.]]="QB1",_xlfn.XLOOKUP(Table117821341[[#This Row],[Opp]],Table123[DEF],'2425'!$K$3:$K$34),"#N/A")</f>
        <v>#N/A</v>
      </c>
      <c r="J32" s="148" t="e" cm="1">
        <f t="array" ref="J3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" s="148" t="e" cm="1">
        <f t="array" ref="K3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" s="148" t="e" cm="1">
        <f t="array" ref="L3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" s="148" t="e" cm="1">
        <f t="array" ref="M3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" s="148" t="e" cm="1">
        <f t="array" ref="N3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" s="149" t="str">
        <f>IF(Table117821341[[#This Row],[Pos.]]="QB1",_xlfn.XLOOKUP(Table117821341[[#This Row],[Opp]],Table123[DEF],Table123[P]),"#N/A")</f>
        <v>#N/A</v>
      </c>
      <c r="P32" s="149" t="str">
        <f>IF(Table117821341[[#This Row],[Pos.]]="QB1",_xlfn.XLOOKUP(Table117821341[[#This Row],[Opp]],Table123[DEF],Table123[P+R]),"#N/A")</f>
        <v>#N/A</v>
      </c>
      <c r="Q32" s="150" t="str">
        <f>IF(Table117821341[[#This Row],[Pos.]]="QB1",_xlfn.XLOOKUP(Table117821341[[#This Row],[Opp]],Table123[DEF],Table123[P TD]),"#N/A")</f>
        <v>#N/A</v>
      </c>
      <c r="R32" s="149" t="e" cm="1">
        <f t="array" ref="R3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" s="150" t="e" cm="1">
        <f t="array" ref="S3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" s="150" t="e" cm="1">
        <f t="array" ref="T3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" s="150" t="e" cm="1">
        <f t="array" ref="U3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" s="162" t="e" cm="1">
        <f t="array" ref="V3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" s="148" t="e" cm="1">
        <f t="array" ref="W32">_xlfn.IFS(Table117821341[[#This Row],[Pos.]]="QB1",AVERAGE(G32,H32,I32,J32,N32),Table117821341[[#This Row],[Pos.]]="RB1",AVERAGE(J32,K32,N32),Table117821341[[#This Row],[Pos.]]="RB2",AVERAGE(J32,K32,N32),Table117821341[[#This Row],[Pos.]]="WR1",AVERAGE(L32,M32,N32),Table117821341[[#This Row],[Pos.]]="WR2",AVERAGE(L32,M32,N32),Table117821341[[#This Row],[Pos.]]="WR3",AVERAGE(L32,M32,N32),Table117821341[[#This Row],[Pos.]]="WR4",AVERAGE(L32,M32,N32),Table117821341[[#This Row],[Pos.]]="TE1",AVERAGE(L32,M32,N32),Table117821341[[#This Row],[Pos.]]="TE2",AVERAGE(L32,M32,N32),Table117821341[[#This Row],[Pos.]]="D/ST",AVERAGE(Table117821341[[#This Row],[*TD*]]))</f>
        <v>#N/A</v>
      </c>
      <c r="X32" s="94" t="e">
        <f t="shared" si="0"/>
        <v>#N/A</v>
      </c>
    </row>
    <row r="33" spans="2:24" hidden="1" x14ac:dyDescent="0.35">
      <c r="B33" s="6" t="s">
        <v>227</v>
      </c>
      <c r="C33" s="97" t="s">
        <v>38</v>
      </c>
      <c r="D33" s="97" t="s">
        <v>395</v>
      </c>
      <c r="E33" s="23" t="str" cm="1">
        <f t="array" ref="E33">_xlfn.XLOOKUP(Table117821341[[#This Row],[Team]],Table4334[Team],'2425'!$C$3:$C$34)</f>
        <v>n/a</v>
      </c>
      <c r="F33" s="97" t="str">
        <f>_xlfn.XLOOKUP(Table117821341[[#This Row],[Team]],Table4334[Team],Table4334[OPP])</f>
        <v>n/a</v>
      </c>
      <c r="G33" s="148" t="str" cm="1">
        <f t="array" ref="G33">IF(Table117821341[[#This Row],[Pos.]]="QB1",_xlfn.XLOOKUP(Table117821341[[#This Row],[Opp]],Table123[DEF],'2425'!$G$3:$G$34),"#N/A")</f>
        <v>#N/A</v>
      </c>
      <c r="H33" s="148" t="str" cm="1">
        <f t="array" ref="H33">IF(Table117821341[[#This Row],[Pos.]]="QB1",_xlfn.XLOOKUP(Table117821341[[#This Row],[Opp]],Table123[DEF],'2425'!$J$3:$J$34),"#N/A")</f>
        <v>#N/A</v>
      </c>
      <c r="I33" s="148" t="str" cm="1">
        <f t="array" ref="I33">IF(Table117821341[[#This Row],[Pos.]]="QB1",_xlfn.XLOOKUP(Table117821341[[#This Row],[Opp]],Table123[DEF],'2425'!$K$3:$K$34),"#N/A")</f>
        <v>#N/A</v>
      </c>
      <c r="J33" s="148" t="e" cm="1">
        <f t="array" ref="J3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" s="148" t="e" cm="1">
        <f t="array" ref="K3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" s="148" t="e" cm="1">
        <f t="array" ref="L3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" s="148" t="e" cm="1">
        <f t="array" ref="M3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" s="148" t="e" cm="1">
        <f t="array" ref="N3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" s="149" t="str">
        <f>IF(Table117821341[[#This Row],[Pos.]]="QB1",_xlfn.XLOOKUP(Table117821341[[#This Row],[Opp]],Table123[DEF],Table123[P]),"#N/A")</f>
        <v>#N/A</v>
      </c>
      <c r="P33" s="149" t="str">
        <f>IF(Table117821341[[#This Row],[Pos.]]="QB1",_xlfn.XLOOKUP(Table117821341[[#This Row],[Opp]],Table123[DEF],Table123[P+R]),"#N/A")</f>
        <v>#N/A</v>
      </c>
      <c r="Q33" s="150" t="str">
        <f>IF(Table117821341[[#This Row],[Pos.]]="QB1",_xlfn.XLOOKUP(Table117821341[[#This Row],[Opp]],Table123[DEF],Table123[P TD]),"#N/A")</f>
        <v>#N/A</v>
      </c>
      <c r="R33" s="149" t="e" cm="1">
        <f t="array" ref="R3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" s="150" t="e" cm="1">
        <f t="array" ref="S3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" s="150" t="e" cm="1">
        <f t="array" ref="T3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" s="150" t="e" cm="1">
        <f t="array" ref="U3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" s="162" t="e" cm="1">
        <f t="array" ref="V3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" s="148" t="e" cm="1">
        <f t="array" ref="W33">_xlfn.IFS(Table117821341[[#This Row],[Pos.]]="QB1",AVERAGE(G33,H33,I33,J33,N33),Table117821341[[#This Row],[Pos.]]="RB1",AVERAGE(J33,K33,N33),Table117821341[[#This Row],[Pos.]]="RB2",AVERAGE(J33,K33,N33),Table117821341[[#This Row],[Pos.]]="WR1",AVERAGE(L33,M33,N33),Table117821341[[#This Row],[Pos.]]="WR2",AVERAGE(L33,M33,N33),Table117821341[[#This Row],[Pos.]]="WR3",AVERAGE(L33,M33,N33),Table117821341[[#This Row],[Pos.]]="WR4",AVERAGE(L33,M33,N33),Table117821341[[#This Row],[Pos.]]="TE1",AVERAGE(L33,M33,N33),Table117821341[[#This Row],[Pos.]]="TE2",AVERAGE(L33,M33,N33),Table117821341[[#This Row],[Pos.]]="D/ST",AVERAGE(Table117821341[[#This Row],[*TD*]]))</f>
        <v>#N/A</v>
      </c>
      <c r="X33" s="94" t="e">
        <f t="shared" si="0"/>
        <v>#N/A</v>
      </c>
    </row>
    <row r="34" spans="2:24" hidden="1" x14ac:dyDescent="0.35">
      <c r="B34" s="6" t="s">
        <v>314</v>
      </c>
      <c r="C34" s="97" t="s">
        <v>47</v>
      </c>
      <c r="D34" s="97" t="s">
        <v>395</v>
      </c>
      <c r="E34" s="23" t="str" cm="1">
        <f t="array" ref="E34">_xlfn.XLOOKUP(Table117821341[[#This Row],[Team]],Table4334[Team],'2425'!$C$3:$C$34)</f>
        <v>n/a</v>
      </c>
      <c r="F34" s="97" t="str">
        <f>_xlfn.XLOOKUP(Table117821341[[#This Row],[Team]],Table4334[Team],Table4334[OPP])</f>
        <v>n/a</v>
      </c>
      <c r="G34" s="148" t="str" cm="1">
        <f t="array" ref="G34">IF(Table117821341[[#This Row],[Pos.]]="QB1",_xlfn.XLOOKUP(Table117821341[[#This Row],[Opp]],Table123[DEF],'2425'!$G$3:$G$34),"#N/A")</f>
        <v>#N/A</v>
      </c>
      <c r="H34" s="148" t="str" cm="1">
        <f t="array" ref="H34">IF(Table117821341[[#This Row],[Pos.]]="QB1",_xlfn.XLOOKUP(Table117821341[[#This Row],[Opp]],Table123[DEF],'2425'!$J$3:$J$34),"#N/A")</f>
        <v>#N/A</v>
      </c>
      <c r="I34" s="148" t="str" cm="1">
        <f t="array" ref="I34">IF(Table117821341[[#This Row],[Pos.]]="QB1",_xlfn.XLOOKUP(Table117821341[[#This Row],[Opp]],Table123[DEF],'2425'!$K$3:$K$34),"#N/A")</f>
        <v>#N/A</v>
      </c>
      <c r="J34" s="148" t="e" cm="1">
        <f t="array" ref="J3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" s="148" t="e" cm="1">
        <f t="array" ref="K3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" s="148" t="e" cm="1">
        <f t="array" ref="L3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" s="148" t="e" cm="1">
        <f t="array" ref="M3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" s="148" t="e" cm="1">
        <f t="array" ref="N3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" s="149" t="str">
        <f>IF(Table117821341[[#This Row],[Pos.]]="QB1",_xlfn.XLOOKUP(Table117821341[[#This Row],[Opp]],Table123[DEF],Table123[P]),"#N/A")</f>
        <v>#N/A</v>
      </c>
      <c r="P34" s="149" t="str">
        <f>IF(Table117821341[[#This Row],[Pos.]]="QB1",_xlfn.XLOOKUP(Table117821341[[#This Row],[Opp]],Table123[DEF],Table123[P+R]),"#N/A")</f>
        <v>#N/A</v>
      </c>
      <c r="Q34" s="150" t="str">
        <f>IF(Table117821341[[#This Row],[Pos.]]="QB1",_xlfn.XLOOKUP(Table117821341[[#This Row],[Opp]],Table123[DEF],Table123[P TD]),"#N/A")</f>
        <v>#N/A</v>
      </c>
      <c r="R34" s="149" t="e" cm="1">
        <f t="array" ref="R3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" s="150" t="e" cm="1">
        <f t="array" ref="S3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" s="150" t="e" cm="1">
        <f t="array" ref="T3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" s="150" t="e" cm="1">
        <f t="array" ref="U3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" s="162" t="e" cm="1">
        <f t="array" ref="V3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" s="148" t="e" cm="1">
        <f t="array" ref="W34">_xlfn.IFS(Table117821341[[#This Row],[Pos.]]="QB1",AVERAGE(G34,H34,I34,J34,N34),Table117821341[[#This Row],[Pos.]]="RB1",AVERAGE(J34,K34,N34),Table117821341[[#This Row],[Pos.]]="RB2",AVERAGE(J34,K34,N34),Table117821341[[#This Row],[Pos.]]="WR1",AVERAGE(L34,M34,N34),Table117821341[[#This Row],[Pos.]]="WR2",AVERAGE(L34,M34,N34),Table117821341[[#This Row],[Pos.]]="WR3",AVERAGE(L34,M34,N34),Table117821341[[#This Row],[Pos.]]="WR4",AVERAGE(L34,M34,N34),Table117821341[[#This Row],[Pos.]]="TE1",AVERAGE(L34,M34,N34),Table117821341[[#This Row],[Pos.]]="TE2",AVERAGE(L34,M34,N34),Table117821341[[#This Row],[Pos.]]="D/ST",AVERAGE(Table117821341[[#This Row],[*TD*]]))</f>
        <v>#N/A</v>
      </c>
      <c r="X34" s="94" t="e">
        <f t="shared" si="0"/>
        <v>#N/A</v>
      </c>
    </row>
    <row r="35" spans="2:24" hidden="1" x14ac:dyDescent="0.35">
      <c r="B35" s="6" t="s">
        <v>602</v>
      </c>
      <c r="C35" s="97" t="s">
        <v>15</v>
      </c>
      <c r="D35" s="97" t="s">
        <v>403</v>
      </c>
      <c r="E35" s="23" t="str" cm="1">
        <f t="array" ref="E35">_xlfn.XLOOKUP(Table117821341[[#This Row],[Team]],Table4334[Team],'2425'!$C$3:$C$34)</f>
        <v>n/a</v>
      </c>
      <c r="F35" s="97" t="str">
        <f>_xlfn.XLOOKUP(Table117821341[[#This Row],[Team]],Table4334[Team],Table4334[OPP])</f>
        <v>n/a</v>
      </c>
      <c r="G35" s="148" t="str" cm="1">
        <f t="array" ref="G35">IF(Table117821341[[#This Row],[Pos.]]="QB1",_xlfn.XLOOKUP(Table117821341[[#This Row],[Opp]],Table123[DEF],'2425'!$G$3:$G$34),"#N/A")</f>
        <v>#N/A</v>
      </c>
      <c r="H35" s="148" t="str" cm="1">
        <f t="array" ref="H35">IF(Table117821341[[#This Row],[Pos.]]="QB1",_xlfn.XLOOKUP(Table117821341[[#This Row],[Opp]],Table123[DEF],'2425'!$J$3:$J$34),"#N/A")</f>
        <v>#N/A</v>
      </c>
      <c r="I35" s="148" t="str" cm="1">
        <f t="array" ref="I35">IF(Table117821341[[#This Row],[Pos.]]="QB1",_xlfn.XLOOKUP(Table117821341[[#This Row],[Opp]],Table123[DEF],'2425'!$K$3:$K$34),"#N/A")</f>
        <v>#N/A</v>
      </c>
      <c r="J35" s="148" t="e" cm="1">
        <f t="array" ref="J3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" s="148" t="e" cm="1">
        <f t="array" ref="K3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" s="148" t="e" cm="1">
        <f t="array" ref="L3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" s="148" t="e" cm="1">
        <f t="array" ref="M3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" s="148" t="e" cm="1">
        <f t="array" ref="N3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" s="149" t="str">
        <f>IF(Table117821341[[#This Row],[Pos.]]="QB1",_xlfn.XLOOKUP(Table117821341[[#This Row],[Opp]],Table123[DEF],Table123[P]),"#N/A")</f>
        <v>#N/A</v>
      </c>
      <c r="P35" s="149" t="str">
        <f>IF(Table117821341[[#This Row],[Pos.]]="QB1",_xlfn.XLOOKUP(Table117821341[[#This Row],[Opp]],Table123[DEF],Table123[P+R]),"#N/A")</f>
        <v>#N/A</v>
      </c>
      <c r="Q35" s="150" t="str">
        <f>IF(Table117821341[[#This Row],[Pos.]]="QB1",_xlfn.XLOOKUP(Table117821341[[#This Row],[Opp]],Table123[DEF],Table123[P TD]),"#N/A")</f>
        <v>#N/A</v>
      </c>
      <c r="R35" s="149" t="e" cm="1">
        <f t="array" ref="R3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" s="150" t="e" cm="1">
        <f t="array" ref="S3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" s="150" t="e" cm="1">
        <f t="array" ref="T3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" s="150" t="e" cm="1">
        <f t="array" ref="U3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" s="150" t="e" cm="1">
        <f t="array" ref="V3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" s="148" t="e" cm="1">
        <f t="array" ref="W35">_xlfn.IFS(Table117821341[[#This Row],[Pos.]]="QB1",AVERAGE(G35,H35,I35,J35,N35),Table117821341[[#This Row],[Pos.]]="RB1",AVERAGE(J35,K35,N35),Table117821341[[#This Row],[Pos.]]="RB2",AVERAGE(J35,K35,N35),Table117821341[[#This Row],[Pos.]]="WR1",AVERAGE(L35,M35,N35),Table117821341[[#This Row],[Pos.]]="WR2",AVERAGE(L35,M35,N35),Table117821341[[#This Row],[Pos.]]="WR3",AVERAGE(L35,M35,N35),Table117821341[[#This Row],[Pos.]]="WR4",AVERAGE(L35,M35,N35),Table117821341[[#This Row],[Pos.]]="TE1",AVERAGE(L35,M35,N35),Table117821341[[#This Row],[Pos.]]="TE2",AVERAGE(L35,M35,N35),Table117821341[[#This Row],[Pos.]]="D/ST",AVERAGE(Table117821341[[#This Row],[*TD*]]))</f>
        <v>#N/A</v>
      </c>
      <c r="X35" s="94" t="e">
        <f t="shared" si="0"/>
        <v>#N/A</v>
      </c>
    </row>
    <row r="36" spans="2:24" hidden="1" x14ac:dyDescent="0.35">
      <c r="B36" s="6" t="s">
        <v>603</v>
      </c>
      <c r="C36" s="97" t="s">
        <v>15</v>
      </c>
      <c r="D36" s="97" t="s">
        <v>411</v>
      </c>
      <c r="E36" s="23" t="str" cm="1">
        <f t="array" ref="E36">_xlfn.XLOOKUP(Table117821341[[#This Row],[Team]],Table4334[Team],'2425'!$C$3:$C$34)</f>
        <v>n/a</v>
      </c>
      <c r="F36" s="97" t="str">
        <f>_xlfn.XLOOKUP(Table117821341[[#This Row],[Team]],Table4334[Team],Table4334[OPP])</f>
        <v>n/a</v>
      </c>
      <c r="G36" s="148" t="str" cm="1">
        <f t="array" ref="G36">IF(Table117821341[[#This Row],[Pos.]]="QB1",_xlfn.XLOOKUP(Table117821341[[#This Row],[Opp]],Table123[DEF],'2425'!$G$3:$G$34),"#N/A")</f>
        <v>#N/A</v>
      </c>
      <c r="H36" s="148" t="str" cm="1">
        <f t="array" ref="H36">IF(Table117821341[[#This Row],[Pos.]]="QB1",_xlfn.XLOOKUP(Table117821341[[#This Row],[Opp]],Table123[DEF],'2425'!$J$3:$J$34),"#N/A")</f>
        <v>#N/A</v>
      </c>
      <c r="I36" s="148" t="str" cm="1">
        <f t="array" ref="I36">IF(Table117821341[[#This Row],[Pos.]]="QB1",_xlfn.XLOOKUP(Table117821341[[#This Row],[Opp]],Table123[DEF],'2425'!$K$3:$K$34),"#N/A")</f>
        <v>#N/A</v>
      </c>
      <c r="J36" s="148" t="e" cm="1">
        <f t="array" ref="J3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" s="148" t="e" cm="1">
        <f t="array" ref="K3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" s="148" t="e" cm="1">
        <f t="array" ref="L3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" s="148" t="e" cm="1">
        <f t="array" ref="M3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" s="148" t="e" cm="1">
        <f t="array" ref="N3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" s="149" t="str">
        <f>IF(Table117821341[[#This Row],[Pos.]]="QB1",_xlfn.XLOOKUP(Table117821341[[#This Row],[Opp]],Table123[DEF],Table123[P]),"#N/A")</f>
        <v>#N/A</v>
      </c>
      <c r="P36" s="149" t="str">
        <f>IF(Table117821341[[#This Row],[Pos.]]="QB1",_xlfn.XLOOKUP(Table117821341[[#This Row],[Opp]],Table123[DEF],Table123[P+R]),"#N/A")</f>
        <v>#N/A</v>
      </c>
      <c r="Q36" s="150" t="str">
        <f>IF(Table117821341[[#This Row],[Pos.]]="QB1",_xlfn.XLOOKUP(Table117821341[[#This Row],[Opp]],Table123[DEF],Table123[P TD]),"#N/A")</f>
        <v>#N/A</v>
      </c>
      <c r="R36" s="149" t="e" cm="1">
        <f t="array" ref="R3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" s="150" t="e" cm="1">
        <f t="array" ref="S3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" s="150" t="e" cm="1">
        <f t="array" ref="T3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" s="150" t="e" cm="1">
        <f t="array" ref="U3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" s="150" t="e" cm="1">
        <f t="array" ref="V3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" s="148" t="e" cm="1">
        <f t="array" ref="W36">_xlfn.IFS(Table117821341[[#This Row],[Pos.]]="QB1",AVERAGE(G36,H36,I36,J36,N36),Table117821341[[#This Row],[Pos.]]="RB1",AVERAGE(J36,K36,N36),Table117821341[[#This Row],[Pos.]]="RB2",AVERAGE(J36,K36,N36),Table117821341[[#This Row],[Pos.]]="WR1",AVERAGE(L36,M36,N36),Table117821341[[#This Row],[Pos.]]="WR2",AVERAGE(L36,M36,N36),Table117821341[[#This Row],[Pos.]]="WR3",AVERAGE(L36,M36,N36),Table117821341[[#This Row],[Pos.]]="WR4",AVERAGE(L36,M36,N36),Table117821341[[#This Row],[Pos.]]="TE1",AVERAGE(L36,M36,N36),Table117821341[[#This Row],[Pos.]]="TE2",AVERAGE(L36,M36,N36),Table117821341[[#This Row],[Pos.]]="D/ST",AVERAGE(Table117821341[[#This Row],[*TD*]]))</f>
        <v>#N/A</v>
      </c>
      <c r="X36" s="94" t="e">
        <f t="shared" si="0"/>
        <v>#N/A</v>
      </c>
    </row>
    <row r="37" spans="2:24" hidden="1" x14ac:dyDescent="0.35">
      <c r="B37" s="6" t="s">
        <v>327</v>
      </c>
      <c r="C37" s="97" t="s">
        <v>48</v>
      </c>
      <c r="D37" s="97" t="s">
        <v>66</v>
      </c>
      <c r="E37" s="23" t="str" cm="1">
        <f t="array" ref="E37">_xlfn.XLOOKUP(Table117821341[[#This Row],[Team]],Table4334[Team],'2425'!$C$3:$C$34)</f>
        <v>n/a</v>
      </c>
      <c r="F37" s="97" t="str">
        <f>_xlfn.XLOOKUP(Table117821341[[#This Row],[Team]],Table4334[Team],Table4334[OPP])</f>
        <v>n/a</v>
      </c>
      <c r="G37" s="148" t="str" cm="1">
        <f t="array" ref="G37">IF(Table117821341[[#This Row],[Pos.]]="QB1",_xlfn.XLOOKUP(Table117821341[[#This Row],[Opp]],Table123[DEF],'2425'!$G$3:$G$34),"#N/A")</f>
        <v>#N/A</v>
      </c>
      <c r="H37" s="148" t="str" cm="1">
        <f t="array" ref="H37">IF(Table117821341[[#This Row],[Pos.]]="QB1",_xlfn.XLOOKUP(Table117821341[[#This Row],[Opp]],Table123[DEF],'2425'!$J$3:$J$34),"#N/A")</f>
        <v>#N/A</v>
      </c>
      <c r="I37" s="148" t="str" cm="1">
        <f t="array" ref="I37">IF(Table117821341[[#This Row],[Pos.]]="QB1",_xlfn.XLOOKUP(Table117821341[[#This Row],[Opp]],Table123[DEF],'2425'!$K$3:$K$34),"#N/A")</f>
        <v>#N/A</v>
      </c>
      <c r="J37" s="148" t="e" cm="1">
        <f t="array" ref="J3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" s="148" t="e" cm="1">
        <f t="array" ref="K3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" s="148" t="e" cm="1">
        <f t="array" ref="L3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" s="148" t="e" cm="1">
        <f t="array" ref="M3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" s="148" t="e" cm="1">
        <f t="array" ref="N3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" s="149" t="str">
        <f>IF(Table117821341[[#This Row],[Pos.]]="QB1",_xlfn.XLOOKUP(Table117821341[[#This Row],[Opp]],Table123[DEF],Table123[P]),"#N/A")</f>
        <v>#N/A</v>
      </c>
      <c r="P37" s="149" t="str">
        <f>IF(Table117821341[[#This Row],[Pos.]]="QB1",_xlfn.XLOOKUP(Table117821341[[#This Row],[Opp]],Table123[DEF],Table123[P+R]),"#N/A")</f>
        <v>#N/A</v>
      </c>
      <c r="Q37" s="150" t="str">
        <f>IF(Table117821341[[#This Row],[Pos.]]="QB1",_xlfn.XLOOKUP(Table117821341[[#This Row],[Opp]],Table123[DEF],Table123[P TD]),"#N/A")</f>
        <v>#N/A</v>
      </c>
      <c r="R37" s="149" t="e" cm="1">
        <f t="array" ref="R3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" s="150" t="e" cm="1">
        <f t="array" ref="S3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" s="150" t="e" cm="1">
        <f t="array" ref="T3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" s="150" t="e" cm="1">
        <f t="array" ref="U3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" s="162" t="e" cm="1">
        <f t="array" ref="V3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" s="148" t="e" cm="1">
        <f t="array" ref="W37">_xlfn.IFS(Table117821341[[#This Row],[Pos.]]="QB1",AVERAGE(G37,H37,I37,J37,N37),Table117821341[[#This Row],[Pos.]]="RB1",AVERAGE(J37,K37,N37),Table117821341[[#This Row],[Pos.]]="RB2",AVERAGE(J37,K37,N37),Table117821341[[#This Row],[Pos.]]="WR1",AVERAGE(L37,M37,N37),Table117821341[[#This Row],[Pos.]]="WR2",AVERAGE(L37,M37,N37),Table117821341[[#This Row],[Pos.]]="WR3",AVERAGE(L37,M37,N37),Table117821341[[#This Row],[Pos.]]="WR4",AVERAGE(L37,M37,N37),Table117821341[[#This Row],[Pos.]]="TE1",AVERAGE(L37,M37,N37),Table117821341[[#This Row],[Pos.]]="TE2",AVERAGE(L37,M37,N37),Table117821341[[#This Row],[Pos.]]="D/ST",AVERAGE(Table117821341[[#This Row],[*TD*]]))</f>
        <v>#N/A</v>
      </c>
      <c r="X37" s="94" t="e">
        <f t="shared" si="0"/>
        <v>#N/A</v>
      </c>
    </row>
    <row r="38" spans="2:24" hidden="1" x14ac:dyDescent="0.35">
      <c r="B38" s="6" t="s">
        <v>386</v>
      </c>
      <c r="C38" s="97" t="s">
        <v>56</v>
      </c>
      <c r="D38" s="97" t="s">
        <v>395</v>
      </c>
      <c r="E38" s="23" t="str" cm="1">
        <f t="array" ref="E38">_xlfn.XLOOKUP(Table117821341[[#This Row],[Team]],Table4334[Team],'2425'!$C$3:$C$34)</f>
        <v>n/a</v>
      </c>
      <c r="F38" s="97" t="str">
        <f>_xlfn.XLOOKUP(Table117821341[[#This Row],[Team]],Table4334[Team],Table4334[OPP])</f>
        <v>n/a</v>
      </c>
      <c r="G38" s="148" t="str" cm="1">
        <f t="array" ref="G38">IF(Table117821341[[#This Row],[Pos.]]="QB1",_xlfn.XLOOKUP(Table117821341[[#This Row],[Opp]],Table123[DEF],'2425'!$G$3:$G$34),"#N/A")</f>
        <v>#N/A</v>
      </c>
      <c r="H38" s="148" t="str" cm="1">
        <f t="array" ref="H38">IF(Table117821341[[#This Row],[Pos.]]="QB1",_xlfn.XLOOKUP(Table117821341[[#This Row],[Opp]],Table123[DEF],'2425'!$J$3:$J$34),"#N/A")</f>
        <v>#N/A</v>
      </c>
      <c r="I38" s="148" t="str" cm="1">
        <f t="array" ref="I38">IF(Table117821341[[#This Row],[Pos.]]="QB1",_xlfn.XLOOKUP(Table117821341[[#This Row],[Opp]],Table123[DEF],'2425'!$K$3:$K$34),"#N/A")</f>
        <v>#N/A</v>
      </c>
      <c r="J38" s="148" t="e" cm="1">
        <f t="array" ref="J3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" s="148" t="e" cm="1">
        <f t="array" ref="K3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" s="148" t="e" cm="1">
        <f t="array" ref="L3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" s="148" t="e" cm="1">
        <f t="array" ref="M3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" s="148" t="e" cm="1">
        <f t="array" ref="N3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" s="149" t="str">
        <f>IF(Table117821341[[#This Row],[Pos.]]="QB1",_xlfn.XLOOKUP(Table117821341[[#This Row],[Opp]],Table123[DEF],Table123[P]),"#N/A")</f>
        <v>#N/A</v>
      </c>
      <c r="P38" s="149" t="str">
        <f>IF(Table117821341[[#This Row],[Pos.]]="QB1",_xlfn.XLOOKUP(Table117821341[[#This Row],[Opp]],Table123[DEF],Table123[P+R]),"#N/A")</f>
        <v>#N/A</v>
      </c>
      <c r="Q38" s="150" t="str">
        <f>IF(Table117821341[[#This Row],[Pos.]]="QB1",_xlfn.XLOOKUP(Table117821341[[#This Row],[Opp]],Table123[DEF],Table123[P TD]),"#N/A")</f>
        <v>#N/A</v>
      </c>
      <c r="R38" s="149" t="e" cm="1">
        <f t="array" ref="R3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" s="150" t="e" cm="1">
        <f t="array" ref="S3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" s="150" t="e" cm="1">
        <f t="array" ref="T3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" s="150" t="e" cm="1">
        <f t="array" ref="U3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" s="162" t="e" cm="1">
        <f t="array" ref="V3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" s="148" t="e" cm="1">
        <f t="array" ref="W38">_xlfn.IFS(Table117821341[[#This Row],[Pos.]]="QB1",AVERAGE(G38,H38,I38,J38,N38),Table117821341[[#This Row],[Pos.]]="RB1",AVERAGE(J38,K38,N38),Table117821341[[#This Row],[Pos.]]="RB2",AVERAGE(J38,K38,N38),Table117821341[[#This Row],[Pos.]]="WR1",AVERAGE(L38,M38,N38),Table117821341[[#This Row],[Pos.]]="WR2",AVERAGE(L38,M38,N38),Table117821341[[#This Row],[Pos.]]="WR3",AVERAGE(L38,M38,N38),Table117821341[[#This Row],[Pos.]]="WR4",AVERAGE(L38,M38,N38),Table117821341[[#This Row],[Pos.]]="TE1",AVERAGE(L38,M38,N38),Table117821341[[#This Row],[Pos.]]="TE2",AVERAGE(L38,M38,N38),Table117821341[[#This Row],[Pos.]]="D/ST",AVERAGE(Table117821341[[#This Row],[*TD*]]))</f>
        <v>#N/A</v>
      </c>
      <c r="X38" s="94" t="e">
        <f t="shared" si="0"/>
        <v>#N/A</v>
      </c>
    </row>
    <row r="39" spans="2:24" hidden="1" x14ac:dyDescent="0.35">
      <c r="B39" s="6" t="s">
        <v>468</v>
      </c>
      <c r="C39" s="97" t="s">
        <v>16</v>
      </c>
      <c r="D39" s="97" t="s">
        <v>405</v>
      </c>
      <c r="E39" s="23" t="str" cm="1">
        <f t="array" ref="E39">_xlfn.XLOOKUP(Table117821341[[#This Row],[Team]],Table4334[Team],'2425'!$C$3:$C$34)</f>
        <v>n/a</v>
      </c>
      <c r="F39" s="97" t="str">
        <f>_xlfn.XLOOKUP(Table117821341[[#This Row],[Team]],Table4334[Team],Table4334[OPP])</f>
        <v>n/a</v>
      </c>
      <c r="G39" s="148" t="str" cm="1">
        <f t="array" ref="G39">IF(Table117821341[[#This Row],[Pos.]]="QB1",_xlfn.XLOOKUP(Table117821341[[#This Row],[Opp]],Table123[DEF],'2425'!$G$3:$G$34),"#N/A")</f>
        <v>#N/A</v>
      </c>
      <c r="H39" s="148" t="str" cm="1">
        <f t="array" ref="H39">IF(Table117821341[[#This Row],[Pos.]]="QB1",_xlfn.XLOOKUP(Table117821341[[#This Row],[Opp]],Table123[DEF],'2425'!$J$3:$J$34),"#N/A")</f>
        <v>#N/A</v>
      </c>
      <c r="I39" s="148" t="str" cm="1">
        <f t="array" ref="I39">IF(Table117821341[[#This Row],[Pos.]]="QB1",_xlfn.XLOOKUP(Table117821341[[#This Row],[Opp]],Table123[DEF],'2425'!$K$3:$K$34),"#N/A")</f>
        <v>#N/A</v>
      </c>
      <c r="J39" s="148" t="e" cm="1">
        <f t="array" ref="J3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" s="148" t="e" cm="1">
        <f t="array" ref="K3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" s="148" t="e" cm="1">
        <f t="array" ref="L3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" s="148" t="e" cm="1">
        <f t="array" ref="M3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" s="148" t="e" cm="1">
        <f t="array" ref="N3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" s="149" t="str">
        <f>IF(Table117821341[[#This Row],[Pos.]]="QB1",_xlfn.XLOOKUP(Table117821341[[#This Row],[Opp]],Table123[DEF],Table123[P]),"#N/A")</f>
        <v>#N/A</v>
      </c>
      <c r="P39" s="149" t="str">
        <f>IF(Table117821341[[#This Row],[Pos.]]="QB1",_xlfn.XLOOKUP(Table117821341[[#This Row],[Opp]],Table123[DEF],Table123[P+R]),"#N/A")</f>
        <v>#N/A</v>
      </c>
      <c r="Q39" s="150" t="str">
        <f>IF(Table117821341[[#This Row],[Pos.]]="QB1",_xlfn.XLOOKUP(Table117821341[[#This Row],[Opp]],Table123[DEF],Table123[P TD]),"#N/A")</f>
        <v>#N/A</v>
      </c>
      <c r="R39" s="149" t="e" cm="1">
        <f t="array" ref="R3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" s="150" t="e" cm="1">
        <f t="array" ref="S3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" s="150" t="e" cm="1">
        <f t="array" ref="T3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" s="150" t="e" cm="1">
        <f t="array" ref="U3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" s="150" t="e" cm="1">
        <f t="array" ref="V3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" s="148" t="e" cm="1">
        <f t="array" ref="W39">_xlfn.IFS(Table117821341[[#This Row],[Pos.]]="QB1",AVERAGE(G39,H39,I39,J39,N39),Table117821341[[#This Row],[Pos.]]="RB1",AVERAGE(J39,K39,N39),Table117821341[[#This Row],[Pos.]]="RB2",AVERAGE(J39,K39,N39),Table117821341[[#This Row],[Pos.]]="WR1",AVERAGE(L39,M39,N39),Table117821341[[#This Row],[Pos.]]="WR2",AVERAGE(L39,M39,N39),Table117821341[[#This Row],[Pos.]]="WR3",AVERAGE(L39,M39,N39),Table117821341[[#This Row],[Pos.]]="WR4",AVERAGE(L39,M39,N39),Table117821341[[#This Row],[Pos.]]="TE1",AVERAGE(L39,M39,N39),Table117821341[[#This Row],[Pos.]]="TE2",AVERAGE(L39,M39,N39),Table117821341[[#This Row],[Pos.]]="D/ST",AVERAGE(Table117821341[[#This Row],[*TD*]]))</f>
        <v>#N/A</v>
      </c>
      <c r="X39" s="94" t="e">
        <f t="shared" si="0"/>
        <v>#N/A</v>
      </c>
    </row>
    <row r="40" spans="2:24" hidden="1" x14ac:dyDescent="0.35">
      <c r="B40" s="6" t="s">
        <v>193</v>
      </c>
      <c r="C40" s="97" t="s">
        <v>34</v>
      </c>
      <c r="D40" s="97" t="s">
        <v>395</v>
      </c>
      <c r="E40" s="23" t="str" cm="1">
        <f t="array" ref="E40">_xlfn.XLOOKUP(Table117821341[[#This Row],[Team]],Table4334[Team],'2425'!$C$3:$C$34)</f>
        <v>n/a</v>
      </c>
      <c r="F40" s="97" t="str">
        <f>_xlfn.XLOOKUP(Table117821341[[#This Row],[Team]],Table4334[Team],Table4334[OPP])</f>
        <v>n/a</v>
      </c>
      <c r="G40" s="148" t="str" cm="1">
        <f t="array" ref="G40">IF(Table117821341[[#This Row],[Pos.]]="QB1",_xlfn.XLOOKUP(Table117821341[[#This Row],[Opp]],Table123[DEF],'2425'!$G$3:$G$34),"#N/A")</f>
        <v>#N/A</v>
      </c>
      <c r="H40" s="148" t="str" cm="1">
        <f t="array" ref="H40">IF(Table117821341[[#This Row],[Pos.]]="QB1",_xlfn.XLOOKUP(Table117821341[[#This Row],[Opp]],Table123[DEF],'2425'!$J$3:$J$34),"#N/A")</f>
        <v>#N/A</v>
      </c>
      <c r="I40" s="148" t="str" cm="1">
        <f t="array" ref="I40">IF(Table117821341[[#This Row],[Pos.]]="QB1",_xlfn.XLOOKUP(Table117821341[[#This Row],[Opp]],Table123[DEF],'2425'!$K$3:$K$34),"#N/A")</f>
        <v>#N/A</v>
      </c>
      <c r="J40" s="148" t="e" cm="1">
        <f t="array" ref="J4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" s="148" t="e" cm="1">
        <f t="array" ref="K4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" s="148" t="e" cm="1">
        <f t="array" ref="L4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" s="148" t="e" cm="1">
        <f t="array" ref="M4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" s="148" t="e" cm="1">
        <f t="array" ref="N4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" s="149" t="str">
        <f>IF(Table117821341[[#This Row],[Pos.]]="QB1",_xlfn.XLOOKUP(Table117821341[[#This Row],[Opp]],Table123[DEF],Table123[P]),"#N/A")</f>
        <v>#N/A</v>
      </c>
      <c r="P40" s="149" t="str">
        <f>IF(Table117821341[[#This Row],[Pos.]]="QB1",_xlfn.XLOOKUP(Table117821341[[#This Row],[Opp]],Table123[DEF],Table123[P+R]),"#N/A")</f>
        <v>#N/A</v>
      </c>
      <c r="Q40" s="150" t="str">
        <f>IF(Table117821341[[#This Row],[Pos.]]="QB1",_xlfn.XLOOKUP(Table117821341[[#This Row],[Opp]],Table123[DEF],Table123[P TD]),"#N/A")</f>
        <v>#N/A</v>
      </c>
      <c r="R40" s="149" t="e" cm="1">
        <f t="array" ref="R4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" s="150" t="e" cm="1">
        <f t="array" ref="S4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" s="150" t="e" cm="1">
        <f t="array" ref="T4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" s="150" t="e" cm="1">
        <f t="array" ref="U4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" s="162" t="e" cm="1">
        <f t="array" ref="V4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" s="148" t="e" cm="1">
        <f t="array" ref="W40">_xlfn.IFS(Table117821341[[#This Row],[Pos.]]="QB1",AVERAGE(G40,H40,I40,J40,N40),Table117821341[[#This Row],[Pos.]]="RB1",AVERAGE(J40,K40,N40),Table117821341[[#This Row],[Pos.]]="RB2",AVERAGE(J40,K40,N40),Table117821341[[#This Row],[Pos.]]="WR1",AVERAGE(L40,M40,N40),Table117821341[[#This Row],[Pos.]]="WR2",AVERAGE(L40,M40,N40),Table117821341[[#This Row],[Pos.]]="WR3",AVERAGE(L40,M40,N40),Table117821341[[#This Row],[Pos.]]="WR4",AVERAGE(L40,M40,N40),Table117821341[[#This Row],[Pos.]]="TE1",AVERAGE(L40,M40,N40),Table117821341[[#This Row],[Pos.]]="TE2",AVERAGE(L40,M40,N40),Table117821341[[#This Row],[Pos.]]="D/ST",AVERAGE(Table117821341[[#This Row],[*TD*]]))</f>
        <v>#N/A</v>
      </c>
      <c r="X40" s="94" t="e">
        <f t="shared" si="0"/>
        <v>#N/A</v>
      </c>
    </row>
    <row r="41" spans="2:24" hidden="1" x14ac:dyDescent="0.35">
      <c r="B41" s="6" t="s">
        <v>120</v>
      </c>
      <c r="C41" s="97" t="s">
        <v>16</v>
      </c>
      <c r="D41" s="97" t="s">
        <v>394</v>
      </c>
      <c r="E41" s="23" t="str" cm="1">
        <f t="array" ref="E41">_xlfn.XLOOKUP(Table117821341[[#This Row],[Team]],Table4334[Team],'2425'!$C$3:$C$34)</f>
        <v>n/a</v>
      </c>
      <c r="F41" s="97" t="str">
        <f>_xlfn.XLOOKUP(Table117821341[[#This Row],[Team]],Table4334[Team],Table4334[OPP])</f>
        <v>n/a</v>
      </c>
      <c r="G41" s="148" t="str" cm="1">
        <f t="array" ref="G41">IF(Table117821341[[#This Row],[Pos.]]="QB1",_xlfn.XLOOKUP(Table117821341[[#This Row],[Opp]],Table123[DEF],'2425'!$G$3:$G$34),"#N/A")</f>
        <v>#N/A</v>
      </c>
      <c r="H41" s="148" t="str" cm="1">
        <f t="array" ref="H41">IF(Table117821341[[#This Row],[Pos.]]="QB1",_xlfn.XLOOKUP(Table117821341[[#This Row],[Opp]],Table123[DEF],'2425'!$J$3:$J$34),"#N/A")</f>
        <v>#N/A</v>
      </c>
      <c r="I41" s="148" t="str" cm="1">
        <f t="array" ref="I41">IF(Table117821341[[#This Row],[Pos.]]="QB1",_xlfn.XLOOKUP(Table117821341[[#This Row],[Opp]],Table123[DEF],'2425'!$K$3:$K$34),"#N/A")</f>
        <v>#N/A</v>
      </c>
      <c r="J41" s="148" t="e" cm="1">
        <f t="array" ref="J4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" s="148" t="e" cm="1">
        <f t="array" ref="K4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" s="148" t="e" cm="1">
        <f t="array" ref="L4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" s="148" t="e" cm="1">
        <f t="array" ref="M4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" s="148" t="e" cm="1">
        <f t="array" ref="N4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" s="149" t="str">
        <f>IF(Table117821341[[#This Row],[Pos.]]="QB1",_xlfn.XLOOKUP(Table117821341[[#This Row],[Opp]],Table123[DEF],Table123[P]),"#N/A")</f>
        <v>#N/A</v>
      </c>
      <c r="P41" s="149" t="str">
        <f>IF(Table117821341[[#This Row],[Pos.]]="QB1",_xlfn.XLOOKUP(Table117821341[[#This Row],[Opp]],Table123[DEF],Table123[P+R]),"#N/A")</f>
        <v>#N/A</v>
      </c>
      <c r="Q41" s="150" t="str">
        <f>IF(Table117821341[[#This Row],[Pos.]]="QB1",_xlfn.XLOOKUP(Table117821341[[#This Row],[Opp]],Table123[DEF],Table123[P TD]),"#N/A")</f>
        <v>#N/A</v>
      </c>
      <c r="R41" s="149" t="e" cm="1">
        <f t="array" ref="R4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" s="150" t="e" cm="1">
        <f t="array" ref="S4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" s="150" t="e" cm="1">
        <f t="array" ref="T4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" s="150" t="e" cm="1">
        <f t="array" ref="U4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" s="150" t="e" cm="1">
        <f t="array" ref="V4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" s="148" t="e" cm="1">
        <f t="array" ref="W41">_xlfn.IFS(Table117821341[[#This Row],[Pos.]]="QB1",AVERAGE(G41,H41,I41,J41,N41),Table117821341[[#This Row],[Pos.]]="RB1",AVERAGE(J41,K41,N41),Table117821341[[#This Row],[Pos.]]="RB2",AVERAGE(J41,K41,N41),Table117821341[[#This Row],[Pos.]]="WR1",AVERAGE(L41,M41,N41),Table117821341[[#This Row],[Pos.]]="WR2",AVERAGE(L41,M41,N41),Table117821341[[#This Row],[Pos.]]="WR3",AVERAGE(L41,M41,N41),Table117821341[[#This Row],[Pos.]]="WR4",AVERAGE(L41,M41,N41),Table117821341[[#This Row],[Pos.]]="TE1",AVERAGE(L41,M41,N41),Table117821341[[#This Row],[Pos.]]="TE2",AVERAGE(L41,M41,N41),Table117821341[[#This Row],[Pos.]]="D/ST",AVERAGE(Table117821341[[#This Row],[*TD*]]))</f>
        <v>#N/A</v>
      </c>
      <c r="X41" s="94" t="e">
        <f t="shared" si="0"/>
        <v>#N/A</v>
      </c>
    </row>
    <row r="42" spans="2:24" hidden="1" x14ac:dyDescent="0.35">
      <c r="B42" s="6" t="s">
        <v>125</v>
      </c>
      <c r="C42" s="97" t="s">
        <v>16</v>
      </c>
      <c r="D42" s="97" t="s">
        <v>396</v>
      </c>
      <c r="E42" s="23" t="str" cm="1">
        <f t="array" ref="E42">_xlfn.XLOOKUP(Table117821341[[#This Row],[Team]],Table4334[Team],'2425'!$C$3:$C$34)</f>
        <v>n/a</v>
      </c>
      <c r="F42" s="97" t="str">
        <f>_xlfn.XLOOKUP(Table117821341[[#This Row],[Team]],Table4334[Team],Table4334[OPP])</f>
        <v>n/a</v>
      </c>
      <c r="G42" s="148" t="str" cm="1">
        <f t="array" ref="G42">IF(Table117821341[[#This Row],[Pos.]]="QB1",_xlfn.XLOOKUP(Table117821341[[#This Row],[Opp]],Table123[DEF],'2425'!$G$3:$G$34),"#N/A")</f>
        <v>#N/A</v>
      </c>
      <c r="H42" s="148" t="str" cm="1">
        <f t="array" ref="H42">IF(Table117821341[[#This Row],[Pos.]]="QB1",_xlfn.XLOOKUP(Table117821341[[#This Row],[Opp]],Table123[DEF],'2425'!$J$3:$J$34),"#N/A")</f>
        <v>#N/A</v>
      </c>
      <c r="I42" s="148" t="str" cm="1">
        <f t="array" ref="I42">IF(Table117821341[[#This Row],[Pos.]]="QB1",_xlfn.XLOOKUP(Table117821341[[#This Row],[Opp]],Table123[DEF],'2425'!$K$3:$K$34),"#N/A")</f>
        <v>#N/A</v>
      </c>
      <c r="J42" s="148" t="e" cm="1">
        <f t="array" ref="J4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" s="148" t="e" cm="1">
        <f t="array" ref="K4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" s="148" t="e" cm="1">
        <f t="array" ref="L4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" s="148" t="e" cm="1">
        <f t="array" ref="M4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" s="148" t="e" cm="1">
        <f t="array" ref="N4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" s="149" t="str">
        <f>IF(Table117821341[[#This Row],[Pos.]]="QB1",_xlfn.XLOOKUP(Table117821341[[#This Row],[Opp]],Table123[DEF],Table123[P]),"#N/A")</f>
        <v>#N/A</v>
      </c>
      <c r="P42" s="149" t="str">
        <f>IF(Table117821341[[#This Row],[Pos.]]="QB1",_xlfn.XLOOKUP(Table117821341[[#This Row],[Opp]],Table123[DEF],Table123[P+R]),"#N/A")</f>
        <v>#N/A</v>
      </c>
      <c r="Q42" s="150" t="str">
        <f>IF(Table117821341[[#This Row],[Pos.]]="QB1",_xlfn.XLOOKUP(Table117821341[[#This Row],[Opp]],Table123[DEF],Table123[P TD]),"#N/A")</f>
        <v>#N/A</v>
      </c>
      <c r="R42" s="149" t="e" cm="1">
        <f t="array" ref="R4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" s="150" t="e" cm="1">
        <f t="array" ref="S4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" s="150" t="e" cm="1">
        <f t="array" ref="T4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" s="150" t="e" cm="1">
        <f t="array" ref="U4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" s="150" t="e" cm="1">
        <f t="array" ref="V4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" s="148" t="e" cm="1">
        <f t="array" ref="W42">_xlfn.IFS(Table117821341[[#This Row],[Pos.]]="QB1",AVERAGE(G42,H42,I42,J42,N42),Table117821341[[#This Row],[Pos.]]="RB1",AVERAGE(J42,K42,N42),Table117821341[[#This Row],[Pos.]]="RB2",AVERAGE(J42,K42,N42),Table117821341[[#This Row],[Pos.]]="WR1",AVERAGE(L42,M42,N42),Table117821341[[#This Row],[Pos.]]="WR2",AVERAGE(L42,M42,N42),Table117821341[[#This Row],[Pos.]]="WR3",AVERAGE(L42,M42,N42),Table117821341[[#This Row],[Pos.]]="WR4",AVERAGE(L42,M42,N42),Table117821341[[#This Row],[Pos.]]="TE1",AVERAGE(L42,M42,N42),Table117821341[[#This Row],[Pos.]]="TE2",AVERAGE(L42,M42,N42),Table117821341[[#This Row],[Pos.]]="D/ST",AVERAGE(Table117821341[[#This Row],[*TD*]]))</f>
        <v>#N/A</v>
      </c>
      <c r="X42" s="94" t="e">
        <f t="shared" si="0"/>
        <v>#N/A</v>
      </c>
    </row>
    <row r="43" spans="2:24" hidden="1" x14ac:dyDescent="0.35">
      <c r="B43" s="6" t="s">
        <v>469</v>
      </c>
      <c r="C43" s="97" t="s">
        <v>16</v>
      </c>
      <c r="D43" s="97" t="s">
        <v>407</v>
      </c>
      <c r="E43" s="23" t="str" cm="1">
        <f t="array" ref="E43">_xlfn.XLOOKUP(Table117821341[[#This Row],[Team]],Table4334[Team],'2425'!$C$3:$C$34)</f>
        <v>n/a</v>
      </c>
      <c r="F43" s="97" t="str">
        <f>_xlfn.XLOOKUP(Table117821341[[#This Row],[Team]],Table4334[Team],Table4334[OPP])</f>
        <v>n/a</v>
      </c>
      <c r="G43" s="148" t="str" cm="1">
        <f t="array" ref="G43">IF(Table117821341[[#This Row],[Pos.]]="QB1",_xlfn.XLOOKUP(Table117821341[[#This Row],[Opp]],Table123[DEF],'2425'!$G$3:$G$34),"#N/A")</f>
        <v>#N/A</v>
      </c>
      <c r="H43" s="148" t="str" cm="1">
        <f t="array" ref="H43">IF(Table117821341[[#This Row],[Pos.]]="QB1",_xlfn.XLOOKUP(Table117821341[[#This Row],[Opp]],Table123[DEF],'2425'!$J$3:$J$34),"#N/A")</f>
        <v>#N/A</v>
      </c>
      <c r="I43" s="148" t="str" cm="1">
        <f t="array" ref="I43">IF(Table117821341[[#This Row],[Pos.]]="QB1",_xlfn.XLOOKUP(Table117821341[[#This Row],[Opp]],Table123[DEF],'2425'!$K$3:$K$34),"#N/A")</f>
        <v>#N/A</v>
      </c>
      <c r="J43" s="148" t="e" cm="1">
        <f t="array" ref="J4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" s="148" t="e" cm="1">
        <f t="array" ref="K4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" s="148" t="e" cm="1">
        <f t="array" ref="L4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" s="148" t="e" cm="1">
        <f t="array" ref="M4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" s="148" t="e" cm="1">
        <f t="array" ref="N4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" s="149" t="str">
        <f>IF(Table117821341[[#This Row],[Pos.]]="QB1",_xlfn.XLOOKUP(Table117821341[[#This Row],[Opp]],Table123[DEF],Table123[P]),"#N/A")</f>
        <v>#N/A</v>
      </c>
      <c r="P43" s="149" t="str">
        <f>IF(Table117821341[[#This Row],[Pos.]]="QB1",_xlfn.XLOOKUP(Table117821341[[#This Row],[Opp]],Table123[DEF],Table123[P+R]),"#N/A")</f>
        <v>#N/A</v>
      </c>
      <c r="Q43" s="150" t="str">
        <f>IF(Table117821341[[#This Row],[Pos.]]="QB1",_xlfn.XLOOKUP(Table117821341[[#This Row],[Opp]],Table123[DEF],Table123[P TD]),"#N/A")</f>
        <v>#N/A</v>
      </c>
      <c r="R43" s="149" t="e" cm="1">
        <f t="array" ref="R4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" s="150" t="e" cm="1">
        <f t="array" ref="S4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" s="150" t="e" cm="1">
        <f t="array" ref="T4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" s="150" t="e" cm="1">
        <f t="array" ref="U4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" s="150" t="e" cm="1">
        <f t="array" ref="V4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" s="148" t="e" cm="1">
        <f t="array" ref="W43">_xlfn.IFS(Table117821341[[#This Row],[Pos.]]="QB1",AVERAGE(G43,H43,I43,J43,N43),Table117821341[[#This Row],[Pos.]]="RB1",AVERAGE(J43,K43,N43),Table117821341[[#This Row],[Pos.]]="RB2",AVERAGE(J43,K43,N43),Table117821341[[#This Row],[Pos.]]="WR1",AVERAGE(L43,M43,N43),Table117821341[[#This Row],[Pos.]]="WR2",AVERAGE(L43,M43,N43),Table117821341[[#This Row],[Pos.]]="WR3",AVERAGE(L43,M43,N43),Table117821341[[#This Row],[Pos.]]="WR4",AVERAGE(L43,M43,N43),Table117821341[[#This Row],[Pos.]]="TE1",AVERAGE(L43,M43,N43),Table117821341[[#This Row],[Pos.]]="TE2",AVERAGE(L43,M43,N43),Table117821341[[#This Row],[Pos.]]="D/ST",AVERAGE(Table117821341[[#This Row],[*TD*]]))</f>
        <v>#N/A</v>
      </c>
      <c r="X43" s="94" t="e">
        <f t="shared" si="0"/>
        <v>#N/A</v>
      </c>
    </row>
    <row r="44" spans="2:24" hidden="1" x14ac:dyDescent="0.35">
      <c r="B44" s="6" t="s">
        <v>537</v>
      </c>
      <c r="C44" s="97" t="s">
        <v>16</v>
      </c>
      <c r="D44" s="97" t="s">
        <v>536</v>
      </c>
      <c r="E44" s="23" t="str" cm="1">
        <f t="array" ref="E44">_xlfn.XLOOKUP(Table117821341[[#This Row],[Team]],Table4334[Team],'2425'!$C$3:$C$34)</f>
        <v>n/a</v>
      </c>
      <c r="F44" s="97" t="str">
        <f>_xlfn.XLOOKUP(Table117821341[[#This Row],[Team]],Table4334[Team],Table4334[OPP])</f>
        <v>n/a</v>
      </c>
      <c r="G44" s="148" t="str" cm="1">
        <f t="array" ref="G44">IF(Table117821341[[#This Row],[Pos.]]="QB1",_xlfn.XLOOKUP(Table117821341[[#This Row],[Opp]],Table123[DEF],'2425'!$G$3:$G$34),"#N/A")</f>
        <v>#N/A</v>
      </c>
      <c r="H44" s="148" t="str" cm="1">
        <f t="array" ref="H44">IF(Table117821341[[#This Row],[Pos.]]="QB1",_xlfn.XLOOKUP(Table117821341[[#This Row],[Opp]],Table123[DEF],'2425'!$J$3:$J$34),"#N/A")</f>
        <v>#N/A</v>
      </c>
      <c r="I44" s="148" t="str" cm="1">
        <f t="array" ref="I44">IF(Table117821341[[#This Row],[Pos.]]="QB1",_xlfn.XLOOKUP(Table117821341[[#This Row],[Opp]],Table123[DEF],'2425'!$K$3:$K$34),"#N/A")</f>
        <v>#N/A</v>
      </c>
      <c r="J44" s="148" t="e" cm="1">
        <f t="array" ref="J4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" s="148" t="e" cm="1">
        <f t="array" ref="K4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" s="148" t="e" cm="1">
        <f t="array" ref="L4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" s="148" t="e" cm="1">
        <f t="array" ref="M4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" s="148" t="e" cm="1">
        <f t="array" ref="N4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" s="149" t="str">
        <f>IF(Table117821341[[#This Row],[Pos.]]="QB1",_xlfn.XLOOKUP(Table117821341[[#This Row],[Opp]],Table123[DEF],Table123[P]),"#N/A")</f>
        <v>#N/A</v>
      </c>
      <c r="P44" s="149" t="str">
        <f>IF(Table117821341[[#This Row],[Pos.]]="QB1",_xlfn.XLOOKUP(Table117821341[[#This Row],[Opp]],Table123[DEF],Table123[P+R]),"#N/A")</f>
        <v>#N/A</v>
      </c>
      <c r="Q44" s="150" t="str">
        <f>IF(Table117821341[[#This Row],[Pos.]]="QB1",_xlfn.XLOOKUP(Table117821341[[#This Row],[Opp]],Table123[DEF],Table123[P TD]),"#N/A")</f>
        <v>#N/A</v>
      </c>
      <c r="R44" s="149" t="e" cm="1">
        <f t="array" ref="R4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" s="150" t="e" cm="1">
        <f t="array" ref="S4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" s="150" t="e" cm="1">
        <f t="array" ref="T4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" s="150" t="e" cm="1">
        <f t="array" ref="U4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" s="150" t="e" cm="1">
        <f t="array" ref="V4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" s="148" t="e" cm="1">
        <f t="array" ref="W44">_xlfn.IFS(Table117821341[[#This Row],[Pos.]]="QB1",AVERAGE(G44,H44,I44,J44,N44),Table117821341[[#This Row],[Pos.]]="RB1",AVERAGE(J44,K44,N44),Table117821341[[#This Row],[Pos.]]="RB2",AVERAGE(J44,K44,N44),Table117821341[[#This Row],[Pos.]]="WR1",AVERAGE(L44,M44,N44),Table117821341[[#This Row],[Pos.]]="WR2",AVERAGE(L44,M44,N44),Table117821341[[#This Row],[Pos.]]="WR3",AVERAGE(L44,M44,N44),Table117821341[[#This Row],[Pos.]]="WR4",AVERAGE(L44,M44,N44),Table117821341[[#This Row],[Pos.]]="TE1",AVERAGE(L44,M44,N44),Table117821341[[#This Row],[Pos.]]="TE2",AVERAGE(L44,M44,N44),Table117821341[[#This Row],[Pos.]]="D/ST",AVERAGE(Table117821341[[#This Row],[*TD*]]))</f>
        <v>#N/A</v>
      </c>
      <c r="X44" s="94" t="e">
        <f t="shared" si="0"/>
        <v>#N/A</v>
      </c>
    </row>
    <row r="45" spans="2:24" hidden="1" x14ac:dyDescent="0.35">
      <c r="B45" s="6" t="s">
        <v>276</v>
      </c>
      <c r="C45" s="97" t="s">
        <v>43</v>
      </c>
      <c r="D45" s="97" t="s">
        <v>395</v>
      </c>
      <c r="E45" s="23" t="str" cm="1">
        <f t="array" ref="E45">_xlfn.XLOOKUP(Table117821341[[#This Row],[Team]],Table4334[Team],'2425'!$C$3:$C$34)</f>
        <v>n/a</v>
      </c>
      <c r="F45" s="97" t="str">
        <f>_xlfn.XLOOKUP(Table117821341[[#This Row],[Team]],Table4334[Team],Table4334[OPP])</f>
        <v>n/a</v>
      </c>
      <c r="G45" s="148" t="str" cm="1">
        <f t="array" ref="G45">IF(Table117821341[[#This Row],[Pos.]]="QB1",_xlfn.XLOOKUP(Table117821341[[#This Row],[Opp]],Table123[DEF],'2425'!$G$3:$G$34),"#N/A")</f>
        <v>#N/A</v>
      </c>
      <c r="H45" s="148" t="str" cm="1">
        <f t="array" ref="H45">IF(Table117821341[[#This Row],[Pos.]]="QB1",_xlfn.XLOOKUP(Table117821341[[#This Row],[Opp]],Table123[DEF],'2425'!$J$3:$J$34),"#N/A")</f>
        <v>#N/A</v>
      </c>
      <c r="I45" s="148" t="str" cm="1">
        <f t="array" ref="I45">IF(Table117821341[[#This Row],[Pos.]]="QB1",_xlfn.XLOOKUP(Table117821341[[#This Row],[Opp]],Table123[DEF],'2425'!$K$3:$K$34),"#N/A")</f>
        <v>#N/A</v>
      </c>
      <c r="J45" s="148" t="e" cm="1">
        <f t="array" ref="J4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" s="148" t="e" cm="1">
        <f t="array" ref="K4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" s="148" t="e" cm="1">
        <f t="array" ref="L4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" s="148" t="e" cm="1">
        <f t="array" ref="M4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" s="148" t="e" cm="1">
        <f t="array" ref="N4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" s="149" t="str">
        <f>IF(Table117821341[[#This Row],[Pos.]]="QB1",_xlfn.XLOOKUP(Table117821341[[#This Row],[Opp]],Table123[DEF],Table123[P]),"#N/A")</f>
        <v>#N/A</v>
      </c>
      <c r="P45" s="149" t="str">
        <f>IF(Table117821341[[#This Row],[Pos.]]="QB1",_xlfn.XLOOKUP(Table117821341[[#This Row],[Opp]],Table123[DEF],Table123[P+R]),"#N/A")</f>
        <v>#N/A</v>
      </c>
      <c r="Q45" s="150" t="str">
        <f>IF(Table117821341[[#This Row],[Pos.]]="QB1",_xlfn.XLOOKUP(Table117821341[[#This Row],[Opp]],Table123[DEF],Table123[P TD]),"#N/A")</f>
        <v>#N/A</v>
      </c>
      <c r="R45" s="149" t="e" cm="1">
        <f t="array" ref="R4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" s="150" t="e" cm="1">
        <f t="array" ref="S4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" s="150" t="e" cm="1">
        <f t="array" ref="T4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" s="150" t="e" cm="1">
        <f t="array" ref="U4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" s="162" t="e" cm="1">
        <f t="array" ref="V4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" s="148" t="e" cm="1">
        <f t="array" ref="W45">_xlfn.IFS(Table117821341[[#This Row],[Pos.]]="QB1",AVERAGE(G45,H45,I45,J45,N45),Table117821341[[#This Row],[Pos.]]="RB1",AVERAGE(J45,K45,N45),Table117821341[[#This Row],[Pos.]]="RB2",AVERAGE(J45,K45,N45),Table117821341[[#This Row],[Pos.]]="WR1",AVERAGE(L45,M45,N45),Table117821341[[#This Row],[Pos.]]="WR2",AVERAGE(L45,M45,N45),Table117821341[[#This Row],[Pos.]]="WR3",AVERAGE(L45,M45,N45),Table117821341[[#This Row],[Pos.]]="WR4",AVERAGE(L45,M45,N45),Table117821341[[#This Row],[Pos.]]="TE1",AVERAGE(L45,M45,N45),Table117821341[[#This Row],[Pos.]]="TE2",AVERAGE(L45,M45,N45),Table117821341[[#This Row],[Pos.]]="D/ST",AVERAGE(Table117821341[[#This Row],[*TD*]]))</f>
        <v>#N/A</v>
      </c>
      <c r="X45" s="94" t="e">
        <f t="shared" si="0"/>
        <v>#N/A</v>
      </c>
    </row>
    <row r="46" spans="2:24" hidden="1" x14ac:dyDescent="0.35">
      <c r="B46" s="6" t="s">
        <v>134</v>
      </c>
      <c r="C46" s="97" t="s">
        <v>16</v>
      </c>
      <c r="D46" s="97" t="s">
        <v>398</v>
      </c>
      <c r="E46" s="23" t="str" cm="1">
        <f t="array" ref="E46">_xlfn.XLOOKUP(Table117821341[[#This Row],[Team]],Table4334[Team],'2425'!$C$3:$C$34)</f>
        <v>n/a</v>
      </c>
      <c r="F46" s="97" t="str">
        <f>_xlfn.XLOOKUP(Table117821341[[#This Row],[Team]],Table4334[Team],Table4334[OPP])</f>
        <v>n/a</v>
      </c>
      <c r="G46" s="148" t="str" cm="1">
        <f t="array" ref="G46">IF(Table117821341[[#This Row],[Pos.]]="QB1",_xlfn.XLOOKUP(Table117821341[[#This Row],[Opp]],Table123[DEF],'2425'!$G$3:$G$34),"#N/A")</f>
        <v>#N/A</v>
      </c>
      <c r="H46" s="148" t="str" cm="1">
        <f t="array" ref="H46">IF(Table117821341[[#This Row],[Pos.]]="QB1",_xlfn.XLOOKUP(Table117821341[[#This Row],[Opp]],Table123[DEF],'2425'!$J$3:$J$34),"#N/A")</f>
        <v>#N/A</v>
      </c>
      <c r="I46" s="148" t="str" cm="1">
        <f t="array" ref="I46">IF(Table117821341[[#This Row],[Pos.]]="QB1",_xlfn.XLOOKUP(Table117821341[[#This Row],[Opp]],Table123[DEF],'2425'!$K$3:$K$34),"#N/A")</f>
        <v>#N/A</v>
      </c>
      <c r="J46" s="148" t="e" cm="1">
        <f t="array" ref="J4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" s="148" t="e" cm="1">
        <f t="array" ref="K4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" s="148" t="e" cm="1">
        <f t="array" ref="L4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" s="148" t="e" cm="1">
        <f t="array" ref="M4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" s="148" t="e" cm="1">
        <f t="array" ref="N4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" s="149" t="str">
        <f>IF(Table117821341[[#This Row],[Pos.]]="QB1",_xlfn.XLOOKUP(Table117821341[[#This Row],[Opp]],Table123[DEF],Table123[P]),"#N/A")</f>
        <v>#N/A</v>
      </c>
      <c r="P46" s="149" t="str">
        <f>IF(Table117821341[[#This Row],[Pos.]]="QB1",_xlfn.XLOOKUP(Table117821341[[#This Row],[Opp]],Table123[DEF],Table123[P+R]),"#N/A")</f>
        <v>#N/A</v>
      </c>
      <c r="Q46" s="150" t="str">
        <f>IF(Table117821341[[#This Row],[Pos.]]="QB1",_xlfn.XLOOKUP(Table117821341[[#This Row],[Opp]],Table123[DEF],Table123[P TD]),"#N/A")</f>
        <v>#N/A</v>
      </c>
      <c r="R46" s="149" t="e" cm="1">
        <f t="array" ref="R4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" s="150" t="e" cm="1">
        <f t="array" ref="S4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" s="150" t="e" cm="1">
        <f t="array" ref="T4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" s="150" t="e" cm="1">
        <f t="array" ref="U4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" s="150" t="e" cm="1">
        <f t="array" ref="V4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" s="148" t="e" cm="1">
        <f t="array" ref="W46">_xlfn.IFS(Table117821341[[#This Row],[Pos.]]="QB1",AVERAGE(G46,H46,I46,J46,N46),Table117821341[[#This Row],[Pos.]]="RB1",AVERAGE(J46,K46,N46),Table117821341[[#This Row],[Pos.]]="RB2",AVERAGE(J46,K46,N46),Table117821341[[#This Row],[Pos.]]="WR1",AVERAGE(L46,M46,N46),Table117821341[[#This Row],[Pos.]]="WR2",AVERAGE(L46,M46,N46),Table117821341[[#This Row],[Pos.]]="WR3",AVERAGE(L46,M46,N46),Table117821341[[#This Row],[Pos.]]="WR4",AVERAGE(L46,M46,N46),Table117821341[[#This Row],[Pos.]]="TE1",AVERAGE(L46,M46,N46),Table117821341[[#This Row],[Pos.]]="TE2",AVERAGE(L46,M46,N46),Table117821341[[#This Row],[Pos.]]="D/ST",AVERAGE(Table117821341[[#This Row],[*TD*]]))</f>
        <v>#N/A</v>
      </c>
      <c r="X46" s="94" t="e">
        <f t="shared" si="0"/>
        <v>#N/A</v>
      </c>
    </row>
    <row r="47" spans="2:24" hidden="1" x14ac:dyDescent="0.35">
      <c r="B47" s="6" t="s">
        <v>474</v>
      </c>
      <c r="C47" s="97" t="s">
        <v>16</v>
      </c>
      <c r="D47" s="97" t="s">
        <v>430</v>
      </c>
      <c r="E47" s="23" t="str" cm="1">
        <f t="array" ref="E47">_xlfn.XLOOKUP(Table117821341[[#This Row],[Team]],Table4334[Team],'2425'!$C$3:$C$34)</f>
        <v>n/a</v>
      </c>
      <c r="F47" s="97" t="str">
        <f>_xlfn.XLOOKUP(Table117821341[[#This Row],[Team]],Table4334[Team],Table4334[OPP])</f>
        <v>n/a</v>
      </c>
      <c r="G47" s="148" t="str" cm="1">
        <f t="array" ref="G47">IF(Table117821341[[#This Row],[Pos.]]="QB1",_xlfn.XLOOKUP(Table117821341[[#This Row],[Opp]],Table123[DEF],'2425'!$G$3:$G$34),"#N/A")</f>
        <v>#N/A</v>
      </c>
      <c r="H47" s="148" t="str" cm="1">
        <f t="array" ref="H47">IF(Table117821341[[#This Row],[Pos.]]="QB1",_xlfn.XLOOKUP(Table117821341[[#This Row],[Opp]],Table123[DEF],'2425'!$J$3:$J$34),"#N/A")</f>
        <v>#N/A</v>
      </c>
      <c r="I47" s="148" t="str" cm="1">
        <f t="array" ref="I47">IF(Table117821341[[#This Row],[Pos.]]="QB1",_xlfn.XLOOKUP(Table117821341[[#This Row],[Opp]],Table123[DEF],'2425'!$K$3:$K$34),"#N/A")</f>
        <v>#N/A</v>
      </c>
      <c r="J47" s="148" t="e" cm="1">
        <f t="array" ref="J4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" s="148" t="e" cm="1">
        <f t="array" ref="K4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" s="148" t="e" cm="1">
        <f t="array" ref="L4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" s="148" t="e" cm="1">
        <f t="array" ref="M4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" s="148" t="e" cm="1">
        <f t="array" ref="N4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" s="149" t="str">
        <f>IF(Table117821341[[#This Row],[Pos.]]="QB1",_xlfn.XLOOKUP(Table117821341[[#This Row],[Opp]],Table123[DEF],Table123[P]),"#N/A")</f>
        <v>#N/A</v>
      </c>
      <c r="P47" s="149" t="str">
        <f>IF(Table117821341[[#This Row],[Pos.]]="QB1",_xlfn.XLOOKUP(Table117821341[[#This Row],[Opp]],Table123[DEF],Table123[P+R]),"#N/A")</f>
        <v>#N/A</v>
      </c>
      <c r="Q47" s="150" t="str">
        <f>IF(Table117821341[[#This Row],[Pos.]]="QB1",_xlfn.XLOOKUP(Table117821341[[#This Row],[Opp]],Table123[DEF],Table123[P TD]),"#N/A")</f>
        <v>#N/A</v>
      </c>
      <c r="R47" s="149" t="e" cm="1">
        <f t="array" ref="R4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" s="150" t="e" cm="1">
        <f t="array" ref="S4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" s="150" t="e" cm="1">
        <f t="array" ref="T4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" s="150" t="e" cm="1">
        <f t="array" ref="U4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" s="150" t="e" cm="1">
        <f t="array" ref="V4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" s="148" t="e" cm="1">
        <f t="array" ref="W47">_xlfn.IFS(Table117821341[[#This Row],[Pos.]]="QB1",AVERAGE(G47,H47,I47,J47,N47),Table117821341[[#This Row],[Pos.]]="RB1",AVERAGE(J47,K47,N47),Table117821341[[#This Row],[Pos.]]="RB2",AVERAGE(J47,K47,N47),Table117821341[[#This Row],[Pos.]]="WR1",AVERAGE(L47,M47,N47),Table117821341[[#This Row],[Pos.]]="WR2",AVERAGE(L47,M47,N47),Table117821341[[#This Row],[Pos.]]="WR3",AVERAGE(L47,M47,N47),Table117821341[[#This Row],[Pos.]]="WR4",AVERAGE(L47,M47,N47),Table117821341[[#This Row],[Pos.]]="TE1",AVERAGE(L47,M47,N47),Table117821341[[#This Row],[Pos.]]="TE2",AVERAGE(L47,M47,N47),Table117821341[[#This Row],[Pos.]]="D/ST",AVERAGE(Table117821341[[#This Row],[*TD*]]))</f>
        <v>#N/A</v>
      </c>
      <c r="X47" s="94" t="e">
        <f t="shared" si="0"/>
        <v>#N/A</v>
      </c>
    </row>
    <row r="48" spans="2:24" hidden="1" x14ac:dyDescent="0.35">
      <c r="B48" s="6" t="s">
        <v>203</v>
      </c>
      <c r="C48" s="97" t="s">
        <v>35</v>
      </c>
      <c r="D48" s="97" t="s">
        <v>66</v>
      </c>
      <c r="E48" s="23" t="str" cm="1">
        <f t="array" ref="E48">_xlfn.XLOOKUP(Table117821341[[#This Row],[Team]],Table4334[Team],'2425'!$C$3:$C$34)</f>
        <v>n/a</v>
      </c>
      <c r="F48" s="97" t="str">
        <f>_xlfn.XLOOKUP(Table117821341[[#This Row],[Team]],Table4334[Team],Table4334[OPP])</f>
        <v>n/a</v>
      </c>
      <c r="G48" s="148" t="str" cm="1">
        <f t="array" ref="G48">IF(Table117821341[[#This Row],[Pos.]]="QB1",_xlfn.XLOOKUP(Table117821341[[#This Row],[Opp]],Table123[DEF],'2425'!$G$3:$G$34),"#N/A")</f>
        <v>#N/A</v>
      </c>
      <c r="H48" s="148" t="str" cm="1">
        <f t="array" ref="H48">IF(Table117821341[[#This Row],[Pos.]]="QB1",_xlfn.XLOOKUP(Table117821341[[#This Row],[Opp]],Table123[DEF],'2425'!$J$3:$J$34),"#N/A")</f>
        <v>#N/A</v>
      </c>
      <c r="I48" s="148" t="str" cm="1">
        <f t="array" ref="I48">IF(Table117821341[[#This Row],[Pos.]]="QB1",_xlfn.XLOOKUP(Table117821341[[#This Row],[Opp]],Table123[DEF],'2425'!$K$3:$K$34),"#N/A")</f>
        <v>#N/A</v>
      </c>
      <c r="J48" s="148" t="e" cm="1">
        <f t="array" ref="J4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" s="148" t="e" cm="1">
        <f t="array" ref="K4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" s="148" t="e" cm="1">
        <f t="array" ref="L4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" s="148" t="e" cm="1">
        <f t="array" ref="M4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" s="148" t="e" cm="1">
        <f t="array" ref="N4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" s="149" t="str">
        <f>IF(Table117821341[[#This Row],[Pos.]]="QB1",_xlfn.XLOOKUP(Table117821341[[#This Row],[Opp]],Table123[DEF],Table123[P]),"#N/A")</f>
        <v>#N/A</v>
      </c>
      <c r="P48" s="149" t="str">
        <f>IF(Table117821341[[#This Row],[Pos.]]="QB1",_xlfn.XLOOKUP(Table117821341[[#This Row],[Opp]],Table123[DEF],Table123[P+R]),"#N/A")</f>
        <v>#N/A</v>
      </c>
      <c r="Q48" s="150" t="str">
        <f>IF(Table117821341[[#This Row],[Pos.]]="QB1",_xlfn.XLOOKUP(Table117821341[[#This Row],[Opp]],Table123[DEF],Table123[P TD]),"#N/A")</f>
        <v>#N/A</v>
      </c>
      <c r="R48" s="149" t="e" cm="1">
        <f t="array" ref="R4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" s="150" t="e" cm="1">
        <f t="array" ref="S4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" s="150" t="e" cm="1">
        <f t="array" ref="T4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" s="150" t="e" cm="1">
        <f t="array" ref="U4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" s="162" t="e" cm="1">
        <f t="array" ref="V4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" s="148" t="e" cm="1">
        <f t="array" ref="W48">_xlfn.IFS(Table117821341[[#This Row],[Pos.]]="QB1",AVERAGE(G48,H48,I48,J48,N48),Table117821341[[#This Row],[Pos.]]="RB1",AVERAGE(J48,K48,N48),Table117821341[[#This Row],[Pos.]]="RB2",AVERAGE(J48,K48,N48),Table117821341[[#This Row],[Pos.]]="WR1",AVERAGE(L48,M48,N48),Table117821341[[#This Row],[Pos.]]="WR2",AVERAGE(L48,M48,N48),Table117821341[[#This Row],[Pos.]]="WR3",AVERAGE(L48,M48,N48),Table117821341[[#This Row],[Pos.]]="WR4",AVERAGE(L48,M48,N48),Table117821341[[#This Row],[Pos.]]="TE1",AVERAGE(L48,M48,N48),Table117821341[[#This Row],[Pos.]]="TE2",AVERAGE(L48,M48,N48),Table117821341[[#This Row],[Pos.]]="D/ST",AVERAGE(Table117821341[[#This Row],[*TD*]]))</f>
        <v>#N/A</v>
      </c>
      <c r="X48" s="94" t="e">
        <f t="shared" si="0"/>
        <v>#N/A</v>
      </c>
    </row>
    <row r="49" spans="2:24" hidden="1" x14ac:dyDescent="0.35">
      <c r="B49" s="6" t="s">
        <v>554</v>
      </c>
      <c r="C49" s="97" t="s">
        <v>0</v>
      </c>
      <c r="D49" s="97" t="s">
        <v>395</v>
      </c>
      <c r="E49" s="23" t="str" cm="1">
        <f t="array" ref="E49">_xlfn.XLOOKUP(Table117821341[[#This Row],[Team]],Table4334[Team],'2425'!$C$3:$C$34)</f>
        <v>n/a</v>
      </c>
      <c r="F49" s="97" t="str">
        <f>_xlfn.XLOOKUP(Table117821341[[#This Row],[Team]],Table4334[Team],Table4334[OPP])</f>
        <v>n/a</v>
      </c>
      <c r="G49" s="148" t="str" cm="1">
        <f t="array" ref="G49">IF(Table117821341[[#This Row],[Pos.]]="QB1",_xlfn.XLOOKUP(Table117821341[[#This Row],[Opp]],Table123[DEF],'2425'!$G$3:$G$34),"#N/A")</f>
        <v>#N/A</v>
      </c>
      <c r="H49" s="148" t="str" cm="1">
        <f t="array" ref="H49">IF(Table117821341[[#This Row],[Pos.]]="QB1",_xlfn.XLOOKUP(Table117821341[[#This Row],[Opp]],Table123[DEF],'2425'!$J$3:$J$34),"#N/A")</f>
        <v>#N/A</v>
      </c>
      <c r="I49" s="148" t="str" cm="1">
        <f t="array" ref="I49">IF(Table117821341[[#This Row],[Pos.]]="QB1",_xlfn.XLOOKUP(Table117821341[[#This Row],[Opp]],Table123[DEF],'2425'!$K$3:$K$34),"#N/A")</f>
        <v>#N/A</v>
      </c>
      <c r="J49" s="148" t="e" cm="1">
        <f t="array" ref="J4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" s="148" t="e" cm="1">
        <f t="array" ref="K4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" s="148" t="e" cm="1">
        <f t="array" ref="L4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" s="148" t="e" cm="1">
        <f t="array" ref="M4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" s="148" t="e" cm="1">
        <f t="array" ref="N4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" s="149" t="str">
        <f>IF(Table117821341[[#This Row],[Pos.]]="QB1",_xlfn.XLOOKUP(Table117821341[[#This Row],[Opp]],Table123[DEF],Table123[P]),"#N/A")</f>
        <v>#N/A</v>
      </c>
      <c r="P49" s="149" t="str">
        <f>IF(Table117821341[[#This Row],[Pos.]]="QB1",_xlfn.XLOOKUP(Table117821341[[#This Row],[Opp]],Table123[DEF],Table123[P+R]),"#N/A")</f>
        <v>#N/A</v>
      </c>
      <c r="Q49" s="150" t="str">
        <f>IF(Table117821341[[#This Row],[Pos.]]="QB1",_xlfn.XLOOKUP(Table117821341[[#This Row],[Opp]],Table123[DEF],Table123[P TD]),"#N/A")</f>
        <v>#N/A</v>
      </c>
      <c r="R49" s="149" t="e" cm="1">
        <f t="array" ref="R4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" s="150" t="e" cm="1">
        <f t="array" ref="S4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" s="150" t="e" cm="1">
        <f t="array" ref="T4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" s="150" t="e" cm="1">
        <f t="array" ref="U4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" s="162" t="e" cm="1">
        <f t="array" ref="V4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" s="148" t="e" cm="1">
        <f t="array" ref="W49">_xlfn.IFS(Table117821341[[#This Row],[Pos.]]="QB1",AVERAGE(G49,H49,I49,J49,N49),Table117821341[[#This Row],[Pos.]]="RB1",AVERAGE(J49,K49,N49),Table117821341[[#This Row],[Pos.]]="RB2",AVERAGE(J49,K49,N49),Table117821341[[#This Row],[Pos.]]="WR1",AVERAGE(L49,M49,N49),Table117821341[[#This Row],[Pos.]]="WR2",AVERAGE(L49,M49,N49),Table117821341[[#This Row],[Pos.]]="WR3",AVERAGE(L49,M49,N49),Table117821341[[#This Row],[Pos.]]="WR4",AVERAGE(L49,M49,N49),Table117821341[[#This Row],[Pos.]]="TE1",AVERAGE(L49,M49,N49),Table117821341[[#This Row],[Pos.]]="TE2",AVERAGE(L49,M49,N49),Table117821341[[#This Row],[Pos.]]="D/ST",AVERAGE(Table117821341[[#This Row],[*TD*]]))</f>
        <v>#N/A</v>
      </c>
      <c r="X49" s="94" t="e">
        <f t="shared" si="0"/>
        <v>#N/A</v>
      </c>
    </row>
    <row r="50" spans="2:24" hidden="1" x14ac:dyDescent="0.35">
      <c r="B50" s="6" t="s">
        <v>115</v>
      </c>
      <c r="C50" s="97" t="s">
        <v>16</v>
      </c>
      <c r="D50" s="97" t="s">
        <v>395</v>
      </c>
      <c r="E50" s="23" t="str" cm="1">
        <f t="array" ref="E50">_xlfn.XLOOKUP(Table117821341[[#This Row],[Team]],Table4334[Team],'2425'!$C$3:$C$34)</f>
        <v>n/a</v>
      </c>
      <c r="F50" s="97" t="str">
        <f>_xlfn.XLOOKUP(Table117821341[[#This Row],[Team]],Table4334[Team],Table4334[OPP])</f>
        <v>n/a</v>
      </c>
      <c r="G50" s="148" t="str" cm="1">
        <f t="array" ref="G50">IF(Table117821341[[#This Row],[Pos.]]="QB1",_xlfn.XLOOKUP(Table117821341[[#This Row],[Opp]],Table123[DEF],'2425'!$G$3:$G$34),"#N/A")</f>
        <v>#N/A</v>
      </c>
      <c r="H50" s="148" t="str" cm="1">
        <f t="array" ref="H50">IF(Table117821341[[#This Row],[Pos.]]="QB1",_xlfn.XLOOKUP(Table117821341[[#This Row],[Opp]],Table123[DEF],'2425'!$J$3:$J$34),"#N/A")</f>
        <v>#N/A</v>
      </c>
      <c r="I50" s="148" t="str" cm="1">
        <f t="array" ref="I50">IF(Table117821341[[#This Row],[Pos.]]="QB1",_xlfn.XLOOKUP(Table117821341[[#This Row],[Opp]],Table123[DEF],'2425'!$K$3:$K$34),"#N/A")</f>
        <v>#N/A</v>
      </c>
      <c r="J50" s="148" t="e" cm="1">
        <f t="array" ref="J5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" s="148" t="e" cm="1">
        <f t="array" ref="K5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" s="148" t="e" cm="1">
        <f t="array" ref="L5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" s="148" t="e" cm="1">
        <f t="array" ref="M5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" s="148" t="e" cm="1">
        <f t="array" ref="N5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" s="149" t="str">
        <f>IF(Table117821341[[#This Row],[Pos.]]="QB1",_xlfn.XLOOKUP(Table117821341[[#This Row],[Opp]],Table123[DEF],Table123[P]),"#N/A")</f>
        <v>#N/A</v>
      </c>
      <c r="P50" s="149" t="str">
        <f>IF(Table117821341[[#This Row],[Pos.]]="QB1",_xlfn.XLOOKUP(Table117821341[[#This Row],[Opp]],Table123[DEF],Table123[P+R]),"#N/A")</f>
        <v>#N/A</v>
      </c>
      <c r="Q50" s="150" t="str">
        <f>IF(Table117821341[[#This Row],[Pos.]]="QB1",_xlfn.XLOOKUP(Table117821341[[#This Row],[Opp]],Table123[DEF],Table123[P TD]),"#N/A")</f>
        <v>#N/A</v>
      </c>
      <c r="R50" s="149" t="e" cm="1">
        <f t="array" ref="R5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" s="150" t="e" cm="1">
        <f t="array" ref="S5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" s="150" t="e" cm="1">
        <f t="array" ref="T5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" s="150" t="e" cm="1">
        <f t="array" ref="U5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" s="162" t="e" cm="1">
        <f t="array" ref="V5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" s="148" t="e" cm="1">
        <f t="array" ref="W50">_xlfn.IFS(Table117821341[[#This Row],[Pos.]]="QB1",AVERAGE(G50,H50,I50,J50,N50),Table117821341[[#This Row],[Pos.]]="RB1",AVERAGE(J50,K50,N50),Table117821341[[#This Row],[Pos.]]="RB2",AVERAGE(J50,K50,N50),Table117821341[[#This Row],[Pos.]]="WR1",AVERAGE(L50,M50,N50),Table117821341[[#This Row],[Pos.]]="WR2",AVERAGE(L50,M50,N50),Table117821341[[#This Row],[Pos.]]="WR3",AVERAGE(L50,M50,N50),Table117821341[[#This Row],[Pos.]]="WR4",AVERAGE(L50,M50,N50),Table117821341[[#This Row],[Pos.]]="TE1",AVERAGE(L50,M50,N50),Table117821341[[#This Row],[Pos.]]="TE2",AVERAGE(L50,M50,N50),Table117821341[[#This Row],[Pos.]]="D/ST",AVERAGE(Table117821341[[#This Row],[*TD*]]))</f>
        <v>#N/A</v>
      </c>
      <c r="X50" s="94" t="e">
        <f t="shared" si="0"/>
        <v>#N/A</v>
      </c>
    </row>
    <row r="51" spans="2:24" hidden="1" x14ac:dyDescent="0.35">
      <c r="B51" s="6" t="s">
        <v>137</v>
      </c>
      <c r="C51" s="97" t="s">
        <v>0</v>
      </c>
      <c r="D51" s="97" t="s">
        <v>66</v>
      </c>
      <c r="E51" s="23" t="str" cm="1">
        <f t="array" ref="E51">_xlfn.XLOOKUP(Table117821341[[#This Row],[Team]],Table4334[Team],'2425'!$C$3:$C$34)</f>
        <v>n/a</v>
      </c>
      <c r="F51" s="97" t="str">
        <f>_xlfn.XLOOKUP(Table117821341[[#This Row],[Team]],Table4334[Team],Table4334[OPP])</f>
        <v>n/a</v>
      </c>
      <c r="G51" s="148" t="str" cm="1">
        <f t="array" ref="G51">IF(Table117821341[[#This Row],[Pos.]]="QB1",_xlfn.XLOOKUP(Table117821341[[#This Row],[Opp]],Table123[DEF],'2425'!$G$3:$G$34),"#N/A")</f>
        <v>#N/A</v>
      </c>
      <c r="H51" s="148" t="str" cm="1">
        <f t="array" ref="H51">IF(Table117821341[[#This Row],[Pos.]]="QB1",_xlfn.XLOOKUP(Table117821341[[#This Row],[Opp]],Table123[DEF],'2425'!$J$3:$J$34),"#N/A")</f>
        <v>#N/A</v>
      </c>
      <c r="I51" s="148" t="str" cm="1">
        <f t="array" ref="I51">IF(Table117821341[[#This Row],[Pos.]]="QB1",_xlfn.XLOOKUP(Table117821341[[#This Row],[Opp]],Table123[DEF],'2425'!$K$3:$K$34),"#N/A")</f>
        <v>#N/A</v>
      </c>
      <c r="J51" s="148" t="e" cm="1">
        <f t="array" ref="J5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" s="148" t="e" cm="1">
        <f t="array" ref="K5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" s="148" t="e" cm="1">
        <f t="array" ref="L5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" s="148" t="e" cm="1">
        <f t="array" ref="M5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" s="148" t="e" cm="1">
        <f t="array" ref="N5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" s="149" t="str">
        <f>IF(Table117821341[[#This Row],[Pos.]]="QB1",_xlfn.XLOOKUP(Table117821341[[#This Row],[Opp]],Table123[DEF],Table123[P]),"#N/A")</f>
        <v>#N/A</v>
      </c>
      <c r="P51" s="149" t="str">
        <f>IF(Table117821341[[#This Row],[Pos.]]="QB1",_xlfn.XLOOKUP(Table117821341[[#This Row],[Opp]],Table123[DEF],Table123[P+R]),"#N/A")</f>
        <v>#N/A</v>
      </c>
      <c r="Q51" s="150" t="str">
        <f>IF(Table117821341[[#This Row],[Pos.]]="QB1",_xlfn.XLOOKUP(Table117821341[[#This Row],[Opp]],Table123[DEF],Table123[P TD]),"#N/A")</f>
        <v>#N/A</v>
      </c>
      <c r="R51" s="149" t="e" cm="1">
        <f t="array" ref="R5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" s="150" t="e" cm="1">
        <f t="array" ref="S5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" s="150" t="e" cm="1">
        <f t="array" ref="T5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" s="150" t="e" cm="1">
        <f t="array" ref="U5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" s="162" t="e" cm="1">
        <f t="array" ref="V5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" s="148" t="e" cm="1">
        <f t="array" ref="W51">_xlfn.IFS(Table117821341[[#This Row],[Pos.]]="QB1",AVERAGE(G51,H51,I51,J51,N51),Table117821341[[#This Row],[Pos.]]="RB1",AVERAGE(J51,K51,N51),Table117821341[[#This Row],[Pos.]]="RB2",AVERAGE(J51,K51,N51),Table117821341[[#This Row],[Pos.]]="WR1",AVERAGE(L51,M51,N51),Table117821341[[#This Row],[Pos.]]="WR2",AVERAGE(L51,M51,N51),Table117821341[[#This Row],[Pos.]]="WR3",AVERAGE(L51,M51,N51),Table117821341[[#This Row],[Pos.]]="WR4",AVERAGE(L51,M51,N51),Table117821341[[#This Row],[Pos.]]="TE1",AVERAGE(L51,M51,N51),Table117821341[[#This Row],[Pos.]]="TE2",AVERAGE(L51,M51,N51),Table117821341[[#This Row],[Pos.]]="D/ST",AVERAGE(Table117821341[[#This Row],[*TD*]]))</f>
        <v>#N/A</v>
      </c>
      <c r="X51" s="94" t="e">
        <f t="shared" si="0"/>
        <v>#N/A</v>
      </c>
    </row>
    <row r="52" spans="2:24" hidden="1" x14ac:dyDescent="0.35">
      <c r="B52" s="6" t="s">
        <v>471</v>
      </c>
      <c r="C52" s="97" t="s">
        <v>16</v>
      </c>
      <c r="D52" s="97" t="s">
        <v>403</v>
      </c>
      <c r="E52" s="23" t="str" cm="1">
        <f t="array" ref="E52">_xlfn.XLOOKUP(Table117821341[[#This Row],[Team]],Table4334[Team],'2425'!$C$3:$C$34)</f>
        <v>n/a</v>
      </c>
      <c r="F52" s="97" t="str">
        <f>_xlfn.XLOOKUP(Table117821341[[#This Row],[Team]],Table4334[Team],Table4334[OPP])</f>
        <v>n/a</v>
      </c>
      <c r="G52" s="148" t="str" cm="1">
        <f t="array" ref="G52">IF(Table117821341[[#This Row],[Pos.]]="QB1",_xlfn.XLOOKUP(Table117821341[[#This Row],[Opp]],Table123[DEF],'2425'!$G$3:$G$34),"#N/A")</f>
        <v>#N/A</v>
      </c>
      <c r="H52" s="148" t="str" cm="1">
        <f t="array" ref="H52">IF(Table117821341[[#This Row],[Pos.]]="QB1",_xlfn.XLOOKUP(Table117821341[[#This Row],[Opp]],Table123[DEF],'2425'!$J$3:$J$34),"#N/A")</f>
        <v>#N/A</v>
      </c>
      <c r="I52" s="148" t="str" cm="1">
        <f t="array" ref="I52">IF(Table117821341[[#This Row],[Pos.]]="QB1",_xlfn.XLOOKUP(Table117821341[[#This Row],[Opp]],Table123[DEF],'2425'!$K$3:$K$34),"#N/A")</f>
        <v>#N/A</v>
      </c>
      <c r="J52" s="148" t="e" cm="1">
        <f t="array" ref="J5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" s="148" t="e" cm="1">
        <f t="array" ref="K5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" s="148" t="e" cm="1">
        <f t="array" ref="L5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" s="148" t="e" cm="1">
        <f t="array" ref="M5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" s="148" t="e" cm="1">
        <f t="array" ref="N5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" s="149" t="str">
        <f>IF(Table117821341[[#This Row],[Pos.]]="QB1",_xlfn.XLOOKUP(Table117821341[[#This Row],[Opp]],Table123[DEF],Table123[P]),"#N/A")</f>
        <v>#N/A</v>
      </c>
      <c r="P52" s="149" t="str">
        <f>IF(Table117821341[[#This Row],[Pos.]]="QB1",_xlfn.XLOOKUP(Table117821341[[#This Row],[Opp]],Table123[DEF],Table123[P+R]),"#N/A")</f>
        <v>#N/A</v>
      </c>
      <c r="Q52" s="150" t="str">
        <f>IF(Table117821341[[#This Row],[Pos.]]="QB1",_xlfn.XLOOKUP(Table117821341[[#This Row],[Opp]],Table123[DEF],Table123[P TD]),"#N/A")</f>
        <v>#N/A</v>
      </c>
      <c r="R52" s="149" t="e" cm="1">
        <f t="array" ref="R5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" s="150" t="e" cm="1">
        <f t="array" ref="S5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" s="150" t="e" cm="1">
        <f t="array" ref="T5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" s="150" t="e" cm="1">
        <f t="array" ref="U5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" s="150" t="e" cm="1">
        <f t="array" ref="V5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" s="148" t="e" cm="1">
        <f t="array" ref="W52">_xlfn.IFS(Table117821341[[#This Row],[Pos.]]="QB1",AVERAGE(G52,H52,I52,J52,N52),Table117821341[[#This Row],[Pos.]]="RB1",AVERAGE(J52,K52,N52),Table117821341[[#This Row],[Pos.]]="RB2",AVERAGE(J52,K52,N52),Table117821341[[#This Row],[Pos.]]="WR1",AVERAGE(L52,M52,N52),Table117821341[[#This Row],[Pos.]]="WR2",AVERAGE(L52,M52,N52),Table117821341[[#This Row],[Pos.]]="WR3",AVERAGE(L52,M52,N52),Table117821341[[#This Row],[Pos.]]="WR4",AVERAGE(L52,M52,N52),Table117821341[[#This Row],[Pos.]]="TE1",AVERAGE(L52,M52,N52),Table117821341[[#This Row],[Pos.]]="TE2",AVERAGE(L52,M52,N52),Table117821341[[#This Row],[Pos.]]="D/ST",AVERAGE(Table117821341[[#This Row],[*TD*]]))</f>
        <v>#N/A</v>
      </c>
      <c r="X52" s="94" t="e">
        <f t="shared" si="0"/>
        <v>#N/A</v>
      </c>
    </row>
    <row r="53" spans="2:24" hidden="1" x14ac:dyDescent="0.35">
      <c r="B53" s="6" t="s">
        <v>472</v>
      </c>
      <c r="C53" s="97" t="s">
        <v>16</v>
      </c>
      <c r="D53" s="97" t="s">
        <v>411</v>
      </c>
      <c r="E53" s="23" t="str" cm="1">
        <f t="array" ref="E53">_xlfn.XLOOKUP(Table117821341[[#This Row],[Team]],Table4334[Team],'2425'!$C$3:$C$34)</f>
        <v>n/a</v>
      </c>
      <c r="F53" s="97" t="str">
        <f>_xlfn.XLOOKUP(Table117821341[[#This Row],[Team]],Table4334[Team],Table4334[OPP])</f>
        <v>n/a</v>
      </c>
      <c r="G53" s="148" t="str" cm="1">
        <f t="array" ref="G53">IF(Table117821341[[#This Row],[Pos.]]="QB1",_xlfn.XLOOKUP(Table117821341[[#This Row],[Opp]],Table123[DEF],'2425'!$G$3:$G$34),"#N/A")</f>
        <v>#N/A</v>
      </c>
      <c r="H53" s="148" t="str" cm="1">
        <f t="array" ref="H53">IF(Table117821341[[#This Row],[Pos.]]="QB1",_xlfn.XLOOKUP(Table117821341[[#This Row],[Opp]],Table123[DEF],'2425'!$J$3:$J$34),"#N/A")</f>
        <v>#N/A</v>
      </c>
      <c r="I53" s="148" t="str" cm="1">
        <f t="array" ref="I53">IF(Table117821341[[#This Row],[Pos.]]="QB1",_xlfn.XLOOKUP(Table117821341[[#This Row],[Opp]],Table123[DEF],'2425'!$K$3:$K$34),"#N/A")</f>
        <v>#N/A</v>
      </c>
      <c r="J53" s="148" t="e" cm="1">
        <f t="array" ref="J5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" s="148" t="e" cm="1">
        <f t="array" ref="K5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" s="148" t="e" cm="1">
        <f t="array" ref="L5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" s="148" t="e" cm="1">
        <f t="array" ref="M5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" s="148" t="e" cm="1">
        <f t="array" ref="N5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" s="149" t="str">
        <f>IF(Table117821341[[#This Row],[Pos.]]="QB1",_xlfn.XLOOKUP(Table117821341[[#This Row],[Opp]],Table123[DEF],Table123[P]),"#N/A")</f>
        <v>#N/A</v>
      </c>
      <c r="P53" s="149" t="str">
        <f>IF(Table117821341[[#This Row],[Pos.]]="QB1",_xlfn.XLOOKUP(Table117821341[[#This Row],[Opp]],Table123[DEF],Table123[P+R]),"#N/A")</f>
        <v>#N/A</v>
      </c>
      <c r="Q53" s="150" t="str">
        <f>IF(Table117821341[[#This Row],[Pos.]]="QB1",_xlfn.XLOOKUP(Table117821341[[#This Row],[Opp]],Table123[DEF],Table123[P TD]),"#N/A")</f>
        <v>#N/A</v>
      </c>
      <c r="R53" s="149" t="e" cm="1">
        <f t="array" ref="R5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" s="150" t="e" cm="1">
        <f t="array" ref="S5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" s="150" t="e" cm="1">
        <f t="array" ref="T5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" s="150" t="e" cm="1">
        <f t="array" ref="U5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" s="150" t="e" cm="1">
        <f t="array" ref="V5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" s="148" t="e" cm="1">
        <f t="array" ref="W53">_xlfn.IFS(Table117821341[[#This Row],[Pos.]]="QB1",AVERAGE(G53,H53,I53,J53,N53),Table117821341[[#This Row],[Pos.]]="RB1",AVERAGE(J53,K53,N53),Table117821341[[#This Row],[Pos.]]="RB2",AVERAGE(J53,K53,N53),Table117821341[[#This Row],[Pos.]]="WR1",AVERAGE(L53,M53,N53),Table117821341[[#This Row],[Pos.]]="WR2",AVERAGE(L53,M53,N53),Table117821341[[#This Row],[Pos.]]="WR3",AVERAGE(L53,M53,N53),Table117821341[[#This Row],[Pos.]]="WR4",AVERAGE(L53,M53,N53),Table117821341[[#This Row],[Pos.]]="TE1",AVERAGE(L53,M53,N53),Table117821341[[#This Row],[Pos.]]="TE2",AVERAGE(L53,M53,N53),Table117821341[[#This Row],[Pos.]]="D/ST",AVERAGE(Table117821341[[#This Row],[*TD*]]))</f>
        <v>#N/A</v>
      </c>
      <c r="X53" s="94" t="e">
        <f t="shared" si="0"/>
        <v>#N/A</v>
      </c>
    </row>
    <row r="54" spans="2:24" hidden="1" x14ac:dyDescent="0.35">
      <c r="B54" s="6" t="s">
        <v>473</v>
      </c>
      <c r="C54" s="97" t="s">
        <v>16</v>
      </c>
      <c r="D54" s="97" t="s">
        <v>441</v>
      </c>
      <c r="E54" s="23" t="str" cm="1">
        <f t="array" ref="E54">_xlfn.XLOOKUP(Table117821341[[#This Row],[Team]],Table4334[Team],'2425'!$C$3:$C$34)</f>
        <v>n/a</v>
      </c>
      <c r="F54" s="97" t="str">
        <f>_xlfn.XLOOKUP(Table117821341[[#This Row],[Team]],Table4334[Team],Table4334[OPP])</f>
        <v>n/a</v>
      </c>
      <c r="G54" s="148" t="str" cm="1">
        <f t="array" ref="G54">IF(Table117821341[[#This Row],[Pos.]]="QB1",_xlfn.XLOOKUP(Table117821341[[#This Row],[Opp]],Table123[DEF],'2425'!$G$3:$G$34),"#N/A")</f>
        <v>#N/A</v>
      </c>
      <c r="H54" s="148" t="str" cm="1">
        <f t="array" ref="H54">IF(Table117821341[[#This Row],[Pos.]]="QB1",_xlfn.XLOOKUP(Table117821341[[#This Row],[Opp]],Table123[DEF],'2425'!$J$3:$J$34),"#N/A")</f>
        <v>#N/A</v>
      </c>
      <c r="I54" s="148" t="str" cm="1">
        <f t="array" ref="I54">IF(Table117821341[[#This Row],[Pos.]]="QB1",_xlfn.XLOOKUP(Table117821341[[#This Row],[Opp]],Table123[DEF],'2425'!$K$3:$K$34),"#N/A")</f>
        <v>#N/A</v>
      </c>
      <c r="J54" s="148" t="e" cm="1">
        <f t="array" ref="J5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" s="148" t="e" cm="1">
        <f t="array" ref="K5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" s="148" t="e" cm="1">
        <f t="array" ref="L5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" s="148" t="e" cm="1">
        <f t="array" ref="M5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" s="148" t="e" cm="1">
        <f t="array" ref="N5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" s="149" t="str">
        <f>IF(Table117821341[[#This Row],[Pos.]]="QB1",_xlfn.XLOOKUP(Table117821341[[#This Row],[Opp]],Table123[DEF],Table123[P]),"#N/A")</f>
        <v>#N/A</v>
      </c>
      <c r="P54" s="149" t="str">
        <f>IF(Table117821341[[#This Row],[Pos.]]="QB1",_xlfn.XLOOKUP(Table117821341[[#This Row],[Opp]],Table123[DEF],Table123[P+R]),"#N/A")</f>
        <v>#N/A</v>
      </c>
      <c r="Q54" s="150" t="str">
        <f>IF(Table117821341[[#This Row],[Pos.]]="QB1",_xlfn.XLOOKUP(Table117821341[[#This Row],[Opp]],Table123[DEF],Table123[P TD]),"#N/A")</f>
        <v>#N/A</v>
      </c>
      <c r="R54" s="149" t="e" cm="1">
        <f t="array" ref="R5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" s="150" t="e" cm="1">
        <f t="array" ref="S5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" s="150" t="e" cm="1">
        <f t="array" ref="T5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" s="150" t="e" cm="1">
        <f t="array" ref="U5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" s="150" t="e" cm="1">
        <f t="array" ref="V5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" s="148" t="e" cm="1">
        <f t="array" ref="W54">_xlfn.IFS(Table117821341[[#This Row],[Pos.]]="QB1",AVERAGE(G54,H54,I54,J54,N54),Table117821341[[#This Row],[Pos.]]="RB1",AVERAGE(J54,K54,N54),Table117821341[[#This Row],[Pos.]]="RB2",AVERAGE(J54,K54,N54),Table117821341[[#This Row],[Pos.]]="WR1",AVERAGE(L54,M54,N54),Table117821341[[#This Row],[Pos.]]="WR2",AVERAGE(L54,M54,N54),Table117821341[[#This Row],[Pos.]]="WR3",AVERAGE(L54,M54,N54),Table117821341[[#This Row],[Pos.]]="WR4",AVERAGE(L54,M54,N54),Table117821341[[#This Row],[Pos.]]="TE1",AVERAGE(L54,M54,N54),Table117821341[[#This Row],[Pos.]]="TE2",AVERAGE(L54,M54,N54),Table117821341[[#This Row],[Pos.]]="D/ST",AVERAGE(Table117821341[[#This Row],[*TD*]]))</f>
        <v>#N/A</v>
      </c>
      <c r="X54" s="94" t="e">
        <f t="shared" si="0"/>
        <v>#N/A</v>
      </c>
    </row>
    <row r="55" spans="2:24" hidden="1" x14ac:dyDescent="0.35">
      <c r="B55" s="6" t="s">
        <v>319</v>
      </c>
      <c r="C55" s="97" t="s">
        <v>47</v>
      </c>
      <c r="D55" s="97" t="s">
        <v>66</v>
      </c>
      <c r="E55" s="23" t="str" cm="1">
        <f t="array" ref="E55">_xlfn.XLOOKUP(Table117821341[[#This Row],[Team]],Table4334[Team],'2425'!$C$3:$C$34)</f>
        <v>n/a</v>
      </c>
      <c r="F55" s="97" t="str">
        <f>_xlfn.XLOOKUP(Table117821341[[#This Row],[Team]],Table4334[Team],Table4334[OPP])</f>
        <v>n/a</v>
      </c>
      <c r="G55" s="148" t="str" cm="1">
        <f t="array" ref="G55">IF(Table117821341[[#This Row],[Pos.]]="QB1",_xlfn.XLOOKUP(Table117821341[[#This Row],[Opp]],Table123[DEF],'2425'!$G$3:$G$34),"#N/A")</f>
        <v>#N/A</v>
      </c>
      <c r="H55" s="148" t="str" cm="1">
        <f t="array" ref="H55">IF(Table117821341[[#This Row],[Pos.]]="QB1",_xlfn.XLOOKUP(Table117821341[[#This Row],[Opp]],Table123[DEF],'2425'!$J$3:$J$34),"#N/A")</f>
        <v>#N/A</v>
      </c>
      <c r="I55" s="148" t="str" cm="1">
        <f t="array" ref="I55">IF(Table117821341[[#This Row],[Pos.]]="QB1",_xlfn.XLOOKUP(Table117821341[[#This Row],[Opp]],Table123[DEF],'2425'!$K$3:$K$34),"#N/A")</f>
        <v>#N/A</v>
      </c>
      <c r="J55" s="148" t="e" cm="1">
        <f t="array" ref="J5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" s="148" t="e" cm="1">
        <f t="array" ref="K5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" s="148" t="e" cm="1">
        <f t="array" ref="L5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" s="148" t="e" cm="1">
        <f t="array" ref="M5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" s="148" t="e" cm="1">
        <f t="array" ref="N5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" s="149" t="str">
        <f>IF(Table117821341[[#This Row],[Pos.]]="QB1",_xlfn.XLOOKUP(Table117821341[[#This Row],[Opp]],Table123[DEF],Table123[P]),"#N/A")</f>
        <v>#N/A</v>
      </c>
      <c r="P55" s="149" t="str">
        <f>IF(Table117821341[[#This Row],[Pos.]]="QB1",_xlfn.XLOOKUP(Table117821341[[#This Row],[Opp]],Table123[DEF],Table123[P+R]),"#N/A")</f>
        <v>#N/A</v>
      </c>
      <c r="Q55" s="150" t="str">
        <f>IF(Table117821341[[#This Row],[Pos.]]="QB1",_xlfn.XLOOKUP(Table117821341[[#This Row],[Opp]],Table123[DEF],Table123[P TD]),"#N/A")</f>
        <v>#N/A</v>
      </c>
      <c r="R55" s="149" t="e" cm="1">
        <f t="array" ref="R5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" s="150" t="e" cm="1">
        <f t="array" ref="S5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" s="150" t="e" cm="1">
        <f t="array" ref="T5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" s="150" t="e" cm="1">
        <f t="array" ref="U5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" s="162" t="e" cm="1">
        <f t="array" ref="V5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" s="148" t="e" cm="1">
        <f t="array" ref="W55">_xlfn.IFS(Table117821341[[#This Row],[Pos.]]="QB1",AVERAGE(G55,H55,I55,J55,N55),Table117821341[[#This Row],[Pos.]]="RB1",AVERAGE(J55,K55,N55),Table117821341[[#This Row],[Pos.]]="RB2",AVERAGE(J55,K55,N55),Table117821341[[#This Row],[Pos.]]="WR1",AVERAGE(L55,M55,N55),Table117821341[[#This Row],[Pos.]]="WR2",AVERAGE(L55,M55,N55),Table117821341[[#This Row],[Pos.]]="WR3",AVERAGE(L55,M55,N55),Table117821341[[#This Row],[Pos.]]="WR4",AVERAGE(L55,M55,N55),Table117821341[[#This Row],[Pos.]]="TE1",AVERAGE(L55,M55,N55),Table117821341[[#This Row],[Pos.]]="TE2",AVERAGE(L55,M55,N55),Table117821341[[#This Row],[Pos.]]="D/ST",AVERAGE(Table117821341[[#This Row],[*TD*]]))</f>
        <v>#N/A</v>
      </c>
      <c r="X55" s="94" t="e">
        <f t="shared" si="0"/>
        <v>#N/A</v>
      </c>
    </row>
    <row r="56" spans="2:24" hidden="1" x14ac:dyDescent="0.35">
      <c r="B56" s="6" t="s">
        <v>129</v>
      </c>
      <c r="C56" s="97" t="s">
        <v>16</v>
      </c>
      <c r="D56" s="97" t="s">
        <v>397</v>
      </c>
      <c r="E56" s="23" t="str" cm="1">
        <f t="array" ref="E56">_xlfn.XLOOKUP(Table117821341[[#This Row],[Team]],Table4334[Team],'2425'!$C$3:$C$34)</f>
        <v>n/a</v>
      </c>
      <c r="F56" s="97" t="str">
        <f>_xlfn.XLOOKUP(Table117821341[[#This Row],[Team]],Table4334[Team],Table4334[OPP])</f>
        <v>n/a</v>
      </c>
      <c r="G56" s="148" t="str" cm="1">
        <f t="array" ref="G56">IF(Table117821341[[#This Row],[Pos.]]="QB1",_xlfn.XLOOKUP(Table117821341[[#This Row],[Opp]],Table123[DEF],'2425'!$G$3:$G$34),"#N/A")</f>
        <v>#N/A</v>
      </c>
      <c r="H56" s="148" t="str" cm="1">
        <f t="array" ref="H56">IF(Table117821341[[#This Row],[Pos.]]="QB1",_xlfn.XLOOKUP(Table117821341[[#This Row],[Opp]],Table123[DEF],'2425'!$J$3:$J$34),"#N/A")</f>
        <v>#N/A</v>
      </c>
      <c r="I56" s="148" t="str" cm="1">
        <f t="array" ref="I56">IF(Table117821341[[#This Row],[Pos.]]="QB1",_xlfn.XLOOKUP(Table117821341[[#This Row],[Opp]],Table123[DEF],'2425'!$K$3:$K$34),"#N/A")</f>
        <v>#N/A</v>
      </c>
      <c r="J56" s="148" t="e" cm="1">
        <f t="array" ref="J5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" s="148" t="e" cm="1">
        <f t="array" ref="K5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" s="148" t="e" cm="1">
        <f t="array" ref="L5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" s="148" t="e" cm="1">
        <f t="array" ref="M5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" s="148" t="e" cm="1">
        <f t="array" ref="N5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" s="149" t="str">
        <f>IF(Table117821341[[#This Row],[Pos.]]="QB1",_xlfn.XLOOKUP(Table117821341[[#This Row],[Opp]],Table123[DEF],Table123[P]),"#N/A")</f>
        <v>#N/A</v>
      </c>
      <c r="P56" s="149" t="str">
        <f>IF(Table117821341[[#This Row],[Pos.]]="QB1",_xlfn.XLOOKUP(Table117821341[[#This Row],[Opp]],Table123[DEF],Table123[P+R]),"#N/A")</f>
        <v>#N/A</v>
      </c>
      <c r="Q56" s="150" t="str">
        <f>IF(Table117821341[[#This Row],[Pos.]]="QB1",_xlfn.XLOOKUP(Table117821341[[#This Row],[Opp]],Table123[DEF],Table123[P TD]),"#N/A")</f>
        <v>#N/A</v>
      </c>
      <c r="R56" s="149" t="e" cm="1">
        <f t="array" ref="R5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" s="150" t="e" cm="1">
        <f t="array" ref="S5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" s="150" t="e" cm="1">
        <f t="array" ref="T5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" s="150" t="e" cm="1">
        <f t="array" ref="U5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" s="162" t="e" cm="1">
        <f t="array" ref="V5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" s="148" t="e" cm="1">
        <f t="array" ref="W56">_xlfn.IFS(Table117821341[[#This Row],[Pos.]]="QB1",AVERAGE(G56,H56,I56,J56,N56),Table117821341[[#This Row],[Pos.]]="RB1",AVERAGE(J56,K56,N56),Table117821341[[#This Row],[Pos.]]="RB2",AVERAGE(J56,K56,N56),Table117821341[[#This Row],[Pos.]]="WR1",AVERAGE(L56,M56,N56),Table117821341[[#This Row],[Pos.]]="WR2",AVERAGE(L56,M56,N56),Table117821341[[#This Row],[Pos.]]="WR3",AVERAGE(L56,M56,N56),Table117821341[[#This Row],[Pos.]]="WR4",AVERAGE(L56,M56,N56),Table117821341[[#This Row],[Pos.]]="TE1",AVERAGE(L56,M56,N56),Table117821341[[#This Row],[Pos.]]="TE2",AVERAGE(L56,M56,N56),Table117821341[[#This Row],[Pos.]]="D/ST",AVERAGE(Table117821341[[#This Row],[*TD*]]))</f>
        <v>#N/A</v>
      </c>
      <c r="X56" s="94" t="e">
        <f t="shared" si="0"/>
        <v>#N/A</v>
      </c>
    </row>
    <row r="57" spans="2:24" hidden="1" x14ac:dyDescent="0.35">
      <c r="B57" s="6" t="s">
        <v>404</v>
      </c>
      <c r="C57" s="97" t="s">
        <v>17</v>
      </c>
      <c r="D57" s="97" t="s">
        <v>405</v>
      </c>
      <c r="E57" s="23" t="str" cm="1">
        <f t="array" ref="E57">_xlfn.XLOOKUP(Table117821341[[#This Row],[Team]],Table4334[Team],'2425'!$C$3:$C$34)</f>
        <v>n/a</v>
      </c>
      <c r="F57" s="97" t="str">
        <f>_xlfn.XLOOKUP(Table117821341[[#This Row],[Team]],Table4334[Team],Table4334[OPP])</f>
        <v>n/a</v>
      </c>
      <c r="G57" s="148" t="str" cm="1">
        <f t="array" ref="G57">IF(Table117821341[[#This Row],[Pos.]]="QB1",_xlfn.XLOOKUP(Table117821341[[#This Row],[Opp]],Table123[DEF],'2425'!$G$3:$G$34),"#N/A")</f>
        <v>#N/A</v>
      </c>
      <c r="H57" s="148" t="str" cm="1">
        <f t="array" ref="H57">IF(Table117821341[[#This Row],[Pos.]]="QB1",_xlfn.XLOOKUP(Table117821341[[#This Row],[Opp]],Table123[DEF],'2425'!$J$3:$J$34),"#N/A")</f>
        <v>#N/A</v>
      </c>
      <c r="I57" s="148" t="str" cm="1">
        <f t="array" ref="I57">IF(Table117821341[[#This Row],[Pos.]]="QB1",_xlfn.XLOOKUP(Table117821341[[#This Row],[Opp]],Table123[DEF],'2425'!$K$3:$K$34),"#N/A")</f>
        <v>#N/A</v>
      </c>
      <c r="J57" s="148" t="e" cm="1">
        <f t="array" ref="J5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7" s="148" t="e" cm="1">
        <f t="array" ref="K5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7" s="148" t="e" cm="1">
        <f t="array" ref="L5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7" s="148" t="e" cm="1">
        <f t="array" ref="M5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7" s="148" t="e" cm="1">
        <f t="array" ref="N5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7" s="149" t="str">
        <f>IF(Table117821341[[#This Row],[Pos.]]="QB1",_xlfn.XLOOKUP(Table117821341[[#This Row],[Opp]],Table123[DEF],Table123[P]),"#N/A")</f>
        <v>#N/A</v>
      </c>
      <c r="P57" s="149" t="str">
        <f>IF(Table117821341[[#This Row],[Pos.]]="QB1",_xlfn.XLOOKUP(Table117821341[[#This Row],[Opp]],Table123[DEF],Table123[P+R]),"#N/A")</f>
        <v>#N/A</v>
      </c>
      <c r="Q57" s="150" t="str">
        <f>IF(Table117821341[[#This Row],[Pos.]]="QB1",_xlfn.XLOOKUP(Table117821341[[#This Row],[Opp]],Table123[DEF],Table123[P TD]),"#N/A")</f>
        <v>#N/A</v>
      </c>
      <c r="R57" s="149" t="e" cm="1">
        <f t="array" ref="R5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7" s="150" t="e" cm="1">
        <f t="array" ref="S5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7" s="150" t="e" cm="1">
        <f t="array" ref="T5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7" s="150" t="e" cm="1">
        <f t="array" ref="U5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7" s="150" t="e" cm="1">
        <f t="array" ref="V5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7" s="148" t="e" cm="1">
        <f t="array" ref="W57">_xlfn.IFS(Table117821341[[#This Row],[Pos.]]="QB1",AVERAGE(G57,H57,I57,J57,N57),Table117821341[[#This Row],[Pos.]]="RB1",AVERAGE(J57,K57,N57),Table117821341[[#This Row],[Pos.]]="RB2",AVERAGE(J57,K57,N57),Table117821341[[#This Row],[Pos.]]="WR1",AVERAGE(L57,M57,N57),Table117821341[[#This Row],[Pos.]]="WR2",AVERAGE(L57,M57,N57),Table117821341[[#This Row],[Pos.]]="WR3",AVERAGE(L57,M57,N57),Table117821341[[#This Row],[Pos.]]="WR4",AVERAGE(L57,M57,N57),Table117821341[[#This Row],[Pos.]]="TE1",AVERAGE(L57,M57,N57),Table117821341[[#This Row],[Pos.]]="TE2",AVERAGE(L57,M57,N57),Table117821341[[#This Row],[Pos.]]="D/ST",AVERAGE(Table117821341[[#This Row],[*TD*]]))</f>
        <v>#N/A</v>
      </c>
      <c r="X57" s="94" t="e">
        <f t="shared" si="0"/>
        <v>#N/A</v>
      </c>
    </row>
    <row r="58" spans="2:24" hidden="1" x14ac:dyDescent="0.35">
      <c r="B58" s="6" t="s">
        <v>323</v>
      </c>
      <c r="C58" s="97" t="s">
        <v>48</v>
      </c>
      <c r="D58" s="97" t="s">
        <v>399</v>
      </c>
      <c r="E58" s="23" t="str" cm="1">
        <f t="array" ref="E58">_xlfn.XLOOKUP(Table117821341[[#This Row],[Team]],Table4334[Team],'2425'!$C$3:$C$34)</f>
        <v>n/a</v>
      </c>
      <c r="F58" s="97" t="str">
        <f>_xlfn.XLOOKUP(Table117821341[[#This Row],[Team]],Table4334[Team],Table4334[OPP])</f>
        <v>n/a</v>
      </c>
      <c r="G58" s="148" t="e" cm="1">
        <f t="array" ref="G58">IF(Table117821341[[#This Row],[Pos.]]="QB1",_xlfn.XLOOKUP(Table117821341[[#This Row],[Opp]],Table123[DEF],'2425'!$G$3:$G$34),"#N/A")</f>
        <v>#N/A</v>
      </c>
      <c r="H58" s="148" t="e" cm="1">
        <f t="array" ref="H58">IF(Table117821341[[#This Row],[Pos.]]="QB1",_xlfn.XLOOKUP(Table117821341[[#This Row],[Opp]],Table123[DEF],'2425'!$J$3:$J$34),"#N/A")</f>
        <v>#N/A</v>
      </c>
      <c r="I58" s="148" t="e" cm="1">
        <f t="array" ref="I58">IF(Table117821341[[#This Row],[Pos.]]="QB1",_xlfn.XLOOKUP(Table117821341[[#This Row],[Opp]],Table123[DEF],'2425'!$K$3:$K$34),"#N/A")</f>
        <v>#N/A</v>
      </c>
      <c r="J58" s="148" t="e" cm="1">
        <f t="array" ref="J5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8" s="148" t="e" cm="1">
        <f t="array" ref="K5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8" s="148" t="e" cm="1">
        <f t="array" ref="L5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8" s="148" t="e" cm="1">
        <f t="array" ref="M5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8" s="148" t="e" cm="1">
        <f t="array" ref="N5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8" s="149" t="e">
        <f>IF(Table117821341[[#This Row],[Pos.]]="QB1",_xlfn.XLOOKUP(Table117821341[[#This Row],[Opp]],Table123[DEF],Table123[P]),"#N/A")</f>
        <v>#N/A</v>
      </c>
      <c r="P58" s="149" t="e">
        <f>IF(Table117821341[[#This Row],[Pos.]]="QB1",_xlfn.XLOOKUP(Table117821341[[#This Row],[Opp]],Table123[DEF],Table123[P+R]),"#N/A")</f>
        <v>#N/A</v>
      </c>
      <c r="Q58" s="150" t="e">
        <f>IF(Table117821341[[#This Row],[Pos.]]="QB1",_xlfn.XLOOKUP(Table117821341[[#This Row],[Opp]],Table123[DEF],Table123[P TD]),"#N/A")</f>
        <v>#N/A</v>
      </c>
      <c r="R58" s="149" t="e" cm="1">
        <f t="array" ref="R5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8" s="150" t="e" cm="1">
        <f t="array" ref="S5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8" s="150" t="e" cm="1">
        <f t="array" ref="T5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8" s="150" t="e" cm="1">
        <f t="array" ref="U5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8" s="162" t="e" cm="1">
        <f t="array" ref="V5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8" s="148" t="e" cm="1">
        <f t="array" ref="W58">_xlfn.IFS(Table117821341[[#This Row],[Pos.]]="QB1",AVERAGE(G58,H58,I58,J58,N58),Table117821341[[#This Row],[Pos.]]="RB1",AVERAGE(J58,K58,N58),Table117821341[[#This Row],[Pos.]]="RB2",AVERAGE(J58,K58,N58),Table117821341[[#This Row],[Pos.]]="WR1",AVERAGE(L58,M58,N58),Table117821341[[#This Row],[Pos.]]="WR2",AVERAGE(L58,M58,N58),Table117821341[[#This Row],[Pos.]]="WR3",AVERAGE(L58,M58,N58),Table117821341[[#This Row],[Pos.]]="WR4",AVERAGE(L58,M58,N58),Table117821341[[#This Row],[Pos.]]="TE1",AVERAGE(L58,M58,N58),Table117821341[[#This Row],[Pos.]]="TE2",AVERAGE(L58,M58,N58),Table117821341[[#This Row],[Pos.]]="D/ST",AVERAGE(Table117821341[[#This Row],[*TD*]]))</f>
        <v>#N/A</v>
      </c>
      <c r="X58" s="94" t="e">
        <f t="shared" si="0"/>
        <v>#N/A</v>
      </c>
    </row>
    <row r="59" spans="2:24" hidden="1" x14ac:dyDescent="0.35">
      <c r="B59" s="6" t="s">
        <v>116</v>
      </c>
      <c r="C59" s="97" t="s">
        <v>17</v>
      </c>
      <c r="D59" s="97" t="s">
        <v>394</v>
      </c>
      <c r="E59" s="23" t="str" cm="1">
        <f t="array" ref="E59">_xlfn.XLOOKUP(Table117821341[[#This Row],[Team]],Table4334[Team],'2425'!$C$3:$C$34)</f>
        <v>n/a</v>
      </c>
      <c r="F59" s="97" t="str">
        <f>_xlfn.XLOOKUP(Table117821341[[#This Row],[Team]],Table4334[Team],Table4334[OPP])</f>
        <v>n/a</v>
      </c>
      <c r="G59" s="148" t="str" cm="1">
        <f t="array" ref="G59">IF(Table117821341[[#This Row],[Pos.]]="QB1",_xlfn.XLOOKUP(Table117821341[[#This Row],[Opp]],Table123[DEF],'2425'!$G$3:$G$34),"#N/A")</f>
        <v>#N/A</v>
      </c>
      <c r="H59" s="148" t="str" cm="1">
        <f t="array" ref="H59">IF(Table117821341[[#This Row],[Pos.]]="QB1",_xlfn.XLOOKUP(Table117821341[[#This Row],[Opp]],Table123[DEF],'2425'!$J$3:$J$34),"#N/A")</f>
        <v>#N/A</v>
      </c>
      <c r="I59" s="148" t="str" cm="1">
        <f t="array" ref="I59">IF(Table117821341[[#This Row],[Pos.]]="QB1",_xlfn.XLOOKUP(Table117821341[[#This Row],[Opp]],Table123[DEF],'2425'!$K$3:$K$34),"#N/A")</f>
        <v>#N/A</v>
      </c>
      <c r="J59" s="148" t="e" cm="1">
        <f t="array" ref="J5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9" s="148" t="e" cm="1">
        <f t="array" ref="K5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9" s="148" t="e" cm="1">
        <f t="array" ref="L5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9" s="148" t="e" cm="1">
        <f t="array" ref="M5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9" s="148" t="e" cm="1">
        <f t="array" ref="N5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9" s="149" t="str">
        <f>IF(Table117821341[[#This Row],[Pos.]]="QB1",_xlfn.XLOOKUP(Table117821341[[#This Row],[Opp]],Table123[DEF],Table123[P]),"#N/A")</f>
        <v>#N/A</v>
      </c>
      <c r="P59" s="149" t="str">
        <f>IF(Table117821341[[#This Row],[Pos.]]="QB1",_xlfn.XLOOKUP(Table117821341[[#This Row],[Opp]],Table123[DEF],Table123[P+R]),"#N/A")</f>
        <v>#N/A</v>
      </c>
      <c r="Q59" s="150" t="str">
        <f>IF(Table117821341[[#This Row],[Pos.]]="QB1",_xlfn.XLOOKUP(Table117821341[[#This Row],[Opp]],Table123[DEF],Table123[P TD]),"#N/A")</f>
        <v>#N/A</v>
      </c>
      <c r="R59" s="149" t="e" cm="1">
        <f t="array" ref="R5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9" s="150" t="e" cm="1">
        <f t="array" ref="S5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9" s="150" t="e" cm="1">
        <f t="array" ref="T5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9" s="150" t="e" cm="1">
        <f t="array" ref="U5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9" s="150" t="e" cm="1">
        <f t="array" ref="V5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9" s="148" t="e" cm="1">
        <f t="array" ref="W59">_xlfn.IFS(Table117821341[[#This Row],[Pos.]]="QB1",AVERAGE(G59,H59,I59,J59,N59),Table117821341[[#This Row],[Pos.]]="RB1",AVERAGE(J59,K59,N59),Table117821341[[#This Row],[Pos.]]="RB2",AVERAGE(J59,K59,N59),Table117821341[[#This Row],[Pos.]]="WR1",AVERAGE(L59,M59,N59),Table117821341[[#This Row],[Pos.]]="WR2",AVERAGE(L59,M59,N59),Table117821341[[#This Row],[Pos.]]="WR3",AVERAGE(L59,M59,N59),Table117821341[[#This Row],[Pos.]]="WR4",AVERAGE(L59,M59,N59),Table117821341[[#This Row],[Pos.]]="TE1",AVERAGE(L59,M59,N59),Table117821341[[#This Row],[Pos.]]="TE2",AVERAGE(L59,M59,N59),Table117821341[[#This Row],[Pos.]]="D/ST",AVERAGE(Table117821341[[#This Row],[*TD*]]))</f>
        <v>#N/A</v>
      </c>
      <c r="X59" s="94" t="e">
        <f t="shared" si="0"/>
        <v>#N/A</v>
      </c>
    </row>
    <row r="60" spans="2:24" hidden="1" x14ac:dyDescent="0.35">
      <c r="B60" s="6" t="s">
        <v>126</v>
      </c>
      <c r="C60" s="97" t="s">
        <v>17</v>
      </c>
      <c r="D60" s="97" t="s">
        <v>396</v>
      </c>
      <c r="E60" s="23" t="str" cm="1">
        <f t="array" ref="E60">_xlfn.XLOOKUP(Table117821341[[#This Row],[Team]],Table4334[Team],'2425'!$C$3:$C$34)</f>
        <v>n/a</v>
      </c>
      <c r="F60" s="97" t="str">
        <f>_xlfn.XLOOKUP(Table117821341[[#This Row],[Team]],Table4334[Team],Table4334[OPP])</f>
        <v>n/a</v>
      </c>
      <c r="G60" s="148" t="str" cm="1">
        <f t="array" ref="G60">IF(Table117821341[[#This Row],[Pos.]]="QB1",_xlfn.XLOOKUP(Table117821341[[#This Row],[Opp]],Table123[DEF],'2425'!$G$3:$G$34),"#N/A")</f>
        <v>#N/A</v>
      </c>
      <c r="H60" s="148" t="str" cm="1">
        <f t="array" ref="H60">IF(Table117821341[[#This Row],[Pos.]]="QB1",_xlfn.XLOOKUP(Table117821341[[#This Row],[Opp]],Table123[DEF],'2425'!$J$3:$J$34),"#N/A")</f>
        <v>#N/A</v>
      </c>
      <c r="I60" s="148" t="str" cm="1">
        <f t="array" ref="I60">IF(Table117821341[[#This Row],[Pos.]]="QB1",_xlfn.XLOOKUP(Table117821341[[#This Row],[Opp]],Table123[DEF],'2425'!$K$3:$K$34),"#N/A")</f>
        <v>#N/A</v>
      </c>
      <c r="J60" s="148" t="e" cm="1">
        <f t="array" ref="J6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0" s="148" t="e" cm="1">
        <f t="array" ref="K6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0" s="148" t="e" cm="1">
        <f t="array" ref="L6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0" s="148" t="e" cm="1">
        <f t="array" ref="M6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0" s="148" t="e" cm="1">
        <f t="array" ref="N6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0" s="149" t="str">
        <f>IF(Table117821341[[#This Row],[Pos.]]="QB1",_xlfn.XLOOKUP(Table117821341[[#This Row],[Opp]],Table123[DEF],Table123[P]),"#N/A")</f>
        <v>#N/A</v>
      </c>
      <c r="P60" s="149" t="str">
        <f>IF(Table117821341[[#This Row],[Pos.]]="QB1",_xlfn.XLOOKUP(Table117821341[[#This Row],[Opp]],Table123[DEF],Table123[P+R]),"#N/A")</f>
        <v>#N/A</v>
      </c>
      <c r="Q60" s="150" t="str">
        <f>IF(Table117821341[[#This Row],[Pos.]]="QB1",_xlfn.XLOOKUP(Table117821341[[#This Row],[Opp]],Table123[DEF],Table123[P TD]),"#N/A")</f>
        <v>#N/A</v>
      </c>
      <c r="R60" s="149" t="e" cm="1">
        <f t="array" ref="R6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0" s="150" t="e" cm="1">
        <f t="array" ref="S6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0" s="150" t="e" cm="1">
        <f t="array" ref="T6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0" s="150" t="e" cm="1">
        <f t="array" ref="U6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0" s="150" t="e" cm="1">
        <f t="array" ref="V6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0" s="148" t="e" cm="1">
        <f t="array" ref="W60">_xlfn.IFS(Table117821341[[#This Row],[Pos.]]="QB1",AVERAGE(G60,H60,I60,J60,N60),Table117821341[[#This Row],[Pos.]]="RB1",AVERAGE(J60,K60,N60),Table117821341[[#This Row],[Pos.]]="RB2",AVERAGE(J60,K60,N60),Table117821341[[#This Row],[Pos.]]="WR1",AVERAGE(L60,M60,N60),Table117821341[[#This Row],[Pos.]]="WR2",AVERAGE(L60,M60,N60),Table117821341[[#This Row],[Pos.]]="WR3",AVERAGE(L60,M60,N60),Table117821341[[#This Row],[Pos.]]="WR4",AVERAGE(L60,M60,N60),Table117821341[[#This Row],[Pos.]]="TE1",AVERAGE(L60,M60,N60),Table117821341[[#This Row],[Pos.]]="TE2",AVERAGE(L60,M60,N60),Table117821341[[#This Row],[Pos.]]="D/ST",AVERAGE(Table117821341[[#This Row],[*TD*]]))</f>
        <v>#N/A</v>
      </c>
      <c r="X60" s="94" t="e">
        <f t="shared" si="0"/>
        <v>#N/A</v>
      </c>
    </row>
    <row r="61" spans="2:24" hidden="1" x14ac:dyDescent="0.35">
      <c r="B61" s="6" t="s">
        <v>372</v>
      </c>
      <c r="C61" s="97" t="s">
        <v>54</v>
      </c>
      <c r="D61" s="97" t="s">
        <v>66</v>
      </c>
      <c r="E61" s="23" t="str" cm="1">
        <f t="array" ref="E61">_xlfn.XLOOKUP(Table117821341[[#This Row],[Team]],Table4334[Team],'2425'!$C$3:$C$34)</f>
        <v>n/a</v>
      </c>
      <c r="F61" s="97" t="str">
        <f>_xlfn.XLOOKUP(Table117821341[[#This Row],[Team]],Table4334[Team],Table4334[OPP])</f>
        <v>n/a</v>
      </c>
      <c r="G61" s="148" t="str" cm="1">
        <f t="array" ref="G61">IF(Table117821341[[#This Row],[Pos.]]="QB1",_xlfn.XLOOKUP(Table117821341[[#This Row],[Opp]],Table123[DEF],'2425'!$G$3:$G$34),"#N/A")</f>
        <v>#N/A</v>
      </c>
      <c r="H61" s="148" t="str" cm="1">
        <f t="array" ref="H61">IF(Table117821341[[#This Row],[Pos.]]="QB1",_xlfn.XLOOKUP(Table117821341[[#This Row],[Opp]],Table123[DEF],'2425'!$J$3:$J$34),"#N/A")</f>
        <v>#N/A</v>
      </c>
      <c r="I61" s="148" t="str" cm="1">
        <f t="array" ref="I61">IF(Table117821341[[#This Row],[Pos.]]="QB1",_xlfn.XLOOKUP(Table117821341[[#This Row],[Opp]],Table123[DEF],'2425'!$K$3:$K$34),"#N/A")</f>
        <v>#N/A</v>
      </c>
      <c r="J61" s="148" t="e" cm="1">
        <f t="array" ref="J6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1" s="148" t="e" cm="1">
        <f t="array" ref="K6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1" s="148" t="e" cm="1">
        <f t="array" ref="L6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1" s="148" t="e" cm="1">
        <f t="array" ref="M6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1" s="148" t="e" cm="1">
        <f t="array" ref="N6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1" s="149" t="str">
        <f>IF(Table117821341[[#This Row],[Pos.]]="QB1",_xlfn.XLOOKUP(Table117821341[[#This Row],[Opp]],Table123[DEF],Table123[P]),"#N/A")</f>
        <v>#N/A</v>
      </c>
      <c r="P61" s="149" t="str">
        <f>IF(Table117821341[[#This Row],[Pos.]]="QB1",_xlfn.XLOOKUP(Table117821341[[#This Row],[Opp]],Table123[DEF],Table123[P+R]),"#N/A")</f>
        <v>#N/A</v>
      </c>
      <c r="Q61" s="150" t="str">
        <f>IF(Table117821341[[#This Row],[Pos.]]="QB1",_xlfn.XLOOKUP(Table117821341[[#This Row],[Opp]],Table123[DEF],Table123[P TD]),"#N/A")</f>
        <v>#N/A</v>
      </c>
      <c r="R61" s="149" t="e" cm="1">
        <f t="array" ref="R6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1" s="150" t="e" cm="1">
        <f t="array" ref="S6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1" s="150" t="e" cm="1">
        <f t="array" ref="T6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1" s="150" t="e" cm="1">
        <f t="array" ref="U6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1" s="162" t="e" cm="1">
        <f t="array" ref="V6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1" s="148" t="e" cm="1">
        <f t="array" ref="W61">_xlfn.IFS(Table117821341[[#This Row],[Pos.]]="QB1",AVERAGE(G61,H61,I61,J61,N61),Table117821341[[#This Row],[Pos.]]="RB1",AVERAGE(J61,K61,N61),Table117821341[[#This Row],[Pos.]]="RB2",AVERAGE(J61,K61,N61),Table117821341[[#This Row],[Pos.]]="WR1",AVERAGE(L61,M61,N61),Table117821341[[#This Row],[Pos.]]="WR2",AVERAGE(L61,M61,N61),Table117821341[[#This Row],[Pos.]]="WR3",AVERAGE(L61,M61,N61),Table117821341[[#This Row],[Pos.]]="WR4",AVERAGE(L61,M61,N61),Table117821341[[#This Row],[Pos.]]="TE1",AVERAGE(L61,M61,N61),Table117821341[[#This Row],[Pos.]]="TE2",AVERAGE(L61,M61,N61),Table117821341[[#This Row],[Pos.]]="D/ST",AVERAGE(Table117821341[[#This Row],[*TD*]]))</f>
        <v>#N/A</v>
      </c>
      <c r="X61" s="94" t="e">
        <f t="shared" si="0"/>
        <v>#N/A</v>
      </c>
    </row>
    <row r="62" spans="2:24" hidden="1" x14ac:dyDescent="0.35">
      <c r="B62" s="6" t="s">
        <v>135</v>
      </c>
      <c r="C62" s="97" t="s">
        <v>17</v>
      </c>
      <c r="D62" s="97" t="s">
        <v>398</v>
      </c>
      <c r="E62" s="23" t="str" cm="1">
        <f t="array" ref="E62">_xlfn.XLOOKUP(Table117821341[[#This Row],[Team]],Table4334[Team],'2425'!$C$3:$C$34)</f>
        <v>n/a</v>
      </c>
      <c r="F62" s="97" t="str">
        <f>_xlfn.XLOOKUP(Table117821341[[#This Row],[Team]],Table4334[Team],Table4334[OPP])</f>
        <v>n/a</v>
      </c>
      <c r="G62" s="148" t="str" cm="1">
        <f t="array" ref="G62">IF(Table117821341[[#This Row],[Pos.]]="QB1",_xlfn.XLOOKUP(Table117821341[[#This Row],[Opp]],Table123[DEF],'2425'!$G$3:$G$34),"#N/A")</f>
        <v>#N/A</v>
      </c>
      <c r="H62" s="148" t="str" cm="1">
        <f t="array" ref="H62">IF(Table117821341[[#This Row],[Pos.]]="QB1",_xlfn.XLOOKUP(Table117821341[[#This Row],[Opp]],Table123[DEF],'2425'!$J$3:$J$34),"#N/A")</f>
        <v>#N/A</v>
      </c>
      <c r="I62" s="148" t="str" cm="1">
        <f t="array" ref="I62">IF(Table117821341[[#This Row],[Pos.]]="QB1",_xlfn.XLOOKUP(Table117821341[[#This Row],[Opp]],Table123[DEF],'2425'!$K$3:$K$34),"#N/A")</f>
        <v>#N/A</v>
      </c>
      <c r="J62" s="148" t="e" cm="1">
        <f t="array" ref="J6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2" s="148" t="e" cm="1">
        <f t="array" ref="K6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2" s="148" t="e" cm="1">
        <f t="array" ref="L6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2" s="148" t="e" cm="1">
        <f t="array" ref="M6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2" s="148" t="e" cm="1">
        <f t="array" ref="N6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2" s="149" t="str">
        <f>IF(Table117821341[[#This Row],[Pos.]]="QB1",_xlfn.XLOOKUP(Table117821341[[#This Row],[Opp]],Table123[DEF],Table123[P]),"#N/A")</f>
        <v>#N/A</v>
      </c>
      <c r="P62" s="149" t="str">
        <f>IF(Table117821341[[#This Row],[Pos.]]="QB1",_xlfn.XLOOKUP(Table117821341[[#This Row],[Opp]],Table123[DEF],Table123[P+R]),"#N/A")</f>
        <v>#N/A</v>
      </c>
      <c r="Q62" s="150" t="str">
        <f>IF(Table117821341[[#This Row],[Pos.]]="QB1",_xlfn.XLOOKUP(Table117821341[[#This Row],[Opp]],Table123[DEF],Table123[P TD]),"#N/A")</f>
        <v>#N/A</v>
      </c>
      <c r="R62" s="149" t="e" cm="1">
        <f t="array" ref="R6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2" s="150" t="e" cm="1">
        <f t="array" ref="S6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2" s="150" t="e" cm="1">
        <f t="array" ref="T6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2" s="150" t="e" cm="1">
        <f t="array" ref="U6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2" s="150" t="e" cm="1">
        <f t="array" ref="V6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2" s="148" t="e" cm="1">
        <f t="array" ref="W62">_xlfn.IFS(Table117821341[[#This Row],[Pos.]]="QB1",AVERAGE(G62,H62,I62,J62,N62),Table117821341[[#This Row],[Pos.]]="RB1",AVERAGE(J62,K62,N62),Table117821341[[#This Row],[Pos.]]="RB2",AVERAGE(J62,K62,N62),Table117821341[[#This Row],[Pos.]]="WR1",AVERAGE(L62,M62,N62),Table117821341[[#This Row],[Pos.]]="WR2",AVERAGE(L62,M62,N62),Table117821341[[#This Row],[Pos.]]="WR3",AVERAGE(L62,M62,N62),Table117821341[[#This Row],[Pos.]]="WR4",AVERAGE(L62,M62,N62),Table117821341[[#This Row],[Pos.]]="TE1",AVERAGE(L62,M62,N62),Table117821341[[#This Row],[Pos.]]="TE2",AVERAGE(L62,M62,N62),Table117821341[[#This Row],[Pos.]]="D/ST",AVERAGE(Table117821341[[#This Row],[*TD*]]))</f>
        <v>#N/A</v>
      </c>
      <c r="X62" s="94" t="e">
        <f t="shared" si="0"/>
        <v>#N/A</v>
      </c>
    </row>
    <row r="63" spans="2:24" hidden="1" x14ac:dyDescent="0.35">
      <c r="B63" s="6" t="s">
        <v>429</v>
      </c>
      <c r="C63" s="97" t="s">
        <v>17</v>
      </c>
      <c r="D63" s="97" t="s">
        <v>430</v>
      </c>
      <c r="E63" s="23" t="str" cm="1">
        <f t="array" ref="E63">_xlfn.XLOOKUP(Table117821341[[#This Row],[Team]],Table4334[Team],'2425'!$C$3:$C$34)</f>
        <v>n/a</v>
      </c>
      <c r="F63" s="97" t="str">
        <f>_xlfn.XLOOKUP(Table117821341[[#This Row],[Team]],Table4334[Team],Table4334[OPP])</f>
        <v>n/a</v>
      </c>
      <c r="G63" s="148" t="str" cm="1">
        <f t="array" ref="G63">IF(Table117821341[[#This Row],[Pos.]]="QB1",_xlfn.XLOOKUP(Table117821341[[#This Row],[Opp]],Table123[DEF],'2425'!$G$3:$G$34),"#N/A")</f>
        <v>#N/A</v>
      </c>
      <c r="H63" s="148" t="str" cm="1">
        <f t="array" ref="H63">IF(Table117821341[[#This Row],[Pos.]]="QB1",_xlfn.XLOOKUP(Table117821341[[#This Row],[Opp]],Table123[DEF],'2425'!$J$3:$J$34),"#N/A")</f>
        <v>#N/A</v>
      </c>
      <c r="I63" s="148" t="str" cm="1">
        <f t="array" ref="I63">IF(Table117821341[[#This Row],[Pos.]]="QB1",_xlfn.XLOOKUP(Table117821341[[#This Row],[Opp]],Table123[DEF],'2425'!$K$3:$K$34),"#N/A")</f>
        <v>#N/A</v>
      </c>
      <c r="J63" s="148" t="e" cm="1">
        <f t="array" ref="J6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3" s="148" t="e" cm="1">
        <f t="array" ref="K6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3" s="148" t="e" cm="1">
        <f t="array" ref="L6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3" s="148" t="e" cm="1">
        <f t="array" ref="M6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3" s="148" t="e" cm="1">
        <f t="array" ref="N6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3" s="149" t="str">
        <f>IF(Table117821341[[#This Row],[Pos.]]="QB1",_xlfn.XLOOKUP(Table117821341[[#This Row],[Opp]],Table123[DEF],Table123[P]),"#N/A")</f>
        <v>#N/A</v>
      </c>
      <c r="P63" s="149" t="str">
        <f>IF(Table117821341[[#This Row],[Pos.]]="QB1",_xlfn.XLOOKUP(Table117821341[[#This Row],[Opp]],Table123[DEF],Table123[P+R]),"#N/A")</f>
        <v>#N/A</v>
      </c>
      <c r="Q63" s="150" t="str">
        <f>IF(Table117821341[[#This Row],[Pos.]]="QB1",_xlfn.XLOOKUP(Table117821341[[#This Row],[Opp]],Table123[DEF],Table123[P TD]),"#N/A")</f>
        <v>#N/A</v>
      </c>
      <c r="R63" s="149" t="e" cm="1">
        <f t="array" ref="R6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3" s="150" t="e" cm="1">
        <f t="array" ref="S6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3" s="150" t="e" cm="1">
        <f t="array" ref="T6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3" s="150" t="e" cm="1">
        <f t="array" ref="U6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3" s="150" t="e" cm="1">
        <f t="array" ref="V6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3" s="148" t="e" cm="1">
        <f t="array" ref="W63">_xlfn.IFS(Table117821341[[#This Row],[Pos.]]="QB1",AVERAGE(G63,H63,I63,J63,N63),Table117821341[[#This Row],[Pos.]]="RB1",AVERAGE(J63,K63,N63),Table117821341[[#This Row],[Pos.]]="RB2",AVERAGE(J63,K63,N63),Table117821341[[#This Row],[Pos.]]="WR1",AVERAGE(L63,M63,N63),Table117821341[[#This Row],[Pos.]]="WR2",AVERAGE(L63,M63,N63),Table117821341[[#This Row],[Pos.]]="WR3",AVERAGE(L63,M63,N63),Table117821341[[#This Row],[Pos.]]="WR4",AVERAGE(L63,M63,N63),Table117821341[[#This Row],[Pos.]]="TE1",AVERAGE(L63,M63,N63),Table117821341[[#This Row],[Pos.]]="TE2",AVERAGE(L63,M63,N63),Table117821341[[#This Row],[Pos.]]="D/ST",AVERAGE(Table117821341[[#This Row],[*TD*]]))</f>
        <v>#N/A</v>
      </c>
      <c r="X63" s="94" t="e">
        <f t="shared" si="0"/>
        <v>#N/A</v>
      </c>
    </row>
    <row r="64" spans="2:24" hidden="1" x14ac:dyDescent="0.35">
      <c r="B64" s="6" t="s">
        <v>371</v>
      </c>
      <c r="C64" s="97" t="s">
        <v>54</v>
      </c>
      <c r="D64" s="97" t="s">
        <v>397</v>
      </c>
      <c r="E64" s="23" t="str" cm="1">
        <f t="array" ref="E64">_xlfn.XLOOKUP(Table117821341[[#This Row],[Team]],Table4334[Team],'2425'!$C$3:$C$34)</f>
        <v>n/a</v>
      </c>
      <c r="F64" s="97" t="str">
        <f>_xlfn.XLOOKUP(Table117821341[[#This Row],[Team]],Table4334[Team],Table4334[OPP])</f>
        <v>n/a</v>
      </c>
      <c r="G64" s="148" t="str" cm="1">
        <f t="array" ref="G64">IF(Table117821341[[#This Row],[Pos.]]="QB1",_xlfn.XLOOKUP(Table117821341[[#This Row],[Opp]],Table123[DEF],'2425'!$G$3:$G$34),"#N/A")</f>
        <v>#N/A</v>
      </c>
      <c r="H64" s="148" t="str" cm="1">
        <f t="array" ref="H64">IF(Table117821341[[#This Row],[Pos.]]="QB1",_xlfn.XLOOKUP(Table117821341[[#This Row],[Opp]],Table123[DEF],'2425'!$J$3:$J$34),"#N/A")</f>
        <v>#N/A</v>
      </c>
      <c r="I64" s="148" t="str" cm="1">
        <f t="array" ref="I64">IF(Table117821341[[#This Row],[Pos.]]="QB1",_xlfn.XLOOKUP(Table117821341[[#This Row],[Opp]],Table123[DEF],'2425'!$K$3:$K$34),"#N/A")</f>
        <v>#N/A</v>
      </c>
      <c r="J64" s="148" t="e" cm="1">
        <f t="array" ref="J6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4" s="148" t="e" cm="1">
        <f t="array" ref="K6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4" s="148" t="e" cm="1">
        <f t="array" ref="L6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4" s="148" t="e" cm="1">
        <f t="array" ref="M6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4" s="148" t="e" cm="1">
        <f t="array" ref="N6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4" s="149" t="str">
        <f>IF(Table117821341[[#This Row],[Pos.]]="QB1",_xlfn.XLOOKUP(Table117821341[[#This Row],[Opp]],Table123[DEF],Table123[P]),"#N/A")</f>
        <v>#N/A</v>
      </c>
      <c r="P64" s="149" t="str">
        <f>IF(Table117821341[[#This Row],[Pos.]]="QB1",_xlfn.XLOOKUP(Table117821341[[#This Row],[Opp]],Table123[DEF],Table123[P+R]),"#N/A")</f>
        <v>#N/A</v>
      </c>
      <c r="Q64" s="150" t="str">
        <f>IF(Table117821341[[#This Row],[Pos.]]="QB1",_xlfn.XLOOKUP(Table117821341[[#This Row],[Opp]],Table123[DEF],Table123[P TD]),"#N/A")</f>
        <v>#N/A</v>
      </c>
      <c r="R64" s="149" t="e" cm="1">
        <f t="array" ref="R6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4" s="150" t="e" cm="1">
        <f t="array" ref="S6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4" s="150" t="e" cm="1">
        <f t="array" ref="T6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4" s="150" t="e" cm="1">
        <f t="array" ref="U6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4" s="162" t="e" cm="1">
        <f t="array" ref="V6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4" s="148" t="e" cm="1">
        <f t="array" ref="W64">_xlfn.IFS(Table117821341[[#This Row],[Pos.]]="QB1",AVERAGE(G64,H64,I64,J64,N64),Table117821341[[#This Row],[Pos.]]="RB1",AVERAGE(J64,K64,N64),Table117821341[[#This Row],[Pos.]]="RB2",AVERAGE(J64,K64,N64),Table117821341[[#This Row],[Pos.]]="WR1",AVERAGE(L64,M64,N64),Table117821341[[#This Row],[Pos.]]="WR2",AVERAGE(L64,M64,N64),Table117821341[[#This Row],[Pos.]]="WR3",AVERAGE(L64,M64,N64),Table117821341[[#This Row],[Pos.]]="WR4",AVERAGE(L64,M64,N64),Table117821341[[#This Row],[Pos.]]="TE1",AVERAGE(L64,M64,N64),Table117821341[[#This Row],[Pos.]]="TE2",AVERAGE(L64,M64,N64),Table117821341[[#This Row],[Pos.]]="D/ST",AVERAGE(Table117821341[[#This Row],[*TD*]]))</f>
        <v>#N/A</v>
      </c>
      <c r="X64" s="94" t="e">
        <f t="shared" si="0"/>
        <v>#N/A</v>
      </c>
    </row>
    <row r="65" spans="2:24" hidden="1" x14ac:dyDescent="0.35">
      <c r="B65" s="6" t="s">
        <v>356</v>
      </c>
      <c r="C65" s="97" t="s">
        <v>52</v>
      </c>
      <c r="D65" s="97" t="s">
        <v>67</v>
      </c>
      <c r="E65" s="23" t="str" cm="1">
        <f t="array" ref="E65">_xlfn.XLOOKUP(Table117821341[[#This Row],[Team]],Table4334[Team],'2425'!$C$3:$C$34)</f>
        <v>SB LX</v>
      </c>
      <c r="F65" s="97" t="str">
        <f>_xlfn.XLOOKUP(Table117821341[[#This Row],[Team]],Table4334[Team],Table4334[OPP])</f>
        <v>NE</v>
      </c>
      <c r="G65" s="148" t="str" cm="1">
        <f t="array" ref="G65">IF(Table117821341[[#This Row],[Pos.]]="QB1",_xlfn.XLOOKUP(Table117821341[[#This Row],[Opp]],Table123[DEF],'2425'!$G$3:$G$34),"#N/A")</f>
        <v>#N/A</v>
      </c>
      <c r="H65" s="148" t="str" cm="1">
        <f t="array" ref="H65">IF(Table117821341[[#This Row],[Pos.]]="QB1",_xlfn.XLOOKUP(Table117821341[[#This Row],[Opp]],Table123[DEF],'2425'!$J$3:$J$34),"#N/A")</f>
        <v>#N/A</v>
      </c>
      <c r="I65" s="148" t="str" cm="1">
        <f t="array" ref="I65">IF(Table117821341[[#This Row],[Pos.]]="QB1",_xlfn.XLOOKUP(Table117821341[[#This Row],[Opp]],Table123[DEF],'2425'!$K$3:$K$34),"#N/A")</f>
        <v>#N/A</v>
      </c>
      <c r="J65" s="148" t="e" cm="1">
        <f t="array" ref="J6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5" s="148" t="e" cm="1">
        <f t="array" ref="K6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5" s="148" cm="1">
        <f t="array" ref="L6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7</v>
      </c>
      <c r="M65" s="148" cm="1">
        <f t="array" ref="M6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11</v>
      </c>
      <c r="N65" s="148" cm="1">
        <f t="array" ref="N6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8</v>
      </c>
      <c r="O65" s="149" t="str">
        <f>IF(Table117821341[[#This Row],[Pos.]]="QB1",_xlfn.XLOOKUP(Table117821341[[#This Row],[Opp]],Table123[DEF],Table123[P]),"#N/A")</f>
        <v>#N/A</v>
      </c>
      <c r="P65" s="149" t="str">
        <f>IF(Table117821341[[#This Row],[Pos.]]="QB1",_xlfn.XLOOKUP(Table117821341[[#This Row],[Opp]],Table123[DEF],Table123[P+R]),"#N/A")</f>
        <v>#N/A</v>
      </c>
      <c r="Q65" s="150" t="str">
        <f>IF(Table117821341[[#This Row],[Pos.]]="QB1",_xlfn.XLOOKUP(Table117821341[[#This Row],[Opp]],Table123[DEF],Table123[P TD]),"#N/A")</f>
        <v>#N/A</v>
      </c>
      <c r="R65" s="149" t="e" cm="1">
        <f t="array" ref="R6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5" s="150" t="e" cm="1">
        <f t="array" ref="S6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5" s="150" cm="1">
        <f t="array" ref="T6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3.8529411764705883</v>
      </c>
      <c r="U65" s="150" cm="1">
        <f t="array" ref="U6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47.676470588235297</v>
      </c>
      <c r="V65" s="162" cm="1">
        <f t="array" ref="V6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0.41176470588235292</v>
      </c>
      <c r="W65" s="148" cm="1">
        <f t="array" ref="W65">_xlfn.IFS(Table117821341[[#This Row],[Pos.]]="QB1",AVERAGE(G65,H65,I65,J65,N65),Table117821341[[#This Row],[Pos.]]="RB1",AVERAGE(J65,K65,N65),Table117821341[[#This Row],[Pos.]]="RB2",AVERAGE(J65,K65,N65),Table117821341[[#This Row],[Pos.]]="WR1",AVERAGE(L65,M65,N65),Table117821341[[#This Row],[Pos.]]="WR2",AVERAGE(L65,M65,N65),Table117821341[[#This Row],[Pos.]]="WR3",AVERAGE(L65,M65,N65),Table117821341[[#This Row],[Pos.]]="WR4",AVERAGE(L65,M65,N65),Table117821341[[#This Row],[Pos.]]="TE1",AVERAGE(L65,M65,N65),Table117821341[[#This Row],[Pos.]]="TE2",AVERAGE(L65,M65,N65),Table117821341[[#This Row],[Pos.]]="D/ST",AVERAGE(Table117821341[[#This Row],[*TD*]]))</f>
        <v>8.6666666666666661</v>
      </c>
      <c r="X65" s="94">
        <f t="shared" si="0"/>
        <v>8.3333333333333321</v>
      </c>
    </row>
    <row r="66" spans="2:24" hidden="1" x14ac:dyDescent="0.35">
      <c r="B66" s="6" t="s">
        <v>187</v>
      </c>
      <c r="C66" s="97" t="s">
        <v>33</v>
      </c>
      <c r="D66" s="97" t="s">
        <v>67</v>
      </c>
      <c r="E66" s="23" t="str" cm="1">
        <f t="array" ref="E66">_xlfn.XLOOKUP(Table117821341[[#This Row],[Team]],Table4334[Team],'2425'!$C$3:$C$34)</f>
        <v>n/a</v>
      </c>
      <c r="F66" s="97" t="str">
        <f>_xlfn.XLOOKUP(Table117821341[[#This Row],[Team]],Table4334[Team],Table4334[OPP])</f>
        <v>n/a</v>
      </c>
      <c r="G66" s="148" t="str" cm="1">
        <f t="array" ref="G66">IF(Table117821341[[#This Row],[Pos.]]="QB1",_xlfn.XLOOKUP(Table117821341[[#This Row],[Opp]],Table123[DEF],'2425'!$G$3:$G$34),"#N/A")</f>
        <v>#N/A</v>
      </c>
      <c r="H66" s="148" t="str" cm="1">
        <f t="array" ref="H66">IF(Table117821341[[#This Row],[Pos.]]="QB1",_xlfn.XLOOKUP(Table117821341[[#This Row],[Opp]],Table123[DEF],'2425'!$J$3:$J$34),"#N/A")</f>
        <v>#N/A</v>
      </c>
      <c r="I66" s="148" t="str" cm="1">
        <f t="array" ref="I66">IF(Table117821341[[#This Row],[Pos.]]="QB1",_xlfn.XLOOKUP(Table117821341[[#This Row],[Opp]],Table123[DEF],'2425'!$K$3:$K$34),"#N/A")</f>
        <v>#N/A</v>
      </c>
      <c r="J66" s="148" t="e" cm="1">
        <f t="array" ref="J6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6" s="148" t="e" cm="1">
        <f t="array" ref="K6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6" s="148" t="e" cm="1">
        <f t="array" ref="L6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6" s="148" t="e" cm="1">
        <f t="array" ref="M6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6" s="148" t="e" cm="1">
        <f t="array" ref="N6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6" s="149" t="str">
        <f>IF(Table117821341[[#This Row],[Pos.]]="QB1",_xlfn.XLOOKUP(Table117821341[[#This Row],[Opp]],Table123[DEF],Table123[P]),"#N/A")</f>
        <v>#N/A</v>
      </c>
      <c r="P66" s="149" t="str">
        <f>IF(Table117821341[[#This Row],[Pos.]]="QB1",_xlfn.XLOOKUP(Table117821341[[#This Row],[Opp]],Table123[DEF],Table123[P+R]),"#N/A")</f>
        <v>#N/A</v>
      </c>
      <c r="Q66" s="150" t="str">
        <f>IF(Table117821341[[#This Row],[Pos.]]="QB1",_xlfn.XLOOKUP(Table117821341[[#This Row],[Opp]],Table123[DEF],Table123[P TD]),"#N/A")</f>
        <v>#N/A</v>
      </c>
      <c r="R66" s="149" t="e" cm="1">
        <f t="array" ref="R6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6" s="150" t="e" cm="1">
        <f t="array" ref="S6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6" s="150" t="e" cm="1">
        <f t="array" ref="T6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6" s="150" t="e" cm="1">
        <f t="array" ref="U6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6" s="162" t="e" cm="1">
        <f t="array" ref="V6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6" s="148" t="e" cm="1">
        <f t="array" ref="W66">_xlfn.IFS(Table117821341[[#This Row],[Pos.]]="QB1",AVERAGE(G66,H66,I66,J66,N66),Table117821341[[#This Row],[Pos.]]="RB1",AVERAGE(J66,K66,N66),Table117821341[[#This Row],[Pos.]]="RB2",AVERAGE(J66,K66,N66),Table117821341[[#This Row],[Pos.]]="WR1",AVERAGE(L66,M66,N66),Table117821341[[#This Row],[Pos.]]="WR2",AVERAGE(L66,M66,N66),Table117821341[[#This Row],[Pos.]]="WR3",AVERAGE(L66,M66,N66),Table117821341[[#This Row],[Pos.]]="WR4",AVERAGE(L66,M66,N66),Table117821341[[#This Row],[Pos.]]="TE1",AVERAGE(L66,M66,N66),Table117821341[[#This Row],[Pos.]]="TE2",AVERAGE(L66,M66,N66),Table117821341[[#This Row],[Pos.]]="D/ST",AVERAGE(Table117821341[[#This Row],[*TD*]]))</f>
        <v>#N/A</v>
      </c>
      <c r="X66" s="94" t="e">
        <f t="shared" si="0"/>
        <v>#N/A</v>
      </c>
    </row>
    <row r="67" spans="2:24" hidden="1" x14ac:dyDescent="0.35">
      <c r="B67" s="179" t="s">
        <v>354</v>
      </c>
      <c r="C67" s="97" t="s">
        <v>52</v>
      </c>
      <c r="D67" s="97" t="s">
        <v>397</v>
      </c>
      <c r="E67" s="23" t="str" cm="1">
        <f t="array" ref="E67">_xlfn.XLOOKUP(Table117821341[[#This Row],[Team]],Table4334[Team],'2425'!$C$3:$C$34)</f>
        <v>SB LX</v>
      </c>
      <c r="F67" s="97" t="str">
        <f>_xlfn.XLOOKUP(Table117821341[[#This Row],[Team]],Table4334[Team],Table4334[OPP])</f>
        <v>NE</v>
      </c>
      <c r="G67" s="148" t="str" cm="1">
        <f t="array" ref="G67">IF(Table117821341[[#This Row],[Pos.]]="QB1",_xlfn.XLOOKUP(Table117821341[[#This Row],[Opp]],Table123[DEF],'2425'!$G$3:$G$34),"#N/A")</f>
        <v>#N/A</v>
      </c>
      <c r="H67" s="148" t="str" cm="1">
        <f t="array" ref="H67">IF(Table117821341[[#This Row],[Pos.]]="QB1",_xlfn.XLOOKUP(Table117821341[[#This Row],[Opp]],Table123[DEF],'2425'!$J$3:$J$34),"#N/A")</f>
        <v>#N/A</v>
      </c>
      <c r="I67" s="148" t="str" cm="1">
        <f t="array" ref="I67">IF(Table117821341[[#This Row],[Pos.]]="QB1",_xlfn.XLOOKUP(Table117821341[[#This Row],[Opp]],Table123[DEF],'2425'!$K$3:$K$34),"#N/A")</f>
        <v>#N/A</v>
      </c>
      <c r="J67" s="148" t="e" cm="1">
        <f t="array" ref="J6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7" s="148" t="e" cm="1">
        <f t="array" ref="K6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7" s="148" cm="1">
        <f t="array" ref="L6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13</v>
      </c>
      <c r="M67" s="148" cm="1">
        <f t="array" ref="M6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15</v>
      </c>
      <c r="N67" s="148" cm="1">
        <f t="array" ref="N6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19.5</v>
      </c>
      <c r="O67" s="149" t="str">
        <f>IF(Table117821341[[#This Row],[Pos.]]="QB1",_xlfn.XLOOKUP(Table117821341[[#This Row],[Opp]],Table123[DEF],Table123[P]),"#N/A")</f>
        <v>#N/A</v>
      </c>
      <c r="P67" s="149" t="str">
        <f>IF(Table117821341[[#This Row],[Pos.]]="QB1",_xlfn.XLOOKUP(Table117821341[[#This Row],[Opp]],Table123[DEF],Table123[P+R]),"#N/A")</f>
        <v>#N/A</v>
      </c>
      <c r="Q67" s="150" t="str">
        <f>IF(Table117821341[[#This Row],[Pos.]]="QB1",_xlfn.XLOOKUP(Table117821341[[#This Row],[Opp]],Table123[DEF],Table123[P TD]),"#N/A")</f>
        <v>#N/A</v>
      </c>
      <c r="R67" s="149" t="e" cm="1">
        <f t="array" ref="R6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7" s="150" t="e" cm="1">
        <f t="array" ref="S6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7" s="150" cm="1">
        <f t="array" ref="T6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5.3823529411764701</v>
      </c>
      <c r="U67" s="150" cm="1">
        <f t="array" ref="U6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53.676470588235297</v>
      </c>
      <c r="V67" s="162" cm="1">
        <f t="array" ref="V6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0.3235294117647059</v>
      </c>
      <c r="W67" s="148" cm="1">
        <f t="array" ref="W67">_xlfn.IFS(Table117821341[[#This Row],[Pos.]]="QB1",AVERAGE(G67,H67,I67,J67,N67),Table117821341[[#This Row],[Pos.]]="RB1",AVERAGE(J67,K67,N67),Table117821341[[#This Row],[Pos.]]="RB2",AVERAGE(J67,K67,N67),Table117821341[[#This Row],[Pos.]]="WR1",AVERAGE(L67,M67,N67),Table117821341[[#This Row],[Pos.]]="WR2",AVERAGE(L67,M67,N67),Table117821341[[#This Row],[Pos.]]="WR3",AVERAGE(L67,M67,N67),Table117821341[[#This Row],[Pos.]]="WR4",AVERAGE(L67,M67,N67),Table117821341[[#This Row],[Pos.]]="TE1",AVERAGE(L67,M67,N67),Table117821341[[#This Row],[Pos.]]="TE2",AVERAGE(L67,M67,N67),Table117821341[[#This Row],[Pos.]]="D/ST",AVERAGE(Table117821341[[#This Row],[*TD*]]))</f>
        <v>15.833333333333334</v>
      </c>
      <c r="X67" s="94">
        <f t="shared" ref="X67:X130" si="1">AVERAGE(N67,W67)</f>
        <v>17.666666666666668</v>
      </c>
    </row>
    <row r="68" spans="2:24" hidden="1" x14ac:dyDescent="0.35">
      <c r="B68" s="6" t="s">
        <v>402</v>
      </c>
      <c r="C68" s="97" t="s">
        <v>17</v>
      </c>
      <c r="D68" s="97" t="s">
        <v>403</v>
      </c>
      <c r="E68" s="23" t="str" cm="1">
        <f t="array" ref="E68">_xlfn.XLOOKUP(Table117821341[[#This Row],[Team]],Table4334[Team],'2425'!$C$3:$C$34)</f>
        <v>n/a</v>
      </c>
      <c r="F68" s="97" t="str">
        <f>_xlfn.XLOOKUP(Table117821341[[#This Row],[Team]],Table4334[Team],Table4334[OPP])</f>
        <v>n/a</v>
      </c>
      <c r="G68" s="148" t="str" cm="1">
        <f t="array" ref="G68">IF(Table117821341[[#This Row],[Pos.]]="QB1",_xlfn.XLOOKUP(Table117821341[[#This Row],[Opp]],Table123[DEF],'2425'!$G$3:$G$34),"#N/A")</f>
        <v>#N/A</v>
      </c>
      <c r="H68" s="148" t="str" cm="1">
        <f t="array" ref="H68">IF(Table117821341[[#This Row],[Pos.]]="QB1",_xlfn.XLOOKUP(Table117821341[[#This Row],[Opp]],Table123[DEF],'2425'!$J$3:$J$34),"#N/A")</f>
        <v>#N/A</v>
      </c>
      <c r="I68" s="148" t="str" cm="1">
        <f t="array" ref="I68">IF(Table117821341[[#This Row],[Pos.]]="QB1",_xlfn.XLOOKUP(Table117821341[[#This Row],[Opp]],Table123[DEF],'2425'!$K$3:$K$34),"#N/A")</f>
        <v>#N/A</v>
      </c>
      <c r="J68" s="148" t="e" cm="1">
        <f t="array" ref="J6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8" s="148" t="e" cm="1">
        <f t="array" ref="K6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8" s="148" t="e" cm="1">
        <f t="array" ref="L6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8" s="148" t="e" cm="1">
        <f t="array" ref="M6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8" s="148" t="e" cm="1">
        <f t="array" ref="N6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8" s="149" t="str">
        <f>IF(Table117821341[[#This Row],[Pos.]]="QB1",_xlfn.XLOOKUP(Table117821341[[#This Row],[Opp]],Table123[DEF],Table123[P]),"#N/A")</f>
        <v>#N/A</v>
      </c>
      <c r="P68" s="149" t="str">
        <f>IF(Table117821341[[#This Row],[Pos.]]="QB1",_xlfn.XLOOKUP(Table117821341[[#This Row],[Opp]],Table123[DEF],Table123[P+R]),"#N/A")</f>
        <v>#N/A</v>
      </c>
      <c r="Q68" s="150" t="str">
        <f>IF(Table117821341[[#This Row],[Pos.]]="QB1",_xlfn.XLOOKUP(Table117821341[[#This Row],[Opp]],Table123[DEF],Table123[P TD]),"#N/A")</f>
        <v>#N/A</v>
      </c>
      <c r="R68" s="149" t="e" cm="1">
        <f t="array" ref="R6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8" s="150" t="e" cm="1">
        <f t="array" ref="S6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8" s="150" t="e" cm="1">
        <f t="array" ref="T6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8" s="150" t="e" cm="1">
        <f t="array" ref="U6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8" s="150" t="e" cm="1">
        <f t="array" ref="V6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8" s="148" t="e" cm="1">
        <f t="array" ref="W68">_xlfn.IFS(Table117821341[[#This Row],[Pos.]]="QB1",AVERAGE(G68,H68,I68,J68,N68),Table117821341[[#This Row],[Pos.]]="RB1",AVERAGE(J68,K68,N68),Table117821341[[#This Row],[Pos.]]="RB2",AVERAGE(J68,K68,N68),Table117821341[[#This Row],[Pos.]]="WR1",AVERAGE(L68,M68,N68),Table117821341[[#This Row],[Pos.]]="WR2",AVERAGE(L68,M68,N68),Table117821341[[#This Row],[Pos.]]="WR3",AVERAGE(L68,M68,N68),Table117821341[[#This Row],[Pos.]]="WR4",AVERAGE(L68,M68,N68),Table117821341[[#This Row],[Pos.]]="TE1",AVERAGE(L68,M68,N68),Table117821341[[#This Row],[Pos.]]="TE2",AVERAGE(L68,M68,N68),Table117821341[[#This Row],[Pos.]]="D/ST",AVERAGE(Table117821341[[#This Row],[*TD*]]))</f>
        <v>#N/A</v>
      </c>
      <c r="X68" s="94" t="e">
        <f t="shared" si="1"/>
        <v>#N/A</v>
      </c>
    </row>
    <row r="69" spans="2:24" hidden="1" x14ac:dyDescent="0.35">
      <c r="B69" s="6" t="s">
        <v>410</v>
      </c>
      <c r="C69" s="97" t="s">
        <v>17</v>
      </c>
      <c r="D69" s="97" t="s">
        <v>411</v>
      </c>
      <c r="E69" s="23" t="str" cm="1">
        <f t="array" ref="E69">_xlfn.XLOOKUP(Table117821341[[#This Row],[Team]],Table4334[Team],'2425'!$C$3:$C$34)</f>
        <v>n/a</v>
      </c>
      <c r="F69" s="97" t="str">
        <f>_xlfn.XLOOKUP(Table117821341[[#This Row],[Team]],Table4334[Team],Table4334[OPP])</f>
        <v>n/a</v>
      </c>
      <c r="G69" s="148" t="str" cm="1">
        <f t="array" ref="G69">IF(Table117821341[[#This Row],[Pos.]]="QB1",_xlfn.XLOOKUP(Table117821341[[#This Row],[Opp]],Table123[DEF],'2425'!$G$3:$G$34),"#N/A")</f>
        <v>#N/A</v>
      </c>
      <c r="H69" s="148" t="str" cm="1">
        <f t="array" ref="H69">IF(Table117821341[[#This Row],[Pos.]]="QB1",_xlfn.XLOOKUP(Table117821341[[#This Row],[Opp]],Table123[DEF],'2425'!$J$3:$J$34),"#N/A")</f>
        <v>#N/A</v>
      </c>
      <c r="I69" s="148" t="str" cm="1">
        <f t="array" ref="I69">IF(Table117821341[[#This Row],[Pos.]]="QB1",_xlfn.XLOOKUP(Table117821341[[#This Row],[Opp]],Table123[DEF],'2425'!$K$3:$K$34),"#N/A")</f>
        <v>#N/A</v>
      </c>
      <c r="J69" s="148" t="e" cm="1">
        <f t="array" ref="J6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69" s="148" t="e" cm="1">
        <f t="array" ref="K6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69" s="148" t="e" cm="1">
        <f t="array" ref="L6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69" s="148" t="e" cm="1">
        <f t="array" ref="M6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69" s="148" t="e" cm="1">
        <f t="array" ref="N6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69" s="149" t="str">
        <f>IF(Table117821341[[#This Row],[Pos.]]="QB1",_xlfn.XLOOKUP(Table117821341[[#This Row],[Opp]],Table123[DEF],Table123[P]),"#N/A")</f>
        <v>#N/A</v>
      </c>
      <c r="P69" s="149" t="str">
        <f>IF(Table117821341[[#This Row],[Pos.]]="QB1",_xlfn.XLOOKUP(Table117821341[[#This Row],[Opp]],Table123[DEF],Table123[P+R]),"#N/A")</f>
        <v>#N/A</v>
      </c>
      <c r="Q69" s="150" t="str">
        <f>IF(Table117821341[[#This Row],[Pos.]]="QB1",_xlfn.XLOOKUP(Table117821341[[#This Row],[Opp]],Table123[DEF],Table123[P TD]),"#N/A")</f>
        <v>#N/A</v>
      </c>
      <c r="R69" s="149" t="e" cm="1">
        <f t="array" ref="R6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69" s="150" t="e" cm="1">
        <f t="array" ref="S6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69" s="150" t="e" cm="1">
        <f t="array" ref="T6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69" s="150" t="e" cm="1">
        <f t="array" ref="U6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69" s="150" t="e" cm="1">
        <f t="array" ref="V6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69" s="148" t="e" cm="1">
        <f t="array" ref="W69">_xlfn.IFS(Table117821341[[#This Row],[Pos.]]="QB1",AVERAGE(G69,H69,I69,J69,N69),Table117821341[[#This Row],[Pos.]]="RB1",AVERAGE(J69,K69,N69),Table117821341[[#This Row],[Pos.]]="RB2",AVERAGE(J69,K69,N69),Table117821341[[#This Row],[Pos.]]="WR1",AVERAGE(L69,M69,N69),Table117821341[[#This Row],[Pos.]]="WR2",AVERAGE(L69,M69,N69),Table117821341[[#This Row],[Pos.]]="WR3",AVERAGE(L69,M69,N69),Table117821341[[#This Row],[Pos.]]="WR4",AVERAGE(L69,M69,N69),Table117821341[[#This Row],[Pos.]]="TE1",AVERAGE(L69,M69,N69),Table117821341[[#This Row],[Pos.]]="TE2",AVERAGE(L69,M69,N69),Table117821341[[#This Row],[Pos.]]="D/ST",AVERAGE(Table117821341[[#This Row],[*TD*]]))</f>
        <v>#N/A</v>
      </c>
      <c r="X69" s="94" t="e">
        <f t="shared" si="1"/>
        <v>#N/A</v>
      </c>
    </row>
    <row r="70" spans="2:24" hidden="1" x14ac:dyDescent="0.35">
      <c r="B70" s="6" t="s">
        <v>318</v>
      </c>
      <c r="C70" s="97" t="s">
        <v>47</v>
      </c>
      <c r="D70" s="97" t="s">
        <v>67</v>
      </c>
      <c r="E70" s="23" t="str" cm="1">
        <f t="array" ref="E70">_xlfn.XLOOKUP(Table117821341[[#This Row],[Team]],Table4334[Team],'2425'!$C$3:$C$34)</f>
        <v>n/a</v>
      </c>
      <c r="F70" s="97" t="str">
        <f>_xlfn.XLOOKUP(Table117821341[[#This Row],[Team]],Table4334[Team],Table4334[OPP])</f>
        <v>n/a</v>
      </c>
      <c r="G70" s="148" t="str" cm="1">
        <f t="array" ref="G70">IF(Table117821341[[#This Row],[Pos.]]="QB1",_xlfn.XLOOKUP(Table117821341[[#This Row],[Opp]],Table123[DEF],'2425'!$G$3:$G$34),"#N/A")</f>
        <v>#N/A</v>
      </c>
      <c r="H70" s="148" t="str" cm="1">
        <f t="array" ref="H70">IF(Table117821341[[#This Row],[Pos.]]="QB1",_xlfn.XLOOKUP(Table117821341[[#This Row],[Opp]],Table123[DEF],'2425'!$J$3:$J$34),"#N/A")</f>
        <v>#N/A</v>
      </c>
      <c r="I70" s="148" t="str" cm="1">
        <f t="array" ref="I70">IF(Table117821341[[#This Row],[Pos.]]="QB1",_xlfn.XLOOKUP(Table117821341[[#This Row],[Opp]],Table123[DEF],'2425'!$K$3:$K$34),"#N/A")</f>
        <v>#N/A</v>
      </c>
      <c r="J70" s="148" t="e" cm="1">
        <f t="array" ref="J7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0" s="148" t="e" cm="1">
        <f t="array" ref="K7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0" s="148" t="e" cm="1">
        <f t="array" ref="L7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0" s="148" t="e" cm="1">
        <f t="array" ref="M7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0" s="148" t="e" cm="1">
        <f t="array" ref="N7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0" s="149" t="str">
        <f>IF(Table117821341[[#This Row],[Pos.]]="QB1",_xlfn.XLOOKUP(Table117821341[[#This Row],[Opp]],Table123[DEF],Table123[P]),"#N/A")</f>
        <v>#N/A</v>
      </c>
      <c r="P70" s="149" t="str">
        <f>IF(Table117821341[[#This Row],[Pos.]]="QB1",_xlfn.XLOOKUP(Table117821341[[#This Row],[Opp]],Table123[DEF],Table123[P+R]),"#N/A")</f>
        <v>#N/A</v>
      </c>
      <c r="Q70" s="150" t="str">
        <f>IF(Table117821341[[#This Row],[Pos.]]="QB1",_xlfn.XLOOKUP(Table117821341[[#This Row],[Opp]],Table123[DEF],Table123[P TD]),"#N/A")</f>
        <v>#N/A</v>
      </c>
      <c r="R70" s="149" t="e" cm="1">
        <f t="array" ref="R7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0" s="150" t="e" cm="1">
        <f t="array" ref="S7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0" s="150" t="e" cm="1">
        <f t="array" ref="T7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0" s="150" t="e" cm="1">
        <f t="array" ref="U7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0" s="162" t="e" cm="1">
        <f t="array" ref="V7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0" s="148" t="e" cm="1">
        <f t="array" ref="W70">_xlfn.IFS(Table117821341[[#This Row],[Pos.]]="QB1",AVERAGE(G70,H70,I70,J70,N70),Table117821341[[#This Row],[Pos.]]="RB1",AVERAGE(J70,K70,N70),Table117821341[[#This Row],[Pos.]]="RB2",AVERAGE(J70,K70,N70),Table117821341[[#This Row],[Pos.]]="WR1",AVERAGE(L70,M70,N70),Table117821341[[#This Row],[Pos.]]="WR2",AVERAGE(L70,M70,N70),Table117821341[[#This Row],[Pos.]]="WR3",AVERAGE(L70,M70,N70),Table117821341[[#This Row],[Pos.]]="WR4",AVERAGE(L70,M70,N70),Table117821341[[#This Row],[Pos.]]="TE1",AVERAGE(L70,M70,N70),Table117821341[[#This Row],[Pos.]]="TE2",AVERAGE(L70,M70,N70),Table117821341[[#This Row],[Pos.]]="D/ST",AVERAGE(Table117821341[[#This Row],[*TD*]]))</f>
        <v>#N/A</v>
      </c>
      <c r="X70" s="94" t="e">
        <f t="shared" si="1"/>
        <v>#N/A</v>
      </c>
    </row>
    <row r="71" spans="2:24" hidden="1" x14ac:dyDescent="0.35">
      <c r="B71" s="6" t="s">
        <v>230</v>
      </c>
      <c r="C71" s="97" t="s">
        <v>38</v>
      </c>
      <c r="D71" s="97" t="s">
        <v>397</v>
      </c>
      <c r="E71" s="23" t="str" cm="1">
        <f t="array" ref="E71">_xlfn.XLOOKUP(Table117821341[[#This Row],[Team]],Table4334[Team],'2425'!$C$3:$C$34)</f>
        <v>n/a</v>
      </c>
      <c r="F71" s="97" t="str">
        <f>_xlfn.XLOOKUP(Table117821341[[#This Row],[Team]],Table4334[Team],Table4334[OPP])</f>
        <v>n/a</v>
      </c>
      <c r="G71" s="148" t="str" cm="1">
        <f t="array" ref="G71">IF(Table117821341[[#This Row],[Pos.]]="QB1",_xlfn.XLOOKUP(Table117821341[[#This Row],[Opp]],Table123[DEF],'2425'!$G$3:$G$34),"#N/A")</f>
        <v>#N/A</v>
      </c>
      <c r="H71" s="148" t="str" cm="1">
        <f t="array" ref="H71">IF(Table117821341[[#This Row],[Pos.]]="QB1",_xlfn.XLOOKUP(Table117821341[[#This Row],[Opp]],Table123[DEF],'2425'!$J$3:$J$34),"#N/A")</f>
        <v>#N/A</v>
      </c>
      <c r="I71" s="148" t="str" cm="1">
        <f t="array" ref="I71">IF(Table117821341[[#This Row],[Pos.]]="QB1",_xlfn.XLOOKUP(Table117821341[[#This Row],[Opp]],Table123[DEF],'2425'!$K$3:$K$34),"#N/A")</f>
        <v>#N/A</v>
      </c>
      <c r="J71" s="148" t="e" cm="1">
        <f t="array" ref="J7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1" s="148" t="e" cm="1">
        <f t="array" ref="K7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1" s="148" t="e" cm="1">
        <f t="array" ref="L7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1" s="148" t="e" cm="1">
        <f t="array" ref="M7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1" s="148" t="e" cm="1">
        <f t="array" ref="N7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1" s="149" t="str">
        <f>IF(Table117821341[[#This Row],[Pos.]]="QB1",_xlfn.XLOOKUP(Table117821341[[#This Row],[Opp]],Table123[DEF],Table123[P]),"#N/A")</f>
        <v>#N/A</v>
      </c>
      <c r="P71" s="149" t="str">
        <f>IF(Table117821341[[#This Row],[Pos.]]="QB1",_xlfn.XLOOKUP(Table117821341[[#This Row],[Opp]],Table123[DEF],Table123[P+R]),"#N/A")</f>
        <v>#N/A</v>
      </c>
      <c r="Q71" s="150" t="str">
        <f>IF(Table117821341[[#This Row],[Pos.]]="QB1",_xlfn.XLOOKUP(Table117821341[[#This Row],[Opp]],Table123[DEF],Table123[P TD]),"#N/A")</f>
        <v>#N/A</v>
      </c>
      <c r="R71" s="149" t="e" cm="1">
        <f t="array" ref="R7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1" s="150" t="e" cm="1">
        <f t="array" ref="S7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1" s="150" t="e" cm="1">
        <f t="array" ref="T7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1" s="150" t="e" cm="1">
        <f t="array" ref="U7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1" s="162" t="e" cm="1">
        <f t="array" ref="V7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1" s="148" t="e" cm="1">
        <f t="array" ref="W71">_xlfn.IFS(Table117821341[[#This Row],[Pos.]]="QB1",AVERAGE(G71,H71,I71,J71,N71),Table117821341[[#This Row],[Pos.]]="RB1",AVERAGE(J71,K71,N71),Table117821341[[#This Row],[Pos.]]="RB2",AVERAGE(J71,K71,N71),Table117821341[[#This Row],[Pos.]]="WR1",AVERAGE(L71,M71,N71),Table117821341[[#This Row],[Pos.]]="WR2",AVERAGE(L71,M71,N71),Table117821341[[#This Row],[Pos.]]="WR3",AVERAGE(L71,M71,N71),Table117821341[[#This Row],[Pos.]]="WR4",AVERAGE(L71,M71,N71),Table117821341[[#This Row],[Pos.]]="TE1",AVERAGE(L71,M71,N71),Table117821341[[#This Row],[Pos.]]="TE2",AVERAGE(L71,M71,N71),Table117821341[[#This Row],[Pos.]]="D/ST",AVERAGE(Table117821341[[#This Row],[*TD*]]))</f>
        <v>#N/A</v>
      </c>
      <c r="X71" s="94" t="e">
        <f t="shared" si="1"/>
        <v>#N/A</v>
      </c>
    </row>
    <row r="72" spans="2:24" hidden="1" x14ac:dyDescent="0.35">
      <c r="B72" s="6" t="s">
        <v>607</v>
      </c>
      <c r="C72" s="97" t="s">
        <v>29</v>
      </c>
      <c r="D72" s="97" t="s">
        <v>405</v>
      </c>
      <c r="E72" s="23" t="str" cm="1">
        <f t="array" ref="E72">_xlfn.XLOOKUP(Table117821341[[#This Row],[Team]],Table4334[Team],'2425'!$C$3:$C$34)</f>
        <v>n/a</v>
      </c>
      <c r="F72" s="97" t="str">
        <f>_xlfn.XLOOKUP(Table117821341[[#This Row],[Team]],Table4334[Team],Table4334[OPP])</f>
        <v>n/a</v>
      </c>
      <c r="G72" s="148" t="str" cm="1">
        <f t="array" ref="G72">IF(Table117821341[[#This Row],[Pos.]]="QB1",_xlfn.XLOOKUP(Table117821341[[#This Row],[Opp]],Table123[DEF],'2425'!$G$3:$G$34),"#N/A")</f>
        <v>#N/A</v>
      </c>
      <c r="H72" s="148" t="str" cm="1">
        <f t="array" ref="H72">IF(Table117821341[[#This Row],[Pos.]]="QB1",_xlfn.XLOOKUP(Table117821341[[#This Row],[Opp]],Table123[DEF],'2425'!$J$3:$J$34),"#N/A")</f>
        <v>#N/A</v>
      </c>
      <c r="I72" s="148" t="str" cm="1">
        <f t="array" ref="I72">IF(Table117821341[[#This Row],[Pos.]]="QB1",_xlfn.XLOOKUP(Table117821341[[#This Row],[Opp]],Table123[DEF],'2425'!$K$3:$K$34),"#N/A")</f>
        <v>#N/A</v>
      </c>
      <c r="J72" s="148" t="e" cm="1">
        <f t="array" ref="J7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2" s="148" t="e" cm="1">
        <f t="array" ref="K7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2" s="148" t="e" cm="1">
        <f t="array" ref="L7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2" s="148" t="e" cm="1">
        <f t="array" ref="M7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2" s="148" t="e" cm="1">
        <f t="array" ref="N7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2" s="149" t="str">
        <f>IF(Table117821341[[#This Row],[Pos.]]="QB1",_xlfn.XLOOKUP(Table117821341[[#This Row],[Opp]],Table123[DEF],Table123[P]),"#N/A")</f>
        <v>#N/A</v>
      </c>
      <c r="P72" s="149" t="str">
        <f>IF(Table117821341[[#This Row],[Pos.]]="QB1",_xlfn.XLOOKUP(Table117821341[[#This Row],[Opp]],Table123[DEF],Table123[P+R]),"#N/A")</f>
        <v>#N/A</v>
      </c>
      <c r="Q72" s="150" t="str">
        <f>IF(Table117821341[[#This Row],[Pos.]]="QB1",_xlfn.XLOOKUP(Table117821341[[#This Row],[Opp]],Table123[DEF],Table123[P TD]),"#N/A")</f>
        <v>#N/A</v>
      </c>
      <c r="R72" s="149" t="e" cm="1">
        <f t="array" ref="R7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2" s="150" t="e" cm="1">
        <f t="array" ref="S7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2" s="150" t="e" cm="1">
        <f t="array" ref="T7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2" s="150" t="e" cm="1">
        <f t="array" ref="U7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2" s="150" t="e" cm="1">
        <f t="array" ref="V7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2" s="148" t="e" cm="1">
        <f t="array" ref="W72">_xlfn.IFS(Table117821341[[#This Row],[Pos.]]="QB1",AVERAGE(G72,H72,I72,J72,N72),Table117821341[[#This Row],[Pos.]]="RB1",AVERAGE(J72,K72,N72),Table117821341[[#This Row],[Pos.]]="RB2",AVERAGE(J72,K72,N72),Table117821341[[#This Row],[Pos.]]="WR1",AVERAGE(L72,M72,N72),Table117821341[[#This Row],[Pos.]]="WR2",AVERAGE(L72,M72,N72),Table117821341[[#This Row],[Pos.]]="WR3",AVERAGE(L72,M72,N72),Table117821341[[#This Row],[Pos.]]="WR4",AVERAGE(L72,M72,N72),Table117821341[[#This Row],[Pos.]]="TE1",AVERAGE(L72,M72,N72),Table117821341[[#This Row],[Pos.]]="TE2",AVERAGE(L72,M72,N72),Table117821341[[#This Row],[Pos.]]="D/ST",AVERAGE(Table117821341[[#This Row],[*TD*]]))</f>
        <v>#N/A</v>
      </c>
      <c r="X72" s="94" t="e">
        <f t="shared" si="1"/>
        <v>#N/A</v>
      </c>
    </row>
    <row r="73" spans="2:24" hidden="1" x14ac:dyDescent="0.35">
      <c r="B73" s="6" t="s">
        <v>381</v>
      </c>
      <c r="C73" s="97" t="s">
        <v>55</v>
      </c>
      <c r="D73" s="97" t="s">
        <v>397</v>
      </c>
      <c r="E73" s="23" t="str" cm="1">
        <f t="array" ref="E73">_xlfn.XLOOKUP(Table117821341[[#This Row],[Team]],Table4334[Team],'2425'!$C$3:$C$34)</f>
        <v>n/a</v>
      </c>
      <c r="F73" s="97" t="str">
        <f>_xlfn.XLOOKUP(Table117821341[[#This Row],[Team]],Table4334[Team],Table4334[OPP])</f>
        <v>n/a</v>
      </c>
      <c r="G73" s="148" t="str" cm="1">
        <f t="array" ref="G73">IF(Table117821341[[#This Row],[Pos.]]="QB1",_xlfn.XLOOKUP(Table117821341[[#This Row],[Opp]],Table123[DEF],'2425'!$G$3:$G$34),"#N/A")</f>
        <v>#N/A</v>
      </c>
      <c r="H73" s="148" t="str" cm="1">
        <f t="array" ref="H73">IF(Table117821341[[#This Row],[Pos.]]="QB1",_xlfn.XLOOKUP(Table117821341[[#This Row],[Opp]],Table123[DEF],'2425'!$J$3:$J$34),"#N/A")</f>
        <v>#N/A</v>
      </c>
      <c r="I73" s="148" t="str" cm="1">
        <f t="array" ref="I73">IF(Table117821341[[#This Row],[Pos.]]="QB1",_xlfn.XLOOKUP(Table117821341[[#This Row],[Opp]],Table123[DEF],'2425'!$K$3:$K$34),"#N/A")</f>
        <v>#N/A</v>
      </c>
      <c r="J73" s="148" t="e" cm="1">
        <f t="array" ref="J7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3" s="148" t="e" cm="1">
        <f t="array" ref="K7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3" s="148" t="e" cm="1">
        <f t="array" ref="L7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3" s="148" t="e" cm="1">
        <f t="array" ref="M7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3" s="148" t="e" cm="1">
        <f t="array" ref="N7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3" s="149" t="str">
        <f>IF(Table117821341[[#This Row],[Pos.]]="QB1",_xlfn.XLOOKUP(Table117821341[[#This Row],[Opp]],Table123[DEF],Table123[P]),"#N/A")</f>
        <v>#N/A</v>
      </c>
      <c r="P73" s="149" t="str">
        <f>IF(Table117821341[[#This Row],[Pos.]]="QB1",_xlfn.XLOOKUP(Table117821341[[#This Row],[Opp]],Table123[DEF],Table123[P+R]),"#N/A")</f>
        <v>#N/A</v>
      </c>
      <c r="Q73" s="150" t="str">
        <f>IF(Table117821341[[#This Row],[Pos.]]="QB1",_xlfn.XLOOKUP(Table117821341[[#This Row],[Opp]],Table123[DEF],Table123[P TD]),"#N/A")</f>
        <v>#N/A</v>
      </c>
      <c r="R73" s="149" t="e" cm="1">
        <f t="array" ref="R7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3" s="150" t="e" cm="1">
        <f t="array" ref="S7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3" s="150" t="e" cm="1">
        <f t="array" ref="T7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3" s="150" t="e" cm="1">
        <f t="array" ref="U7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3" s="162" t="e" cm="1">
        <f t="array" ref="V7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3" s="148" t="e" cm="1">
        <f t="array" ref="W73">_xlfn.IFS(Table117821341[[#This Row],[Pos.]]="QB1",AVERAGE(G73,H73,I73,J73,N73),Table117821341[[#This Row],[Pos.]]="RB1",AVERAGE(J73,K73,N73),Table117821341[[#This Row],[Pos.]]="RB2",AVERAGE(J73,K73,N73),Table117821341[[#This Row],[Pos.]]="WR1",AVERAGE(L73,M73,N73),Table117821341[[#This Row],[Pos.]]="WR2",AVERAGE(L73,M73,N73),Table117821341[[#This Row],[Pos.]]="WR3",AVERAGE(L73,M73,N73),Table117821341[[#This Row],[Pos.]]="WR4",AVERAGE(L73,M73,N73),Table117821341[[#This Row],[Pos.]]="TE1",AVERAGE(L73,M73,N73),Table117821341[[#This Row],[Pos.]]="TE2",AVERAGE(L73,M73,N73),Table117821341[[#This Row],[Pos.]]="D/ST",AVERAGE(Table117821341[[#This Row],[*TD*]]))</f>
        <v>#N/A</v>
      </c>
      <c r="X73" s="94" t="e">
        <f t="shared" si="1"/>
        <v>#N/A</v>
      </c>
    </row>
    <row r="74" spans="2:24" hidden="1" x14ac:dyDescent="0.35">
      <c r="B74" s="6" t="s">
        <v>117</v>
      </c>
      <c r="C74" s="97" t="s">
        <v>29</v>
      </c>
      <c r="D74" s="97" t="s">
        <v>394</v>
      </c>
      <c r="E74" s="23" t="str" cm="1">
        <f t="array" ref="E74">_xlfn.XLOOKUP(Table117821341[[#This Row],[Team]],Table4334[Team],'2425'!$C$3:$C$34)</f>
        <v>n/a</v>
      </c>
      <c r="F74" s="97" t="str">
        <f>_xlfn.XLOOKUP(Table117821341[[#This Row],[Team]],Table4334[Team],Table4334[OPP])</f>
        <v>n/a</v>
      </c>
      <c r="G74" s="148" t="str" cm="1">
        <f t="array" ref="G74">IF(Table117821341[[#This Row],[Pos.]]="QB1",_xlfn.XLOOKUP(Table117821341[[#This Row],[Opp]],Table123[DEF],'2425'!$G$3:$G$34),"#N/A")</f>
        <v>#N/A</v>
      </c>
      <c r="H74" s="148" t="str" cm="1">
        <f t="array" ref="H74">IF(Table117821341[[#This Row],[Pos.]]="QB1",_xlfn.XLOOKUP(Table117821341[[#This Row],[Opp]],Table123[DEF],'2425'!$J$3:$J$34),"#N/A")</f>
        <v>#N/A</v>
      </c>
      <c r="I74" s="148" t="str" cm="1">
        <f t="array" ref="I74">IF(Table117821341[[#This Row],[Pos.]]="QB1",_xlfn.XLOOKUP(Table117821341[[#This Row],[Opp]],Table123[DEF],'2425'!$K$3:$K$34),"#N/A")</f>
        <v>#N/A</v>
      </c>
      <c r="J74" s="148" t="e" cm="1">
        <f t="array" ref="J7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4" s="148" t="e" cm="1">
        <f t="array" ref="K7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4" s="148" t="e" cm="1">
        <f t="array" ref="L7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4" s="148" t="e" cm="1">
        <f t="array" ref="M7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4" s="148" t="e" cm="1">
        <f t="array" ref="N7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4" s="149" t="str">
        <f>IF(Table117821341[[#This Row],[Pos.]]="QB1",_xlfn.XLOOKUP(Table117821341[[#This Row],[Opp]],Table123[DEF],Table123[P]),"#N/A")</f>
        <v>#N/A</v>
      </c>
      <c r="P74" s="149" t="str">
        <f>IF(Table117821341[[#This Row],[Pos.]]="QB1",_xlfn.XLOOKUP(Table117821341[[#This Row],[Opp]],Table123[DEF],Table123[P+R]),"#N/A")</f>
        <v>#N/A</v>
      </c>
      <c r="Q74" s="150" t="str">
        <f>IF(Table117821341[[#This Row],[Pos.]]="QB1",_xlfn.XLOOKUP(Table117821341[[#This Row],[Opp]],Table123[DEF],Table123[P TD]),"#N/A")</f>
        <v>#N/A</v>
      </c>
      <c r="R74" s="149" t="e" cm="1">
        <f t="array" ref="R7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4" s="150" t="e" cm="1">
        <f t="array" ref="S7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4" s="150" t="e" cm="1">
        <f t="array" ref="T7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4" s="150" t="e" cm="1">
        <f t="array" ref="U7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4" s="150" t="e" cm="1">
        <f t="array" ref="V7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4" s="148" t="e" cm="1">
        <f t="array" ref="W74">_xlfn.IFS(Table117821341[[#This Row],[Pos.]]="QB1",AVERAGE(G74,H74,I74,J74,N74),Table117821341[[#This Row],[Pos.]]="RB1",AVERAGE(J74,K74,N74),Table117821341[[#This Row],[Pos.]]="RB2",AVERAGE(J74,K74,N74),Table117821341[[#This Row],[Pos.]]="WR1",AVERAGE(L74,M74,N74),Table117821341[[#This Row],[Pos.]]="WR2",AVERAGE(L74,M74,N74),Table117821341[[#This Row],[Pos.]]="WR3",AVERAGE(L74,M74,N74),Table117821341[[#This Row],[Pos.]]="WR4",AVERAGE(L74,M74,N74),Table117821341[[#This Row],[Pos.]]="TE1",AVERAGE(L74,M74,N74),Table117821341[[#This Row],[Pos.]]="TE2",AVERAGE(L74,M74,N74),Table117821341[[#This Row],[Pos.]]="D/ST",AVERAGE(Table117821341[[#This Row],[*TD*]]))</f>
        <v>#N/A</v>
      </c>
      <c r="X74" s="94" t="e">
        <f t="shared" si="1"/>
        <v>#N/A</v>
      </c>
    </row>
    <row r="75" spans="2:24" hidden="1" x14ac:dyDescent="0.35">
      <c r="B75" s="6" t="s">
        <v>127</v>
      </c>
      <c r="C75" s="97" t="s">
        <v>29</v>
      </c>
      <c r="D75" s="97" t="s">
        <v>396</v>
      </c>
      <c r="E75" s="23" t="str" cm="1">
        <f t="array" ref="E75">_xlfn.XLOOKUP(Table117821341[[#This Row],[Team]],Table4334[Team],'2425'!$C$3:$C$34)</f>
        <v>n/a</v>
      </c>
      <c r="F75" s="97" t="str">
        <f>_xlfn.XLOOKUP(Table117821341[[#This Row],[Team]],Table4334[Team],Table4334[OPP])</f>
        <v>n/a</v>
      </c>
      <c r="G75" s="148" t="str" cm="1">
        <f t="array" ref="G75">IF(Table117821341[[#This Row],[Pos.]]="QB1",_xlfn.XLOOKUP(Table117821341[[#This Row],[Opp]],Table123[DEF],'2425'!$G$3:$G$34),"#N/A")</f>
        <v>#N/A</v>
      </c>
      <c r="H75" s="148" t="str" cm="1">
        <f t="array" ref="H75">IF(Table117821341[[#This Row],[Pos.]]="QB1",_xlfn.XLOOKUP(Table117821341[[#This Row],[Opp]],Table123[DEF],'2425'!$J$3:$J$34),"#N/A")</f>
        <v>#N/A</v>
      </c>
      <c r="I75" s="148" t="str" cm="1">
        <f t="array" ref="I75">IF(Table117821341[[#This Row],[Pos.]]="QB1",_xlfn.XLOOKUP(Table117821341[[#This Row],[Opp]],Table123[DEF],'2425'!$K$3:$K$34),"#N/A")</f>
        <v>#N/A</v>
      </c>
      <c r="J75" s="148" t="e" cm="1">
        <f t="array" ref="J7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5" s="148" t="e" cm="1">
        <f t="array" ref="K7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5" s="148" t="e" cm="1">
        <f t="array" ref="L7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5" s="148" t="e" cm="1">
        <f t="array" ref="M7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5" s="148" t="e" cm="1">
        <f t="array" ref="N7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5" s="149" t="str">
        <f>IF(Table117821341[[#This Row],[Pos.]]="QB1",_xlfn.XLOOKUP(Table117821341[[#This Row],[Opp]],Table123[DEF],Table123[P]),"#N/A")</f>
        <v>#N/A</v>
      </c>
      <c r="P75" s="149" t="str">
        <f>IF(Table117821341[[#This Row],[Pos.]]="QB1",_xlfn.XLOOKUP(Table117821341[[#This Row],[Opp]],Table123[DEF],Table123[P+R]),"#N/A")</f>
        <v>#N/A</v>
      </c>
      <c r="Q75" s="150" t="str">
        <f>IF(Table117821341[[#This Row],[Pos.]]="QB1",_xlfn.XLOOKUP(Table117821341[[#This Row],[Opp]],Table123[DEF],Table123[P TD]),"#N/A")</f>
        <v>#N/A</v>
      </c>
      <c r="R75" s="149" t="e" cm="1">
        <f t="array" ref="R7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5" s="150" t="e" cm="1">
        <f t="array" ref="S7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5" s="150" t="e" cm="1">
        <f t="array" ref="T7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5" s="150" t="e" cm="1">
        <f t="array" ref="U7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5" s="150" t="e" cm="1">
        <f t="array" ref="V7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5" s="148" t="e" cm="1">
        <f t="array" ref="W75">_xlfn.IFS(Table117821341[[#This Row],[Pos.]]="QB1",AVERAGE(G75,H75,I75,J75,N75),Table117821341[[#This Row],[Pos.]]="RB1",AVERAGE(J75,K75,N75),Table117821341[[#This Row],[Pos.]]="RB2",AVERAGE(J75,K75,N75),Table117821341[[#This Row],[Pos.]]="WR1",AVERAGE(L75,M75,N75),Table117821341[[#This Row],[Pos.]]="WR2",AVERAGE(L75,M75,N75),Table117821341[[#This Row],[Pos.]]="WR3",AVERAGE(L75,M75,N75),Table117821341[[#This Row],[Pos.]]="WR4",AVERAGE(L75,M75,N75),Table117821341[[#This Row],[Pos.]]="TE1",AVERAGE(L75,M75,N75),Table117821341[[#This Row],[Pos.]]="TE2",AVERAGE(L75,M75,N75),Table117821341[[#This Row],[Pos.]]="D/ST",AVERAGE(Table117821341[[#This Row],[*TD*]]))</f>
        <v>#N/A</v>
      </c>
      <c r="X75" s="94" t="e">
        <f t="shared" si="1"/>
        <v>#N/A</v>
      </c>
    </row>
    <row r="76" spans="2:24" hidden="1" x14ac:dyDescent="0.35">
      <c r="B76" s="6" t="s">
        <v>608</v>
      </c>
      <c r="C76" s="97" t="s">
        <v>29</v>
      </c>
      <c r="D76" s="97" t="s">
        <v>407</v>
      </c>
      <c r="E76" s="23" t="str" cm="1">
        <f t="array" ref="E76">_xlfn.XLOOKUP(Table117821341[[#This Row],[Team]],Table4334[Team],'2425'!$C$3:$C$34)</f>
        <v>n/a</v>
      </c>
      <c r="F76" s="97" t="str">
        <f>_xlfn.XLOOKUP(Table117821341[[#This Row],[Team]],Table4334[Team],Table4334[OPP])</f>
        <v>n/a</v>
      </c>
      <c r="G76" s="148" t="str" cm="1">
        <f t="array" ref="G76">IF(Table117821341[[#This Row],[Pos.]]="QB1",_xlfn.XLOOKUP(Table117821341[[#This Row],[Opp]],Table123[DEF],'2425'!$G$3:$G$34),"#N/A")</f>
        <v>#N/A</v>
      </c>
      <c r="H76" s="148" t="str" cm="1">
        <f t="array" ref="H76">IF(Table117821341[[#This Row],[Pos.]]="QB1",_xlfn.XLOOKUP(Table117821341[[#This Row],[Opp]],Table123[DEF],'2425'!$J$3:$J$34),"#N/A")</f>
        <v>#N/A</v>
      </c>
      <c r="I76" s="148" t="str" cm="1">
        <f t="array" ref="I76">IF(Table117821341[[#This Row],[Pos.]]="QB1",_xlfn.XLOOKUP(Table117821341[[#This Row],[Opp]],Table123[DEF],'2425'!$K$3:$K$34),"#N/A")</f>
        <v>#N/A</v>
      </c>
      <c r="J76" s="148" t="e" cm="1">
        <f t="array" ref="J7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6" s="148" t="e" cm="1">
        <f t="array" ref="K7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6" s="148" t="e" cm="1">
        <f t="array" ref="L7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6" s="148" t="e" cm="1">
        <f t="array" ref="M7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6" s="148" t="e" cm="1">
        <f t="array" ref="N7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6" s="149" t="str">
        <f>IF(Table117821341[[#This Row],[Pos.]]="QB1",_xlfn.XLOOKUP(Table117821341[[#This Row],[Opp]],Table123[DEF],Table123[P]),"#N/A")</f>
        <v>#N/A</v>
      </c>
      <c r="P76" s="149" t="str">
        <f>IF(Table117821341[[#This Row],[Pos.]]="QB1",_xlfn.XLOOKUP(Table117821341[[#This Row],[Opp]],Table123[DEF],Table123[P+R]),"#N/A")</f>
        <v>#N/A</v>
      </c>
      <c r="Q76" s="150" t="str">
        <f>IF(Table117821341[[#This Row],[Pos.]]="QB1",_xlfn.XLOOKUP(Table117821341[[#This Row],[Opp]],Table123[DEF],Table123[P TD]),"#N/A")</f>
        <v>#N/A</v>
      </c>
      <c r="R76" s="149" t="e" cm="1">
        <f t="array" ref="R7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6" s="150" t="e" cm="1">
        <f t="array" ref="S7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6" s="150" t="e" cm="1">
        <f t="array" ref="T7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6" s="150" t="e" cm="1">
        <f t="array" ref="U7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6" s="150" t="e" cm="1">
        <f t="array" ref="V7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6" s="148" t="e" cm="1">
        <f t="array" ref="W76">_xlfn.IFS(Table117821341[[#This Row],[Pos.]]="QB1",AVERAGE(G76,H76,I76,J76,N76),Table117821341[[#This Row],[Pos.]]="RB1",AVERAGE(J76,K76,N76),Table117821341[[#This Row],[Pos.]]="RB2",AVERAGE(J76,K76,N76),Table117821341[[#This Row],[Pos.]]="WR1",AVERAGE(L76,M76,N76),Table117821341[[#This Row],[Pos.]]="WR2",AVERAGE(L76,M76,N76),Table117821341[[#This Row],[Pos.]]="WR3",AVERAGE(L76,M76,N76),Table117821341[[#This Row],[Pos.]]="WR4",AVERAGE(L76,M76,N76),Table117821341[[#This Row],[Pos.]]="TE1",AVERAGE(L76,M76,N76),Table117821341[[#This Row],[Pos.]]="TE2",AVERAGE(L76,M76,N76),Table117821341[[#This Row],[Pos.]]="D/ST",AVERAGE(Table117821341[[#This Row],[*TD*]]))</f>
        <v>#N/A</v>
      </c>
      <c r="X76" s="94" t="e">
        <f t="shared" si="1"/>
        <v>#N/A</v>
      </c>
    </row>
    <row r="77" spans="2:24" hidden="1" x14ac:dyDescent="0.35">
      <c r="B77" s="6" t="s">
        <v>415</v>
      </c>
      <c r="C77" s="97" t="s">
        <v>49</v>
      </c>
      <c r="D77" s="97" t="s">
        <v>67</v>
      </c>
      <c r="E77" s="23" t="str" cm="1">
        <f t="array" ref="E77">_xlfn.XLOOKUP(Table117821341[[#This Row],[Team]],Table4334[Team],'2425'!$C$3:$C$34)</f>
        <v>n/a</v>
      </c>
      <c r="F77" s="97" t="str">
        <f>_xlfn.XLOOKUP(Table117821341[[#This Row],[Team]],Table4334[Team],Table4334[OPP])</f>
        <v>n/a</v>
      </c>
      <c r="G77" s="148" t="str" cm="1">
        <f t="array" ref="G77">IF(Table117821341[[#This Row],[Pos.]]="QB1",_xlfn.XLOOKUP(Table117821341[[#This Row],[Opp]],Table123[DEF],'2425'!$G$3:$G$34),"#N/A")</f>
        <v>#N/A</v>
      </c>
      <c r="H77" s="148" t="str" cm="1">
        <f t="array" ref="H77">IF(Table117821341[[#This Row],[Pos.]]="QB1",_xlfn.XLOOKUP(Table117821341[[#This Row],[Opp]],Table123[DEF],'2425'!$J$3:$J$34),"#N/A")</f>
        <v>#N/A</v>
      </c>
      <c r="I77" s="148" t="str" cm="1">
        <f t="array" ref="I77">IF(Table117821341[[#This Row],[Pos.]]="QB1",_xlfn.XLOOKUP(Table117821341[[#This Row],[Opp]],Table123[DEF],'2425'!$K$3:$K$34),"#N/A")</f>
        <v>#N/A</v>
      </c>
      <c r="J77" s="148" t="e" cm="1">
        <f t="array" ref="J7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7" s="148" t="e" cm="1">
        <f t="array" ref="K7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7" s="148" t="e" cm="1">
        <f t="array" ref="L7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7" s="148" t="e" cm="1">
        <f t="array" ref="M7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7" s="148" t="e" cm="1">
        <f t="array" ref="N7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7" s="149" t="str">
        <f>IF(Table117821341[[#This Row],[Pos.]]="QB1",_xlfn.XLOOKUP(Table117821341[[#This Row],[Opp]],Table123[DEF],Table123[P]),"#N/A")</f>
        <v>#N/A</v>
      </c>
      <c r="P77" s="149" t="str">
        <f>IF(Table117821341[[#This Row],[Pos.]]="QB1",_xlfn.XLOOKUP(Table117821341[[#This Row],[Opp]],Table123[DEF],Table123[P+R]),"#N/A")</f>
        <v>#N/A</v>
      </c>
      <c r="Q77" s="150" t="str">
        <f>IF(Table117821341[[#This Row],[Pos.]]="QB1",_xlfn.XLOOKUP(Table117821341[[#This Row],[Opp]],Table123[DEF],Table123[P TD]),"#N/A")</f>
        <v>#N/A</v>
      </c>
      <c r="R77" s="149" t="e" cm="1">
        <f t="array" ref="R7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7" s="150" t="e" cm="1">
        <f t="array" ref="S7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7" s="150" t="e" cm="1">
        <f t="array" ref="T7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7" s="150" t="e" cm="1">
        <f t="array" ref="U7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7" s="162" t="e" cm="1">
        <f t="array" ref="V7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7" s="148" t="e" cm="1">
        <f t="array" ref="W77">_xlfn.IFS(Table117821341[[#This Row],[Pos.]]="QB1",AVERAGE(G77,H77,I77,J77,N77),Table117821341[[#This Row],[Pos.]]="RB1",AVERAGE(J77,K77,N77),Table117821341[[#This Row],[Pos.]]="RB2",AVERAGE(J77,K77,N77),Table117821341[[#This Row],[Pos.]]="WR1",AVERAGE(L77,M77,N77),Table117821341[[#This Row],[Pos.]]="WR2",AVERAGE(L77,M77,N77),Table117821341[[#This Row],[Pos.]]="WR3",AVERAGE(L77,M77,N77),Table117821341[[#This Row],[Pos.]]="WR4",AVERAGE(L77,M77,N77),Table117821341[[#This Row],[Pos.]]="TE1",AVERAGE(L77,M77,N77),Table117821341[[#This Row],[Pos.]]="TE2",AVERAGE(L77,M77,N77),Table117821341[[#This Row],[Pos.]]="D/ST",AVERAGE(Table117821341[[#This Row],[*TD*]]))</f>
        <v>#N/A</v>
      </c>
      <c r="X77" s="94" t="e">
        <f t="shared" si="1"/>
        <v>#N/A</v>
      </c>
    </row>
    <row r="78" spans="2:24" hidden="1" x14ac:dyDescent="0.35">
      <c r="B78" s="6" t="s">
        <v>614</v>
      </c>
      <c r="C78" s="97" t="s">
        <v>29</v>
      </c>
      <c r="D78" s="97" t="s">
        <v>398</v>
      </c>
      <c r="E78" s="23" t="str" cm="1">
        <f t="array" ref="E78">_xlfn.XLOOKUP(Table117821341[[#This Row],[Team]],Table4334[Team],'2425'!$C$3:$C$34)</f>
        <v>n/a</v>
      </c>
      <c r="F78" s="97" t="str">
        <f>_xlfn.XLOOKUP(Table117821341[[#This Row],[Team]],Table4334[Team],Table4334[OPP])</f>
        <v>n/a</v>
      </c>
      <c r="G78" s="148" t="str" cm="1">
        <f t="array" ref="G78">IF(Table117821341[[#This Row],[Pos.]]="QB1",_xlfn.XLOOKUP(Table117821341[[#This Row],[Opp]],Table123[DEF],'2425'!$G$3:$G$34),"#N/A")</f>
        <v>#N/A</v>
      </c>
      <c r="H78" s="148" t="str" cm="1">
        <f t="array" ref="H78">IF(Table117821341[[#This Row],[Pos.]]="QB1",_xlfn.XLOOKUP(Table117821341[[#This Row],[Opp]],Table123[DEF],'2425'!$J$3:$J$34),"#N/A")</f>
        <v>#N/A</v>
      </c>
      <c r="I78" s="148" t="str" cm="1">
        <f t="array" ref="I78">IF(Table117821341[[#This Row],[Pos.]]="QB1",_xlfn.XLOOKUP(Table117821341[[#This Row],[Opp]],Table123[DEF],'2425'!$K$3:$K$34),"#N/A")</f>
        <v>#N/A</v>
      </c>
      <c r="J78" s="148" t="e" cm="1">
        <f t="array" ref="J7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8" s="148" t="e" cm="1">
        <f t="array" ref="K7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8" s="148" t="e" cm="1">
        <f t="array" ref="L7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8" s="148" t="e" cm="1">
        <f t="array" ref="M7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8" s="148" t="e" cm="1">
        <f t="array" ref="N7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8" s="149" t="str">
        <f>IF(Table117821341[[#This Row],[Pos.]]="QB1",_xlfn.XLOOKUP(Table117821341[[#This Row],[Opp]],Table123[DEF],Table123[P]),"#N/A")</f>
        <v>#N/A</v>
      </c>
      <c r="P78" s="149" t="str">
        <f>IF(Table117821341[[#This Row],[Pos.]]="QB1",_xlfn.XLOOKUP(Table117821341[[#This Row],[Opp]],Table123[DEF],Table123[P+R]),"#N/A")</f>
        <v>#N/A</v>
      </c>
      <c r="Q78" s="150" t="str">
        <f>IF(Table117821341[[#This Row],[Pos.]]="QB1",_xlfn.XLOOKUP(Table117821341[[#This Row],[Opp]],Table123[DEF],Table123[P TD]),"#N/A")</f>
        <v>#N/A</v>
      </c>
      <c r="R78" s="149" t="e" cm="1">
        <f t="array" ref="R7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8" s="150" t="e" cm="1">
        <f t="array" ref="S7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8" s="150" t="e" cm="1">
        <f t="array" ref="T7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8" s="150" t="e" cm="1">
        <f t="array" ref="U7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8" s="150" t="e" cm="1">
        <f t="array" ref="V7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8" s="148" t="e" cm="1">
        <f t="array" ref="W78">_xlfn.IFS(Table117821341[[#This Row],[Pos.]]="QB1",AVERAGE(G78,H78,I78,J78,N78),Table117821341[[#This Row],[Pos.]]="RB1",AVERAGE(J78,K78,N78),Table117821341[[#This Row],[Pos.]]="RB2",AVERAGE(J78,K78,N78),Table117821341[[#This Row],[Pos.]]="WR1",AVERAGE(L78,M78,N78),Table117821341[[#This Row],[Pos.]]="WR2",AVERAGE(L78,M78,N78),Table117821341[[#This Row],[Pos.]]="WR3",AVERAGE(L78,M78,N78),Table117821341[[#This Row],[Pos.]]="WR4",AVERAGE(L78,M78,N78),Table117821341[[#This Row],[Pos.]]="TE1",AVERAGE(L78,M78,N78),Table117821341[[#This Row],[Pos.]]="TE2",AVERAGE(L78,M78,N78),Table117821341[[#This Row],[Pos.]]="D/ST",AVERAGE(Table117821341[[#This Row],[*TD*]]))</f>
        <v>#N/A</v>
      </c>
      <c r="X78" s="94" t="e">
        <f t="shared" si="1"/>
        <v>#N/A</v>
      </c>
    </row>
    <row r="79" spans="2:24" hidden="1" x14ac:dyDescent="0.35">
      <c r="B79" s="6" t="s">
        <v>372</v>
      </c>
      <c r="C79" s="97" t="s">
        <v>29</v>
      </c>
      <c r="D79" s="97" t="s">
        <v>430</v>
      </c>
      <c r="E79" s="23" t="str" cm="1">
        <f t="array" ref="E79">_xlfn.XLOOKUP(Table117821341[[#This Row],[Team]],Table4334[Team],'2425'!$C$3:$C$34)</f>
        <v>n/a</v>
      </c>
      <c r="F79" s="97" t="str">
        <f>_xlfn.XLOOKUP(Table117821341[[#This Row],[Team]],Table4334[Team],Table4334[OPP])</f>
        <v>n/a</v>
      </c>
      <c r="G79" s="148" t="str" cm="1">
        <f t="array" ref="G79">IF(Table117821341[[#This Row],[Pos.]]="QB1",_xlfn.XLOOKUP(Table117821341[[#This Row],[Opp]],Table123[DEF],'2425'!$G$3:$G$34),"#N/A")</f>
        <v>#N/A</v>
      </c>
      <c r="H79" s="148" t="str" cm="1">
        <f t="array" ref="H79">IF(Table117821341[[#This Row],[Pos.]]="QB1",_xlfn.XLOOKUP(Table117821341[[#This Row],[Opp]],Table123[DEF],'2425'!$J$3:$J$34),"#N/A")</f>
        <v>#N/A</v>
      </c>
      <c r="I79" s="148" t="str" cm="1">
        <f t="array" ref="I79">IF(Table117821341[[#This Row],[Pos.]]="QB1",_xlfn.XLOOKUP(Table117821341[[#This Row],[Opp]],Table123[DEF],'2425'!$K$3:$K$34),"#N/A")</f>
        <v>#N/A</v>
      </c>
      <c r="J79" s="148" t="e" cm="1">
        <f t="array" ref="J7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79" s="148" t="e" cm="1">
        <f t="array" ref="K7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79" s="148" t="e" cm="1">
        <f t="array" ref="L7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79" s="148" t="e" cm="1">
        <f t="array" ref="M7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79" s="148" t="e" cm="1">
        <f t="array" ref="N7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79" s="149" t="str">
        <f>IF(Table117821341[[#This Row],[Pos.]]="QB1",_xlfn.XLOOKUP(Table117821341[[#This Row],[Opp]],Table123[DEF],Table123[P]),"#N/A")</f>
        <v>#N/A</v>
      </c>
      <c r="P79" s="149" t="str">
        <f>IF(Table117821341[[#This Row],[Pos.]]="QB1",_xlfn.XLOOKUP(Table117821341[[#This Row],[Opp]],Table123[DEF],Table123[P+R]),"#N/A")</f>
        <v>#N/A</v>
      </c>
      <c r="Q79" s="150" t="str">
        <f>IF(Table117821341[[#This Row],[Pos.]]="QB1",_xlfn.XLOOKUP(Table117821341[[#This Row],[Opp]],Table123[DEF],Table123[P TD]),"#N/A")</f>
        <v>#N/A</v>
      </c>
      <c r="R79" s="149" t="e" cm="1">
        <f t="array" ref="R7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79" s="150" t="e" cm="1">
        <f t="array" ref="S7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79" s="150" t="e" cm="1">
        <f t="array" ref="T7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79" s="150" t="e" cm="1">
        <f t="array" ref="U7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79" s="150" t="e" cm="1">
        <f t="array" ref="V7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79" s="148" t="e" cm="1">
        <f t="array" ref="W79">_xlfn.IFS(Table117821341[[#This Row],[Pos.]]="QB1",AVERAGE(G79,H79,I79,J79,N79),Table117821341[[#This Row],[Pos.]]="RB1",AVERAGE(J79,K79,N79),Table117821341[[#This Row],[Pos.]]="RB2",AVERAGE(J79,K79,N79),Table117821341[[#This Row],[Pos.]]="WR1",AVERAGE(L79,M79,N79),Table117821341[[#This Row],[Pos.]]="WR2",AVERAGE(L79,M79,N79),Table117821341[[#This Row],[Pos.]]="WR3",AVERAGE(L79,M79,N79),Table117821341[[#This Row],[Pos.]]="WR4",AVERAGE(L79,M79,N79),Table117821341[[#This Row],[Pos.]]="TE1",AVERAGE(L79,M79,N79),Table117821341[[#This Row],[Pos.]]="TE2",AVERAGE(L79,M79,N79),Table117821341[[#This Row],[Pos.]]="D/ST",AVERAGE(Table117821341[[#This Row],[*TD*]]))</f>
        <v>#N/A</v>
      </c>
      <c r="X79" s="94" t="e">
        <f t="shared" si="1"/>
        <v>#N/A</v>
      </c>
    </row>
    <row r="80" spans="2:24" hidden="1" x14ac:dyDescent="0.35">
      <c r="B80" s="6" t="s">
        <v>615</v>
      </c>
      <c r="C80" s="97" t="s">
        <v>29</v>
      </c>
      <c r="D80" s="97" t="s">
        <v>435</v>
      </c>
      <c r="E80" s="23" t="str" cm="1">
        <f t="array" ref="E80">_xlfn.XLOOKUP(Table117821341[[#This Row],[Team]],Table4334[Team],'2425'!$C$3:$C$34)</f>
        <v>n/a</v>
      </c>
      <c r="F80" s="97" t="str">
        <f>_xlfn.XLOOKUP(Table117821341[[#This Row],[Team]],Table4334[Team],Table4334[OPP])</f>
        <v>n/a</v>
      </c>
      <c r="G80" s="148" t="str" cm="1">
        <f t="array" ref="G80">IF(Table117821341[[#This Row],[Pos.]]="QB1",_xlfn.XLOOKUP(Table117821341[[#This Row],[Opp]],Table123[DEF],'2425'!$G$3:$G$34),"#N/A")</f>
        <v>#N/A</v>
      </c>
      <c r="H80" s="148" t="str" cm="1">
        <f t="array" ref="H80">IF(Table117821341[[#This Row],[Pos.]]="QB1",_xlfn.XLOOKUP(Table117821341[[#This Row],[Opp]],Table123[DEF],'2425'!$J$3:$J$34),"#N/A")</f>
        <v>#N/A</v>
      </c>
      <c r="I80" s="148" t="str" cm="1">
        <f t="array" ref="I80">IF(Table117821341[[#This Row],[Pos.]]="QB1",_xlfn.XLOOKUP(Table117821341[[#This Row],[Opp]],Table123[DEF],'2425'!$K$3:$K$34),"#N/A")</f>
        <v>#N/A</v>
      </c>
      <c r="J80" s="148" t="e" cm="1">
        <f t="array" ref="J8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0" s="148" t="e" cm="1">
        <f t="array" ref="K8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0" s="148" t="e" cm="1">
        <f t="array" ref="L8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0" s="148" t="e" cm="1">
        <f t="array" ref="M8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0" s="148" t="e" cm="1">
        <f t="array" ref="N8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0" s="149" t="str">
        <f>IF(Table117821341[[#This Row],[Pos.]]="QB1",_xlfn.XLOOKUP(Table117821341[[#This Row],[Opp]],Table123[DEF],Table123[P]),"#N/A")</f>
        <v>#N/A</v>
      </c>
      <c r="P80" s="149" t="str">
        <f>IF(Table117821341[[#This Row],[Pos.]]="QB1",_xlfn.XLOOKUP(Table117821341[[#This Row],[Opp]],Table123[DEF],Table123[P+R]),"#N/A")</f>
        <v>#N/A</v>
      </c>
      <c r="Q80" s="150" t="str">
        <f>IF(Table117821341[[#This Row],[Pos.]]="QB1",_xlfn.XLOOKUP(Table117821341[[#This Row],[Opp]],Table123[DEF],Table123[P TD]),"#N/A")</f>
        <v>#N/A</v>
      </c>
      <c r="R80" s="149" t="e" cm="1">
        <f t="array" ref="R8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0" s="150" t="e" cm="1">
        <f t="array" ref="S8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0" s="150" t="e" cm="1">
        <f t="array" ref="T8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0" s="150" t="e" cm="1">
        <f t="array" ref="U8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0" s="150" t="e" cm="1">
        <f t="array" ref="V8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0" s="148" t="e" cm="1">
        <f t="array" ref="W80">_xlfn.IFS(Table117821341[[#This Row],[Pos.]]="QB1",AVERAGE(G80,H80,I80,J80,N80),Table117821341[[#This Row],[Pos.]]="RB1",AVERAGE(J80,K80,N80),Table117821341[[#This Row],[Pos.]]="RB2",AVERAGE(J80,K80,N80),Table117821341[[#This Row],[Pos.]]="WR1",AVERAGE(L80,M80,N80),Table117821341[[#This Row],[Pos.]]="WR2",AVERAGE(L80,M80,N80),Table117821341[[#This Row],[Pos.]]="WR3",AVERAGE(L80,M80,N80),Table117821341[[#This Row],[Pos.]]="WR4",AVERAGE(L80,M80,N80),Table117821341[[#This Row],[Pos.]]="TE1",AVERAGE(L80,M80,N80),Table117821341[[#This Row],[Pos.]]="TE2",AVERAGE(L80,M80,N80),Table117821341[[#This Row],[Pos.]]="D/ST",AVERAGE(Table117821341[[#This Row],[*TD*]]))</f>
        <v>#N/A</v>
      </c>
      <c r="X80" s="94" t="e">
        <f t="shared" si="1"/>
        <v>#N/A</v>
      </c>
    </row>
    <row r="81" spans="2:24" hidden="1" x14ac:dyDescent="0.35">
      <c r="B81" s="6" t="s">
        <v>167</v>
      </c>
      <c r="C81" s="97" t="s">
        <v>31</v>
      </c>
      <c r="D81" s="97" t="s">
        <v>66</v>
      </c>
      <c r="E81" s="23" t="str" cm="1">
        <f t="array" ref="E81">_xlfn.XLOOKUP(Table117821341[[#This Row],[Team]],Table4334[Team],'2425'!$C$3:$C$34)</f>
        <v>n/a</v>
      </c>
      <c r="F81" s="97" t="str">
        <f>_xlfn.XLOOKUP(Table117821341[[#This Row],[Team]],Table4334[Team],Table4334[OPP])</f>
        <v>n/a</v>
      </c>
      <c r="G81" s="148" t="str" cm="1">
        <f t="array" ref="G81">IF(Table117821341[[#This Row],[Pos.]]="QB1",_xlfn.XLOOKUP(Table117821341[[#This Row],[Opp]],Table123[DEF],'2425'!$G$3:$G$34),"#N/A")</f>
        <v>#N/A</v>
      </c>
      <c r="H81" s="148" t="str" cm="1">
        <f t="array" ref="H81">IF(Table117821341[[#This Row],[Pos.]]="QB1",_xlfn.XLOOKUP(Table117821341[[#This Row],[Opp]],Table123[DEF],'2425'!$J$3:$J$34),"#N/A")</f>
        <v>#N/A</v>
      </c>
      <c r="I81" s="148" t="str" cm="1">
        <f t="array" ref="I81">IF(Table117821341[[#This Row],[Pos.]]="QB1",_xlfn.XLOOKUP(Table117821341[[#This Row],[Opp]],Table123[DEF],'2425'!$K$3:$K$34),"#N/A")</f>
        <v>#N/A</v>
      </c>
      <c r="J81" s="148" t="e" cm="1">
        <f t="array" ref="J8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1" s="148" t="e" cm="1">
        <f t="array" ref="K8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1" s="148" t="e" cm="1">
        <f t="array" ref="L8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1" s="148" t="e" cm="1">
        <f t="array" ref="M8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1" s="148" t="e" cm="1">
        <f t="array" ref="N8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1" s="149" t="str">
        <f>IF(Table117821341[[#This Row],[Pos.]]="QB1",_xlfn.XLOOKUP(Table117821341[[#This Row],[Opp]],Table123[DEF],Table123[P]),"#N/A")</f>
        <v>#N/A</v>
      </c>
      <c r="P81" s="149" t="str">
        <f>IF(Table117821341[[#This Row],[Pos.]]="QB1",_xlfn.XLOOKUP(Table117821341[[#This Row],[Opp]],Table123[DEF],Table123[P+R]),"#N/A")</f>
        <v>#N/A</v>
      </c>
      <c r="Q81" s="150" t="str">
        <f>IF(Table117821341[[#This Row],[Pos.]]="QB1",_xlfn.XLOOKUP(Table117821341[[#This Row],[Opp]],Table123[DEF],Table123[P TD]),"#N/A")</f>
        <v>#N/A</v>
      </c>
      <c r="R81" s="149" t="e" cm="1">
        <f t="array" ref="R8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1" s="150" t="e" cm="1">
        <f t="array" ref="S8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1" s="150" t="e" cm="1">
        <f t="array" ref="T8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1" s="150" t="e" cm="1">
        <f t="array" ref="U8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1" s="162" t="e" cm="1">
        <f t="array" ref="V8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1" s="148" t="e" cm="1">
        <f t="array" ref="W81">_xlfn.IFS(Table117821341[[#This Row],[Pos.]]="QB1",AVERAGE(G81,H81,I81,J81,N81),Table117821341[[#This Row],[Pos.]]="RB1",AVERAGE(J81,K81,N81),Table117821341[[#This Row],[Pos.]]="RB2",AVERAGE(J81,K81,N81),Table117821341[[#This Row],[Pos.]]="WR1",AVERAGE(L81,M81,N81),Table117821341[[#This Row],[Pos.]]="WR2",AVERAGE(L81,M81,N81),Table117821341[[#This Row],[Pos.]]="WR3",AVERAGE(L81,M81,N81),Table117821341[[#This Row],[Pos.]]="WR4",AVERAGE(L81,M81,N81),Table117821341[[#This Row],[Pos.]]="TE1",AVERAGE(L81,M81,N81),Table117821341[[#This Row],[Pos.]]="TE2",AVERAGE(L81,M81,N81),Table117821341[[#This Row],[Pos.]]="D/ST",AVERAGE(Table117821341[[#This Row],[*TD*]]))</f>
        <v>#N/A</v>
      </c>
      <c r="X81" s="94" t="e">
        <f t="shared" si="1"/>
        <v>#N/A</v>
      </c>
    </row>
    <row r="82" spans="2:24" hidden="1" x14ac:dyDescent="0.35">
      <c r="B82" s="6" t="s">
        <v>128</v>
      </c>
      <c r="C82" s="97" t="s">
        <v>0</v>
      </c>
      <c r="D82" s="97" t="s">
        <v>397</v>
      </c>
      <c r="E82" s="23" t="str" cm="1">
        <f t="array" ref="E82">_xlfn.XLOOKUP(Table117821341[[#This Row],[Team]],Table4334[Team],'2425'!$C$3:$C$34)</f>
        <v>n/a</v>
      </c>
      <c r="F82" s="97" t="str">
        <f>_xlfn.XLOOKUP(Table117821341[[#This Row],[Team]],Table4334[Team],Table4334[OPP])</f>
        <v>n/a</v>
      </c>
      <c r="G82" s="148" t="str" cm="1">
        <f t="array" ref="G82">IF(Table117821341[[#This Row],[Pos.]]="QB1",_xlfn.XLOOKUP(Table117821341[[#This Row],[Opp]],Table123[DEF],'2425'!$G$3:$G$34),"#N/A")</f>
        <v>#N/A</v>
      </c>
      <c r="H82" s="148" t="str" cm="1">
        <f t="array" ref="H82">IF(Table117821341[[#This Row],[Pos.]]="QB1",_xlfn.XLOOKUP(Table117821341[[#This Row],[Opp]],Table123[DEF],'2425'!$J$3:$J$34),"#N/A")</f>
        <v>#N/A</v>
      </c>
      <c r="I82" s="148" t="str" cm="1">
        <f t="array" ref="I82">IF(Table117821341[[#This Row],[Pos.]]="QB1",_xlfn.XLOOKUP(Table117821341[[#This Row],[Opp]],Table123[DEF],'2425'!$K$3:$K$34),"#N/A")</f>
        <v>#N/A</v>
      </c>
      <c r="J82" s="148" t="e" cm="1">
        <f t="array" ref="J8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2" s="148" t="e" cm="1">
        <f t="array" ref="K8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2" s="148" t="e" cm="1">
        <f t="array" ref="L8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2" s="148" t="e" cm="1">
        <f t="array" ref="M8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2" s="148" t="e" cm="1">
        <f t="array" ref="N8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2" s="149" t="str">
        <f>IF(Table117821341[[#This Row],[Pos.]]="QB1",_xlfn.XLOOKUP(Table117821341[[#This Row],[Opp]],Table123[DEF],Table123[P]),"#N/A")</f>
        <v>#N/A</v>
      </c>
      <c r="P82" s="149" t="str">
        <f>IF(Table117821341[[#This Row],[Pos.]]="QB1",_xlfn.XLOOKUP(Table117821341[[#This Row],[Opp]],Table123[DEF],Table123[P+R]),"#N/A")</f>
        <v>#N/A</v>
      </c>
      <c r="Q82" s="150" t="str">
        <f>IF(Table117821341[[#This Row],[Pos.]]="QB1",_xlfn.XLOOKUP(Table117821341[[#This Row],[Opp]],Table123[DEF],Table123[P TD]),"#N/A")</f>
        <v>#N/A</v>
      </c>
      <c r="R82" s="149" t="e" cm="1">
        <f t="array" ref="R8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2" s="150" t="e" cm="1">
        <f t="array" ref="S8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2" s="150" t="e" cm="1">
        <f t="array" ref="T8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2" s="150" t="e" cm="1">
        <f t="array" ref="U8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2" s="162" t="e" cm="1">
        <f t="array" ref="V8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2" s="148" t="e" cm="1">
        <f t="array" ref="W82">_xlfn.IFS(Table117821341[[#This Row],[Pos.]]="QB1",AVERAGE(G82,H82,I82,J82,N82),Table117821341[[#This Row],[Pos.]]="RB1",AVERAGE(J82,K82,N82),Table117821341[[#This Row],[Pos.]]="RB2",AVERAGE(J82,K82,N82),Table117821341[[#This Row],[Pos.]]="WR1",AVERAGE(L82,M82,N82),Table117821341[[#This Row],[Pos.]]="WR2",AVERAGE(L82,M82,N82),Table117821341[[#This Row],[Pos.]]="WR3",AVERAGE(L82,M82,N82),Table117821341[[#This Row],[Pos.]]="WR4",AVERAGE(L82,M82,N82),Table117821341[[#This Row],[Pos.]]="TE1",AVERAGE(L82,M82,N82),Table117821341[[#This Row],[Pos.]]="TE2",AVERAGE(L82,M82,N82),Table117821341[[#This Row],[Pos.]]="D/ST",AVERAGE(Table117821341[[#This Row],[*TD*]]))</f>
        <v>#N/A</v>
      </c>
      <c r="X82" s="94" t="e">
        <f t="shared" si="1"/>
        <v>#N/A</v>
      </c>
    </row>
    <row r="83" spans="2:24" hidden="1" x14ac:dyDescent="0.35">
      <c r="B83" s="6" t="s">
        <v>249</v>
      </c>
      <c r="C83" s="97" t="s">
        <v>40</v>
      </c>
      <c r="D83" s="97" t="s">
        <v>397</v>
      </c>
      <c r="E83" s="23" t="str" cm="1">
        <f t="array" ref="E83">_xlfn.XLOOKUP(Table117821341[[#This Row],[Team]],Table4334[Team],'2425'!$C$3:$C$34)</f>
        <v>n/a</v>
      </c>
      <c r="F83" s="97" t="str">
        <f>_xlfn.XLOOKUP(Table117821341[[#This Row],[Team]],Table4334[Team],Table4334[OPP])</f>
        <v>n/a</v>
      </c>
      <c r="G83" s="148" t="str" cm="1">
        <f t="array" ref="G83">IF(Table117821341[[#This Row],[Pos.]]="QB1",_xlfn.XLOOKUP(Table117821341[[#This Row],[Opp]],Table123[DEF],'2425'!$G$3:$G$34),"#N/A")</f>
        <v>#N/A</v>
      </c>
      <c r="H83" s="148" t="str" cm="1">
        <f t="array" ref="H83">IF(Table117821341[[#This Row],[Pos.]]="QB1",_xlfn.XLOOKUP(Table117821341[[#This Row],[Opp]],Table123[DEF],'2425'!$J$3:$J$34),"#N/A")</f>
        <v>#N/A</v>
      </c>
      <c r="I83" s="148" t="str" cm="1">
        <f t="array" ref="I83">IF(Table117821341[[#This Row],[Pos.]]="QB1",_xlfn.XLOOKUP(Table117821341[[#This Row],[Opp]],Table123[DEF],'2425'!$K$3:$K$34),"#N/A")</f>
        <v>#N/A</v>
      </c>
      <c r="J83" s="148" t="e" cm="1">
        <f t="array" ref="J8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3" s="148" t="e" cm="1">
        <f t="array" ref="K8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3" s="148" t="e" cm="1">
        <f t="array" ref="L8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3" s="148" t="e" cm="1">
        <f t="array" ref="M8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3" s="148" t="e" cm="1">
        <f t="array" ref="N8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3" s="149" t="str">
        <f>IF(Table117821341[[#This Row],[Pos.]]="QB1",_xlfn.XLOOKUP(Table117821341[[#This Row],[Opp]],Table123[DEF],Table123[P]),"#N/A")</f>
        <v>#N/A</v>
      </c>
      <c r="P83" s="149" t="str">
        <f>IF(Table117821341[[#This Row],[Pos.]]="QB1",_xlfn.XLOOKUP(Table117821341[[#This Row],[Opp]],Table123[DEF],Table123[P+R]),"#N/A")</f>
        <v>#N/A</v>
      </c>
      <c r="Q83" s="150" t="str">
        <f>IF(Table117821341[[#This Row],[Pos.]]="QB1",_xlfn.XLOOKUP(Table117821341[[#This Row],[Opp]],Table123[DEF],Table123[P TD]),"#N/A")</f>
        <v>#N/A</v>
      </c>
      <c r="R83" s="149" t="e" cm="1">
        <f t="array" ref="R8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3" s="150" t="e" cm="1">
        <f t="array" ref="S8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3" s="150" t="e" cm="1">
        <f t="array" ref="T8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3" s="150" t="e" cm="1">
        <f t="array" ref="U8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3" s="162" t="e" cm="1">
        <f t="array" ref="V8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3" s="148" t="e" cm="1">
        <f t="array" ref="W83">_xlfn.IFS(Table117821341[[#This Row],[Pos.]]="QB1",AVERAGE(G83,H83,I83,J83,N83),Table117821341[[#This Row],[Pos.]]="RB1",AVERAGE(J83,K83,N83),Table117821341[[#This Row],[Pos.]]="RB2",AVERAGE(J83,K83,N83),Table117821341[[#This Row],[Pos.]]="WR1",AVERAGE(L83,M83,N83),Table117821341[[#This Row],[Pos.]]="WR2",AVERAGE(L83,M83,N83),Table117821341[[#This Row],[Pos.]]="WR3",AVERAGE(L83,M83,N83),Table117821341[[#This Row],[Pos.]]="WR4",AVERAGE(L83,M83,N83),Table117821341[[#This Row],[Pos.]]="TE1",AVERAGE(L83,M83,N83),Table117821341[[#This Row],[Pos.]]="TE2",AVERAGE(L83,M83,N83),Table117821341[[#This Row],[Pos.]]="D/ST",AVERAGE(Table117821341[[#This Row],[*TD*]]))</f>
        <v>#N/A</v>
      </c>
      <c r="X83" s="94" t="e">
        <f t="shared" si="1"/>
        <v>#N/A</v>
      </c>
    </row>
    <row r="84" spans="2:24" hidden="1" x14ac:dyDescent="0.35">
      <c r="B84" s="6" t="s">
        <v>299</v>
      </c>
      <c r="C84" s="97" t="s">
        <v>45</v>
      </c>
      <c r="D84" s="97" t="s">
        <v>66</v>
      </c>
      <c r="E84" s="23" t="str" cm="1">
        <f t="array" ref="E84">_xlfn.XLOOKUP(Table117821341[[#This Row],[Team]],Table4334[Team],'2425'!$C$3:$C$34)</f>
        <v>n/a</v>
      </c>
      <c r="F84" s="97" t="str">
        <f>_xlfn.XLOOKUP(Table117821341[[#This Row],[Team]],Table4334[Team],Table4334[OPP])</f>
        <v>n/a</v>
      </c>
      <c r="G84" s="148" t="str" cm="1">
        <f t="array" ref="G84">IF(Table117821341[[#This Row],[Pos.]]="QB1",_xlfn.XLOOKUP(Table117821341[[#This Row],[Opp]],Table123[DEF],'2425'!$G$3:$G$34),"#N/A")</f>
        <v>#N/A</v>
      </c>
      <c r="H84" s="148" t="str" cm="1">
        <f t="array" ref="H84">IF(Table117821341[[#This Row],[Pos.]]="QB1",_xlfn.XLOOKUP(Table117821341[[#This Row],[Opp]],Table123[DEF],'2425'!$J$3:$J$34),"#N/A")</f>
        <v>#N/A</v>
      </c>
      <c r="I84" s="148" t="str" cm="1">
        <f t="array" ref="I84">IF(Table117821341[[#This Row],[Pos.]]="QB1",_xlfn.XLOOKUP(Table117821341[[#This Row],[Opp]],Table123[DEF],'2425'!$K$3:$K$34),"#N/A")</f>
        <v>#N/A</v>
      </c>
      <c r="J84" s="148" t="e" cm="1">
        <f t="array" ref="J8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4" s="148" t="e" cm="1">
        <f t="array" ref="K8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4" s="148" t="e" cm="1">
        <f t="array" ref="L8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4" s="148" t="e" cm="1">
        <f t="array" ref="M8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4" s="148" t="e" cm="1">
        <f t="array" ref="N8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4" s="149" t="str">
        <f>IF(Table117821341[[#This Row],[Pos.]]="QB1",_xlfn.XLOOKUP(Table117821341[[#This Row],[Opp]],Table123[DEF],Table123[P]),"#N/A")</f>
        <v>#N/A</v>
      </c>
      <c r="P84" s="149" t="str">
        <f>IF(Table117821341[[#This Row],[Pos.]]="QB1",_xlfn.XLOOKUP(Table117821341[[#This Row],[Opp]],Table123[DEF],Table123[P+R]),"#N/A")</f>
        <v>#N/A</v>
      </c>
      <c r="Q84" s="150" t="str">
        <f>IF(Table117821341[[#This Row],[Pos.]]="QB1",_xlfn.XLOOKUP(Table117821341[[#This Row],[Opp]],Table123[DEF],Table123[P TD]),"#N/A")</f>
        <v>#N/A</v>
      </c>
      <c r="R84" s="149" t="e" cm="1">
        <f t="array" ref="R8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4" s="150" t="e" cm="1">
        <f t="array" ref="S8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4" s="150" t="e" cm="1">
        <f t="array" ref="T8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4" s="150" t="e" cm="1">
        <f t="array" ref="U8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4" s="162" t="e" cm="1">
        <f t="array" ref="V8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4" s="148" t="e" cm="1">
        <f t="array" ref="W84">_xlfn.IFS(Table117821341[[#This Row],[Pos.]]="QB1",AVERAGE(G84,H84,I84,J84,N84),Table117821341[[#This Row],[Pos.]]="RB1",AVERAGE(J84,K84,N84),Table117821341[[#This Row],[Pos.]]="RB2",AVERAGE(J84,K84,N84),Table117821341[[#This Row],[Pos.]]="WR1",AVERAGE(L84,M84,N84),Table117821341[[#This Row],[Pos.]]="WR2",AVERAGE(L84,M84,N84),Table117821341[[#This Row],[Pos.]]="WR3",AVERAGE(L84,M84,N84),Table117821341[[#This Row],[Pos.]]="WR4",AVERAGE(L84,M84,N84),Table117821341[[#This Row],[Pos.]]="TE1",AVERAGE(L84,M84,N84),Table117821341[[#This Row],[Pos.]]="TE2",AVERAGE(L84,M84,N84),Table117821341[[#This Row],[Pos.]]="D/ST",AVERAGE(Table117821341[[#This Row],[*TD*]]))</f>
        <v>#N/A</v>
      </c>
      <c r="X84" s="94" t="e">
        <f t="shared" si="1"/>
        <v>#N/A</v>
      </c>
    </row>
    <row r="85" spans="2:24" hidden="1" x14ac:dyDescent="0.35">
      <c r="B85" s="6" t="s">
        <v>611</v>
      </c>
      <c r="C85" s="97" t="s">
        <v>29</v>
      </c>
      <c r="D85" s="97" t="s">
        <v>403</v>
      </c>
      <c r="E85" s="23" t="str" cm="1">
        <f t="array" ref="E85">_xlfn.XLOOKUP(Table117821341[[#This Row],[Team]],Table4334[Team],'2425'!$C$3:$C$34)</f>
        <v>n/a</v>
      </c>
      <c r="F85" s="97" t="str">
        <f>_xlfn.XLOOKUP(Table117821341[[#This Row],[Team]],Table4334[Team],Table4334[OPP])</f>
        <v>n/a</v>
      </c>
      <c r="G85" s="148" t="str" cm="1">
        <f t="array" ref="G85">IF(Table117821341[[#This Row],[Pos.]]="QB1",_xlfn.XLOOKUP(Table117821341[[#This Row],[Opp]],Table123[DEF],'2425'!$G$3:$G$34),"#N/A")</f>
        <v>#N/A</v>
      </c>
      <c r="H85" s="148" t="str" cm="1">
        <f t="array" ref="H85">IF(Table117821341[[#This Row],[Pos.]]="QB1",_xlfn.XLOOKUP(Table117821341[[#This Row],[Opp]],Table123[DEF],'2425'!$J$3:$J$34),"#N/A")</f>
        <v>#N/A</v>
      </c>
      <c r="I85" s="148" t="str" cm="1">
        <f t="array" ref="I85">IF(Table117821341[[#This Row],[Pos.]]="QB1",_xlfn.XLOOKUP(Table117821341[[#This Row],[Opp]],Table123[DEF],'2425'!$K$3:$K$34),"#N/A")</f>
        <v>#N/A</v>
      </c>
      <c r="J85" s="148" t="e" cm="1">
        <f t="array" ref="J8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5" s="148" t="e" cm="1">
        <f t="array" ref="K8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5" s="148" t="e" cm="1">
        <f t="array" ref="L8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5" s="148" t="e" cm="1">
        <f t="array" ref="M8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5" s="148" t="e" cm="1">
        <f t="array" ref="N8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5" s="149" t="str">
        <f>IF(Table117821341[[#This Row],[Pos.]]="QB1",_xlfn.XLOOKUP(Table117821341[[#This Row],[Opp]],Table123[DEF],Table123[P]),"#N/A")</f>
        <v>#N/A</v>
      </c>
      <c r="P85" s="149" t="str">
        <f>IF(Table117821341[[#This Row],[Pos.]]="QB1",_xlfn.XLOOKUP(Table117821341[[#This Row],[Opp]],Table123[DEF],Table123[P+R]),"#N/A")</f>
        <v>#N/A</v>
      </c>
      <c r="Q85" s="150" t="str">
        <f>IF(Table117821341[[#This Row],[Pos.]]="QB1",_xlfn.XLOOKUP(Table117821341[[#This Row],[Opp]],Table123[DEF],Table123[P TD]),"#N/A")</f>
        <v>#N/A</v>
      </c>
      <c r="R85" s="149" t="e" cm="1">
        <f t="array" ref="R8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5" s="150" t="e" cm="1">
        <f t="array" ref="S8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5" s="150" t="e" cm="1">
        <f t="array" ref="T8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5" s="150" t="e" cm="1">
        <f t="array" ref="U8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5" s="150" t="e" cm="1">
        <f t="array" ref="V8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5" s="148" t="e" cm="1">
        <f t="array" ref="W85">_xlfn.IFS(Table117821341[[#This Row],[Pos.]]="QB1",AVERAGE(G85,H85,I85,J85,N85),Table117821341[[#This Row],[Pos.]]="RB1",AVERAGE(J85,K85,N85),Table117821341[[#This Row],[Pos.]]="RB2",AVERAGE(J85,K85,N85),Table117821341[[#This Row],[Pos.]]="WR1",AVERAGE(L85,M85,N85),Table117821341[[#This Row],[Pos.]]="WR2",AVERAGE(L85,M85,N85),Table117821341[[#This Row],[Pos.]]="WR3",AVERAGE(L85,M85,N85),Table117821341[[#This Row],[Pos.]]="WR4",AVERAGE(L85,M85,N85),Table117821341[[#This Row],[Pos.]]="TE1",AVERAGE(L85,M85,N85),Table117821341[[#This Row],[Pos.]]="TE2",AVERAGE(L85,M85,N85),Table117821341[[#This Row],[Pos.]]="D/ST",AVERAGE(Table117821341[[#This Row],[*TD*]]))</f>
        <v>#N/A</v>
      </c>
      <c r="X85" s="94" t="e">
        <f t="shared" si="1"/>
        <v>#N/A</v>
      </c>
    </row>
    <row r="86" spans="2:24" hidden="1" x14ac:dyDescent="0.35">
      <c r="B86" s="6" t="s">
        <v>612</v>
      </c>
      <c r="C86" s="97" t="s">
        <v>29</v>
      </c>
      <c r="D86" s="97" t="s">
        <v>411</v>
      </c>
      <c r="E86" s="23" t="str" cm="1">
        <f t="array" ref="E86">_xlfn.XLOOKUP(Table117821341[[#This Row],[Team]],Table4334[Team],'2425'!$C$3:$C$34)</f>
        <v>n/a</v>
      </c>
      <c r="F86" s="97" t="str">
        <f>_xlfn.XLOOKUP(Table117821341[[#This Row],[Team]],Table4334[Team],Table4334[OPP])</f>
        <v>n/a</v>
      </c>
      <c r="G86" s="148" t="str" cm="1">
        <f t="array" ref="G86">IF(Table117821341[[#This Row],[Pos.]]="QB1",_xlfn.XLOOKUP(Table117821341[[#This Row],[Opp]],Table123[DEF],'2425'!$G$3:$G$34),"#N/A")</f>
        <v>#N/A</v>
      </c>
      <c r="H86" s="148" t="str" cm="1">
        <f t="array" ref="H86">IF(Table117821341[[#This Row],[Pos.]]="QB1",_xlfn.XLOOKUP(Table117821341[[#This Row],[Opp]],Table123[DEF],'2425'!$J$3:$J$34),"#N/A")</f>
        <v>#N/A</v>
      </c>
      <c r="I86" s="148" t="str" cm="1">
        <f t="array" ref="I86">IF(Table117821341[[#This Row],[Pos.]]="QB1",_xlfn.XLOOKUP(Table117821341[[#This Row],[Opp]],Table123[DEF],'2425'!$K$3:$K$34),"#N/A")</f>
        <v>#N/A</v>
      </c>
      <c r="J86" s="148" t="e" cm="1">
        <f t="array" ref="J8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6" s="148" t="e" cm="1">
        <f t="array" ref="K8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6" s="148" t="e" cm="1">
        <f t="array" ref="L8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6" s="148" t="e" cm="1">
        <f t="array" ref="M8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6" s="148" t="e" cm="1">
        <f t="array" ref="N8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6" s="149" t="str">
        <f>IF(Table117821341[[#This Row],[Pos.]]="QB1",_xlfn.XLOOKUP(Table117821341[[#This Row],[Opp]],Table123[DEF],Table123[P]),"#N/A")</f>
        <v>#N/A</v>
      </c>
      <c r="P86" s="149" t="str">
        <f>IF(Table117821341[[#This Row],[Pos.]]="QB1",_xlfn.XLOOKUP(Table117821341[[#This Row],[Opp]],Table123[DEF],Table123[P+R]),"#N/A")</f>
        <v>#N/A</v>
      </c>
      <c r="Q86" s="150" t="str">
        <f>IF(Table117821341[[#This Row],[Pos.]]="QB1",_xlfn.XLOOKUP(Table117821341[[#This Row],[Opp]],Table123[DEF],Table123[P TD]),"#N/A")</f>
        <v>#N/A</v>
      </c>
      <c r="R86" s="149" t="e" cm="1">
        <f t="array" ref="R8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6" s="150" t="e" cm="1">
        <f t="array" ref="S8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6" s="150" t="e" cm="1">
        <f t="array" ref="T8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6" s="150" t="e" cm="1">
        <f t="array" ref="U8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6" s="150" t="e" cm="1">
        <f t="array" ref="V8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6" s="148" t="e" cm="1">
        <f t="array" ref="W86">_xlfn.IFS(Table117821341[[#This Row],[Pos.]]="QB1",AVERAGE(G86,H86,I86,J86,N86),Table117821341[[#This Row],[Pos.]]="RB1",AVERAGE(J86,K86,N86),Table117821341[[#This Row],[Pos.]]="RB2",AVERAGE(J86,K86,N86),Table117821341[[#This Row],[Pos.]]="WR1",AVERAGE(L86,M86,N86),Table117821341[[#This Row],[Pos.]]="WR2",AVERAGE(L86,M86,N86),Table117821341[[#This Row],[Pos.]]="WR3",AVERAGE(L86,M86,N86),Table117821341[[#This Row],[Pos.]]="WR4",AVERAGE(L86,M86,N86),Table117821341[[#This Row],[Pos.]]="TE1",AVERAGE(L86,M86,N86),Table117821341[[#This Row],[Pos.]]="TE2",AVERAGE(L86,M86,N86),Table117821341[[#This Row],[Pos.]]="D/ST",AVERAGE(Table117821341[[#This Row],[*TD*]]))</f>
        <v>#N/A</v>
      </c>
      <c r="X86" s="94" t="e">
        <f t="shared" si="1"/>
        <v>#N/A</v>
      </c>
    </row>
    <row r="87" spans="2:24" hidden="1" x14ac:dyDescent="0.35">
      <c r="B87" s="6" t="s">
        <v>613</v>
      </c>
      <c r="C87" s="97" t="s">
        <v>29</v>
      </c>
      <c r="D87" s="97" t="s">
        <v>441</v>
      </c>
      <c r="E87" s="23" t="str" cm="1">
        <f t="array" ref="E87">_xlfn.XLOOKUP(Table117821341[[#This Row],[Team]],Table4334[Team],'2425'!$C$3:$C$34)</f>
        <v>n/a</v>
      </c>
      <c r="F87" s="97" t="str">
        <f>_xlfn.XLOOKUP(Table117821341[[#This Row],[Team]],Table4334[Team],Table4334[OPP])</f>
        <v>n/a</v>
      </c>
      <c r="G87" s="148" t="str" cm="1">
        <f t="array" ref="G87">IF(Table117821341[[#This Row],[Pos.]]="QB1",_xlfn.XLOOKUP(Table117821341[[#This Row],[Opp]],Table123[DEF],'2425'!$G$3:$G$34),"#N/A")</f>
        <v>#N/A</v>
      </c>
      <c r="H87" s="148" t="str" cm="1">
        <f t="array" ref="H87">IF(Table117821341[[#This Row],[Pos.]]="QB1",_xlfn.XLOOKUP(Table117821341[[#This Row],[Opp]],Table123[DEF],'2425'!$J$3:$J$34),"#N/A")</f>
        <v>#N/A</v>
      </c>
      <c r="I87" s="148" t="str" cm="1">
        <f t="array" ref="I87">IF(Table117821341[[#This Row],[Pos.]]="QB1",_xlfn.XLOOKUP(Table117821341[[#This Row],[Opp]],Table123[DEF],'2425'!$K$3:$K$34),"#N/A")</f>
        <v>#N/A</v>
      </c>
      <c r="J87" s="148" t="e" cm="1">
        <f t="array" ref="J8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7" s="148" t="e" cm="1">
        <f t="array" ref="K8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7" s="148" t="e" cm="1">
        <f t="array" ref="L8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7" s="148" t="e" cm="1">
        <f t="array" ref="M8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7" s="148" t="e" cm="1">
        <f t="array" ref="N8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7" s="149" t="str">
        <f>IF(Table117821341[[#This Row],[Pos.]]="QB1",_xlfn.XLOOKUP(Table117821341[[#This Row],[Opp]],Table123[DEF],Table123[P]),"#N/A")</f>
        <v>#N/A</v>
      </c>
      <c r="P87" s="149" t="str">
        <f>IF(Table117821341[[#This Row],[Pos.]]="QB1",_xlfn.XLOOKUP(Table117821341[[#This Row],[Opp]],Table123[DEF],Table123[P+R]),"#N/A")</f>
        <v>#N/A</v>
      </c>
      <c r="Q87" s="150" t="str">
        <f>IF(Table117821341[[#This Row],[Pos.]]="QB1",_xlfn.XLOOKUP(Table117821341[[#This Row],[Opp]],Table123[DEF],Table123[P TD]),"#N/A")</f>
        <v>#N/A</v>
      </c>
      <c r="R87" s="149" t="e" cm="1">
        <f t="array" ref="R8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7" s="150" t="e" cm="1">
        <f t="array" ref="S8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7" s="150" t="e" cm="1">
        <f t="array" ref="T8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7" s="150" t="e" cm="1">
        <f t="array" ref="U8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7" s="150" t="e" cm="1">
        <f t="array" ref="V8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7" s="148" t="e" cm="1">
        <f t="array" ref="W87">_xlfn.IFS(Table117821341[[#This Row],[Pos.]]="QB1",AVERAGE(G87,H87,I87,J87,N87),Table117821341[[#This Row],[Pos.]]="RB1",AVERAGE(J87,K87,N87),Table117821341[[#This Row],[Pos.]]="RB2",AVERAGE(J87,K87,N87),Table117821341[[#This Row],[Pos.]]="WR1",AVERAGE(L87,M87,N87),Table117821341[[#This Row],[Pos.]]="WR2",AVERAGE(L87,M87,N87),Table117821341[[#This Row],[Pos.]]="WR3",AVERAGE(L87,M87,N87),Table117821341[[#This Row],[Pos.]]="WR4",AVERAGE(L87,M87,N87),Table117821341[[#This Row],[Pos.]]="TE1",AVERAGE(L87,M87,N87),Table117821341[[#This Row],[Pos.]]="TE2",AVERAGE(L87,M87,N87),Table117821341[[#This Row],[Pos.]]="D/ST",AVERAGE(Table117821341[[#This Row],[*TD*]]))</f>
        <v>#N/A</v>
      </c>
      <c r="X87" s="94" t="e">
        <f t="shared" si="1"/>
        <v>#N/A</v>
      </c>
    </row>
    <row r="88" spans="2:24" hidden="1" x14ac:dyDescent="0.35">
      <c r="B88" s="6" t="s">
        <v>149</v>
      </c>
      <c r="C88" s="97" t="s">
        <v>29</v>
      </c>
      <c r="D88" s="97" t="s">
        <v>443</v>
      </c>
      <c r="E88" s="23" t="str" cm="1">
        <f t="array" ref="E88">_xlfn.XLOOKUP(Table117821341[[#This Row],[Team]],Table4334[Team],'2425'!$C$3:$C$34)</f>
        <v>n/a</v>
      </c>
      <c r="F88" s="97" t="str">
        <f>_xlfn.XLOOKUP(Table117821341[[#This Row],[Team]],Table4334[Team],Table4334[OPP])</f>
        <v>n/a</v>
      </c>
      <c r="G88" s="148" t="str" cm="1">
        <f t="array" ref="G88">IF(Table117821341[[#This Row],[Pos.]]="QB1",_xlfn.XLOOKUP(Table117821341[[#This Row],[Opp]],Table123[DEF],'2425'!$G$3:$G$34),"#N/A")</f>
        <v>#N/A</v>
      </c>
      <c r="H88" s="148" t="str" cm="1">
        <f t="array" ref="H88">IF(Table117821341[[#This Row],[Pos.]]="QB1",_xlfn.XLOOKUP(Table117821341[[#This Row],[Opp]],Table123[DEF],'2425'!$J$3:$J$34),"#N/A")</f>
        <v>#N/A</v>
      </c>
      <c r="I88" s="148" t="str" cm="1">
        <f t="array" ref="I88">IF(Table117821341[[#This Row],[Pos.]]="QB1",_xlfn.XLOOKUP(Table117821341[[#This Row],[Opp]],Table123[DEF],'2425'!$K$3:$K$34),"#N/A")</f>
        <v>#N/A</v>
      </c>
      <c r="J88" s="148" t="e" cm="1">
        <f t="array" ref="J8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8" s="148" t="e" cm="1">
        <f t="array" ref="K8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8" s="148" t="e" cm="1">
        <f t="array" ref="L8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8" s="148" t="e" cm="1">
        <f t="array" ref="M8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8" s="148" t="e" cm="1">
        <f t="array" ref="N8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8" s="149" t="str">
        <f>IF(Table117821341[[#This Row],[Pos.]]="QB1",_xlfn.XLOOKUP(Table117821341[[#This Row],[Opp]],Table123[DEF],Table123[P]),"#N/A")</f>
        <v>#N/A</v>
      </c>
      <c r="P88" s="149" t="str">
        <f>IF(Table117821341[[#This Row],[Pos.]]="QB1",_xlfn.XLOOKUP(Table117821341[[#This Row],[Opp]],Table123[DEF],Table123[P+R]),"#N/A")</f>
        <v>#N/A</v>
      </c>
      <c r="Q88" s="150" t="str">
        <f>IF(Table117821341[[#This Row],[Pos.]]="QB1",_xlfn.XLOOKUP(Table117821341[[#This Row],[Opp]],Table123[DEF],Table123[P TD]),"#N/A")</f>
        <v>#N/A</v>
      </c>
      <c r="R88" s="149" t="e" cm="1">
        <f t="array" ref="R8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8" s="150" t="e" cm="1">
        <f t="array" ref="S8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8" s="150" t="e" cm="1">
        <f t="array" ref="T8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8" s="150" t="e" cm="1">
        <f t="array" ref="U8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8" s="150" t="e" cm="1">
        <f t="array" ref="V8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8" s="148" t="e" cm="1">
        <f t="array" ref="W88">_xlfn.IFS(Table117821341[[#This Row],[Pos.]]="QB1",AVERAGE(G88,H88,I88,J88,N88),Table117821341[[#This Row],[Pos.]]="RB1",AVERAGE(J88,K88,N88),Table117821341[[#This Row],[Pos.]]="RB2",AVERAGE(J88,K88,N88),Table117821341[[#This Row],[Pos.]]="WR1",AVERAGE(L88,M88,N88),Table117821341[[#This Row],[Pos.]]="WR2",AVERAGE(L88,M88,N88),Table117821341[[#This Row],[Pos.]]="WR3",AVERAGE(L88,M88,N88),Table117821341[[#This Row],[Pos.]]="WR4",AVERAGE(L88,M88,N88),Table117821341[[#This Row],[Pos.]]="TE1",AVERAGE(L88,M88,N88),Table117821341[[#This Row],[Pos.]]="TE2",AVERAGE(L88,M88,N88),Table117821341[[#This Row],[Pos.]]="D/ST",AVERAGE(Table117821341[[#This Row],[*TD*]]))</f>
        <v>#N/A</v>
      </c>
      <c r="X88" s="94" t="e">
        <f t="shared" si="1"/>
        <v>#N/A</v>
      </c>
    </row>
    <row r="89" spans="2:24" hidden="1" x14ac:dyDescent="0.35">
      <c r="B89" s="6" t="s">
        <v>291</v>
      </c>
      <c r="C89" s="97" t="s">
        <v>44</v>
      </c>
      <c r="D89" s="97" t="s">
        <v>66</v>
      </c>
      <c r="E89" s="23" t="str" cm="1">
        <f t="array" ref="E89">_xlfn.XLOOKUP(Table117821341[[#This Row],[Team]],Table4334[Team],'2425'!$C$3:$C$34)</f>
        <v>n/a</v>
      </c>
      <c r="F89" s="97" t="str">
        <f>_xlfn.XLOOKUP(Table117821341[[#This Row],[Team]],Table4334[Team],Table4334[OPP])</f>
        <v>n/a</v>
      </c>
      <c r="G89" s="148" t="str" cm="1">
        <f t="array" ref="G89">IF(Table117821341[[#This Row],[Pos.]]="QB1",_xlfn.XLOOKUP(Table117821341[[#This Row],[Opp]],Table123[DEF],'2425'!$G$3:$G$34),"#N/A")</f>
        <v>#N/A</v>
      </c>
      <c r="H89" s="148" t="str" cm="1">
        <f t="array" ref="H89">IF(Table117821341[[#This Row],[Pos.]]="QB1",_xlfn.XLOOKUP(Table117821341[[#This Row],[Opp]],Table123[DEF],'2425'!$J$3:$J$34),"#N/A")</f>
        <v>#N/A</v>
      </c>
      <c r="I89" s="148" t="str" cm="1">
        <f t="array" ref="I89">IF(Table117821341[[#This Row],[Pos.]]="QB1",_xlfn.XLOOKUP(Table117821341[[#This Row],[Opp]],Table123[DEF],'2425'!$K$3:$K$34),"#N/A")</f>
        <v>#N/A</v>
      </c>
      <c r="J89" s="148" t="e" cm="1">
        <f t="array" ref="J8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89" s="148" t="e" cm="1">
        <f t="array" ref="K8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89" s="148" t="e" cm="1">
        <f t="array" ref="L8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89" s="148" t="e" cm="1">
        <f t="array" ref="M8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89" s="148" t="e" cm="1">
        <f t="array" ref="N8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89" s="149" t="str">
        <f>IF(Table117821341[[#This Row],[Pos.]]="QB1",_xlfn.XLOOKUP(Table117821341[[#This Row],[Opp]],Table123[DEF],Table123[P]),"#N/A")</f>
        <v>#N/A</v>
      </c>
      <c r="P89" s="149" t="str">
        <f>IF(Table117821341[[#This Row],[Pos.]]="QB1",_xlfn.XLOOKUP(Table117821341[[#This Row],[Opp]],Table123[DEF],Table123[P+R]),"#N/A")</f>
        <v>#N/A</v>
      </c>
      <c r="Q89" s="150" t="str">
        <f>IF(Table117821341[[#This Row],[Pos.]]="QB1",_xlfn.XLOOKUP(Table117821341[[#This Row],[Opp]],Table123[DEF],Table123[P TD]),"#N/A")</f>
        <v>#N/A</v>
      </c>
      <c r="R89" s="149" t="e" cm="1">
        <f t="array" ref="R8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89" s="150" t="e" cm="1">
        <f t="array" ref="S8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89" s="150" t="e" cm="1">
        <f t="array" ref="T8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89" s="150" t="e" cm="1">
        <f t="array" ref="U8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89" s="162" t="e" cm="1">
        <f t="array" ref="V8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89" s="148" t="e" cm="1">
        <f t="array" ref="W89">_xlfn.IFS(Table117821341[[#This Row],[Pos.]]="QB1",AVERAGE(G89,H89,I89,J89,N89),Table117821341[[#This Row],[Pos.]]="RB1",AVERAGE(J89,K89,N89),Table117821341[[#This Row],[Pos.]]="RB2",AVERAGE(J89,K89,N89),Table117821341[[#This Row],[Pos.]]="WR1",AVERAGE(L89,M89,N89),Table117821341[[#This Row],[Pos.]]="WR2",AVERAGE(L89,M89,N89),Table117821341[[#This Row],[Pos.]]="WR3",AVERAGE(L89,M89,N89),Table117821341[[#This Row],[Pos.]]="WR4",AVERAGE(L89,M89,N89),Table117821341[[#This Row],[Pos.]]="TE1",AVERAGE(L89,M89,N89),Table117821341[[#This Row],[Pos.]]="TE2",AVERAGE(L89,M89,N89),Table117821341[[#This Row],[Pos.]]="D/ST",AVERAGE(Table117821341[[#This Row],[*TD*]]))</f>
        <v>#N/A</v>
      </c>
      <c r="X89" s="94" t="e">
        <f t="shared" si="1"/>
        <v>#N/A</v>
      </c>
    </row>
    <row r="90" spans="2:24" hidden="1" x14ac:dyDescent="0.35">
      <c r="B90" s="6" t="s">
        <v>408</v>
      </c>
      <c r="C90" s="97" t="s">
        <v>44</v>
      </c>
      <c r="D90" s="97" t="s">
        <v>67</v>
      </c>
      <c r="E90" s="23" t="str" cm="1">
        <f t="array" ref="E90">_xlfn.XLOOKUP(Table117821341[[#This Row],[Team]],Table4334[Team],'2425'!$C$3:$C$34)</f>
        <v>n/a</v>
      </c>
      <c r="F90" s="97" t="str">
        <f>_xlfn.XLOOKUP(Table117821341[[#This Row],[Team]],Table4334[Team],Table4334[OPP])</f>
        <v>n/a</v>
      </c>
      <c r="G90" s="148" t="str" cm="1">
        <f t="array" ref="G90">IF(Table117821341[[#This Row],[Pos.]]="QB1",_xlfn.XLOOKUP(Table117821341[[#This Row],[Opp]],Table123[DEF],'2425'!$G$3:$G$34),"#N/A")</f>
        <v>#N/A</v>
      </c>
      <c r="H90" s="148" t="str" cm="1">
        <f t="array" ref="H90">IF(Table117821341[[#This Row],[Pos.]]="QB1",_xlfn.XLOOKUP(Table117821341[[#This Row],[Opp]],Table123[DEF],'2425'!$J$3:$J$34),"#N/A")</f>
        <v>#N/A</v>
      </c>
      <c r="I90" s="148" t="str" cm="1">
        <f t="array" ref="I90">IF(Table117821341[[#This Row],[Pos.]]="QB1",_xlfn.XLOOKUP(Table117821341[[#This Row],[Opp]],Table123[DEF],'2425'!$K$3:$K$34),"#N/A")</f>
        <v>#N/A</v>
      </c>
      <c r="J90" s="148" t="e" cm="1">
        <f t="array" ref="J9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0" s="148" t="e" cm="1">
        <f t="array" ref="K9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0" s="148" t="e" cm="1">
        <f t="array" ref="L9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0" s="148" t="e" cm="1">
        <f t="array" ref="M9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0" s="148" t="e" cm="1">
        <f t="array" ref="N9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0" s="149" t="str">
        <f>IF(Table117821341[[#This Row],[Pos.]]="QB1",_xlfn.XLOOKUP(Table117821341[[#This Row],[Opp]],Table123[DEF],Table123[P]),"#N/A")</f>
        <v>#N/A</v>
      </c>
      <c r="P90" s="149" t="str">
        <f>IF(Table117821341[[#This Row],[Pos.]]="QB1",_xlfn.XLOOKUP(Table117821341[[#This Row],[Opp]],Table123[DEF],Table123[P+R]),"#N/A")</f>
        <v>#N/A</v>
      </c>
      <c r="Q90" s="150" t="str">
        <f>IF(Table117821341[[#This Row],[Pos.]]="QB1",_xlfn.XLOOKUP(Table117821341[[#This Row],[Opp]],Table123[DEF],Table123[P TD]),"#N/A")</f>
        <v>#N/A</v>
      </c>
      <c r="R90" s="149" t="e" cm="1">
        <f t="array" ref="R9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0" s="150" t="e" cm="1">
        <f t="array" ref="S9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0" s="150" t="e" cm="1">
        <f t="array" ref="T9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0" s="150" t="e" cm="1">
        <f t="array" ref="U9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0" s="162" t="e" cm="1">
        <f t="array" ref="V9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0" s="148" t="e" cm="1">
        <f t="array" ref="W90">_xlfn.IFS(Table117821341[[#This Row],[Pos.]]="QB1",AVERAGE(G90,H90,I90,J90,N90),Table117821341[[#This Row],[Pos.]]="RB1",AVERAGE(J90,K90,N90),Table117821341[[#This Row],[Pos.]]="RB2",AVERAGE(J90,K90,N90),Table117821341[[#This Row],[Pos.]]="WR1",AVERAGE(L90,M90,N90),Table117821341[[#This Row],[Pos.]]="WR2",AVERAGE(L90,M90,N90),Table117821341[[#This Row],[Pos.]]="WR3",AVERAGE(L90,M90,N90),Table117821341[[#This Row],[Pos.]]="WR4",AVERAGE(L90,M90,N90),Table117821341[[#This Row],[Pos.]]="TE1",AVERAGE(L90,M90,N90),Table117821341[[#This Row],[Pos.]]="TE2",AVERAGE(L90,M90,N90),Table117821341[[#This Row],[Pos.]]="D/ST",AVERAGE(Table117821341[[#This Row],[*TD*]]))</f>
        <v>#N/A</v>
      </c>
      <c r="X90" s="94" t="e">
        <f t="shared" si="1"/>
        <v>#N/A</v>
      </c>
    </row>
    <row r="91" spans="2:24" hidden="1" x14ac:dyDescent="0.35">
      <c r="B91" s="6" t="s">
        <v>496</v>
      </c>
      <c r="C91" s="97" t="s">
        <v>30</v>
      </c>
      <c r="D91" s="97" t="s">
        <v>405</v>
      </c>
      <c r="E91" s="23" t="str" cm="1">
        <f t="array" ref="E91">_xlfn.XLOOKUP(Table117821341[[#This Row],[Team]],Table4334[Team],'2425'!$C$3:$C$34)</f>
        <v>n/a</v>
      </c>
      <c r="F91" s="97" t="str">
        <f>_xlfn.XLOOKUP(Table117821341[[#This Row],[Team]],Table4334[Team],Table4334[OPP])</f>
        <v>n/a</v>
      </c>
      <c r="G91" s="148" t="str" cm="1">
        <f t="array" ref="G91">IF(Table117821341[[#This Row],[Pos.]]="QB1",_xlfn.XLOOKUP(Table117821341[[#This Row],[Opp]],Table123[DEF],'2425'!$G$3:$G$34),"#N/A")</f>
        <v>#N/A</v>
      </c>
      <c r="H91" s="148" t="str" cm="1">
        <f t="array" ref="H91">IF(Table117821341[[#This Row],[Pos.]]="QB1",_xlfn.XLOOKUP(Table117821341[[#This Row],[Opp]],Table123[DEF],'2425'!$J$3:$J$34),"#N/A")</f>
        <v>#N/A</v>
      </c>
      <c r="I91" s="148" t="str" cm="1">
        <f t="array" ref="I91">IF(Table117821341[[#This Row],[Pos.]]="QB1",_xlfn.XLOOKUP(Table117821341[[#This Row],[Opp]],Table123[DEF],'2425'!$K$3:$K$34),"#N/A")</f>
        <v>#N/A</v>
      </c>
      <c r="J91" s="148" t="e" cm="1">
        <f t="array" ref="J9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1" s="148" t="e" cm="1">
        <f t="array" ref="K9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1" s="148" t="e" cm="1">
        <f t="array" ref="L9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1" s="148" t="e" cm="1">
        <f t="array" ref="M9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1" s="148" t="e" cm="1">
        <f t="array" ref="N9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1" s="149" t="str">
        <f>IF(Table117821341[[#This Row],[Pos.]]="QB1",_xlfn.XLOOKUP(Table117821341[[#This Row],[Opp]],Table123[DEF],Table123[P]),"#N/A")</f>
        <v>#N/A</v>
      </c>
      <c r="P91" s="149" t="str">
        <f>IF(Table117821341[[#This Row],[Pos.]]="QB1",_xlfn.XLOOKUP(Table117821341[[#This Row],[Opp]],Table123[DEF],Table123[P+R]),"#N/A")</f>
        <v>#N/A</v>
      </c>
      <c r="Q91" s="150" t="str">
        <f>IF(Table117821341[[#This Row],[Pos.]]="QB1",_xlfn.XLOOKUP(Table117821341[[#This Row],[Opp]],Table123[DEF],Table123[P TD]),"#N/A")</f>
        <v>#N/A</v>
      </c>
      <c r="R91" s="149" t="e" cm="1">
        <f t="array" ref="R9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1" s="150" t="e" cm="1">
        <f t="array" ref="S9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1" s="150" t="e" cm="1">
        <f t="array" ref="T9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1" s="150" t="e" cm="1">
        <f t="array" ref="U9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1" s="150" t="e" cm="1">
        <f t="array" ref="V9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1" s="148" t="e" cm="1">
        <f t="array" ref="W91">_xlfn.IFS(Table117821341[[#This Row],[Pos.]]="QB1",AVERAGE(G91,H91,I91,J91,N91),Table117821341[[#This Row],[Pos.]]="RB1",AVERAGE(J91,K91,N91),Table117821341[[#This Row],[Pos.]]="RB2",AVERAGE(J91,K91,N91),Table117821341[[#This Row],[Pos.]]="WR1",AVERAGE(L91,M91,N91),Table117821341[[#This Row],[Pos.]]="WR2",AVERAGE(L91,M91,N91),Table117821341[[#This Row],[Pos.]]="WR3",AVERAGE(L91,M91,N91),Table117821341[[#This Row],[Pos.]]="WR4",AVERAGE(L91,M91,N91),Table117821341[[#This Row],[Pos.]]="TE1",AVERAGE(L91,M91,N91),Table117821341[[#This Row],[Pos.]]="TE2",AVERAGE(L91,M91,N91),Table117821341[[#This Row],[Pos.]]="D/ST",AVERAGE(Table117821341[[#This Row],[*TD*]]))</f>
        <v>#N/A</v>
      </c>
      <c r="X91" s="94" t="e">
        <f t="shared" si="1"/>
        <v>#N/A</v>
      </c>
    </row>
    <row r="92" spans="2:24" hidden="1" x14ac:dyDescent="0.35">
      <c r="B92" s="6" t="s">
        <v>497</v>
      </c>
      <c r="C92" s="97" t="s">
        <v>30</v>
      </c>
      <c r="D92" s="97" t="s">
        <v>425</v>
      </c>
      <c r="E92" s="23" t="str" cm="1">
        <f t="array" ref="E92">_xlfn.XLOOKUP(Table117821341[[#This Row],[Team]],Table4334[Team],'2425'!$C$3:$C$34)</f>
        <v>n/a</v>
      </c>
      <c r="F92" s="97" t="str">
        <f>_xlfn.XLOOKUP(Table117821341[[#This Row],[Team]],Table4334[Team],Table4334[OPP])</f>
        <v>n/a</v>
      </c>
      <c r="G92" s="148" t="str" cm="1">
        <f t="array" ref="G92">IF(Table117821341[[#This Row],[Pos.]]="QB1",_xlfn.XLOOKUP(Table117821341[[#This Row],[Opp]],Table123[DEF],'2425'!$G$3:$G$34),"#N/A")</f>
        <v>#N/A</v>
      </c>
      <c r="H92" s="148" t="str" cm="1">
        <f t="array" ref="H92">IF(Table117821341[[#This Row],[Pos.]]="QB1",_xlfn.XLOOKUP(Table117821341[[#This Row],[Opp]],Table123[DEF],'2425'!$J$3:$J$34),"#N/A")</f>
        <v>#N/A</v>
      </c>
      <c r="I92" s="148" t="str" cm="1">
        <f t="array" ref="I92">IF(Table117821341[[#This Row],[Pos.]]="QB1",_xlfn.XLOOKUP(Table117821341[[#This Row],[Opp]],Table123[DEF],'2425'!$K$3:$K$34),"#N/A")</f>
        <v>#N/A</v>
      </c>
      <c r="J92" s="148" t="e" cm="1">
        <f t="array" ref="J9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2" s="148" t="e" cm="1">
        <f t="array" ref="K9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2" s="148" t="e" cm="1">
        <f t="array" ref="L9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2" s="148" t="e" cm="1">
        <f t="array" ref="M9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2" s="148" t="e" cm="1">
        <f t="array" ref="N9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2" s="149" t="str">
        <f>IF(Table117821341[[#This Row],[Pos.]]="QB1",_xlfn.XLOOKUP(Table117821341[[#This Row],[Opp]],Table123[DEF],Table123[P]),"#N/A")</f>
        <v>#N/A</v>
      </c>
      <c r="P92" s="149" t="str">
        <f>IF(Table117821341[[#This Row],[Pos.]]="QB1",_xlfn.XLOOKUP(Table117821341[[#This Row],[Opp]],Table123[DEF],Table123[P+R]),"#N/A")</f>
        <v>#N/A</v>
      </c>
      <c r="Q92" s="150" t="str">
        <f>IF(Table117821341[[#This Row],[Pos.]]="QB1",_xlfn.XLOOKUP(Table117821341[[#This Row],[Opp]],Table123[DEF],Table123[P TD]),"#N/A")</f>
        <v>#N/A</v>
      </c>
      <c r="R92" s="149" t="e" cm="1">
        <f t="array" ref="R9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2" s="150" t="e" cm="1">
        <f t="array" ref="S9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2" s="150" t="e" cm="1">
        <f t="array" ref="T9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2" s="150" t="e" cm="1">
        <f t="array" ref="U9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2" s="150" t="e" cm="1">
        <f t="array" ref="V9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2" s="148" t="e" cm="1">
        <f t="array" ref="W92">_xlfn.IFS(Table117821341[[#This Row],[Pos.]]="QB1",AVERAGE(G92,H92,I92,J92,N92),Table117821341[[#This Row],[Pos.]]="RB1",AVERAGE(J92,K92,N92),Table117821341[[#This Row],[Pos.]]="RB2",AVERAGE(J92,K92,N92),Table117821341[[#This Row],[Pos.]]="WR1",AVERAGE(L92,M92,N92),Table117821341[[#This Row],[Pos.]]="WR2",AVERAGE(L92,M92,N92),Table117821341[[#This Row],[Pos.]]="WR3",AVERAGE(L92,M92,N92),Table117821341[[#This Row],[Pos.]]="WR4",AVERAGE(L92,M92,N92),Table117821341[[#This Row],[Pos.]]="TE1",AVERAGE(L92,M92,N92),Table117821341[[#This Row],[Pos.]]="TE2",AVERAGE(L92,M92,N92),Table117821341[[#This Row],[Pos.]]="D/ST",AVERAGE(Table117821341[[#This Row],[*TD*]]))</f>
        <v>#N/A</v>
      </c>
      <c r="X92" s="94" t="e">
        <f t="shared" si="1"/>
        <v>#N/A</v>
      </c>
    </row>
    <row r="93" spans="2:24" hidden="1" x14ac:dyDescent="0.35">
      <c r="B93" s="6" t="s">
        <v>133</v>
      </c>
      <c r="C93" s="97" t="s">
        <v>15</v>
      </c>
      <c r="D93" s="97" t="s">
        <v>67</v>
      </c>
      <c r="E93" s="23" t="str" cm="1">
        <f t="array" ref="E93">_xlfn.XLOOKUP(Table117821341[[#This Row],[Team]],Table4334[Team],'2425'!$C$3:$C$34)</f>
        <v>n/a</v>
      </c>
      <c r="F93" s="97" t="str">
        <f>_xlfn.XLOOKUP(Table117821341[[#This Row],[Team]],Table4334[Team],Table4334[OPP])</f>
        <v>n/a</v>
      </c>
      <c r="G93" s="148" t="str" cm="1">
        <f t="array" ref="G93">IF(Table117821341[[#This Row],[Pos.]]="QB1",_xlfn.XLOOKUP(Table117821341[[#This Row],[Opp]],Table123[DEF],'2425'!$G$3:$G$34),"#N/A")</f>
        <v>#N/A</v>
      </c>
      <c r="H93" s="148" t="str" cm="1">
        <f t="array" ref="H93">IF(Table117821341[[#This Row],[Pos.]]="QB1",_xlfn.XLOOKUP(Table117821341[[#This Row],[Opp]],Table123[DEF],'2425'!$J$3:$J$34),"#N/A")</f>
        <v>#N/A</v>
      </c>
      <c r="I93" s="148" t="str" cm="1">
        <f t="array" ref="I93">IF(Table117821341[[#This Row],[Pos.]]="QB1",_xlfn.XLOOKUP(Table117821341[[#This Row],[Opp]],Table123[DEF],'2425'!$K$3:$K$34),"#N/A")</f>
        <v>#N/A</v>
      </c>
      <c r="J93" s="148" t="e" cm="1">
        <f t="array" ref="J9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3" s="148" t="e" cm="1">
        <f t="array" ref="K9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3" s="148" t="e" cm="1">
        <f t="array" ref="L9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3" s="148" t="e" cm="1">
        <f t="array" ref="M9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3" s="148" t="e" cm="1">
        <f t="array" ref="N9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3" s="149" t="str">
        <f>IF(Table117821341[[#This Row],[Pos.]]="QB1",_xlfn.XLOOKUP(Table117821341[[#This Row],[Opp]],Table123[DEF],Table123[P]),"#N/A")</f>
        <v>#N/A</v>
      </c>
      <c r="P93" s="149" t="str">
        <f>IF(Table117821341[[#This Row],[Pos.]]="QB1",_xlfn.XLOOKUP(Table117821341[[#This Row],[Opp]],Table123[DEF],Table123[P+R]),"#N/A")</f>
        <v>#N/A</v>
      </c>
      <c r="Q93" s="150" t="str">
        <f>IF(Table117821341[[#This Row],[Pos.]]="QB1",_xlfn.XLOOKUP(Table117821341[[#This Row],[Opp]],Table123[DEF],Table123[P TD]),"#N/A")</f>
        <v>#N/A</v>
      </c>
      <c r="R93" s="149" t="e" cm="1">
        <f t="array" ref="R9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3" s="150" t="e" cm="1">
        <f t="array" ref="S9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3" s="150" t="e" cm="1">
        <f t="array" ref="T9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3" s="150" t="e" cm="1">
        <f t="array" ref="U9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3" s="162" t="e" cm="1">
        <f t="array" ref="V9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3" s="148" t="e" cm="1">
        <f t="array" ref="W93">_xlfn.IFS(Table117821341[[#This Row],[Pos.]]="QB1",AVERAGE(G93,H93,I93,J93,N93),Table117821341[[#This Row],[Pos.]]="RB1",AVERAGE(J93,K93,N93),Table117821341[[#This Row],[Pos.]]="RB2",AVERAGE(J93,K93,N93),Table117821341[[#This Row],[Pos.]]="WR1",AVERAGE(L93,M93,N93),Table117821341[[#This Row],[Pos.]]="WR2",AVERAGE(L93,M93,N93),Table117821341[[#This Row],[Pos.]]="WR3",AVERAGE(L93,M93,N93),Table117821341[[#This Row],[Pos.]]="WR4",AVERAGE(L93,M93,N93),Table117821341[[#This Row],[Pos.]]="TE1",AVERAGE(L93,M93,N93),Table117821341[[#This Row],[Pos.]]="TE2",AVERAGE(L93,M93,N93),Table117821341[[#This Row],[Pos.]]="D/ST",AVERAGE(Table117821341[[#This Row],[*TD*]]))</f>
        <v>#N/A</v>
      </c>
      <c r="X93" s="94" t="e">
        <f t="shared" si="1"/>
        <v>#N/A</v>
      </c>
    </row>
    <row r="94" spans="2:24" hidden="1" x14ac:dyDescent="0.35">
      <c r="B94" s="6" t="s">
        <v>153</v>
      </c>
      <c r="C94" s="97" t="s">
        <v>30</v>
      </c>
      <c r="D94" s="97" t="s">
        <v>394</v>
      </c>
      <c r="E94" s="23" t="str" cm="1">
        <f t="array" ref="E94">_xlfn.XLOOKUP(Table117821341[[#This Row],[Team]],Table4334[Team],'2425'!$C$3:$C$34)</f>
        <v>n/a</v>
      </c>
      <c r="F94" s="97" t="str">
        <f>_xlfn.XLOOKUP(Table117821341[[#This Row],[Team]],Table4334[Team],Table4334[OPP])</f>
        <v>n/a</v>
      </c>
      <c r="G94" s="148" t="str" cm="1">
        <f t="array" ref="G94">IF(Table117821341[[#This Row],[Pos.]]="QB1",_xlfn.XLOOKUP(Table117821341[[#This Row],[Opp]],Table123[DEF],'2425'!$G$3:$G$34),"#N/A")</f>
        <v>#N/A</v>
      </c>
      <c r="H94" s="148" t="str" cm="1">
        <f t="array" ref="H94">IF(Table117821341[[#This Row],[Pos.]]="QB1",_xlfn.XLOOKUP(Table117821341[[#This Row],[Opp]],Table123[DEF],'2425'!$J$3:$J$34),"#N/A")</f>
        <v>#N/A</v>
      </c>
      <c r="I94" s="148" t="str" cm="1">
        <f t="array" ref="I94">IF(Table117821341[[#This Row],[Pos.]]="QB1",_xlfn.XLOOKUP(Table117821341[[#This Row],[Opp]],Table123[DEF],'2425'!$K$3:$K$34),"#N/A")</f>
        <v>#N/A</v>
      </c>
      <c r="J94" s="148" t="e" cm="1">
        <f t="array" ref="J9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4" s="148" t="e" cm="1">
        <f t="array" ref="K9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4" s="148" t="e" cm="1">
        <f t="array" ref="L9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4" s="148" t="e" cm="1">
        <f t="array" ref="M9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4" s="148" t="e" cm="1">
        <f t="array" ref="N9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4" s="149" t="str">
        <f>IF(Table117821341[[#This Row],[Pos.]]="QB1",_xlfn.XLOOKUP(Table117821341[[#This Row],[Opp]],Table123[DEF],Table123[P]),"#N/A")</f>
        <v>#N/A</v>
      </c>
      <c r="P94" s="149" t="str">
        <f>IF(Table117821341[[#This Row],[Pos.]]="QB1",_xlfn.XLOOKUP(Table117821341[[#This Row],[Opp]],Table123[DEF],Table123[P+R]),"#N/A")</f>
        <v>#N/A</v>
      </c>
      <c r="Q94" s="150" t="str">
        <f>IF(Table117821341[[#This Row],[Pos.]]="QB1",_xlfn.XLOOKUP(Table117821341[[#This Row],[Opp]],Table123[DEF],Table123[P TD]),"#N/A")</f>
        <v>#N/A</v>
      </c>
      <c r="R94" s="149" t="e" cm="1">
        <f t="array" ref="R9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4" s="150" t="e" cm="1">
        <f t="array" ref="S9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4" s="150" t="e" cm="1">
        <f t="array" ref="T9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4" s="150" t="e" cm="1">
        <f t="array" ref="U9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4" s="150" t="e" cm="1">
        <f t="array" ref="V9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4" s="148" t="e" cm="1">
        <f t="array" ref="W94">_xlfn.IFS(Table117821341[[#This Row],[Pos.]]="QB1",AVERAGE(G94,H94,I94,J94,N94),Table117821341[[#This Row],[Pos.]]="RB1",AVERAGE(J94,K94,N94),Table117821341[[#This Row],[Pos.]]="RB2",AVERAGE(J94,K94,N94),Table117821341[[#This Row],[Pos.]]="WR1",AVERAGE(L94,M94,N94),Table117821341[[#This Row],[Pos.]]="WR2",AVERAGE(L94,M94,N94),Table117821341[[#This Row],[Pos.]]="WR3",AVERAGE(L94,M94,N94),Table117821341[[#This Row],[Pos.]]="WR4",AVERAGE(L94,M94,N94),Table117821341[[#This Row],[Pos.]]="TE1",AVERAGE(L94,M94,N94),Table117821341[[#This Row],[Pos.]]="TE2",AVERAGE(L94,M94,N94),Table117821341[[#This Row],[Pos.]]="D/ST",AVERAGE(Table117821341[[#This Row],[*TD*]]))</f>
        <v>#N/A</v>
      </c>
      <c r="X94" s="94" t="e">
        <f t="shared" si="1"/>
        <v>#N/A</v>
      </c>
    </row>
    <row r="95" spans="2:24" hidden="1" x14ac:dyDescent="0.35">
      <c r="B95" s="6" t="s">
        <v>152</v>
      </c>
      <c r="C95" s="97" t="s">
        <v>30</v>
      </c>
      <c r="D95" s="97" t="s">
        <v>396</v>
      </c>
      <c r="E95" s="23" t="str" cm="1">
        <f t="array" ref="E95">_xlfn.XLOOKUP(Table117821341[[#This Row],[Team]],Table4334[Team],'2425'!$C$3:$C$34)</f>
        <v>n/a</v>
      </c>
      <c r="F95" s="97" t="str">
        <f>_xlfn.XLOOKUP(Table117821341[[#This Row],[Team]],Table4334[Team],Table4334[OPP])</f>
        <v>n/a</v>
      </c>
      <c r="G95" s="148" t="str" cm="1">
        <f t="array" ref="G95">IF(Table117821341[[#This Row],[Pos.]]="QB1",_xlfn.XLOOKUP(Table117821341[[#This Row],[Opp]],Table123[DEF],'2425'!$G$3:$G$34),"#N/A")</f>
        <v>#N/A</v>
      </c>
      <c r="H95" s="148" t="str" cm="1">
        <f t="array" ref="H95">IF(Table117821341[[#This Row],[Pos.]]="QB1",_xlfn.XLOOKUP(Table117821341[[#This Row],[Opp]],Table123[DEF],'2425'!$J$3:$J$34),"#N/A")</f>
        <v>#N/A</v>
      </c>
      <c r="I95" s="148" t="str" cm="1">
        <f t="array" ref="I95">IF(Table117821341[[#This Row],[Pos.]]="QB1",_xlfn.XLOOKUP(Table117821341[[#This Row],[Opp]],Table123[DEF],'2425'!$K$3:$K$34),"#N/A")</f>
        <v>#N/A</v>
      </c>
      <c r="J95" s="148" t="e" cm="1">
        <f t="array" ref="J9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5" s="148" t="e" cm="1">
        <f t="array" ref="K9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5" s="148" t="e" cm="1">
        <f t="array" ref="L9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5" s="148" t="e" cm="1">
        <f t="array" ref="M9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5" s="148" t="e" cm="1">
        <f t="array" ref="N9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5" s="149" t="str">
        <f>IF(Table117821341[[#This Row],[Pos.]]="QB1",_xlfn.XLOOKUP(Table117821341[[#This Row],[Opp]],Table123[DEF],Table123[P]),"#N/A")</f>
        <v>#N/A</v>
      </c>
      <c r="P95" s="149" t="str">
        <f>IF(Table117821341[[#This Row],[Pos.]]="QB1",_xlfn.XLOOKUP(Table117821341[[#This Row],[Opp]],Table123[DEF],Table123[P+R]),"#N/A")</f>
        <v>#N/A</v>
      </c>
      <c r="Q95" s="150" t="str">
        <f>IF(Table117821341[[#This Row],[Pos.]]="QB1",_xlfn.XLOOKUP(Table117821341[[#This Row],[Opp]],Table123[DEF],Table123[P TD]),"#N/A")</f>
        <v>#N/A</v>
      </c>
      <c r="R95" s="149" t="e" cm="1">
        <f t="array" ref="R9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5" s="150" t="e" cm="1">
        <f t="array" ref="S9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5" s="150" t="e" cm="1">
        <f t="array" ref="T9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5" s="150" t="e" cm="1">
        <f t="array" ref="U9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5" s="150" t="e" cm="1">
        <f t="array" ref="V9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5" s="148" t="e" cm="1">
        <f t="array" ref="W95">_xlfn.IFS(Table117821341[[#This Row],[Pos.]]="QB1",AVERAGE(G95,H95,I95,J95,N95),Table117821341[[#This Row],[Pos.]]="RB1",AVERAGE(J95,K95,N95),Table117821341[[#This Row],[Pos.]]="RB2",AVERAGE(J95,K95,N95),Table117821341[[#This Row],[Pos.]]="WR1",AVERAGE(L95,M95,N95),Table117821341[[#This Row],[Pos.]]="WR2",AVERAGE(L95,M95,N95),Table117821341[[#This Row],[Pos.]]="WR3",AVERAGE(L95,M95,N95),Table117821341[[#This Row],[Pos.]]="WR4",AVERAGE(L95,M95,N95),Table117821341[[#This Row],[Pos.]]="TE1",AVERAGE(L95,M95,N95),Table117821341[[#This Row],[Pos.]]="TE2",AVERAGE(L95,M95,N95),Table117821341[[#This Row],[Pos.]]="D/ST",AVERAGE(Table117821341[[#This Row],[*TD*]]))</f>
        <v>#N/A</v>
      </c>
      <c r="X95" s="94" t="e">
        <f t="shared" si="1"/>
        <v>#N/A</v>
      </c>
    </row>
    <row r="96" spans="2:24" hidden="1" x14ac:dyDescent="0.35">
      <c r="B96" s="6" t="s">
        <v>498</v>
      </c>
      <c r="C96" s="97" t="s">
        <v>30</v>
      </c>
      <c r="D96" s="97" t="s">
        <v>407</v>
      </c>
      <c r="E96" s="23" t="str" cm="1">
        <f t="array" ref="E96">_xlfn.XLOOKUP(Table117821341[[#This Row],[Team]],Table4334[Team],'2425'!$C$3:$C$34)</f>
        <v>n/a</v>
      </c>
      <c r="F96" s="97" t="str">
        <f>_xlfn.XLOOKUP(Table117821341[[#This Row],[Team]],Table4334[Team],Table4334[OPP])</f>
        <v>n/a</v>
      </c>
      <c r="G96" s="148" t="str" cm="1">
        <f t="array" ref="G96">IF(Table117821341[[#This Row],[Pos.]]="QB1",_xlfn.XLOOKUP(Table117821341[[#This Row],[Opp]],Table123[DEF],'2425'!$G$3:$G$34),"#N/A")</f>
        <v>#N/A</v>
      </c>
      <c r="H96" s="148" t="str" cm="1">
        <f t="array" ref="H96">IF(Table117821341[[#This Row],[Pos.]]="QB1",_xlfn.XLOOKUP(Table117821341[[#This Row],[Opp]],Table123[DEF],'2425'!$J$3:$J$34),"#N/A")</f>
        <v>#N/A</v>
      </c>
      <c r="I96" s="148" t="str" cm="1">
        <f t="array" ref="I96">IF(Table117821341[[#This Row],[Pos.]]="QB1",_xlfn.XLOOKUP(Table117821341[[#This Row],[Opp]],Table123[DEF],'2425'!$K$3:$K$34),"#N/A")</f>
        <v>#N/A</v>
      </c>
      <c r="J96" s="148" t="e" cm="1">
        <f t="array" ref="J9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6" s="148" t="e" cm="1">
        <f t="array" ref="K9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6" s="148" t="e" cm="1">
        <f t="array" ref="L9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6" s="148" t="e" cm="1">
        <f t="array" ref="M9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6" s="148" t="e" cm="1">
        <f t="array" ref="N9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6" s="149" t="str">
        <f>IF(Table117821341[[#This Row],[Pos.]]="QB1",_xlfn.XLOOKUP(Table117821341[[#This Row],[Opp]],Table123[DEF],Table123[P]),"#N/A")</f>
        <v>#N/A</v>
      </c>
      <c r="P96" s="149" t="str">
        <f>IF(Table117821341[[#This Row],[Pos.]]="QB1",_xlfn.XLOOKUP(Table117821341[[#This Row],[Opp]],Table123[DEF],Table123[P+R]),"#N/A")</f>
        <v>#N/A</v>
      </c>
      <c r="Q96" s="150" t="str">
        <f>IF(Table117821341[[#This Row],[Pos.]]="QB1",_xlfn.XLOOKUP(Table117821341[[#This Row],[Opp]],Table123[DEF],Table123[P TD]),"#N/A")</f>
        <v>#N/A</v>
      </c>
      <c r="R96" s="149" t="e" cm="1">
        <f t="array" ref="R9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6" s="150" t="e" cm="1">
        <f t="array" ref="S9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6" s="150" t="e" cm="1">
        <f t="array" ref="T9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6" s="150" t="e" cm="1">
        <f t="array" ref="U9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6" s="150" t="e" cm="1">
        <f t="array" ref="V9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6" s="148" t="e" cm="1">
        <f t="array" ref="W96">_xlfn.IFS(Table117821341[[#This Row],[Pos.]]="QB1",AVERAGE(G96,H96,I96,J96,N96),Table117821341[[#This Row],[Pos.]]="RB1",AVERAGE(J96,K96,N96),Table117821341[[#This Row],[Pos.]]="RB2",AVERAGE(J96,K96,N96),Table117821341[[#This Row],[Pos.]]="WR1",AVERAGE(L96,M96,N96),Table117821341[[#This Row],[Pos.]]="WR2",AVERAGE(L96,M96,N96),Table117821341[[#This Row],[Pos.]]="WR3",AVERAGE(L96,M96,N96),Table117821341[[#This Row],[Pos.]]="WR4",AVERAGE(L96,M96,N96),Table117821341[[#This Row],[Pos.]]="TE1",AVERAGE(L96,M96,N96),Table117821341[[#This Row],[Pos.]]="TE2",AVERAGE(L96,M96,N96),Table117821341[[#This Row],[Pos.]]="D/ST",AVERAGE(Table117821341[[#This Row],[*TD*]]))</f>
        <v>#N/A</v>
      </c>
      <c r="X96" s="94" t="e">
        <f t="shared" si="1"/>
        <v>#N/A</v>
      </c>
    </row>
    <row r="97" spans="2:24" hidden="1" x14ac:dyDescent="0.35">
      <c r="B97" s="6" t="s">
        <v>165</v>
      </c>
      <c r="C97" s="97" t="s">
        <v>31</v>
      </c>
      <c r="D97" s="97" t="s">
        <v>397</v>
      </c>
      <c r="E97" s="23" t="str" cm="1">
        <f t="array" ref="E97">_xlfn.XLOOKUP(Table117821341[[#This Row],[Team]],Table4334[Team],'2425'!$C$3:$C$34)</f>
        <v>n/a</v>
      </c>
      <c r="F97" s="97" t="str">
        <f>_xlfn.XLOOKUP(Table117821341[[#This Row],[Team]],Table4334[Team],Table4334[OPP])</f>
        <v>n/a</v>
      </c>
      <c r="G97" s="148" t="str" cm="1">
        <f t="array" ref="G97">IF(Table117821341[[#This Row],[Pos.]]="QB1",_xlfn.XLOOKUP(Table117821341[[#This Row],[Opp]],Table123[DEF],'2425'!$G$3:$G$34),"#N/A")</f>
        <v>#N/A</v>
      </c>
      <c r="H97" s="148" t="str" cm="1">
        <f t="array" ref="H97">IF(Table117821341[[#This Row],[Pos.]]="QB1",_xlfn.XLOOKUP(Table117821341[[#This Row],[Opp]],Table123[DEF],'2425'!$J$3:$J$34),"#N/A")</f>
        <v>#N/A</v>
      </c>
      <c r="I97" s="148" t="str" cm="1">
        <f t="array" ref="I97">IF(Table117821341[[#This Row],[Pos.]]="QB1",_xlfn.XLOOKUP(Table117821341[[#This Row],[Opp]],Table123[DEF],'2425'!$K$3:$K$34),"#N/A")</f>
        <v>#N/A</v>
      </c>
      <c r="J97" s="148" t="e" cm="1">
        <f t="array" ref="J9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7" s="148" t="e" cm="1">
        <f t="array" ref="K9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7" s="148" t="e" cm="1">
        <f t="array" ref="L9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7" s="148" t="e" cm="1">
        <f t="array" ref="M9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7" s="148" t="e" cm="1">
        <f t="array" ref="N9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7" s="149" t="str">
        <f>IF(Table117821341[[#This Row],[Pos.]]="QB1",_xlfn.XLOOKUP(Table117821341[[#This Row],[Opp]],Table123[DEF],Table123[P]),"#N/A")</f>
        <v>#N/A</v>
      </c>
      <c r="P97" s="149" t="str">
        <f>IF(Table117821341[[#This Row],[Pos.]]="QB1",_xlfn.XLOOKUP(Table117821341[[#This Row],[Opp]],Table123[DEF],Table123[P+R]),"#N/A")</f>
        <v>#N/A</v>
      </c>
      <c r="Q97" s="150" t="str">
        <f>IF(Table117821341[[#This Row],[Pos.]]="QB1",_xlfn.XLOOKUP(Table117821341[[#This Row],[Opp]],Table123[DEF],Table123[P TD]),"#N/A")</f>
        <v>#N/A</v>
      </c>
      <c r="R97" s="149" t="e" cm="1">
        <f t="array" ref="R9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7" s="150" t="e" cm="1">
        <f t="array" ref="S9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7" s="150" t="e" cm="1">
        <f t="array" ref="T9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7" s="150" t="e" cm="1">
        <f t="array" ref="U9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7" s="162" t="e" cm="1">
        <f t="array" ref="V9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7" s="148" t="e" cm="1">
        <f t="array" ref="W97">_xlfn.IFS(Table117821341[[#This Row],[Pos.]]="QB1",AVERAGE(G97,H97,I97,J97,N97),Table117821341[[#This Row],[Pos.]]="RB1",AVERAGE(J97,K97,N97),Table117821341[[#This Row],[Pos.]]="RB2",AVERAGE(J97,K97,N97),Table117821341[[#This Row],[Pos.]]="WR1",AVERAGE(L97,M97,N97),Table117821341[[#This Row],[Pos.]]="WR2",AVERAGE(L97,M97,N97),Table117821341[[#This Row],[Pos.]]="WR3",AVERAGE(L97,M97,N97),Table117821341[[#This Row],[Pos.]]="WR4",AVERAGE(L97,M97,N97),Table117821341[[#This Row],[Pos.]]="TE1",AVERAGE(L97,M97,N97),Table117821341[[#This Row],[Pos.]]="TE2",AVERAGE(L97,M97,N97),Table117821341[[#This Row],[Pos.]]="D/ST",AVERAGE(Table117821341[[#This Row],[*TD*]]))</f>
        <v>#N/A</v>
      </c>
      <c r="X97" s="94" t="e">
        <f t="shared" si="1"/>
        <v>#N/A</v>
      </c>
    </row>
    <row r="98" spans="2:24" hidden="1" x14ac:dyDescent="0.35">
      <c r="B98" s="6" t="s">
        <v>155</v>
      </c>
      <c r="C98" s="97" t="s">
        <v>30</v>
      </c>
      <c r="D98" s="97" t="s">
        <v>398</v>
      </c>
      <c r="E98" s="23" t="str" cm="1">
        <f t="array" ref="E98">_xlfn.XLOOKUP(Table117821341[[#This Row],[Team]],Table4334[Team],'2425'!$C$3:$C$34)</f>
        <v>n/a</v>
      </c>
      <c r="F98" s="97" t="str">
        <f>_xlfn.XLOOKUP(Table117821341[[#This Row],[Team]],Table4334[Team],Table4334[OPP])</f>
        <v>n/a</v>
      </c>
      <c r="G98" s="148" t="str" cm="1">
        <f t="array" ref="G98">IF(Table117821341[[#This Row],[Pos.]]="QB1",_xlfn.XLOOKUP(Table117821341[[#This Row],[Opp]],Table123[DEF],'2425'!$G$3:$G$34),"#N/A")</f>
        <v>#N/A</v>
      </c>
      <c r="H98" s="148" t="str" cm="1">
        <f t="array" ref="H98">IF(Table117821341[[#This Row],[Pos.]]="QB1",_xlfn.XLOOKUP(Table117821341[[#This Row],[Opp]],Table123[DEF],'2425'!$J$3:$J$34),"#N/A")</f>
        <v>#N/A</v>
      </c>
      <c r="I98" s="148" t="str" cm="1">
        <f t="array" ref="I98">IF(Table117821341[[#This Row],[Pos.]]="QB1",_xlfn.XLOOKUP(Table117821341[[#This Row],[Opp]],Table123[DEF],'2425'!$K$3:$K$34),"#N/A")</f>
        <v>#N/A</v>
      </c>
      <c r="J98" s="148" t="e" cm="1">
        <f t="array" ref="J9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8" s="148" t="e" cm="1">
        <f t="array" ref="K9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8" s="148" t="e" cm="1">
        <f t="array" ref="L9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8" s="148" t="e" cm="1">
        <f t="array" ref="M9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8" s="148" t="e" cm="1">
        <f t="array" ref="N9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8" s="149" t="str">
        <f>IF(Table117821341[[#This Row],[Pos.]]="QB1",_xlfn.XLOOKUP(Table117821341[[#This Row],[Opp]],Table123[DEF],Table123[P]),"#N/A")</f>
        <v>#N/A</v>
      </c>
      <c r="P98" s="149" t="str">
        <f>IF(Table117821341[[#This Row],[Pos.]]="QB1",_xlfn.XLOOKUP(Table117821341[[#This Row],[Opp]],Table123[DEF],Table123[P+R]),"#N/A")</f>
        <v>#N/A</v>
      </c>
      <c r="Q98" s="150" t="str">
        <f>IF(Table117821341[[#This Row],[Pos.]]="QB1",_xlfn.XLOOKUP(Table117821341[[#This Row],[Opp]],Table123[DEF],Table123[P TD]),"#N/A")</f>
        <v>#N/A</v>
      </c>
      <c r="R98" s="149" t="e" cm="1">
        <f t="array" ref="R9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8" s="150" t="e" cm="1">
        <f t="array" ref="S9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8" s="150" t="e" cm="1">
        <f t="array" ref="T9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8" s="150" t="e" cm="1">
        <f t="array" ref="U9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8" s="150" t="e" cm="1">
        <f t="array" ref="V9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8" s="148" t="e" cm="1">
        <f t="array" ref="W98">_xlfn.IFS(Table117821341[[#This Row],[Pos.]]="QB1",AVERAGE(G98,H98,I98,J98,N98),Table117821341[[#This Row],[Pos.]]="RB1",AVERAGE(J98,K98,N98),Table117821341[[#This Row],[Pos.]]="RB2",AVERAGE(J98,K98,N98),Table117821341[[#This Row],[Pos.]]="WR1",AVERAGE(L98,M98,N98),Table117821341[[#This Row],[Pos.]]="WR2",AVERAGE(L98,M98,N98),Table117821341[[#This Row],[Pos.]]="WR3",AVERAGE(L98,M98,N98),Table117821341[[#This Row],[Pos.]]="WR4",AVERAGE(L98,M98,N98),Table117821341[[#This Row],[Pos.]]="TE1",AVERAGE(L98,M98,N98),Table117821341[[#This Row],[Pos.]]="TE2",AVERAGE(L98,M98,N98),Table117821341[[#This Row],[Pos.]]="D/ST",AVERAGE(Table117821341[[#This Row],[*TD*]]))</f>
        <v>#N/A</v>
      </c>
      <c r="X98" s="94" t="e">
        <f t="shared" si="1"/>
        <v>#N/A</v>
      </c>
    </row>
    <row r="99" spans="2:24" hidden="1" x14ac:dyDescent="0.35">
      <c r="B99" s="6" t="s">
        <v>502</v>
      </c>
      <c r="C99" s="97" t="s">
        <v>30</v>
      </c>
      <c r="D99" s="97" t="s">
        <v>430</v>
      </c>
      <c r="E99" s="23" t="str" cm="1">
        <f t="array" ref="E99">_xlfn.XLOOKUP(Table117821341[[#This Row],[Team]],Table4334[Team],'2425'!$C$3:$C$34)</f>
        <v>n/a</v>
      </c>
      <c r="F99" s="97" t="str">
        <f>_xlfn.XLOOKUP(Table117821341[[#This Row],[Team]],Table4334[Team],Table4334[OPP])</f>
        <v>n/a</v>
      </c>
      <c r="G99" s="148" t="str" cm="1">
        <f t="array" ref="G99">IF(Table117821341[[#This Row],[Pos.]]="QB1",_xlfn.XLOOKUP(Table117821341[[#This Row],[Opp]],Table123[DEF],'2425'!$G$3:$G$34),"#N/A")</f>
        <v>#N/A</v>
      </c>
      <c r="H99" s="148" t="str" cm="1">
        <f t="array" ref="H99">IF(Table117821341[[#This Row],[Pos.]]="QB1",_xlfn.XLOOKUP(Table117821341[[#This Row],[Opp]],Table123[DEF],'2425'!$J$3:$J$34),"#N/A")</f>
        <v>#N/A</v>
      </c>
      <c r="I99" s="148" t="str" cm="1">
        <f t="array" ref="I99">IF(Table117821341[[#This Row],[Pos.]]="QB1",_xlfn.XLOOKUP(Table117821341[[#This Row],[Opp]],Table123[DEF],'2425'!$K$3:$K$34),"#N/A")</f>
        <v>#N/A</v>
      </c>
      <c r="J99" s="148" t="e" cm="1">
        <f t="array" ref="J9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99" s="148" t="e" cm="1">
        <f t="array" ref="K9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99" s="148" t="e" cm="1">
        <f t="array" ref="L9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99" s="148" t="e" cm="1">
        <f t="array" ref="M9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99" s="148" t="e" cm="1">
        <f t="array" ref="N9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99" s="149" t="str">
        <f>IF(Table117821341[[#This Row],[Pos.]]="QB1",_xlfn.XLOOKUP(Table117821341[[#This Row],[Opp]],Table123[DEF],Table123[P]),"#N/A")</f>
        <v>#N/A</v>
      </c>
      <c r="P99" s="149" t="str">
        <f>IF(Table117821341[[#This Row],[Pos.]]="QB1",_xlfn.XLOOKUP(Table117821341[[#This Row],[Opp]],Table123[DEF],Table123[P+R]),"#N/A")</f>
        <v>#N/A</v>
      </c>
      <c r="Q99" s="150" t="str">
        <f>IF(Table117821341[[#This Row],[Pos.]]="QB1",_xlfn.XLOOKUP(Table117821341[[#This Row],[Opp]],Table123[DEF],Table123[P TD]),"#N/A")</f>
        <v>#N/A</v>
      </c>
      <c r="R99" s="149" t="e" cm="1">
        <f t="array" ref="R9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99" s="150" t="e" cm="1">
        <f t="array" ref="S9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99" s="150" t="e" cm="1">
        <f t="array" ref="T9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99" s="150" t="e" cm="1">
        <f t="array" ref="U9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99" s="150" t="e" cm="1">
        <f t="array" ref="V9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99" s="148" t="e" cm="1">
        <f t="array" ref="W99">_xlfn.IFS(Table117821341[[#This Row],[Pos.]]="QB1",AVERAGE(G99,H99,I99,J99,N99),Table117821341[[#This Row],[Pos.]]="RB1",AVERAGE(J99,K99,N99),Table117821341[[#This Row],[Pos.]]="RB2",AVERAGE(J99,K99,N99),Table117821341[[#This Row],[Pos.]]="WR1",AVERAGE(L99,M99,N99),Table117821341[[#This Row],[Pos.]]="WR2",AVERAGE(L99,M99,N99),Table117821341[[#This Row],[Pos.]]="WR3",AVERAGE(L99,M99,N99),Table117821341[[#This Row],[Pos.]]="WR4",AVERAGE(L99,M99,N99),Table117821341[[#This Row],[Pos.]]="TE1",AVERAGE(L99,M99,N99),Table117821341[[#This Row],[Pos.]]="TE2",AVERAGE(L99,M99,N99),Table117821341[[#This Row],[Pos.]]="D/ST",AVERAGE(Table117821341[[#This Row],[*TD*]]))</f>
        <v>#N/A</v>
      </c>
      <c r="X99" s="94" t="e">
        <f t="shared" si="1"/>
        <v>#N/A</v>
      </c>
    </row>
    <row r="100" spans="2:24" hidden="1" x14ac:dyDescent="0.35">
      <c r="B100" s="6" t="s">
        <v>252</v>
      </c>
      <c r="C100" s="97" t="s">
        <v>40</v>
      </c>
      <c r="D100" s="97" t="s">
        <v>66</v>
      </c>
      <c r="E100" s="23" t="str" cm="1">
        <f t="array" ref="E100">_xlfn.XLOOKUP(Table117821341[[#This Row],[Team]],Table4334[Team],'2425'!$C$3:$C$34)</f>
        <v>n/a</v>
      </c>
      <c r="F100" s="97" t="str">
        <f>_xlfn.XLOOKUP(Table117821341[[#This Row],[Team]],Table4334[Team],Table4334[OPP])</f>
        <v>n/a</v>
      </c>
      <c r="G100" s="148" t="str" cm="1">
        <f t="array" ref="G100">IF(Table117821341[[#This Row],[Pos.]]="QB1",_xlfn.XLOOKUP(Table117821341[[#This Row],[Opp]],Table123[DEF],'2425'!$G$3:$G$34),"#N/A")</f>
        <v>#N/A</v>
      </c>
      <c r="H100" s="148" t="str" cm="1">
        <f t="array" ref="H100">IF(Table117821341[[#This Row],[Pos.]]="QB1",_xlfn.XLOOKUP(Table117821341[[#This Row],[Opp]],Table123[DEF],'2425'!$J$3:$J$34),"#N/A")</f>
        <v>#N/A</v>
      </c>
      <c r="I100" s="148" t="str" cm="1">
        <f t="array" ref="I100">IF(Table117821341[[#This Row],[Pos.]]="QB1",_xlfn.XLOOKUP(Table117821341[[#This Row],[Opp]],Table123[DEF],'2425'!$K$3:$K$34),"#N/A")</f>
        <v>#N/A</v>
      </c>
      <c r="J100" s="148" t="e" cm="1">
        <f t="array" ref="J10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0" s="148" t="e" cm="1">
        <f t="array" ref="K10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0" s="148" t="e" cm="1">
        <f t="array" ref="L10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0" s="148" t="e" cm="1">
        <f t="array" ref="M10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0" s="148" t="e" cm="1">
        <f t="array" ref="N10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0" s="149" t="str">
        <f>IF(Table117821341[[#This Row],[Pos.]]="QB1",_xlfn.XLOOKUP(Table117821341[[#This Row],[Opp]],Table123[DEF],Table123[P]),"#N/A")</f>
        <v>#N/A</v>
      </c>
      <c r="P100" s="149" t="str">
        <f>IF(Table117821341[[#This Row],[Pos.]]="QB1",_xlfn.XLOOKUP(Table117821341[[#This Row],[Opp]],Table123[DEF],Table123[P+R]),"#N/A")</f>
        <v>#N/A</v>
      </c>
      <c r="Q100" s="150" t="str">
        <f>IF(Table117821341[[#This Row],[Pos.]]="QB1",_xlfn.XLOOKUP(Table117821341[[#This Row],[Opp]],Table123[DEF],Table123[P TD]),"#N/A")</f>
        <v>#N/A</v>
      </c>
      <c r="R100" s="149" t="e" cm="1">
        <f t="array" ref="R10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0" s="150" t="e" cm="1">
        <f t="array" ref="S10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0" s="150" t="e" cm="1">
        <f t="array" ref="T10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0" s="150" t="e" cm="1">
        <f t="array" ref="U10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0" s="162" t="e" cm="1">
        <f t="array" ref="V10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0" s="148" t="e" cm="1">
        <f t="array" ref="W100">_xlfn.IFS(Table117821341[[#This Row],[Pos.]]="QB1",AVERAGE(G100,H100,I100,J100,N100),Table117821341[[#This Row],[Pos.]]="RB1",AVERAGE(J100,K100,N100),Table117821341[[#This Row],[Pos.]]="RB2",AVERAGE(J100,K100,N100),Table117821341[[#This Row],[Pos.]]="WR1",AVERAGE(L100,M100,N100),Table117821341[[#This Row],[Pos.]]="WR2",AVERAGE(L100,M100,N100),Table117821341[[#This Row],[Pos.]]="WR3",AVERAGE(L100,M100,N100),Table117821341[[#This Row],[Pos.]]="WR4",AVERAGE(L100,M100,N100),Table117821341[[#This Row],[Pos.]]="TE1",AVERAGE(L100,M100,N100),Table117821341[[#This Row],[Pos.]]="TE2",AVERAGE(L100,M100,N100),Table117821341[[#This Row],[Pos.]]="D/ST",AVERAGE(Table117821341[[#This Row],[*TD*]]))</f>
        <v>#N/A</v>
      </c>
      <c r="X100" s="94" t="e">
        <f t="shared" si="1"/>
        <v>#N/A</v>
      </c>
    </row>
    <row r="101" spans="2:24" hidden="1" x14ac:dyDescent="0.35">
      <c r="B101" s="6" t="s">
        <v>384</v>
      </c>
      <c r="C101" s="97" t="s">
        <v>43</v>
      </c>
      <c r="D101" s="97" t="s">
        <v>67</v>
      </c>
      <c r="E101" s="23" t="str" cm="1">
        <f t="array" ref="E101">_xlfn.XLOOKUP(Table117821341[[#This Row],[Team]],Table4334[Team],'2425'!$C$3:$C$34)</f>
        <v>n/a</v>
      </c>
      <c r="F101" s="97" t="str">
        <f>_xlfn.XLOOKUP(Table117821341[[#This Row],[Team]],Table4334[Team],Table4334[OPP])</f>
        <v>n/a</v>
      </c>
      <c r="G101" s="148" t="str" cm="1">
        <f t="array" ref="G101">IF(Table117821341[[#This Row],[Pos.]]="QB1",_xlfn.XLOOKUP(Table117821341[[#This Row],[Opp]],Table123[DEF],'2425'!$G$3:$G$34),"#N/A")</f>
        <v>#N/A</v>
      </c>
      <c r="H101" s="148" t="str" cm="1">
        <f t="array" ref="H101">IF(Table117821341[[#This Row],[Pos.]]="QB1",_xlfn.XLOOKUP(Table117821341[[#This Row],[Opp]],Table123[DEF],'2425'!$J$3:$J$34),"#N/A")</f>
        <v>#N/A</v>
      </c>
      <c r="I101" s="148" t="str" cm="1">
        <f t="array" ref="I101">IF(Table117821341[[#This Row],[Pos.]]="QB1",_xlfn.XLOOKUP(Table117821341[[#This Row],[Opp]],Table123[DEF],'2425'!$K$3:$K$34),"#N/A")</f>
        <v>#N/A</v>
      </c>
      <c r="J101" s="148" t="e" cm="1">
        <f t="array" ref="J10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1" s="148" t="e" cm="1">
        <f t="array" ref="K10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1" s="148" t="e" cm="1">
        <f t="array" ref="L10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1" s="148" t="e" cm="1">
        <f t="array" ref="M10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1" s="148" t="e" cm="1">
        <f t="array" ref="N10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1" s="149" t="str">
        <f>IF(Table117821341[[#This Row],[Pos.]]="QB1",_xlfn.XLOOKUP(Table117821341[[#This Row],[Opp]],Table123[DEF],Table123[P]),"#N/A")</f>
        <v>#N/A</v>
      </c>
      <c r="P101" s="149" t="str">
        <f>IF(Table117821341[[#This Row],[Pos.]]="QB1",_xlfn.XLOOKUP(Table117821341[[#This Row],[Opp]],Table123[DEF],Table123[P+R]),"#N/A")</f>
        <v>#N/A</v>
      </c>
      <c r="Q101" s="150" t="str">
        <f>IF(Table117821341[[#This Row],[Pos.]]="QB1",_xlfn.XLOOKUP(Table117821341[[#This Row],[Opp]],Table123[DEF],Table123[P TD]),"#N/A")</f>
        <v>#N/A</v>
      </c>
      <c r="R101" s="149" t="e" cm="1">
        <f t="array" ref="R10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1" s="150" t="e" cm="1">
        <f t="array" ref="S10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1" s="150" t="e" cm="1">
        <f t="array" ref="T10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1" s="150" t="e" cm="1">
        <f t="array" ref="U10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1" s="162" t="e" cm="1">
        <f t="array" ref="V10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1" s="148" t="e" cm="1">
        <f t="array" ref="W101">_xlfn.IFS(Table117821341[[#This Row],[Pos.]]="QB1",AVERAGE(G101,H101,I101,J101,N101),Table117821341[[#This Row],[Pos.]]="RB1",AVERAGE(J101,K101,N101),Table117821341[[#This Row],[Pos.]]="RB2",AVERAGE(J101,K101,N101),Table117821341[[#This Row],[Pos.]]="WR1",AVERAGE(L101,M101,N101),Table117821341[[#This Row],[Pos.]]="WR2",AVERAGE(L101,M101,N101),Table117821341[[#This Row],[Pos.]]="WR3",AVERAGE(L101,M101,N101),Table117821341[[#This Row],[Pos.]]="WR4",AVERAGE(L101,M101,N101),Table117821341[[#This Row],[Pos.]]="TE1",AVERAGE(L101,M101,N101),Table117821341[[#This Row],[Pos.]]="TE2",AVERAGE(L101,M101,N101),Table117821341[[#This Row],[Pos.]]="D/ST",AVERAGE(Table117821341[[#This Row],[*TD*]]))</f>
        <v>#N/A</v>
      </c>
      <c r="X101" s="94" t="e">
        <f t="shared" si="1"/>
        <v>#N/A</v>
      </c>
    </row>
    <row r="102" spans="2:24" hidden="1" x14ac:dyDescent="0.35">
      <c r="B102" s="6" t="s">
        <v>138</v>
      </c>
      <c r="C102" s="97" t="s">
        <v>15</v>
      </c>
      <c r="D102" s="97" t="s">
        <v>66</v>
      </c>
      <c r="E102" s="23" t="str" cm="1">
        <f t="array" ref="E102">_xlfn.XLOOKUP(Table117821341[[#This Row],[Team]],Table4334[Team],'2425'!$C$3:$C$34)</f>
        <v>n/a</v>
      </c>
      <c r="F102" s="97" t="str">
        <f>_xlfn.XLOOKUP(Table117821341[[#This Row],[Team]],Table4334[Team],Table4334[OPP])</f>
        <v>n/a</v>
      </c>
      <c r="G102" s="148" t="str" cm="1">
        <f t="array" ref="G102">IF(Table117821341[[#This Row],[Pos.]]="QB1",_xlfn.XLOOKUP(Table117821341[[#This Row],[Opp]],Table123[DEF],'2425'!$G$3:$G$34),"#N/A")</f>
        <v>#N/A</v>
      </c>
      <c r="H102" s="148" t="str" cm="1">
        <f t="array" ref="H102">IF(Table117821341[[#This Row],[Pos.]]="QB1",_xlfn.XLOOKUP(Table117821341[[#This Row],[Opp]],Table123[DEF],'2425'!$J$3:$J$34),"#N/A")</f>
        <v>#N/A</v>
      </c>
      <c r="I102" s="148" t="str" cm="1">
        <f t="array" ref="I102">IF(Table117821341[[#This Row],[Pos.]]="QB1",_xlfn.XLOOKUP(Table117821341[[#This Row],[Opp]],Table123[DEF],'2425'!$K$3:$K$34),"#N/A")</f>
        <v>#N/A</v>
      </c>
      <c r="J102" s="148" t="e" cm="1">
        <f t="array" ref="J10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2" s="148" t="e" cm="1">
        <f t="array" ref="K10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2" s="148" t="e" cm="1">
        <f t="array" ref="L10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2" s="148" t="e" cm="1">
        <f t="array" ref="M10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2" s="148" t="e" cm="1">
        <f t="array" ref="N10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2" s="149" t="str">
        <f>IF(Table117821341[[#This Row],[Pos.]]="QB1",_xlfn.XLOOKUP(Table117821341[[#This Row],[Opp]],Table123[DEF],Table123[P]),"#N/A")</f>
        <v>#N/A</v>
      </c>
      <c r="P102" s="149" t="str">
        <f>IF(Table117821341[[#This Row],[Pos.]]="QB1",_xlfn.XLOOKUP(Table117821341[[#This Row],[Opp]],Table123[DEF],Table123[P+R]),"#N/A")</f>
        <v>#N/A</v>
      </c>
      <c r="Q102" s="150" t="str">
        <f>IF(Table117821341[[#This Row],[Pos.]]="QB1",_xlfn.XLOOKUP(Table117821341[[#This Row],[Opp]],Table123[DEF],Table123[P TD]),"#N/A")</f>
        <v>#N/A</v>
      </c>
      <c r="R102" s="149" t="e" cm="1">
        <f t="array" ref="R10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2" s="150" t="e" cm="1">
        <f t="array" ref="S10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2" s="150" t="e" cm="1">
        <f t="array" ref="T10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2" s="150" t="e" cm="1">
        <f t="array" ref="U10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2" s="162" t="e" cm="1">
        <f t="array" ref="V10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2" s="148" t="e" cm="1">
        <f t="array" ref="W102">_xlfn.IFS(Table117821341[[#This Row],[Pos.]]="QB1",AVERAGE(G102,H102,I102,J102,N102),Table117821341[[#This Row],[Pos.]]="RB1",AVERAGE(J102,K102,N102),Table117821341[[#This Row],[Pos.]]="RB2",AVERAGE(J102,K102,N102),Table117821341[[#This Row],[Pos.]]="WR1",AVERAGE(L102,M102,N102),Table117821341[[#This Row],[Pos.]]="WR2",AVERAGE(L102,M102,N102),Table117821341[[#This Row],[Pos.]]="WR3",AVERAGE(L102,M102,N102),Table117821341[[#This Row],[Pos.]]="WR4",AVERAGE(L102,M102,N102),Table117821341[[#This Row],[Pos.]]="TE1",AVERAGE(L102,M102,N102),Table117821341[[#This Row],[Pos.]]="TE2",AVERAGE(L102,M102,N102),Table117821341[[#This Row],[Pos.]]="D/ST",AVERAGE(Table117821341[[#This Row],[*TD*]]))</f>
        <v>#N/A</v>
      </c>
      <c r="X102" s="94" t="e">
        <f t="shared" si="1"/>
        <v>#N/A</v>
      </c>
    </row>
    <row r="103" spans="2:24" hidden="1" x14ac:dyDescent="0.35">
      <c r="B103" s="6" t="s">
        <v>328</v>
      </c>
      <c r="C103" s="97" t="s">
        <v>48</v>
      </c>
      <c r="D103" s="97" t="s">
        <v>67</v>
      </c>
      <c r="E103" s="23" t="str" cm="1">
        <f t="array" ref="E103">_xlfn.XLOOKUP(Table117821341[[#This Row],[Team]],Table4334[Team],'2425'!$C$3:$C$34)</f>
        <v>n/a</v>
      </c>
      <c r="F103" s="97" t="str">
        <f>_xlfn.XLOOKUP(Table117821341[[#This Row],[Team]],Table4334[Team],Table4334[OPP])</f>
        <v>n/a</v>
      </c>
      <c r="G103" s="148" t="str" cm="1">
        <f t="array" ref="G103">IF(Table117821341[[#This Row],[Pos.]]="QB1",_xlfn.XLOOKUP(Table117821341[[#This Row],[Opp]],Table123[DEF],'2425'!$G$3:$G$34),"#N/A")</f>
        <v>#N/A</v>
      </c>
      <c r="H103" s="148" t="str" cm="1">
        <f t="array" ref="H103">IF(Table117821341[[#This Row],[Pos.]]="QB1",_xlfn.XLOOKUP(Table117821341[[#This Row],[Opp]],Table123[DEF],'2425'!$J$3:$J$34),"#N/A")</f>
        <v>#N/A</v>
      </c>
      <c r="I103" s="148" t="str" cm="1">
        <f t="array" ref="I103">IF(Table117821341[[#This Row],[Pos.]]="QB1",_xlfn.XLOOKUP(Table117821341[[#This Row],[Opp]],Table123[DEF],'2425'!$K$3:$K$34),"#N/A")</f>
        <v>#N/A</v>
      </c>
      <c r="J103" s="148" t="e" cm="1">
        <f t="array" ref="J10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3" s="148" t="e" cm="1">
        <f t="array" ref="K10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3" s="148" t="e" cm="1">
        <f t="array" ref="L10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3" s="148" t="e" cm="1">
        <f t="array" ref="M10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3" s="148" t="e" cm="1">
        <f t="array" ref="N10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3" s="149" t="str">
        <f>IF(Table117821341[[#This Row],[Pos.]]="QB1",_xlfn.XLOOKUP(Table117821341[[#This Row],[Opp]],Table123[DEF],Table123[P]),"#N/A")</f>
        <v>#N/A</v>
      </c>
      <c r="P103" s="149" t="str">
        <f>IF(Table117821341[[#This Row],[Pos.]]="QB1",_xlfn.XLOOKUP(Table117821341[[#This Row],[Opp]],Table123[DEF],Table123[P+R]),"#N/A")</f>
        <v>#N/A</v>
      </c>
      <c r="Q103" s="150" t="str">
        <f>IF(Table117821341[[#This Row],[Pos.]]="QB1",_xlfn.XLOOKUP(Table117821341[[#This Row],[Opp]],Table123[DEF],Table123[P TD]),"#N/A")</f>
        <v>#N/A</v>
      </c>
      <c r="R103" s="149" t="e" cm="1">
        <f t="array" ref="R10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3" s="150" t="e" cm="1">
        <f t="array" ref="S10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3" s="150" t="e" cm="1">
        <f t="array" ref="T10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3" s="150" t="e" cm="1">
        <f t="array" ref="U10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3" s="162" t="e" cm="1">
        <f t="array" ref="V10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3" s="148" t="e" cm="1">
        <f t="array" ref="W103">_xlfn.IFS(Table117821341[[#This Row],[Pos.]]="QB1",AVERAGE(G103,H103,I103,J103,N103),Table117821341[[#This Row],[Pos.]]="RB1",AVERAGE(J103,K103,N103),Table117821341[[#This Row],[Pos.]]="RB2",AVERAGE(J103,K103,N103),Table117821341[[#This Row],[Pos.]]="WR1",AVERAGE(L103,M103,N103),Table117821341[[#This Row],[Pos.]]="WR2",AVERAGE(L103,M103,N103),Table117821341[[#This Row],[Pos.]]="WR3",AVERAGE(L103,M103,N103),Table117821341[[#This Row],[Pos.]]="WR4",AVERAGE(L103,M103,N103),Table117821341[[#This Row],[Pos.]]="TE1",AVERAGE(L103,M103,N103),Table117821341[[#This Row],[Pos.]]="TE2",AVERAGE(L103,M103,N103),Table117821341[[#This Row],[Pos.]]="D/ST",AVERAGE(Table117821341[[#This Row],[*TD*]]))</f>
        <v>#N/A</v>
      </c>
      <c r="X103" s="94" t="e">
        <f t="shared" si="1"/>
        <v>#N/A</v>
      </c>
    </row>
    <row r="104" spans="2:24" hidden="1" x14ac:dyDescent="0.35">
      <c r="B104" s="6" t="s">
        <v>500</v>
      </c>
      <c r="C104" s="97" t="s">
        <v>30</v>
      </c>
      <c r="D104" s="97" t="s">
        <v>403</v>
      </c>
      <c r="E104" s="23" t="str" cm="1">
        <f t="array" ref="E104">_xlfn.XLOOKUP(Table117821341[[#This Row],[Team]],Table4334[Team],'2425'!$C$3:$C$34)</f>
        <v>n/a</v>
      </c>
      <c r="F104" s="97" t="str">
        <f>_xlfn.XLOOKUP(Table117821341[[#This Row],[Team]],Table4334[Team],Table4334[OPP])</f>
        <v>n/a</v>
      </c>
      <c r="G104" s="148" t="str" cm="1">
        <f t="array" ref="G104">IF(Table117821341[[#This Row],[Pos.]]="QB1",_xlfn.XLOOKUP(Table117821341[[#This Row],[Opp]],Table123[DEF],'2425'!$G$3:$G$34),"#N/A")</f>
        <v>#N/A</v>
      </c>
      <c r="H104" s="148" t="str" cm="1">
        <f t="array" ref="H104">IF(Table117821341[[#This Row],[Pos.]]="QB1",_xlfn.XLOOKUP(Table117821341[[#This Row],[Opp]],Table123[DEF],'2425'!$J$3:$J$34),"#N/A")</f>
        <v>#N/A</v>
      </c>
      <c r="I104" s="148" t="str" cm="1">
        <f t="array" ref="I104">IF(Table117821341[[#This Row],[Pos.]]="QB1",_xlfn.XLOOKUP(Table117821341[[#This Row],[Opp]],Table123[DEF],'2425'!$K$3:$K$34),"#N/A")</f>
        <v>#N/A</v>
      </c>
      <c r="J104" s="148" t="e" cm="1">
        <f t="array" ref="J10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4" s="148" t="e" cm="1">
        <f t="array" ref="K10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4" s="148" t="e" cm="1">
        <f t="array" ref="L10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4" s="148" t="e" cm="1">
        <f t="array" ref="M10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4" s="148" t="e" cm="1">
        <f t="array" ref="N10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4" s="149" t="str">
        <f>IF(Table117821341[[#This Row],[Pos.]]="QB1",_xlfn.XLOOKUP(Table117821341[[#This Row],[Opp]],Table123[DEF],Table123[P]),"#N/A")</f>
        <v>#N/A</v>
      </c>
      <c r="P104" s="149" t="str">
        <f>IF(Table117821341[[#This Row],[Pos.]]="QB1",_xlfn.XLOOKUP(Table117821341[[#This Row],[Opp]],Table123[DEF],Table123[P+R]),"#N/A")</f>
        <v>#N/A</v>
      </c>
      <c r="Q104" s="150" t="str">
        <f>IF(Table117821341[[#This Row],[Pos.]]="QB1",_xlfn.XLOOKUP(Table117821341[[#This Row],[Opp]],Table123[DEF],Table123[P TD]),"#N/A")</f>
        <v>#N/A</v>
      </c>
      <c r="R104" s="149" t="e" cm="1">
        <f t="array" ref="R10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4" s="150" t="e" cm="1">
        <f t="array" ref="S10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4" s="150" t="e" cm="1">
        <f t="array" ref="T10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4" s="150" t="e" cm="1">
        <f t="array" ref="U10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4" s="150" t="e" cm="1">
        <f t="array" ref="V10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4" s="148" t="e" cm="1">
        <f t="array" ref="W104">_xlfn.IFS(Table117821341[[#This Row],[Pos.]]="QB1",AVERAGE(G104,H104,I104,J104,N104),Table117821341[[#This Row],[Pos.]]="RB1",AVERAGE(J104,K104,N104),Table117821341[[#This Row],[Pos.]]="RB2",AVERAGE(J104,K104,N104),Table117821341[[#This Row],[Pos.]]="WR1",AVERAGE(L104,M104,N104),Table117821341[[#This Row],[Pos.]]="WR2",AVERAGE(L104,M104,N104),Table117821341[[#This Row],[Pos.]]="WR3",AVERAGE(L104,M104,N104),Table117821341[[#This Row],[Pos.]]="WR4",AVERAGE(L104,M104,N104),Table117821341[[#This Row],[Pos.]]="TE1",AVERAGE(L104,M104,N104),Table117821341[[#This Row],[Pos.]]="TE2",AVERAGE(L104,M104,N104),Table117821341[[#This Row],[Pos.]]="D/ST",AVERAGE(Table117821341[[#This Row],[*TD*]]))</f>
        <v>#N/A</v>
      </c>
      <c r="X104" s="94" t="e">
        <f t="shared" si="1"/>
        <v>#N/A</v>
      </c>
    </row>
    <row r="105" spans="2:24" hidden="1" x14ac:dyDescent="0.35">
      <c r="B105" s="6" t="s">
        <v>501</v>
      </c>
      <c r="C105" s="97" t="s">
        <v>30</v>
      </c>
      <c r="D105" s="97" t="s">
        <v>411</v>
      </c>
      <c r="E105" s="23" t="str" cm="1">
        <f t="array" ref="E105">_xlfn.XLOOKUP(Table117821341[[#This Row],[Team]],Table4334[Team],'2425'!$C$3:$C$34)</f>
        <v>n/a</v>
      </c>
      <c r="F105" s="97" t="str">
        <f>_xlfn.XLOOKUP(Table117821341[[#This Row],[Team]],Table4334[Team],Table4334[OPP])</f>
        <v>n/a</v>
      </c>
      <c r="G105" s="148" t="str" cm="1">
        <f t="array" ref="G105">IF(Table117821341[[#This Row],[Pos.]]="QB1",_xlfn.XLOOKUP(Table117821341[[#This Row],[Opp]],Table123[DEF],'2425'!$G$3:$G$34),"#N/A")</f>
        <v>#N/A</v>
      </c>
      <c r="H105" s="148" t="str" cm="1">
        <f t="array" ref="H105">IF(Table117821341[[#This Row],[Pos.]]="QB1",_xlfn.XLOOKUP(Table117821341[[#This Row],[Opp]],Table123[DEF],'2425'!$J$3:$J$34),"#N/A")</f>
        <v>#N/A</v>
      </c>
      <c r="I105" s="148" t="str" cm="1">
        <f t="array" ref="I105">IF(Table117821341[[#This Row],[Pos.]]="QB1",_xlfn.XLOOKUP(Table117821341[[#This Row],[Opp]],Table123[DEF],'2425'!$K$3:$K$34),"#N/A")</f>
        <v>#N/A</v>
      </c>
      <c r="J105" s="148" t="e" cm="1">
        <f t="array" ref="J10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5" s="148" t="e" cm="1">
        <f t="array" ref="K10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5" s="148" t="e" cm="1">
        <f t="array" ref="L10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5" s="148" t="e" cm="1">
        <f t="array" ref="M10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5" s="148" t="e" cm="1">
        <f t="array" ref="N10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5" s="149" t="str">
        <f>IF(Table117821341[[#This Row],[Pos.]]="QB1",_xlfn.XLOOKUP(Table117821341[[#This Row],[Opp]],Table123[DEF],Table123[P]),"#N/A")</f>
        <v>#N/A</v>
      </c>
      <c r="P105" s="149" t="str">
        <f>IF(Table117821341[[#This Row],[Pos.]]="QB1",_xlfn.XLOOKUP(Table117821341[[#This Row],[Opp]],Table123[DEF],Table123[P+R]),"#N/A")</f>
        <v>#N/A</v>
      </c>
      <c r="Q105" s="150" t="str">
        <f>IF(Table117821341[[#This Row],[Pos.]]="QB1",_xlfn.XLOOKUP(Table117821341[[#This Row],[Opp]],Table123[DEF],Table123[P TD]),"#N/A")</f>
        <v>#N/A</v>
      </c>
      <c r="R105" s="149" t="e" cm="1">
        <f t="array" ref="R10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5" s="150" t="e" cm="1">
        <f t="array" ref="S10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5" s="150" t="e" cm="1">
        <f t="array" ref="T10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5" s="150" t="e" cm="1">
        <f t="array" ref="U10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5" s="150" t="e" cm="1">
        <f t="array" ref="V10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5" s="148" t="e" cm="1">
        <f t="array" ref="W105">_xlfn.IFS(Table117821341[[#This Row],[Pos.]]="QB1",AVERAGE(G105,H105,I105,J105,N105),Table117821341[[#This Row],[Pos.]]="RB1",AVERAGE(J105,K105,N105),Table117821341[[#This Row],[Pos.]]="RB2",AVERAGE(J105,K105,N105),Table117821341[[#This Row],[Pos.]]="WR1",AVERAGE(L105,M105,N105),Table117821341[[#This Row],[Pos.]]="WR2",AVERAGE(L105,M105,N105),Table117821341[[#This Row],[Pos.]]="WR3",AVERAGE(L105,M105,N105),Table117821341[[#This Row],[Pos.]]="WR4",AVERAGE(L105,M105,N105),Table117821341[[#This Row],[Pos.]]="TE1",AVERAGE(L105,M105,N105),Table117821341[[#This Row],[Pos.]]="TE2",AVERAGE(L105,M105,N105),Table117821341[[#This Row],[Pos.]]="D/ST",AVERAGE(Table117821341[[#This Row],[*TD*]]))</f>
        <v>#N/A</v>
      </c>
      <c r="X105" s="94" t="e">
        <f t="shared" si="1"/>
        <v>#N/A</v>
      </c>
    </row>
    <row r="106" spans="2:24" hidden="1" x14ac:dyDescent="0.35">
      <c r="B106" s="6" t="s">
        <v>382</v>
      </c>
      <c r="C106" s="97" t="s">
        <v>55</v>
      </c>
      <c r="D106" s="97" t="s">
        <v>67</v>
      </c>
      <c r="E106" s="23" t="str" cm="1">
        <f t="array" ref="E106">_xlfn.XLOOKUP(Table117821341[[#This Row],[Team]],Table4334[Team],'2425'!$C$3:$C$34)</f>
        <v>n/a</v>
      </c>
      <c r="F106" s="97" t="str">
        <f>_xlfn.XLOOKUP(Table117821341[[#This Row],[Team]],Table4334[Team],Table4334[OPP])</f>
        <v>n/a</v>
      </c>
      <c r="G106" s="148" t="str" cm="1">
        <f t="array" ref="G106">IF(Table117821341[[#This Row],[Pos.]]="QB1",_xlfn.XLOOKUP(Table117821341[[#This Row],[Opp]],Table123[DEF],'2425'!$G$3:$G$34),"#N/A")</f>
        <v>#N/A</v>
      </c>
      <c r="H106" s="148" t="str" cm="1">
        <f t="array" ref="H106">IF(Table117821341[[#This Row],[Pos.]]="QB1",_xlfn.XLOOKUP(Table117821341[[#This Row],[Opp]],Table123[DEF],'2425'!$J$3:$J$34),"#N/A")</f>
        <v>#N/A</v>
      </c>
      <c r="I106" s="148" t="str" cm="1">
        <f t="array" ref="I106">IF(Table117821341[[#This Row],[Pos.]]="QB1",_xlfn.XLOOKUP(Table117821341[[#This Row],[Opp]],Table123[DEF],'2425'!$K$3:$K$34),"#N/A")</f>
        <v>#N/A</v>
      </c>
      <c r="J106" s="148" t="e" cm="1">
        <f t="array" ref="J10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6" s="148" t="e" cm="1">
        <f t="array" ref="K10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6" s="148" t="e" cm="1">
        <f t="array" ref="L10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6" s="148" t="e" cm="1">
        <f t="array" ref="M10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6" s="148" t="e" cm="1">
        <f t="array" ref="N10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6" s="149" t="str">
        <f>IF(Table117821341[[#This Row],[Pos.]]="QB1",_xlfn.XLOOKUP(Table117821341[[#This Row],[Opp]],Table123[DEF],Table123[P]),"#N/A")</f>
        <v>#N/A</v>
      </c>
      <c r="P106" s="149" t="str">
        <f>IF(Table117821341[[#This Row],[Pos.]]="QB1",_xlfn.XLOOKUP(Table117821341[[#This Row],[Opp]],Table123[DEF],Table123[P+R]),"#N/A")</f>
        <v>#N/A</v>
      </c>
      <c r="Q106" s="150" t="str">
        <f>IF(Table117821341[[#This Row],[Pos.]]="QB1",_xlfn.XLOOKUP(Table117821341[[#This Row],[Opp]],Table123[DEF],Table123[P TD]),"#N/A")</f>
        <v>#N/A</v>
      </c>
      <c r="R106" s="149" t="e" cm="1">
        <f t="array" ref="R10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6" s="150" t="e" cm="1">
        <f t="array" ref="S10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6" s="150" t="e" cm="1">
        <f t="array" ref="T10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6" s="150" t="e" cm="1">
        <f t="array" ref="U10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6" s="162" t="e" cm="1">
        <f t="array" ref="V10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6" s="148" t="e" cm="1">
        <f t="array" ref="W106">_xlfn.IFS(Table117821341[[#This Row],[Pos.]]="QB1",AVERAGE(G106,H106,I106,J106,N106),Table117821341[[#This Row],[Pos.]]="RB1",AVERAGE(J106,K106,N106),Table117821341[[#This Row],[Pos.]]="RB2",AVERAGE(J106,K106,N106),Table117821341[[#This Row],[Pos.]]="WR1",AVERAGE(L106,M106,N106),Table117821341[[#This Row],[Pos.]]="WR2",AVERAGE(L106,M106,N106),Table117821341[[#This Row],[Pos.]]="WR3",AVERAGE(L106,M106,N106),Table117821341[[#This Row],[Pos.]]="WR4",AVERAGE(L106,M106,N106),Table117821341[[#This Row],[Pos.]]="TE1",AVERAGE(L106,M106,N106),Table117821341[[#This Row],[Pos.]]="TE2",AVERAGE(L106,M106,N106),Table117821341[[#This Row],[Pos.]]="D/ST",AVERAGE(Table117821341[[#This Row],[*TD*]]))</f>
        <v>#N/A</v>
      </c>
      <c r="X106" s="94" t="e">
        <f t="shared" si="1"/>
        <v>#N/A</v>
      </c>
    </row>
    <row r="107" spans="2:24" hidden="1" x14ac:dyDescent="0.35">
      <c r="B107" s="6" t="s">
        <v>188</v>
      </c>
      <c r="C107" s="97" t="s">
        <v>33</v>
      </c>
      <c r="D107" s="97" t="s">
        <v>66</v>
      </c>
      <c r="E107" s="23" t="str" cm="1">
        <f t="array" ref="E107">_xlfn.XLOOKUP(Table117821341[[#This Row],[Team]],Table4334[Team],'2425'!$C$3:$C$34)</f>
        <v>n/a</v>
      </c>
      <c r="F107" s="97" t="str">
        <f>_xlfn.XLOOKUP(Table117821341[[#This Row],[Team]],Table4334[Team],Table4334[OPP])</f>
        <v>n/a</v>
      </c>
      <c r="G107" s="148" t="str" cm="1">
        <f t="array" ref="G107">IF(Table117821341[[#This Row],[Pos.]]="QB1",_xlfn.XLOOKUP(Table117821341[[#This Row],[Opp]],Table123[DEF],'2425'!$G$3:$G$34),"#N/A")</f>
        <v>#N/A</v>
      </c>
      <c r="H107" s="148" t="str" cm="1">
        <f t="array" ref="H107">IF(Table117821341[[#This Row],[Pos.]]="QB1",_xlfn.XLOOKUP(Table117821341[[#This Row],[Opp]],Table123[DEF],'2425'!$J$3:$J$34),"#N/A")</f>
        <v>#N/A</v>
      </c>
      <c r="I107" s="148" t="str" cm="1">
        <f t="array" ref="I107">IF(Table117821341[[#This Row],[Pos.]]="QB1",_xlfn.XLOOKUP(Table117821341[[#This Row],[Opp]],Table123[DEF],'2425'!$K$3:$K$34),"#N/A")</f>
        <v>#N/A</v>
      </c>
      <c r="J107" s="148" t="e" cm="1">
        <f t="array" ref="J10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7" s="148" t="e" cm="1">
        <f t="array" ref="K10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7" s="148" t="e" cm="1">
        <f t="array" ref="L10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7" s="148" t="e" cm="1">
        <f t="array" ref="M10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7" s="148" t="e" cm="1">
        <f t="array" ref="N10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7" s="149" t="str">
        <f>IF(Table117821341[[#This Row],[Pos.]]="QB1",_xlfn.XLOOKUP(Table117821341[[#This Row],[Opp]],Table123[DEF],Table123[P]),"#N/A")</f>
        <v>#N/A</v>
      </c>
      <c r="P107" s="149" t="str">
        <f>IF(Table117821341[[#This Row],[Pos.]]="QB1",_xlfn.XLOOKUP(Table117821341[[#This Row],[Opp]],Table123[DEF],Table123[P+R]),"#N/A")</f>
        <v>#N/A</v>
      </c>
      <c r="Q107" s="150" t="str">
        <f>IF(Table117821341[[#This Row],[Pos.]]="QB1",_xlfn.XLOOKUP(Table117821341[[#This Row],[Opp]],Table123[DEF],Table123[P TD]),"#N/A")</f>
        <v>#N/A</v>
      </c>
      <c r="R107" s="149" t="e" cm="1">
        <f t="array" ref="R10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7" s="150" t="e" cm="1">
        <f t="array" ref="S10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7" s="150" t="e" cm="1">
        <f t="array" ref="T10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7" s="150" t="e" cm="1">
        <f t="array" ref="U10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7" s="162" t="e" cm="1">
        <f t="array" ref="V10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7" s="148" t="e" cm="1">
        <f t="array" ref="W107">_xlfn.IFS(Table117821341[[#This Row],[Pos.]]="QB1",AVERAGE(G107,H107,I107,J107,N107),Table117821341[[#This Row],[Pos.]]="RB1",AVERAGE(J107,K107,N107),Table117821341[[#This Row],[Pos.]]="RB2",AVERAGE(J107,K107,N107),Table117821341[[#This Row],[Pos.]]="WR1",AVERAGE(L107,M107,N107),Table117821341[[#This Row],[Pos.]]="WR2",AVERAGE(L107,M107,N107),Table117821341[[#This Row],[Pos.]]="WR3",AVERAGE(L107,M107,N107),Table117821341[[#This Row],[Pos.]]="WR4",AVERAGE(L107,M107,N107),Table117821341[[#This Row],[Pos.]]="TE1",AVERAGE(L107,M107,N107),Table117821341[[#This Row],[Pos.]]="TE2",AVERAGE(L107,M107,N107),Table117821341[[#This Row],[Pos.]]="D/ST",AVERAGE(Table117821341[[#This Row],[*TD*]]))</f>
        <v>#N/A</v>
      </c>
      <c r="X107" s="94" t="e">
        <f t="shared" si="1"/>
        <v>#N/A</v>
      </c>
    </row>
    <row r="108" spans="2:24" hidden="1" x14ac:dyDescent="0.35">
      <c r="B108" s="6" t="s">
        <v>159</v>
      </c>
      <c r="C108" s="97" t="s">
        <v>31</v>
      </c>
      <c r="D108" s="97" t="s">
        <v>405</v>
      </c>
      <c r="E108" s="23" t="str" cm="1">
        <f t="array" ref="E108">_xlfn.XLOOKUP(Table117821341[[#This Row],[Team]],Table4334[Team],'2425'!$C$3:$C$34)</f>
        <v>n/a</v>
      </c>
      <c r="F108" s="97" t="str">
        <f>_xlfn.XLOOKUP(Table117821341[[#This Row],[Team]],Table4334[Team],Table4334[OPP])</f>
        <v>n/a</v>
      </c>
      <c r="G108" s="148" t="str" cm="1">
        <f t="array" ref="G108">IF(Table117821341[[#This Row],[Pos.]]="QB1",_xlfn.XLOOKUP(Table117821341[[#This Row],[Opp]],Table123[DEF],'2425'!$G$3:$G$34),"#N/A")</f>
        <v>#N/A</v>
      </c>
      <c r="H108" s="148" t="str" cm="1">
        <f t="array" ref="H108">IF(Table117821341[[#This Row],[Pos.]]="QB1",_xlfn.XLOOKUP(Table117821341[[#This Row],[Opp]],Table123[DEF],'2425'!$J$3:$J$34),"#N/A")</f>
        <v>#N/A</v>
      </c>
      <c r="I108" s="148" t="str" cm="1">
        <f t="array" ref="I108">IF(Table117821341[[#This Row],[Pos.]]="QB1",_xlfn.XLOOKUP(Table117821341[[#This Row],[Opp]],Table123[DEF],'2425'!$K$3:$K$34),"#N/A")</f>
        <v>#N/A</v>
      </c>
      <c r="J108" s="148" t="e" cm="1">
        <f t="array" ref="J10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8" s="148" t="e" cm="1">
        <f t="array" ref="K10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8" s="148" t="e" cm="1">
        <f t="array" ref="L10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8" s="148" t="e" cm="1">
        <f t="array" ref="M10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8" s="148" t="e" cm="1">
        <f t="array" ref="N10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8" s="149" t="str">
        <f>IF(Table117821341[[#This Row],[Pos.]]="QB1",_xlfn.XLOOKUP(Table117821341[[#This Row],[Opp]],Table123[DEF],Table123[P]),"#N/A")</f>
        <v>#N/A</v>
      </c>
      <c r="P108" s="149" t="str">
        <f>IF(Table117821341[[#This Row],[Pos.]]="QB1",_xlfn.XLOOKUP(Table117821341[[#This Row],[Opp]],Table123[DEF],Table123[P+R]),"#N/A")</f>
        <v>#N/A</v>
      </c>
      <c r="Q108" s="150" t="str">
        <f>IF(Table117821341[[#This Row],[Pos.]]="QB1",_xlfn.XLOOKUP(Table117821341[[#This Row],[Opp]],Table123[DEF],Table123[P TD]),"#N/A")</f>
        <v>#N/A</v>
      </c>
      <c r="R108" s="149" t="e" cm="1">
        <f t="array" ref="R10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8" s="150" t="e" cm="1">
        <f t="array" ref="S10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8" s="150" t="e" cm="1">
        <f t="array" ref="T10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8" s="150" t="e" cm="1">
        <f t="array" ref="U10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8" s="150" t="e" cm="1">
        <f t="array" ref="V10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8" s="148" t="e" cm="1">
        <f t="array" ref="W108">_xlfn.IFS(Table117821341[[#This Row],[Pos.]]="QB1",AVERAGE(G108,H108,I108,J108,N108),Table117821341[[#This Row],[Pos.]]="RB1",AVERAGE(J108,K108,N108),Table117821341[[#This Row],[Pos.]]="RB2",AVERAGE(J108,K108,N108),Table117821341[[#This Row],[Pos.]]="WR1",AVERAGE(L108,M108,N108),Table117821341[[#This Row],[Pos.]]="WR2",AVERAGE(L108,M108,N108),Table117821341[[#This Row],[Pos.]]="WR3",AVERAGE(L108,M108,N108),Table117821341[[#This Row],[Pos.]]="WR4",AVERAGE(L108,M108,N108),Table117821341[[#This Row],[Pos.]]="TE1",AVERAGE(L108,M108,N108),Table117821341[[#This Row],[Pos.]]="TE2",AVERAGE(L108,M108,N108),Table117821341[[#This Row],[Pos.]]="D/ST",AVERAGE(Table117821341[[#This Row],[*TD*]]))</f>
        <v>#N/A</v>
      </c>
      <c r="X108" s="94" t="e">
        <f t="shared" si="1"/>
        <v>#N/A</v>
      </c>
    </row>
    <row r="109" spans="2:24" hidden="1" x14ac:dyDescent="0.35">
      <c r="B109" s="6" t="s">
        <v>160</v>
      </c>
      <c r="C109" s="97" t="s">
        <v>31</v>
      </c>
      <c r="D109" s="97" t="s">
        <v>425</v>
      </c>
      <c r="E109" s="23" t="str" cm="1">
        <f t="array" ref="E109">_xlfn.XLOOKUP(Table117821341[[#This Row],[Team]],Table4334[Team],'2425'!$C$3:$C$34)</f>
        <v>n/a</v>
      </c>
      <c r="F109" s="97" t="str">
        <f>_xlfn.XLOOKUP(Table117821341[[#This Row],[Team]],Table4334[Team],Table4334[OPP])</f>
        <v>n/a</v>
      </c>
      <c r="G109" s="148" t="str" cm="1">
        <f t="array" ref="G109">IF(Table117821341[[#This Row],[Pos.]]="QB1",_xlfn.XLOOKUP(Table117821341[[#This Row],[Opp]],Table123[DEF],'2425'!$G$3:$G$34),"#N/A")</f>
        <v>#N/A</v>
      </c>
      <c r="H109" s="148" t="str" cm="1">
        <f t="array" ref="H109">IF(Table117821341[[#This Row],[Pos.]]="QB1",_xlfn.XLOOKUP(Table117821341[[#This Row],[Opp]],Table123[DEF],'2425'!$J$3:$J$34),"#N/A")</f>
        <v>#N/A</v>
      </c>
      <c r="I109" s="148" t="str" cm="1">
        <f t="array" ref="I109">IF(Table117821341[[#This Row],[Pos.]]="QB1",_xlfn.XLOOKUP(Table117821341[[#This Row],[Opp]],Table123[DEF],'2425'!$K$3:$K$34),"#N/A")</f>
        <v>#N/A</v>
      </c>
      <c r="J109" s="148" t="e" cm="1">
        <f t="array" ref="J10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09" s="148" t="e" cm="1">
        <f t="array" ref="K10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09" s="148" t="e" cm="1">
        <f t="array" ref="L10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09" s="148" t="e" cm="1">
        <f t="array" ref="M10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09" s="148" t="e" cm="1">
        <f t="array" ref="N10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09" s="149" t="str">
        <f>IF(Table117821341[[#This Row],[Pos.]]="QB1",_xlfn.XLOOKUP(Table117821341[[#This Row],[Opp]],Table123[DEF],Table123[P]),"#N/A")</f>
        <v>#N/A</v>
      </c>
      <c r="P109" s="149" t="str">
        <f>IF(Table117821341[[#This Row],[Pos.]]="QB1",_xlfn.XLOOKUP(Table117821341[[#This Row],[Opp]],Table123[DEF],Table123[P+R]),"#N/A")</f>
        <v>#N/A</v>
      </c>
      <c r="Q109" s="150" t="str">
        <f>IF(Table117821341[[#This Row],[Pos.]]="QB1",_xlfn.XLOOKUP(Table117821341[[#This Row],[Opp]],Table123[DEF],Table123[P TD]),"#N/A")</f>
        <v>#N/A</v>
      </c>
      <c r="R109" s="149" t="e" cm="1">
        <f t="array" ref="R10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09" s="150" t="e" cm="1">
        <f t="array" ref="S10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09" s="150" t="e" cm="1">
        <f t="array" ref="T10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09" s="150" t="e" cm="1">
        <f t="array" ref="U10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09" s="150" t="e" cm="1">
        <f t="array" ref="V10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09" s="148" t="e" cm="1">
        <f t="array" ref="W109">_xlfn.IFS(Table117821341[[#This Row],[Pos.]]="QB1",AVERAGE(G109,H109,I109,J109,N109),Table117821341[[#This Row],[Pos.]]="RB1",AVERAGE(J109,K109,N109),Table117821341[[#This Row],[Pos.]]="RB2",AVERAGE(J109,K109,N109),Table117821341[[#This Row],[Pos.]]="WR1",AVERAGE(L109,M109,N109),Table117821341[[#This Row],[Pos.]]="WR2",AVERAGE(L109,M109,N109),Table117821341[[#This Row],[Pos.]]="WR3",AVERAGE(L109,M109,N109),Table117821341[[#This Row],[Pos.]]="WR4",AVERAGE(L109,M109,N109),Table117821341[[#This Row],[Pos.]]="TE1",AVERAGE(L109,M109,N109),Table117821341[[#This Row],[Pos.]]="TE2",AVERAGE(L109,M109,N109),Table117821341[[#This Row],[Pos.]]="D/ST",AVERAGE(Table117821341[[#This Row],[*TD*]]))</f>
        <v>#N/A</v>
      </c>
      <c r="X109" s="94" t="e">
        <f t="shared" si="1"/>
        <v>#N/A</v>
      </c>
    </row>
    <row r="110" spans="2:24" hidden="1" x14ac:dyDescent="0.35">
      <c r="B110" s="6" t="s">
        <v>233</v>
      </c>
      <c r="C110" s="97" t="s">
        <v>38</v>
      </c>
      <c r="D110" s="97" t="s">
        <v>67</v>
      </c>
      <c r="E110" s="23" t="str" cm="1">
        <f t="array" ref="E110">_xlfn.XLOOKUP(Table117821341[[#This Row],[Team]],Table4334[Team],'2425'!$C$3:$C$34)</f>
        <v>n/a</v>
      </c>
      <c r="F110" s="97" t="str">
        <f>_xlfn.XLOOKUP(Table117821341[[#This Row],[Team]],Table4334[Team],Table4334[OPP])</f>
        <v>n/a</v>
      </c>
      <c r="G110" s="148" t="str" cm="1">
        <f t="array" ref="G110">IF(Table117821341[[#This Row],[Pos.]]="QB1",_xlfn.XLOOKUP(Table117821341[[#This Row],[Opp]],Table123[DEF],'2425'!$G$3:$G$34),"#N/A")</f>
        <v>#N/A</v>
      </c>
      <c r="H110" s="148" t="str" cm="1">
        <f t="array" ref="H110">IF(Table117821341[[#This Row],[Pos.]]="QB1",_xlfn.XLOOKUP(Table117821341[[#This Row],[Opp]],Table123[DEF],'2425'!$J$3:$J$34),"#N/A")</f>
        <v>#N/A</v>
      </c>
      <c r="I110" s="148" t="str" cm="1">
        <f t="array" ref="I110">IF(Table117821341[[#This Row],[Pos.]]="QB1",_xlfn.XLOOKUP(Table117821341[[#This Row],[Opp]],Table123[DEF],'2425'!$K$3:$K$34),"#N/A")</f>
        <v>#N/A</v>
      </c>
      <c r="J110" s="148" t="e" cm="1">
        <f t="array" ref="J11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0" s="148" t="e" cm="1">
        <f t="array" ref="K11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0" s="148" t="e" cm="1">
        <f t="array" ref="L11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0" s="148" t="e" cm="1">
        <f t="array" ref="M11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0" s="148" t="e" cm="1">
        <f t="array" ref="N11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0" s="149" t="str">
        <f>IF(Table117821341[[#This Row],[Pos.]]="QB1",_xlfn.XLOOKUP(Table117821341[[#This Row],[Opp]],Table123[DEF],Table123[P]),"#N/A")</f>
        <v>#N/A</v>
      </c>
      <c r="P110" s="149" t="str">
        <f>IF(Table117821341[[#This Row],[Pos.]]="QB1",_xlfn.XLOOKUP(Table117821341[[#This Row],[Opp]],Table123[DEF],Table123[P+R]),"#N/A")</f>
        <v>#N/A</v>
      </c>
      <c r="Q110" s="150" t="str">
        <f>IF(Table117821341[[#This Row],[Pos.]]="QB1",_xlfn.XLOOKUP(Table117821341[[#This Row],[Opp]],Table123[DEF],Table123[P TD]),"#N/A")</f>
        <v>#N/A</v>
      </c>
      <c r="R110" s="149" t="e" cm="1">
        <f t="array" ref="R11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0" s="150" t="e" cm="1">
        <f t="array" ref="S11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0" s="150" t="e" cm="1">
        <f t="array" ref="T11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0" s="150" t="e" cm="1">
        <f t="array" ref="U11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0" s="162" t="e" cm="1">
        <f t="array" ref="V11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0" s="148" t="e" cm="1">
        <f t="array" ref="W110">_xlfn.IFS(Table117821341[[#This Row],[Pos.]]="QB1",AVERAGE(G110,H110,I110,J110,N110),Table117821341[[#This Row],[Pos.]]="RB1",AVERAGE(J110,K110,N110),Table117821341[[#This Row],[Pos.]]="RB2",AVERAGE(J110,K110,N110),Table117821341[[#This Row],[Pos.]]="WR1",AVERAGE(L110,M110,N110),Table117821341[[#This Row],[Pos.]]="WR2",AVERAGE(L110,M110,N110),Table117821341[[#This Row],[Pos.]]="WR3",AVERAGE(L110,M110,N110),Table117821341[[#This Row],[Pos.]]="WR4",AVERAGE(L110,M110,N110),Table117821341[[#This Row],[Pos.]]="TE1",AVERAGE(L110,M110,N110),Table117821341[[#This Row],[Pos.]]="TE2",AVERAGE(L110,M110,N110),Table117821341[[#This Row],[Pos.]]="D/ST",AVERAGE(Table117821341[[#This Row],[*TD*]]))</f>
        <v>#N/A</v>
      </c>
      <c r="X110" s="94" t="e">
        <f t="shared" si="1"/>
        <v>#N/A</v>
      </c>
    </row>
    <row r="111" spans="2:24" hidden="1" x14ac:dyDescent="0.35">
      <c r="B111" s="6" t="s">
        <v>162</v>
      </c>
      <c r="C111" s="97" t="s">
        <v>31</v>
      </c>
      <c r="D111" s="97" t="s">
        <v>394</v>
      </c>
      <c r="E111" s="23" t="str" cm="1">
        <f t="array" ref="E111">_xlfn.XLOOKUP(Table117821341[[#This Row],[Team]],Table4334[Team],'2425'!$C$3:$C$34)</f>
        <v>n/a</v>
      </c>
      <c r="F111" s="97" t="str">
        <f>_xlfn.XLOOKUP(Table117821341[[#This Row],[Team]],Table4334[Team],Table4334[OPP])</f>
        <v>n/a</v>
      </c>
      <c r="G111" s="148" t="str" cm="1">
        <f t="array" ref="G111">IF(Table117821341[[#This Row],[Pos.]]="QB1",_xlfn.XLOOKUP(Table117821341[[#This Row],[Opp]],Table123[DEF],'2425'!$G$3:$G$34),"#N/A")</f>
        <v>#N/A</v>
      </c>
      <c r="H111" s="148" t="str" cm="1">
        <f t="array" ref="H111">IF(Table117821341[[#This Row],[Pos.]]="QB1",_xlfn.XLOOKUP(Table117821341[[#This Row],[Opp]],Table123[DEF],'2425'!$J$3:$J$34),"#N/A")</f>
        <v>#N/A</v>
      </c>
      <c r="I111" s="148" t="str" cm="1">
        <f t="array" ref="I111">IF(Table117821341[[#This Row],[Pos.]]="QB1",_xlfn.XLOOKUP(Table117821341[[#This Row],[Opp]],Table123[DEF],'2425'!$K$3:$K$34),"#N/A")</f>
        <v>#N/A</v>
      </c>
      <c r="J111" s="148" t="e" cm="1">
        <f t="array" ref="J11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1" s="148" t="e" cm="1">
        <f t="array" ref="K11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1" s="148" t="e" cm="1">
        <f t="array" ref="L11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1" s="148" t="e" cm="1">
        <f t="array" ref="M11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1" s="148" t="e" cm="1">
        <f t="array" ref="N11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1" s="149" t="str">
        <f>IF(Table117821341[[#This Row],[Pos.]]="QB1",_xlfn.XLOOKUP(Table117821341[[#This Row],[Opp]],Table123[DEF],Table123[P]),"#N/A")</f>
        <v>#N/A</v>
      </c>
      <c r="P111" s="149" t="str">
        <f>IF(Table117821341[[#This Row],[Pos.]]="QB1",_xlfn.XLOOKUP(Table117821341[[#This Row],[Opp]],Table123[DEF],Table123[P+R]),"#N/A")</f>
        <v>#N/A</v>
      </c>
      <c r="Q111" s="150" t="str">
        <f>IF(Table117821341[[#This Row],[Pos.]]="QB1",_xlfn.XLOOKUP(Table117821341[[#This Row],[Opp]],Table123[DEF],Table123[P TD]),"#N/A")</f>
        <v>#N/A</v>
      </c>
      <c r="R111" s="149" t="e" cm="1">
        <f t="array" ref="R11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1" s="150" t="e" cm="1">
        <f t="array" ref="S11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1" s="150" t="e" cm="1">
        <f t="array" ref="T11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1" s="150" t="e" cm="1">
        <f t="array" ref="U11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1" s="150" t="e" cm="1">
        <f t="array" ref="V11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1" s="148" t="e" cm="1">
        <f t="array" ref="W111">_xlfn.IFS(Table117821341[[#This Row],[Pos.]]="QB1",AVERAGE(G111,H111,I111,J111,N111),Table117821341[[#This Row],[Pos.]]="RB1",AVERAGE(J111,K111,N111),Table117821341[[#This Row],[Pos.]]="RB2",AVERAGE(J111,K111,N111),Table117821341[[#This Row],[Pos.]]="WR1",AVERAGE(L111,M111,N111),Table117821341[[#This Row],[Pos.]]="WR2",AVERAGE(L111,M111,N111),Table117821341[[#This Row],[Pos.]]="WR3",AVERAGE(L111,M111,N111),Table117821341[[#This Row],[Pos.]]="WR4",AVERAGE(L111,M111,N111),Table117821341[[#This Row],[Pos.]]="TE1",AVERAGE(L111,M111,N111),Table117821341[[#This Row],[Pos.]]="TE2",AVERAGE(L111,M111,N111),Table117821341[[#This Row],[Pos.]]="D/ST",AVERAGE(Table117821341[[#This Row],[*TD*]]))</f>
        <v>#N/A</v>
      </c>
      <c r="X111" s="94" t="e">
        <f t="shared" si="1"/>
        <v>#N/A</v>
      </c>
    </row>
    <row r="112" spans="2:24" hidden="1" x14ac:dyDescent="0.35">
      <c r="B112" s="6" t="s">
        <v>163</v>
      </c>
      <c r="C112" s="97" t="s">
        <v>31</v>
      </c>
      <c r="D112" s="97" t="s">
        <v>396</v>
      </c>
      <c r="E112" s="23" t="str" cm="1">
        <f t="array" ref="E112">_xlfn.XLOOKUP(Table117821341[[#This Row],[Team]],Table4334[Team],'2425'!$C$3:$C$34)</f>
        <v>n/a</v>
      </c>
      <c r="F112" s="97" t="str">
        <f>_xlfn.XLOOKUP(Table117821341[[#This Row],[Team]],Table4334[Team],Table4334[OPP])</f>
        <v>n/a</v>
      </c>
      <c r="G112" s="148" t="str" cm="1">
        <f t="array" ref="G112">IF(Table117821341[[#This Row],[Pos.]]="QB1",_xlfn.XLOOKUP(Table117821341[[#This Row],[Opp]],Table123[DEF],'2425'!$G$3:$G$34),"#N/A")</f>
        <v>#N/A</v>
      </c>
      <c r="H112" s="148" t="str" cm="1">
        <f t="array" ref="H112">IF(Table117821341[[#This Row],[Pos.]]="QB1",_xlfn.XLOOKUP(Table117821341[[#This Row],[Opp]],Table123[DEF],'2425'!$J$3:$J$34),"#N/A")</f>
        <v>#N/A</v>
      </c>
      <c r="I112" s="148" t="str" cm="1">
        <f t="array" ref="I112">IF(Table117821341[[#This Row],[Pos.]]="QB1",_xlfn.XLOOKUP(Table117821341[[#This Row],[Opp]],Table123[DEF],'2425'!$K$3:$K$34),"#N/A")</f>
        <v>#N/A</v>
      </c>
      <c r="J112" s="148" t="e" cm="1">
        <f t="array" ref="J11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2" s="148" t="e" cm="1">
        <f t="array" ref="K11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2" s="148" t="e" cm="1">
        <f t="array" ref="L11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2" s="148" t="e" cm="1">
        <f t="array" ref="M11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2" s="148" t="e" cm="1">
        <f t="array" ref="N11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2" s="149" t="str">
        <f>IF(Table117821341[[#This Row],[Pos.]]="QB1",_xlfn.XLOOKUP(Table117821341[[#This Row],[Opp]],Table123[DEF],Table123[P]),"#N/A")</f>
        <v>#N/A</v>
      </c>
      <c r="P112" s="149" t="str">
        <f>IF(Table117821341[[#This Row],[Pos.]]="QB1",_xlfn.XLOOKUP(Table117821341[[#This Row],[Opp]],Table123[DEF],Table123[P+R]),"#N/A")</f>
        <v>#N/A</v>
      </c>
      <c r="Q112" s="150" t="str">
        <f>IF(Table117821341[[#This Row],[Pos.]]="QB1",_xlfn.XLOOKUP(Table117821341[[#This Row],[Opp]],Table123[DEF],Table123[P TD]),"#N/A")</f>
        <v>#N/A</v>
      </c>
      <c r="R112" s="149" t="e" cm="1">
        <f t="array" ref="R11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2" s="150" t="e" cm="1">
        <f t="array" ref="S11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2" s="150" t="e" cm="1">
        <f t="array" ref="T11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2" s="150" t="e" cm="1">
        <f t="array" ref="U11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2" s="150" t="e" cm="1">
        <f t="array" ref="V11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2" s="148" t="e" cm="1">
        <f t="array" ref="W112">_xlfn.IFS(Table117821341[[#This Row],[Pos.]]="QB1",AVERAGE(G112,H112,I112,J112,N112),Table117821341[[#This Row],[Pos.]]="RB1",AVERAGE(J112,K112,N112),Table117821341[[#This Row],[Pos.]]="RB2",AVERAGE(J112,K112,N112),Table117821341[[#This Row],[Pos.]]="WR1",AVERAGE(L112,M112,N112),Table117821341[[#This Row],[Pos.]]="WR2",AVERAGE(L112,M112,N112),Table117821341[[#This Row],[Pos.]]="WR3",AVERAGE(L112,M112,N112),Table117821341[[#This Row],[Pos.]]="WR4",AVERAGE(L112,M112,N112),Table117821341[[#This Row],[Pos.]]="TE1",AVERAGE(L112,M112,N112),Table117821341[[#This Row],[Pos.]]="TE2",AVERAGE(L112,M112,N112),Table117821341[[#This Row],[Pos.]]="D/ST",AVERAGE(Table117821341[[#This Row],[*TD*]]))</f>
        <v>#N/A</v>
      </c>
      <c r="X112" s="94" t="e">
        <f t="shared" si="1"/>
        <v>#N/A</v>
      </c>
    </row>
    <row r="113" spans="2:24" hidden="1" x14ac:dyDescent="0.35">
      <c r="B113" s="6" t="s">
        <v>383</v>
      </c>
      <c r="C113" s="97" t="s">
        <v>55</v>
      </c>
      <c r="D113" s="97" t="s">
        <v>66</v>
      </c>
      <c r="E113" s="23" t="str" cm="1">
        <f t="array" ref="E113">_xlfn.XLOOKUP(Table117821341[[#This Row],[Team]],Table4334[Team],'2425'!$C$3:$C$34)</f>
        <v>n/a</v>
      </c>
      <c r="F113" s="97" t="str">
        <f>_xlfn.XLOOKUP(Table117821341[[#This Row],[Team]],Table4334[Team],Table4334[OPP])</f>
        <v>n/a</v>
      </c>
      <c r="G113" s="148" t="str" cm="1">
        <f t="array" ref="G113">IF(Table117821341[[#This Row],[Pos.]]="QB1",_xlfn.XLOOKUP(Table117821341[[#This Row],[Opp]],Table123[DEF],'2425'!$G$3:$G$34),"#N/A")</f>
        <v>#N/A</v>
      </c>
      <c r="H113" s="148" t="str" cm="1">
        <f t="array" ref="H113">IF(Table117821341[[#This Row],[Pos.]]="QB1",_xlfn.XLOOKUP(Table117821341[[#This Row],[Opp]],Table123[DEF],'2425'!$J$3:$J$34),"#N/A")</f>
        <v>#N/A</v>
      </c>
      <c r="I113" s="148" t="str" cm="1">
        <f t="array" ref="I113">IF(Table117821341[[#This Row],[Pos.]]="QB1",_xlfn.XLOOKUP(Table117821341[[#This Row],[Opp]],Table123[DEF],'2425'!$K$3:$K$34),"#N/A")</f>
        <v>#N/A</v>
      </c>
      <c r="J113" s="148" t="e" cm="1">
        <f t="array" ref="J11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3" s="148" t="e" cm="1">
        <f t="array" ref="K11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3" s="148" t="e" cm="1">
        <f t="array" ref="L11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3" s="148" t="e" cm="1">
        <f t="array" ref="M11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3" s="148" t="e" cm="1">
        <f t="array" ref="N11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3" s="149" t="str">
        <f>IF(Table117821341[[#This Row],[Pos.]]="QB1",_xlfn.XLOOKUP(Table117821341[[#This Row],[Opp]],Table123[DEF],Table123[P]),"#N/A")</f>
        <v>#N/A</v>
      </c>
      <c r="P113" s="149" t="str">
        <f>IF(Table117821341[[#This Row],[Pos.]]="QB1",_xlfn.XLOOKUP(Table117821341[[#This Row],[Opp]],Table123[DEF],Table123[P+R]),"#N/A")</f>
        <v>#N/A</v>
      </c>
      <c r="Q113" s="150" t="str">
        <f>IF(Table117821341[[#This Row],[Pos.]]="QB1",_xlfn.XLOOKUP(Table117821341[[#This Row],[Opp]],Table123[DEF],Table123[P TD]),"#N/A")</f>
        <v>#N/A</v>
      </c>
      <c r="R113" s="149" t="e" cm="1">
        <f t="array" ref="R11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3" s="150" t="e" cm="1">
        <f t="array" ref="S11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3" s="150" t="e" cm="1">
        <f t="array" ref="T11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3" s="150" t="e" cm="1">
        <f t="array" ref="U11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3" s="162" t="e" cm="1">
        <f t="array" ref="V11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3" s="148" t="e" cm="1">
        <f t="array" ref="W113">_xlfn.IFS(Table117821341[[#This Row],[Pos.]]="QB1",AVERAGE(G113,H113,I113,J113,N113),Table117821341[[#This Row],[Pos.]]="RB1",AVERAGE(J113,K113,N113),Table117821341[[#This Row],[Pos.]]="RB2",AVERAGE(J113,K113,N113),Table117821341[[#This Row],[Pos.]]="WR1",AVERAGE(L113,M113,N113),Table117821341[[#This Row],[Pos.]]="WR2",AVERAGE(L113,M113,N113),Table117821341[[#This Row],[Pos.]]="WR3",AVERAGE(L113,M113,N113),Table117821341[[#This Row],[Pos.]]="WR4",AVERAGE(L113,M113,N113),Table117821341[[#This Row],[Pos.]]="TE1",AVERAGE(L113,M113,N113),Table117821341[[#This Row],[Pos.]]="TE2",AVERAGE(L113,M113,N113),Table117821341[[#This Row],[Pos.]]="D/ST",AVERAGE(Table117821341[[#This Row],[*TD*]]))</f>
        <v>#N/A</v>
      </c>
      <c r="X113" s="94" t="e">
        <f t="shared" si="1"/>
        <v>#N/A</v>
      </c>
    </row>
    <row r="114" spans="2:24" hidden="1" x14ac:dyDescent="0.35">
      <c r="B114" s="6" t="s">
        <v>164</v>
      </c>
      <c r="C114" s="97" t="s">
        <v>31</v>
      </c>
      <c r="D114" s="97" t="s">
        <v>398</v>
      </c>
      <c r="E114" s="23" t="str" cm="1">
        <f t="array" ref="E114">_xlfn.XLOOKUP(Table117821341[[#This Row],[Team]],Table4334[Team],'2425'!$C$3:$C$34)</f>
        <v>n/a</v>
      </c>
      <c r="F114" s="97" t="str">
        <f>_xlfn.XLOOKUP(Table117821341[[#This Row],[Team]],Table4334[Team],Table4334[OPP])</f>
        <v>n/a</v>
      </c>
      <c r="G114" s="148" t="str" cm="1">
        <f t="array" ref="G114">IF(Table117821341[[#This Row],[Pos.]]="QB1",_xlfn.XLOOKUP(Table117821341[[#This Row],[Opp]],Table123[DEF],'2425'!$G$3:$G$34),"#N/A")</f>
        <v>#N/A</v>
      </c>
      <c r="H114" s="148" t="str" cm="1">
        <f t="array" ref="H114">IF(Table117821341[[#This Row],[Pos.]]="QB1",_xlfn.XLOOKUP(Table117821341[[#This Row],[Opp]],Table123[DEF],'2425'!$J$3:$J$34),"#N/A")</f>
        <v>#N/A</v>
      </c>
      <c r="I114" s="148" t="str" cm="1">
        <f t="array" ref="I114">IF(Table117821341[[#This Row],[Pos.]]="QB1",_xlfn.XLOOKUP(Table117821341[[#This Row],[Opp]],Table123[DEF],'2425'!$K$3:$K$34),"#N/A")</f>
        <v>#N/A</v>
      </c>
      <c r="J114" s="148" t="e" cm="1">
        <f t="array" ref="J11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4" s="148" t="e" cm="1">
        <f t="array" ref="K11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4" s="148" t="e" cm="1">
        <f t="array" ref="L11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4" s="148" t="e" cm="1">
        <f t="array" ref="M11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4" s="148" t="e" cm="1">
        <f t="array" ref="N11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4" s="149" t="str">
        <f>IF(Table117821341[[#This Row],[Pos.]]="QB1",_xlfn.XLOOKUP(Table117821341[[#This Row],[Opp]],Table123[DEF],Table123[P]),"#N/A")</f>
        <v>#N/A</v>
      </c>
      <c r="P114" s="149" t="str">
        <f>IF(Table117821341[[#This Row],[Pos.]]="QB1",_xlfn.XLOOKUP(Table117821341[[#This Row],[Opp]],Table123[DEF],Table123[P+R]),"#N/A")</f>
        <v>#N/A</v>
      </c>
      <c r="Q114" s="150" t="str">
        <f>IF(Table117821341[[#This Row],[Pos.]]="QB1",_xlfn.XLOOKUP(Table117821341[[#This Row],[Opp]],Table123[DEF],Table123[P TD]),"#N/A")</f>
        <v>#N/A</v>
      </c>
      <c r="R114" s="149" t="e" cm="1">
        <f t="array" ref="R11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4" s="150" t="e" cm="1">
        <f t="array" ref="S11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4" s="150" t="e" cm="1">
        <f t="array" ref="T11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4" s="150" t="e" cm="1">
        <f t="array" ref="U11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4" s="150" t="e" cm="1">
        <f t="array" ref="V11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4" s="148" t="e" cm="1">
        <f t="array" ref="W114">_xlfn.IFS(Table117821341[[#This Row],[Pos.]]="QB1",AVERAGE(G114,H114,I114,J114,N114),Table117821341[[#This Row],[Pos.]]="RB1",AVERAGE(J114,K114,N114),Table117821341[[#This Row],[Pos.]]="RB2",AVERAGE(J114,K114,N114),Table117821341[[#This Row],[Pos.]]="WR1",AVERAGE(L114,M114,N114),Table117821341[[#This Row],[Pos.]]="WR2",AVERAGE(L114,M114,N114),Table117821341[[#This Row],[Pos.]]="WR3",AVERAGE(L114,M114,N114),Table117821341[[#This Row],[Pos.]]="WR4",AVERAGE(L114,M114,N114),Table117821341[[#This Row],[Pos.]]="TE1",AVERAGE(L114,M114,N114),Table117821341[[#This Row],[Pos.]]="TE2",AVERAGE(L114,M114,N114),Table117821341[[#This Row],[Pos.]]="D/ST",AVERAGE(Table117821341[[#This Row],[*TD*]]))</f>
        <v>#N/A</v>
      </c>
      <c r="X114" s="94" t="e">
        <f t="shared" si="1"/>
        <v>#N/A</v>
      </c>
    </row>
    <row r="115" spans="2:24" hidden="1" x14ac:dyDescent="0.35">
      <c r="B115" s="6" t="s">
        <v>475</v>
      </c>
      <c r="C115" s="97" t="s">
        <v>31</v>
      </c>
      <c r="D115" s="97" t="s">
        <v>430</v>
      </c>
      <c r="E115" s="23" t="str" cm="1">
        <f t="array" ref="E115">_xlfn.XLOOKUP(Table117821341[[#This Row],[Team]],Table4334[Team],'2425'!$C$3:$C$34)</f>
        <v>n/a</v>
      </c>
      <c r="F115" s="97" t="str">
        <f>_xlfn.XLOOKUP(Table117821341[[#This Row],[Team]],Table4334[Team],Table4334[OPP])</f>
        <v>n/a</v>
      </c>
      <c r="G115" s="148" t="str" cm="1">
        <f t="array" ref="G115">IF(Table117821341[[#This Row],[Pos.]]="QB1",_xlfn.XLOOKUP(Table117821341[[#This Row],[Opp]],Table123[DEF],'2425'!$G$3:$G$34),"#N/A")</f>
        <v>#N/A</v>
      </c>
      <c r="H115" s="148" t="str" cm="1">
        <f t="array" ref="H115">IF(Table117821341[[#This Row],[Pos.]]="QB1",_xlfn.XLOOKUP(Table117821341[[#This Row],[Opp]],Table123[DEF],'2425'!$J$3:$J$34),"#N/A")</f>
        <v>#N/A</v>
      </c>
      <c r="I115" s="148" t="str" cm="1">
        <f t="array" ref="I115">IF(Table117821341[[#This Row],[Pos.]]="QB1",_xlfn.XLOOKUP(Table117821341[[#This Row],[Opp]],Table123[DEF],'2425'!$K$3:$K$34),"#N/A")</f>
        <v>#N/A</v>
      </c>
      <c r="J115" s="148" t="e" cm="1">
        <f t="array" ref="J11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5" s="148" t="e" cm="1">
        <f t="array" ref="K11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5" s="148" t="e" cm="1">
        <f t="array" ref="L11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5" s="148" t="e" cm="1">
        <f t="array" ref="M11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5" s="148" t="e" cm="1">
        <f t="array" ref="N11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5" s="149" t="str">
        <f>IF(Table117821341[[#This Row],[Pos.]]="QB1",_xlfn.XLOOKUP(Table117821341[[#This Row],[Opp]],Table123[DEF],Table123[P]),"#N/A")</f>
        <v>#N/A</v>
      </c>
      <c r="P115" s="149" t="str">
        <f>IF(Table117821341[[#This Row],[Pos.]]="QB1",_xlfn.XLOOKUP(Table117821341[[#This Row],[Opp]],Table123[DEF],Table123[P+R]),"#N/A")</f>
        <v>#N/A</v>
      </c>
      <c r="Q115" s="150" t="str">
        <f>IF(Table117821341[[#This Row],[Pos.]]="QB1",_xlfn.XLOOKUP(Table117821341[[#This Row],[Opp]],Table123[DEF],Table123[P TD]),"#N/A")</f>
        <v>#N/A</v>
      </c>
      <c r="R115" s="149" t="e" cm="1">
        <f t="array" ref="R11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5" s="150" t="e" cm="1">
        <f t="array" ref="S11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5" s="150" t="e" cm="1">
        <f t="array" ref="T11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5" s="150" t="e" cm="1">
        <f t="array" ref="U11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5" s="150" t="e" cm="1">
        <f t="array" ref="V11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5" s="148" t="e" cm="1">
        <f t="array" ref="W115">_xlfn.IFS(Table117821341[[#This Row],[Pos.]]="QB1",AVERAGE(G115,H115,I115,J115,N115),Table117821341[[#This Row],[Pos.]]="RB1",AVERAGE(J115,K115,N115),Table117821341[[#This Row],[Pos.]]="RB2",AVERAGE(J115,K115,N115),Table117821341[[#This Row],[Pos.]]="WR1",AVERAGE(L115,M115,N115),Table117821341[[#This Row],[Pos.]]="WR2",AVERAGE(L115,M115,N115),Table117821341[[#This Row],[Pos.]]="WR3",AVERAGE(L115,M115,N115),Table117821341[[#This Row],[Pos.]]="WR4",AVERAGE(L115,M115,N115),Table117821341[[#This Row],[Pos.]]="TE1",AVERAGE(L115,M115,N115),Table117821341[[#This Row],[Pos.]]="TE2",AVERAGE(L115,M115,N115),Table117821341[[#This Row],[Pos.]]="D/ST",AVERAGE(Table117821341[[#This Row],[*TD*]]))</f>
        <v>#N/A</v>
      </c>
      <c r="X115" s="94" t="e">
        <f t="shared" si="1"/>
        <v>#N/A</v>
      </c>
    </row>
    <row r="116" spans="2:24" hidden="1" x14ac:dyDescent="0.35">
      <c r="B116" s="6" t="s">
        <v>476</v>
      </c>
      <c r="C116" s="97" t="s">
        <v>31</v>
      </c>
      <c r="D116" s="97" t="s">
        <v>435</v>
      </c>
      <c r="E116" s="23" t="str" cm="1">
        <f t="array" ref="E116">_xlfn.XLOOKUP(Table117821341[[#This Row],[Team]],Table4334[Team],'2425'!$C$3:$C$34)</f>
        <v>n/a</v>
      </c>
      <c r="F116" s="97" t="str">
        <f>_xlfn.XLOOKUP(Table117821341[[#This Row],[Team]],Table4334[Team],Table4334[OPP])</f>
        <v>n/a</v>
      </c>
      <c r="G116" s="148" t="str" cm="1">
        <f t="array" ref="G116">IF(Table117821341[[#This Row],[Pos.]]="QB1",_xlfn.XLOOKUP(Table117821341[[#This Row],[Opp]],Table123[DEF],'2425'!$G$3:$G$34),"#N/A")</f>
        <v>#N/A</v>
      </c>
      <c r="H116" s="148" t="str" cm="1">
        <f t="array" ref="H116">IF(Table117821341[[#This Row],[Pos.]]="QB1",_xlfn.XLOOKUP(Table117821341[[#This Row],[Opp]],Table123[DEF],'2425'!$J$3:$J$34),"#N/A")</f>
        <v>#N/A</v>
      </c>
      <c r="I116" s="148" t="str" cm="1">
        <f t="array" ref="I116">IF(Table117821341[[#This Row],[Pos.]]="QB1",_xlfn.XLOOKUP(Table117821341[[#This Row],[Opp]],Table123[DEF],'2425'!$K$3:$K$34),"#N/A")</f>
        <v>#N/A</v>
      </c>
      <c r="J116" s="148" t="e" cm="1">
        <f t="array" ref="J11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6" s="148" t="e" cm="1">
        <f t="array" ref="K11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6" s="148" t="e" cm="1">
        <f t="array" ref="L11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6" s="148" t="e" cm="1">
        <f t="array" ref="M11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6" s="148" t="e" cm="1">
        <f t="array" ref="N11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6" s="149" t="str">
        <f>IF(Table117821341[[#This Row],[Pos.]]="QB1",_xlfn.XLOOKUP(Table117821341[[#This Row],[Opp]],Table123[DEF],Table123[P]),"#N/A")</f>
        <v>#N/A</v>
      </c>
      <c r="P116" s="149" t="str">
        <f>IF(Table117821341[[#This Row],[Pos.]]="QB1",_xlfn.XLOOKUP(Table117821341[[#This Row],[Opp]],Table123[DEF],Table123[P+R]),"#N/A")</f>
        <v>#N/A</v>
      </c>
      <c r="Q116" s="150" t="str">
        <f>IF(Table117821341[[#This Row],[Pos.]]="QB1",_xlfn.XLOOKUP(Table117821341[[#This Row],[Opp]],Table123[DEF],Table123[P TD]),"#N/A")</f>
        <v>#N/A</v>
      </c>
      <c r="R116" s="149" t="e" cm="1">
        <f t="array" ref="R11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6" s="150" t="e" cm="1">
        <f t="array" ref="S11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6" s="150" t="e" cm="1">
        <f t="array" ref="T11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6" s="150" t="e" cm="1">
        <f t="array" ref="U11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6" s="150" t="e" cm="1">
        <f t="array" ref="V11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6" s="148" t="e" cm="1">
        <f t="array" ref="W116">_xlfn.IFS(Table117821341[[#This Row],[Pos.]]="QB1",AVERAGE(G116,H116,I116,J116,N116),Table117821341[[#This Row],[Pos.]]="RB1",AVERAGE(J116,K116,N116),Table117821341[[#This Row],[Pos.]]="RB2",AVERAGE(J116,K116,N116),Table117821341[[#This Row],[Pos.]]="WR1",AVERAGE(L116,M116,N116),Table117821341[[#This Row],[Pos.]]="WR2",AVERAGE(L116,M116,N116),Table117821341[[#This Row],[Pos.]]="WR3",AVERAGE(L116,M116,N116),Table117821341[[#This Row],[Pos.]]="WR4",AVERAGE(L116,M116,N116),Table117821341[[#This Row],[Pos.]]="TE1",AVERAGE(L116,M116,N116),Table117821341[[#This Row],[Pos.]]="TE2",AVERAGE(L116,M116,N116),Table117821341[[#This Row],[Pos.]]="D/ST",AVERAGE(Table117821341[[#This Row],[*TD*]]))</f>
        <v>#N/A</v>
      </c>
      <c r="X116" s="94" t="e">
        <f t="shared" si="1"/>
        <v>#N/A</v>
      </c>
    </row>
    <row r="117" spans="2:24" hidden="1" x14ac:dyDescent="0.35">
      <c r="B117" s="6" t="s">
        <v>196</v>
      </c>
      <c r="C117" s="97" t="s">
        <v>34</v>
      </c>
      <c r="D117" s="97" t="s">
        <v>66</v>
      </c>
      <c r="E117" s="23" t="str" cm="1">
        <f t="array" ref="E117">_xlfn.XLOOKUP(Table117821341[[#This Row],[Team]],Table4334[Team],'2425'!$C$3:$C$34)</f>
        <v>n/a</v>
      </c>
      <c r="F117" s="97" t="str">
        <f>_xlfn.XLOOKUP(Table117821341[[#This Row],[Team]],Table4334[Team],Table4334[OPP])</f>
        <v>n/a</v>
      </c>
      <c r="G117" s="148" t="str" cm="1">
        <f t="array" ref="G117">IF(Table117821341[[#This Row],[Pos.]]="QB1",_xlfn.XLOOKUP(Table117821341[[#This Row],[Opp]],Table123[DEF],'2425'!$G$3:$G$34),"#N/A")</f>
        <v>#N/A</v>
      </c>
      <c r="H117" s="148" t="str" cm="1">
        <f t="array" ref="H117">IF(Table117821341[[#This Row],[Pos.]]="QB1",_xlfn.XLOOKUP(Table117821341[[#This Row],[Opp]],Table123[DEF],'2425'!$J$3:$J$34),"#N/A")</f>
        <v>#N/A</v>
      </c>
      <c r="I117" s="148" t="str" cm="1">
        <f t="array" ref="I117">IF(Table117821341[[#This Row],[Pos.]]="QB1",_xlfn.XLOOKUP(Table117821341[[#This Row],[Opp]],Table123[DEF],'2425'!$K$3:$K$34),"#N/A")</f>
        <v>#N/A</v>
      </c>
      <c r="J117" s="148" t="e" cm="1">
        <f t="array" ref="J11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7" s="148" t="e" cm="1">
        <f t="array" ref="K11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7" s="148" t="e" cm="1">
        <f t="array" ref="L11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7" s="148" t="e" cm="1">
        <f t="array" ref="M11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7" s="148" t="e" cm="1">
        <f t="array" ref="N11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7" s="149" t="str">
        <f>IF(Table117821341[[#This Row],[Pos.]]="QB1",_xlfn.XLOOKUP(Table117821341[[#This Row],[Opp]],Table123[DEF],Table123[P]),"#N/A")</f>
        <v>#N/A</v>
      </c>
      <c r="P117" s="149" t="str">
        <f>IF(Table117821341[[#This Row],[Pos.]]="QB1",_xlfn.XLOOKUP(Table117821341[[#This Row],[Opp]],Table123[DEF],Table123[P+R]),"#N/A")</f>
        <v>#N/A</v>
      </c>
      <c r="Q117" s="150" t="str">
        <f>IF(Table117821341[[#This Row],[Pos.]]="QB1",_xlfn.XLOOKUP(Table117821341[[#This Row],[Opp]],Table123[DEF],Table123[P TD]),"#N/A")</f>
        <v>#N/A</v>
      </c>
      <c r="R117" s="149" t="e" cm="1">
        <f t="array" ref="R11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7" s="150" t="e" cm="1">
        <f t="array" ref="S11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7" s="150" t="e" cm="1">
        <f t="array" ref="T11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7" s="150" t="e" cm="1">
        <f t="array" ref="U11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7" s="162" t="e" cm="1">
        <f t="array" ref="V11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7" s="148" t="e" cm="1">
        <f t="array" ref="W117">_xlfn.IFS(Table117821341[[#This Row],[Pos.]]="QB1",AVERAGE(G117,H117,I117,J117,N117),Table117821341[[#This Row],[Pos.]]="RB1",AVERAGE(J117,K117,N117),Table117821341[[#This Row],[Pos.]]="RB2",AVERAGE(J117,K117,N117),Table117821341[[#This Row],[Pos.]]="WR1",AVERAGE(L117,M117,N117),Table117821341[[#This Row],[Pos.]]="WR2",AVERAGE(L117,M117,N117),Table117821341[[#This Row],[Pos.]]="WR3",AVERAGE(L117,M117,N117),Table117821341[[#This Row],[Pos.]]="WR4",AVERAGE(L117,M117,N117),Table117821341[[#This Row],[Pos.]]="TE1",AVERAGE(L117,M117,N117),Table117821341[[#This Row],[Pos.]]="TE2",AVERAGE(L117,M117,N117),Table117821341[[#This Row],[Pos.]]="D/ST",AVERAGE(Table117821341[[#This Row],[*TD*]]))</f>
        <v>#N/A</v>
      </c>
      <c r="X117" s="94" t="e">
        <f t="shared" si="1"/>
        <v>#N/A</v>
      </c>
    </row>
    <row r="118" spans="2:24" hidden="1" x14ac:dyDescent="0.35">
      <c r="B118" s="6" t="s">
        <v>202</v>
      </c>
      <c r="C118" s="97" t="s">
        <v>35</v>
      </c>
      <c r="D118" s="97" t="s">
        <v>397</v>
      </c>
      <c r="E118" s="23" t="str" cm="1">
        <f t="array" ref="E118">_xlfn.XLOOKUP(Table117821341[[#This Row],[Team]],Table4334[Team],'2425'!$C$3:$C$34)</f>
        <v>n/a</v>
      </c>
      <c r="F118" s="97" t="str">
        <f>_xlfn.XLOOKUP(Table117821341[[#This Row],[Team]],Table4334[Team],Table4334[OPP])</f>
        <v>n/a</v>
      </c>
      <c r="G118" s="148" t="str" cm="1">
        <f t="array" ref="G118">IF(Table117821341[[#This Row],[Pos.]]="QB1",_xlfn.XLOOKUP(Table117821341[[#This Row],[Opp]],Table123[DEF],'2425'!$G$3:$G$34),"#N/A")</f>
        <v>#N/A</v>
      </c>
      <c r="H118" s="148" t="str" cm="1">
        <f t="array" ref="H118">IF(Table117821341[[#This Row],[Pos.]]="QB1",_xlfn.XLOOKUP(Table117821341[[#This Row],[Opp]],Table123[DEF],'2425'!$J$3:$J$34),"#N/A")</f>
        <v>#N/A</v>
      </c>
      <c r="I118" s="148" t="str" cm="1">
        <f t="array" ref="I118">IF(Table117821341[[#This Row],[Pos.]]="QB1",_xlfn.XLOOKUP(Table117821341[[#This Row],[Opp]],Table123[DEF],'2425'!$K$3:$K$34),"#N/A")</f>
        <v>#N/A</v>
      </c>
      <c r="J118" s="148" t="e" cm="1">
        <f t="array" ref="J11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8" s="148" t="e" cm="1">
        <f t="array" ref="K11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8" s="148" t="e" cm="1">
        <f t="array" ref="L11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8" s="148" t="e" cm="1">
        <f t="array" ref="M11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8" s="148" t="e" cm="1">
        <f t="array" ref="N11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8" s="149" t="str">
        <f>IF(Table117821341[[#This Row],[Pos.]]="QB1",_xlfn.XLOOKUP(Table117821341[[#This Row],[Opp]],Table123[DEF],Table123[P]),"#N/A")</f>
        <v>#N/A</v>
      </c>
      <c r="P118" s="149" t="str">
        <f>IF(Table117821341[[#This Row],[Pos.]]="QB1",_xlfn.XLOOKUP(Table117821341[[#This Row],[Opp]],Table123[DEF],Table123[P+R]),"#N/A")</f>
        <v>#N/A</v>
      </c>
      <c r="Q118" s="150" t="str">
        <f>IF(Table117821341[[#This Row],[Pos.]]="QB1",_xlfn.XLOOKUP(Table117821341[[#This Row],[Opp]],Table123[DEF],Table123[P TD]),"#N/A")</f>
        <v>#N/A</v>
      </c>
      <c r="R118" s="149" t="e" cm="1">
        <f t="array" ref="R11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8" s="150" t="e" cm="1">
        <f t="array" ref="S11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8" s="150" t="e" cm="1">
        <f t="array" ref="T11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8" s="150" t="e" cm="1">
        <f t="array" ref="U11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8" s="162" t="e" cm="1">
        <f t="array" ref="V11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8" s="148" t="e" cm="1">
        <f t="array" ref="W118">_xlfn.IFS(Table117821341[[#This Row],[Pos.]]="QB1",AVERAGE(G118,H118,I118,J118,N118),Table117821341[[#This Row],[Pos.]]="RB1",AVERAGE(J118,K118,N118),Table117821341[[#This Row],[Pos.]]="RB2",AVERAGE(J118,K118,N118),Table117821341[[#This Row],[Pos.]]="WR1",AVERAGE(L118,M118,N118),Table117821341[[#This Row],[Pos.]]="WR2",AVERAGE(L118,M118,N118),Table117821341[[#This Row],[Pos.]]="WR3",AVERAGE(L118,M118,N118),Table117821341[[#This Row],[Pos.]]="WR4",AVERAGE(L118,M118,N118),Table117821341[[#This Row],[Pos.]]="TE1",AVERAGE(L118,M118,N118),Table117821341[[#This Row],[Pos.]]="TE2",AVERAGE(L118,M118,N118),Table117821341[[#This Row],[Pos.]]="D/ST",AVERAGE(Table117821341[[#This Row],[*TD*]]))</f>
        <v>#N/A</v>
      </c>
      <c r="X118" s="94" t="e">
        <f t="shared" si="1"/>
        <v>#N/A</v>
      </c>
    </row>
    <row r="119" spans="2:24" hidden="1" x14ac:dyDescent="0.35">
      <c r="B119" s="6" t="s">
        <v>289</v>
      </c>
      <c r="C119" s="97" t="s">
        <v>44</v>
      </c>
      <c r="D119" s="97" t="s">
        <v>397</v>
      </c>
      <c r="E119" s="23" t="str" cm="1">
        <f t="array" ref="E119">_xlfn.XLOOKUP(Table117821341[[#This Row],[Team]],Table4334[Team],'2425'!$C$3:$C$34)</f>
        <v>n/a</v>
      </c>
      <c r="F119" s="97" t="str">
        <f>_xlfn.XLOOKUP(Table117821341[[#This Row],[Team]],Table4334[Team],Table4334[OPP])</f>
        <v>n/a</v>
      </c>
      <c r="G119" s="148" t="str" cm="1">
        <f t="array" ref="G119">IF(Table117821341[[#This Row],[Pos.]]="QB1",_xlfn.XLOOKUP(Table117821341[[#This Row],[Opp]],Table123[DEF],'2425'!$G$3:$G$34),"#N/A")</f>
        <v>#N/A</v>
      </c>
      <c r="H119" s="148" t="str" cm="1">
        <f t="array" ref="H119">IF(Table117821341[[#This Row],[Pos.]]="QB1",_xlfn.XLOOKUP(Table117821341[[#This Row],[Opp]],Table123[DEF],'2425'!$J$3:$J$34),"#N/A")</f>
        <v>#N/A</v>
      </c>
      <c r="I119" s="148" t="str" cm="1">
        <f t="array" ref="I119">IF(Table117821341[[#This Row],[Pos.]]="QB1",_xlfn.XLOOKUP(Table117821341[[#This Row],[Opp]],Table123[DEF],'2425'!$K$3:$K$34),"#N/A")</f>
        <v>#N/A</v>
      </c>
      <c r="J119" s="148" t="e" cm="1">
        <f t="array" ref="J11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19" s="148" t="e" cm="1">
        <f t="array" ref="K11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19" s="148" t="e" cm="1">
        <f t="array" ref="L11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19" s="148" t="e" cm="1">
        <f t="array" ref="M11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19" s="148" t="e" cm="1">
        <f t="array" ref="N11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19" s="149" t="str">
        <f>IF(Table117821341[[#This Row],[Pos.]]="QB1",_xlfn.XLOOKUP(Table117821341[[#This Row],[Opp]],Table123[DEF],Table123[P]),"#N/A")</f>
        <v>#N/A</v>
      </c>
      <c r="P119" s="149" t="str">
        <f>IF(Table117821341[[#This Row],[Pos.]]="QB1",_xlfn.XLOOKUP(Table117821341[[#This Row],[Opp]],Table123[DEF],Table123[P+R]),"#N/A")</f>
        <v>#N/A</v>
      </c>
      <c r="Q119" s="150" t="str">
        <f>IF(Table117821341[[#This Row],[Pos.]]="QB1",_xlfn.XLOOKUP(Table117821341[[#This Row],[Opp]],Table123[DEF],Table123[P TD]),"#N/A")</f>
        <v>#N/A</v>
      </c>
      <c r="R119" s="149" t="e" cm="1">
        <f t="array" ref="R11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19" s="150" t="e" cm="1">
        <f t="array" ref="S11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19" s="150" t="e" cm="1">
        <f t="array" ref="T11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19" s="150" t="e" cm="1">
        <f t="array" ref="U11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19" s="162" t="e" cm="1">
        <f t="array" ref="V11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19" s="148" t="e" cm="1">
        <f t="array" ref="W119">_xlfn.IFS(Table117821341[[#This Row],[Pos.]]="QB1",AVERAGE(G119,H119,I119,J119,N119),Table117821341[[#This Row],[Pos.]]="RB1",AVERAGE(J119,K119,N119),Table117821341[[#This Row],[Pos.]]="RB2",AVERAGE(J119,K119,N119),Table117821341[[#This Row],[Pos.]]="WR1",AVERAGE(L119,M119,N119),Table117821341[[#This Row],[Pos.]]="WR2",AVERAGE(L119,M119,N119),Table117821341[[#This Row],[Pos.]]="WR3",AVERAGE(L119,M119,N119),Table117821341[[#This Row],[Pos.]]="WR4",AVERAGE(L119,M119,N119),Table117821341[[#This Row],[Pos.]]="TE1",AVERAGE(L119,M119,N119),Table117821341[[#This Row],[Pos.]]="TE2",AVERAGE(L119,M119,N119),Table117821341[[#This Row],[Pos.]]="D/ST",AVERAGE(Table117821341[[#This Row],[*TD*]]))</f>
        <v>#N/A</v>
      </c>
      <c r="X119" s="94" t="e">
        <f t="shared" si="1"/>
        <v>#N/A</v>
      </c>
    </row>
    <row r="120" spans="2:24" hidden="1" x14ac:dyDescent="0.35">
      <c r="B120" s="6" t="s">
        <v>143</v>
      </c>
      <c r="C120" s="97" t="s">
        <v>16</v>
      </c>
      <c r="D120" s="97" t="s">
        <v>66</v>
      </c>
      <c r="E120" s="23" t="str" cm="1">
        <f t="array" ref="E120">_xlfn.XLOOKUP(Table117821341[[#This Row],[Team]],Table4334[Team],'2425'!$C$3:$C$34)</f>
        <v>n/a</v>
      </c>
      <c r="F120" s="97" t="str">
        <f>_xlfn.XLOOKUP(Table117821341[[#This Row],[Team]],Table4334[Team],Table4334[OPP])</f>
        <v>n/a</v>
      </c>
      <c r="G120" s="148" t="str" cm="1">
        <f t="array" ref="G120">IF(Table117821341[[#This Row],[Pos.]]="QB1",_xlfn.XLOOKUP(Table117821341[[#This Row],[Opp]],Table123[DEF],'2425'!$G$3:$G$34),"#N/A")</f>
        <v>#N/A</v>
      </c>
      <c r="H120" s="148" t="str" cm="1">
        <f t="array" ref="H120">IF(Table117821341[[#This Row],[Pos.]]="QB1",_xlfn.XLOOKUP(Table117821341[[#This Row],[Opp]],Table123[DEF],'2425'!$J$3:$J$34),"#N/A")</f>
        <v>#N/A</v>
      </c>
      <c r="I120" s="148" t="str" cm="1">
        <f t="array" ref="I120">IF(Table117821341[[#This Row],[Pos.]]="QB1",_xlfn.XLOOKUP(Table117821341[[#This Row],[Opp]],Table123[DEF],'2425'!$K$3:$K$34),"#N/A")</f>
        <v>#N/A</v>
      </c>
      <c r="J120" s="148" t="e" cm="1">
        <f t="array" ref="J12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0" s="148" t="e" cm="1">
        <f t="array" ref="K12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0" s="148" t="e" cm="1">
        <f t="array" ref="L12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0" s="148" t="e" cm="1">
        <f t="array" ref="M12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0" s="148" t="e" cm="1">
        <f t="array" ref="N12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0" s="149" t="str">
        <f>IF(Table117821341[[#This Row],[Pos.]]="QB1",_xlfn.XLOOKUP(Table117821341[[#This Row],[Opp]],Table123[DEF],Table123[P]),"#N/A")</f>
        <v>#N/A</v>
      </c>
      <c r="P120" s="149" t="str">
        <f>IF(Table117821341[[#This Row],[Pos.]]="QB1",_xlfn.XLOOKUP(Table117821341[[#This Row],[Opp]],Table123[DEF],Table123[P+R]),"#N/A")</f>
        <v>#N/A</v>
      </c>
      <c r="Q120" s="150" t="str">
        <f>IF(Table117821341[[#This Row],[Pos.]]="QB1",_xlfn.XLOOKUP(Table117821341[[#This Row],[Opp]],Table123[DEF],Table123[P TD]),"#N/A")</f>
        <v>#N/A</v>
      </c>
      <c r="R120" s="149" t="e" cm="1">
        <f t="array" ref="R12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0" s="150" t="e" cm="1">
        <f t="array" ref="S12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0" s="150" t="e" cm="1">
        <f t="array" ref="T12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0" s="150" t="e" cm="1">
        <f t="array" ref="U12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0" s="162" t="e" cm="1">
        <f t="array" ref="V12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0" s="148" t="e" cm="1">
        <f t="array" ref="W120">_xlfn.IFS(Table117821341[[#This Row],[Pos.]]="QB1",AVERAGE(G120,H120,I120,J120,N120),Table117821341[[#This Row],[Pos.]]="RB1",AVERAGE(J120,K120,N120),Table117821341[[#This Row],[Pos.]]="RB2",AVERAGE(J120,K120,N120),Table117821341[[#This Row],[Pos.]]="WR1",AVERAGE(L120,M120,N120),Table117821341[[#This Row],[Pos.]]="WR2",AVERAGE(L120,M120,N120),Table117821341[[#This Row],[Pos.]]="WR3",AVERAGE(L120,M120,N120),Table117821341[[#This Row],[Pos.]]="WR4",AVERAGE(L120,M120,N120),Table117821341[[#This Row],[Pos.]]="TE1",AVERAGE(L120,M120,N120),Table117821341[[#This Row],[Pos.]]="TE2",AVERAGE(L120,M120,N120),Table117821341[[#This Row],[Pos.]]="D/ST",AVERAGE(Table117821341[[#This Row],[*TD*]]))</f>
        <v>#N/A</v>
      </c>
      <c r="X120" s="94" t="e">
        <f t="shared" si="1"/>
        <v>#N/A</v>
      </c>
    </row>
    <row r="121" spans="2:24" hidden="1" x14ac:dyDescent="0.35">
      <c r="B121" s="6" t="s">
        <v>478</v>
      </c>
      <c r="C121" s="97" t="s">
        <v>31</v>
      </c>
      <c r="D121" s="97" t="s">
        <v>403</v>
      </c>
      <c r="E121" s="23" t="str" cm="1">
        <f t="array" ref="E121">_xlfn.XLOOKUP(Table117821341[[#This Row],[Team]],Table4334[Team],'2425'!$C$3:$C$34)</f>
        <v>n/a</v>
      </c>
      <c r="F121" s="97" t="str">
        <f>_xlfn.XLOOKUP(Table117821341[[#This Row],[Team]],Table4334[Team],Table4334[OPP])</f>
        <v>n/a</v>
      </c>
      <c r="G121" s="148" t="str" cm="1">
        <f t="array" ref="G121">IF(Table117821341[[#This Row],[Pos.]]="QB1",_xlfn.XLOOKUP(Table117821341[[#This Row],[Opp]],Table123[DEF],'2425'!$G$3:$G$34),"#N/A")</f>
        <v>#N/A</v>
      </c>
      <c r="H121" s="148" t="str" cm="1">
        <f t="array" ref="H121">IF(Table117821341[[#This Row],[Pos.]]="QB1",_xlfn.XLOOKUP(Table117821341[[#This Row],[Opp]],Table123[DEF],'2425'!$J$3:$J$34),"#N/A")</f>
        <v>#N/A</v>
      </c>
      <c r="I121" s="148" t="str" cm="1">
        <f t="array" ref="I121">IF(Table117821341[[#This Row],[Pos.]]="QB1",_xlfn.XLOOKUP(Table117821341[[#This Row],[Opp]],Table123[DEF],'2425'!$K$3:$K$34),"#N/A")</f>
        <v>#N/A</v>
      </c>
      <c r="J121" s="148" t="e" cm="1">
        <f t="array" ref="J12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1" s="148" t="e" cm="1">
        <f t="array" ref="K12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1" s="148" t="e" cm="1">
        <f t="array" ref="L12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1" s="148" t="e" cm="1">
        <f t="array" ref="M12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1" s="148" t="e" cm="1">
        <f t="array" ref="N12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1" s="149" t="str">
        <f>IF(Table117821341[[#This Row],[Pos.]]="QB1",_xlfn.XLOOKUP(Table117821341[[#This Row],[Opp]],Table123[DEF],Table123[P]),"#N/A")</f>
        <v>#N/A</v>
      </c>
      <c r="P121" s="149" t="str">
        <f>IF(Table117821341[[#This Row],[Pos.]]="QB1",_xlfn.XLOOKUP(Table117821341[[#This Row],[Opp]],Table123[DEF],Table123[P+R]),"#N/A")</f>
        <v>#N/A</v>
      </c>
      <c r="Q121" s="150" t="str">
        <f>IF(Table117821341[[#This Row],[Pos.]]="QB1",_xlfn.XLOOKUP(Table117821341[[#This Row],[Opp]],Table123[DEF],Table123[P TD]),"#N/A")</f>
        <v>#N/A</v>
      </c>
      <c r="R121" s="149" t="e" cm="1">
        <f t="array" ref="R12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1" s="150" t="e" cm="1">
        <f t="array" ref="S12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1" s="150" t="e" cm="1">
        <f t="array" ref="T12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1" s="150" t="e" cm="1">
        <f t="array" ref="U12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1" s="150" t="e" cm="1">
        <f t="array" ref="V12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1" s="148" t="e" cm="1">
        <f t="array" ref="W121">_xlfn.IFS(Table117821341[[#This Row],[Pos.]]="QB1",AVERAGE(G121,H121,I121,J121,N121),Table117821341[[#This Row],[Pos.]]="RB1",AVERAGE(J121,K121,N121),Table117821341[[#This Row],[Pos.]]="RB2",AVERAGE(J121,K121,N121),Table117821341[[#This Row],[Pos.]]="WR1",AVERAGE(L121,M121,N121),Table117821341[[#This Row],[Pos.]]="WR2",AVERAGE(L121,M121,N121),Table117821341[[#This Row],[Pos.]]="WR3",AVERAGE(L121,M121,N121),Table117821341[[#This Row],[Pos.]]="WR4",AVERAGE(L121,M121,N121),Table117821341[[#This Row],[Pos.]]="TE1",AVERAGE(L121,M121,N121),Table117821341[[#This Row],[Pos.]]="TE2",AVERAGE(L121,M121,N121),Table117821341[[#This Row],[Pos.]]="D/ST",AVERAGE(Table117821341[[#This Row],[*TD*]]))</f>
        <v>#N/A</v>
      </c>
      <c r="X121" s="94" t="e">
        <f t="shared" si="1"/>
        <v>#N/A</v>
      </c>
    </row>
    <row r="122" spans="2:24" hidden="1" x14ac:dyDescent="0.35">
      <c r="B122" s="6" t="s">
        <v>479</v>
      </c>
      <c r="C122" s="97" t="s">
        <v>31</v>
      </c>
      <c r="D122" s="97" t="s">
        <v>411</v>
      </c>
      <c r="E122" s="23" t="str" cm="1">
        <f t="array" ref="E122">_xlfn.XLOOKUP(Table117821341[[#This Row],[Team]],Table4334[Team],'2425'!$C$3:$C$34)</f>
        <v>n/a</v>
      </c>
      <c r="F122" s="97" t="str">
        <f>_xlfn.XLOOKUP(Table117821341[[#This Row],[Team]],Table4334[Team],Table4334[OPP])</f>
        <v>n/a</v>
      </c>
      <c r="G122" s="148" t="str" cm="1">
        <f t="array" ref="G122">IF(Table117821341[[#This Row],[Pos.]]="QB1",_xlfn.XLOOKUP(Table117821341[[#This Row],[Opp]],Table123[DEF],'2425'!$G$3:$G$34),"#N/A")</f>
        <v>#N/A</v>
      </c>
      <c r="H122" s="148" t="str" cm="1">
        <f t="array" ref="H122">IF(Table117821341[[#This Row],[Pos.]]="QB1",_xlfn.XLOOKUP(Table117821341[[#This Row],[Opp]],Table123[DEF],'2425'!$J$3:$J$34),"#N/A")</f>
        <v>#N/A</v>
      </c>
      <c r="I122" s="148" t="str" cm="1">
        <f t="array" ref="I122">IF(Table117821341[[#This Row],[Pos.]]="QB1",_xlfn.XLOOKUP(Table117821341[[#This Row],[Opp]],Table123[DEF],'2425'!$K$3:$K$34),"#N/A")</f>
        <v>#N/A</v>
      </c>
      <c r="J122" s="148" t="e" cm="1">
        <f t="array" ref="J12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2" s="148" t="e" cm="1">
        <f t="array" ref="K12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2" s="148" t="e" cm="1">
        <f t="array" ref="L12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2" s="148" t="e" cm="1">
        <f t="array" ref="M12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2" s="148" t="e" cm="1">
        <f t="array" ref="N12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2" s="149" t="str">
        <f>IF(Table117821341[[#This Row],[Pos.]]="QB1",_xlfn.XLOOKUP(Table117821341[[#This Row],[Opp]],Table123[DEF],Table123[P]),"#N/A")</f>
        <v>#N/A</v>
      </c>
      <c r="P122" s="149" t="str">
        <f>IF(Table117821341[[#This Row],[Pos.]]="QB1",_xlfn.XLOOKUP(Table117821341[[#This Row],[Opp]],Table123[DEF],Table123[P+R]),"#N/A")</f>
        <v>#N/A</v>
      </c>
      <c r="Q122" s="150" t="str">
        <f>IF(Table117821341[[#This Row],[Pos.]]="QB1",_xlfn.XLOOKUP(Table117821341[[#This Row],[Opp]],Table123[DEF],Table123[P TD]),"#N/A")</f>
        <v>#N/A</v>
      </c>
      <c r="R122" s="149" t="e" cm="1">
        <f t="array" ref="R12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2" s="150" t="e" cm="1">
        <f t="array" ref="S12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2" s="150" t="e" cm="1">
        <f t="array" ref="T12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2" s="150" t="e" cm="1">
        <f t="array" ref="U12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2" s="150" t="e" cm="1">
        <f t="array" ref="V12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2" s="148" t="e" cm="1">
        <f t="array" ref="W122">_xlfn.IFS(Table117821341[[#This Row],[Pos.]]="QB1",AVERAGE(G122,H122,I122,J122,N122),Table117821341[[#This Row],[Pos.]]="RB1",AVERAGE(J122,K122,N122),Table117821341[[#This Row],[Pos.]]="RB2",AVERAGE(J122,K122,N122),Table117821341[[#This Row],[Pos.]]="WR1",AVERAGE(L122,M122,N122),Table117821341[[#This Row],[Pos.]]="WR2",AVERAGE(L122,M122,N122),Table117821341[[#This Row],[Pos.]]="WR3",AVERAGE(L122,M122,N122),Table117821341[[#This Row],[Pos.]]="WR4",AVERAGE(L122,M122,N122),Table117821341[[#This Row],[Pos.]]="TE1",AVERAGE(L122,M122,N122),Table117821341[[#This Row],[Pos.]]="TE2",AVERAGE(L122,M122,N122),Table117821341[[#This Row],[Pos.]]="D/ST",AVERAGE(Table117821341[[#This Row],[*TD*]]))</f>
        <v>#N/A</v>
      </c>
      <c r="X122" s="94" t="e">
        <f t="shared" si="1"/>
        <v>#N/A</v>
      </c>
    </row>
    <row r="123" spans="2:24" hidden="1" x14ac:dyDescent="0.35">
      <c r="B123" s="6" t="s">
        <v>179</v>
      </c>
      <c r="C123" s="97" t="s">
        <v>32</v>
      </c>
      <c r="D123" s="97" t="s">
        <v>66</v>
      </c>
      <c r="E123" s="23" t="str" cm="1">
        <f t="array" ref="E123">_xlfn.XLOOKUP(Table117821341[[#This Row],[Team]],Table4334[Team],'2425'!$C$3:$C$34)</f>
        <v>n/a</v>
      </c>
      <c r="F123" s="97" t="str">
        <f>_xlfn.XLOOKUP(Table117821341[[#This Row],[Team]],Table4334[Team],Table4334[OPP])</f>
        <v>n/a</v>
      </c>
      <c r="G123" s="148" t="str" cm="1">
        <f t="array" ref="G123">IF(Table117821341[[#This Row],[Pos.]]="QB1",_xlfn.XLOOKUP(Table117821341[[#This Row],[Opp]],Table123[DEF],'2425'!$G$3:$G$34),"#N/A")</f>
        <v>#N/A</v>
      </c>
      <c r="H123" s="148" t="str" cm="1">
        <f t="array" ref="H123">IF(Table117821341[[#This Row],[Pos.]]="QB1",_xlfn.XLOOKUP(Table117821341[[#This Row],[Opp]],Table123[DEF],'2425'!$J$3:$J$34),"#N/A")</f>
        <v>#N/A</v>
      </c>
      <c r="I123" s="148" t="str" cm="1">
        <f t="array" ref="I123">IF(Table117821341[[#This Row],[Pos.]]="QB1",_xlfn.XLOOKUP(Table117821341[[#This Row],[Opp]],Table123[DEF],'2425'!$K$3:$K$34),"#N/A")</f>
        <v>#N/A</v>
      </c>
      <c r="J123" s="148" t="e" cm="1">
        <f t="array" ref="J12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3" s="148" t="e" cm="1">
        <f t="array" ref="K12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3" s="148" t="e" cm="1">
        <f t="array" ref="L12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3" s="148" t="e" cm="1">
        <f t="array" ref="M12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3" s="148" t="e" cm="1">
        <f t="array" ref="N12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3" s="149" t="str">
        <f>IF(Table117821341[[#This Row],[Pos.]]="QB1",_xlfn.XLOOKUP(Table117821341[[#This Row],[Opp]],Table123[DEF],Table123[P]),"#N/A")</f>
        <v>#N/A</v>
      </c>
      <c r="P123" s="149" t="str">
        <f>IF(Table117821341[[#This Row],[Pos.]]="QB1",_xlfn.XLOOKUP(Table117821341[[#This Row],[Opp]],Table123[DEF],Table123[P+R]),"#N/A")</f>
        <v>#N/A</v>
      </c>
      <c r="Q123" s="150" t="str">
        <f>IF(Table117821341[[#This Row],[Pos.]]="QB1",_xlfn.XLOOKUP(Table117821341[[#This Row],[Opp]],Table123[DEF],Table123[P TD]),"#N/A")</f>
        <v>#N/A</v>
      </c>
      <c r="R123" s="149" t="e" cm="1">
        <f t="array" ref="R12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3" s="150" t="e" cm="1">
        <f t="array" ref="S12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3" s="150" t="e" cm="1">
        <f t="array" ref="T12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3" s="150" t="e" cm="1">
        <f t="array" ref="U12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3" s="162" t="e" cm="1">
        <f t="array" ref="V12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3" s="148" t="e" cm="1">
        <f t="array" ref="W123">_xlfn.IFS(Table117821341[[#This Row],[Pos.]]="QB1",AVERAGE(G123,H123,I123,J123,N123),Table117821341[[#This Row],[Pos.]]="RB1",AVERAGE(J123,K123,N123),Table117821341[[#This Row],[Pos.]]="RB2",AVERAGE(J123,K123,N123),Table117821341[[#This Row],[Pos.]]="WR1",AVERAGE(L123,M123,N123),Table117821341[[#This Row],[Pos.]]="WR2",AVERAGE(L123,M123,N123),Table117821341[[#This Row],[Pos.]]="WR3",AVERAGE(L123,M123,N123),Table117821341[[#This Row],[Pos.]]="WR4",AVERAGE(L123,M123,N123),Table117821341[[#This Row],[Pos.]]="TE1",AVERAGE(L123,M123,N123),Table117821341[[#This Row],[Pos.]]="TE2",AVERAGE(L123,M123,N123),Table117821341[[#This Row],[Pos.]]="D/ST",AVERAGE(Table117821341[[#This Row],[*TD*]]))</f>
        <v>#N/A</v>
      </c>
      <c r="X123" s="94" t="e">
        <f t="shared" si="1"/>
        <v>#N/A</v>
      </c>
    </row>
    <row r="124" spans="2:24" hidden="1" x14ac:dyDescent="0.35">
      <c r="B124" s="6" t="s">
        <v>334</v>
      </c>
      <c r="C124" s="97" t="s">
        <v>49</v>
      </c>
      <c r="D124" s="97" t="s">
        <v>397</v>
      </c>
      <c r="E124" s="23" t="str" cm="1">
        <f t="array" ref="E124">_xlfn.XLOOKUP(Table117821341[[#This Row],[Team]],Table4334[Team],'2425'!$C$3:$C$34)</f>
        <v>n/a</v>
      </c>
      <c r="F124" s="97" t="str">
        <f>_xlfn.XLOOKUP(Table117821341[[#This Row],[Team]],Table4334[Team],Table4334[OPP])</f>
        <v>n/a</v>
      </c>
      <c r="G124" s="148" t="str" cm="1">
        <f t="array" ref="G124">IF(Table117821341[[#This Row],[Pos.]]="QB1",_xlfn.XLOOKUP(Table117821341[[#This Row],[Opp]],Table123[DEF],'2425'!$G$3:$G$34),"#N/A")</f>
        <v>#N/A</v>
      </c>
      <c r="H124" s="148" t="str" cm="1">
        <f t="array" ref="H124">IF(Table117821341[[#This Row],[Pos.]]="QB1",_xlfn.XLOOKUP(Table117821341[[#This Row],[Opp]],Table123[DEF],'2425'!$J$3:$J$34),"#N/A")</f>
        <v>#N/A</v>
      </c>
      <c r="I124" s="148" t="str" cm="1">
        <f t="array" ref="I124">IF(Table117821341[[#This Row],[Pos.]]="QB1",_xlfn.XLOOKUP(Table117821341[[#This Row],[Opp]],Table123[DEF],'2425'!$K$3:$K$34),"#N/A")</f>
        <v>#N/A</v>
      </c>
      <c r="J124" s="148" t="e" cm="1">
        <f t="array" ref="J12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4" s="148" t="e" cm="1">
        <f t="array" ref="K12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4" s="148" t="e" cm="1">
        <f t="array" ref="L12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4" s="148" t="e" cm="1">
        <f t="array" ref="M12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4" s="148" t="e" cm="1">
        <f t="array" ref="N12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4" s="149" t="str">
        <f>IF(Table117821341[[#This Row],[Pos.]]="QB1",_xlfn.XLOOKUP(Table117821341[[#This Row],[Opp]],Table123[DEF],Table123[P]),"#N/A")</f>
        <v>#N/A</v>
      </c>
      <c r="P124" s="149" t="str">
        <f>IF(Table117821341[[#This Row],[Pos.]]="QB1",_xlfn.XLOOKUP(Table117821341[[#This Row],[Opp]],Table123[DEF],Table123[P+R]),"#N/A")</f>
        <v>#N/A</v>
      </c>
      <c r="Q124" s="150" t="str">
        <f>IF(Table117821341[[#This Row],[Pos.]]="QB1",_xlfn.XLOOKUP(Table117821341[[#This Row],[Opp]],Table123[DEF],Table123[P TD]),"#N/A")</f>
        <v>#N/A</v>
      </c>
      <c r="R124" s="149" t="e" cm="1">
        <f t="array" ref="R12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4" s="150" t="e" cm="1">
        <f t="array" ref="S12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4" s="150" t="e" cm="1">
        <f t="array" ref="T12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4" s="150" t="e" cm="1">
        <f t="array" ref="U12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4" s="162" t="e" cm="1">
        <f t="array" ref="V12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4" s="148" t="e" cm="1">
        <f t="array" ref="W124">_xlfn.IFS(Table117821341[[#This Row],[Pos.]]="QB1",AVERAGE(G124,H124,I124,J124,N124),Table117821341[[#This Row],[Pos.]]="RB1",AVERAGE(J124,K124,N124),Table117821341[[#This Row],[Pos.]]="RB2",AVERAGE(J124,K124,N124),Table117821341[[#This Row],[Pos.]]="WR1",AVERAGE(L124,M124,N124),Table117821341[[#This Row],[Pos.]]="WR2",AVERAGE(L124,M124,N124),Table117821341[[#This Row],[Pos.]]="WR3",AVERAGE(L124,M124,N124),Table117821341[[#This Row],[Pos.]]="WR4",AVERAGE(L124,M124,N124),Table117821341[[#This Row],[Pos.]]="TE1",AVERAGE(L124,M124,N124),Table117821341[[#This Row],[Pos.]]="TE2",AVERAGE(L124,M124,N124),Table117821341[[#This Row],[Pos.]]="D/ST",AVERAGE(Table117821341[[#This Row],[*TD*]]))</f>
        <v>#N/A</v>
      </c>
      <c r="X124" s="94" t="e">
        <f t="shared" si="1"/>
        <v>#N/A</v>
      </c>
    </row>
    <row r="125" spans="2:24" hidden="1" x14ac:dyDescent="0.35">
      <c r="B125" s="6" t="s">
        <v>169</v>
      </c>
      <c r="C125" s="97" t="s">
        <v>32</v>
      </c>
      <c r="D125" s="97" t="s">
        <v>405</v>
      </c>
      <c r="E125" s="23" t="str" cm="1">
        <f t="array" ref="E125">_xlfn.XLOOKUP(Table117821341[[#This Row],[Team]],Table4334[Team],'2425'!$C$3:$C$34)</f>
        <v>n/a</v>
      </c>
      <c r="F125" s="97" t="str">
        <f>_xlfn.XLOOKUP(Table117821341[[#This Row],[Team]],Table4334[Team],Table4334[OPP])</f>
        <v>n/a</v>
      </c>
      <c r="G125" s="148" t="str" cm="1">
        <f t="array" ref="G125">IF(Table117821341[[#This Row],[Pos.]]="QB1",_xlfn.XLOOKUP(Table117821341[[#This Row],[Opp]],Table123[DEF],'2425'!$G$3:$G$34),"#N/A")</f>
        <v>#N/A</v>
      </c>
      <c r="H125" s="148" t="str" cm="1">
        <f t="array" ref="H125">IF(Table117821341[[#This Row],[Pos.]]="QB1",_xlfn.XLOOKUP(Table117821341[[#This Row],[Opp]],Table123[DEF],'2425'!$J$3:$J$34),"#N/A")</f>
        <v>#N/A</v>
      </c>
      <c r="I125" s="148" t="str" cm="1">
        <f t="array" ref="I125">IF(Table117821341[[#This Row],[Pos.]]="QB1",_xlfn.XLOOKUP(Table117821341[[#This Row],[Opp]],Table123[DEF],'2425'!$K$3:$K$34),"#N/A")</f>
        <v>#N/A</v>
      </c>
      <c r="J125" s="148" t="e" cm="1">
        <f t="array" ref="J12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5" s="148" t="e" cm="1">
        <f t="array" ref="K12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5" s="148" t="e" cm="1">
        <f t="array" ref="L12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5" s="148" t="e" cm="1">
        <f t="array" ref="M12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5" s="148" t="e" cm="1">
        <f t="array" ref="N12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5" s="149" t="str">
        <f>IF(Table117821341[[#This Row],[Pos.]]="QB1",_xlfn.XLOOKUP(Table117821341[[#This Row],[Opp]],Table123[DEF],Table123[P]),"#N/A")</f>
        <v>#N/A</v>
      </c>
      <c r="P125" s="149" t="str">
        <f>IF(Table117821341[[#This Row],[Pos.]]="QB1",_xlfn.XLOOKUP(Table117821341[[#This Row],[Opp]],Table123[DEF],Table123[P+R]),"#N/A")</f>
        <v>#N/A</v>
      </c>
      <c r="Q125" s="150" t="str">
        <f>IF(Table117821341[[#This Row],[Pos.]]="QB1",_xlfn.XLOOKUP(Table117821341[[#This Row],[Opp]],Table123[DEF],Table123[P TD]),"#N/A")</f>
        <v>#N/A</v>
      </c>
      <c r="R125" s="149" t="e" cm="1">
        <f t="array" ref="R12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5" s="150" t="e" cm="1">
        <f t="array" ref="S12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5" s="150" t="e" cm="1">
        <f t="array" ref="T12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5" s="150" t="e" cm="1">
        <f t="array" ref="U12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5" s="150" t="e" cm="1">
        <f t="array" ref="V12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5" s="148" t="e" cm="1">
        <f t="array" ref="W125">_xlfn.IFS(Table117821341[[#This Row],[Pos.]]="QB1",AVERAGE(G125,H125,I125,J125,N125),Table117821341[[#This Row],[Pos.]]="RB1",AVERAGE(J125,K125,N125),Table117821341[[#This Row],[Pos.]]="RB2",AVERAGE(J125,K125,N125),Table117821341[[#This Row],[Pos.]]="WR1",AVERAGE(L125,M125,N125),Table117821341[[#This Row],[Pos.]]="WR2",AVERAGE(L125,M125,N125),Table117821341[[#This Row],[Pos.]]="WR3",AVERAGE(L125,M125,N125),Table117821341[[#This Row],[Pos.]]="WR4",AVERAGE(L125,M125,N125),Table117821341[[#This Row],[Pos.]]="TE1",AVERAGE(L125,M125,N125),Table117821341[[#This Row],[Pos.]]="TE2",AVERAGE(L125,M125,N125),Table117821341[[#This Row],[Pos.]]="D/ST",AVERAGE(Table117821341[[#This Row],[*TD*]]))</f>
        <v>#N/A</v>
      </c>
      <c r="X125" s="94" t="e">
        <f t="shared" si="1"/>
        <v>#N/A</v>
      </c>
    </row>
    <row r="126" spans="2:24" hidden="1" x14ac:dyDescent="0.35">
      <c r="B126" s="6" t="s">
        <v>171</v>
      </c>
      <c r="C126" s="97" t="s">
        <v>32</v>
      </c>
      <c r="D126" s="97" t="s">
        <v>425</v>
      </c>
      <c r="E126" s="23" t="str" cm="1">
        <f t="array" ref="E126">_xlfn.XLOOKUP(Table117821341[[#This Row],[Team]],Table4334[Team],'2425'!$C$3:$C$34)</f>
        <v>n/a</v>
      </c>
      <c r="F126" s="97" t="str">
        <f>_xlfn.XLOOKUP(Table117821341[[#This Row],[Team]],Table4334[Team],Table4334[OPP])</f>
        <v>n/a</v>
      </c>
      <c r="G126" s="148" t="str" cm="1">
        <f t="array" ref="G126">IF(Table117821341[[#This Row],[Pos.]]="QB1",_xlfn.XLOOKUP(Table117821341[[#This Row],[Opp]],Table123[DEF],'2425'!$G$3:$G$34),"#N/A")</f>
        <v>#N/A</v>
      </c>
      <c r="H126" s="148" t="str" cm="1">
        <f t="array" ref="H126">IF(Table117821341[[#This Row],[Pos.]]="QB1",_xlfn.XLOOKUP(Table117821341[[#This Row],[Opp]],Table123[DEF],'2425'!$J$3:$J$34),"#N/A")</f>
        <v>#N/A</v>
      </c>
      <c r="I126" s="148" t="str" cm="1">
        <f t="array" ref="I126">IF(Table117821341[[#This Row],[Pos.]]="QB1",_xlfn.XLOOKUP(Table117821341[[#This Row],[Opp]],Table123[DEF],'2425'!$K$3:$K$34),"#N/A")</f>
        <v>#N/A</v>
      </c>
      <c r="J126" s="148" t="e" cm="1">
        <f t="array" ref="J12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6" s="148" t="e" cm="1">
        <f t="array" ref="K12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6" s="148" t="e" cm="1">
        <f t="array" ref="L12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6" s="148" t="e" cm="1">
        <f t="array" ref="M12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6" s="148" t="e" cm="1">
        <f t="array" ref="N12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6" s="149" t="str">
        <f>IF(Table117821341[[#This Row],[Pos.]]="QB1",_xlfn.XLOOKUP(Table117821341[[#This Row],[Opp]],Table123[DEF],Table123[P]),"#N/A")</f>
        <v>#N/A</v>
      </c>
      <c r="P126" s="149" t="str">
        <f>IF(Table117821341[[#This Row],[Pos.]]="QB1",_xlfn.XLOOKUP(Table117821341[[#This Row],[Opp]],Table123[DEF],Table123[P+R]),"#N/A")</f>
        <v>#N/A</v>
      </c>
      <c r="Q126" s="150" t="str">
        <f>IF(Table117821341[[#This Row],[Pos.]]="QB1",_xlfn.XLOOKUP(Table117821341[[#This Row],[Opp]],Table123[DEF],Table123[P TD]),"#N/A")</f>
        <v>#N/A</v>
      </c>
      <c r="R126" s="149" t="e" cm="1">
        <f t="array" ref="R12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6" s="150" t="e" cm="1">
        <f t="array" ref="S12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6" s="150" t="e" cm="1">
        <f t="array" ref="T12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6" s="150" t="e" cm="1">
        <f t="array" ref="U12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6" s="150" t="e" cm="1">
        <f t="array" ref="V12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6" s="148" t="e" cm="1">
        <f t="array" ref="W126">_xlfn.IFS(Table117821341[[#This Row],[Pos.]]="QB1",AVERAGE(G126,H126,I126,J126,N126),Table117821341[[#This Row],[Pos.]]="RB1",AVERAGE(J126,K126,N126),Table117821341[[#This Row],[Pos.]]="RB2",AVERAGE(J126,K126,N126),Table117821341[[#This Row],[Pos.]]="WR1",AVERAGE(L126,M126,N126),Table117821341[[#This Row],[Pos.]]="WR2",AVERAGE(L126,M126,N126),Table117821341[[#This Row],[Pos.]]="WR3",AVERAGE(L126,M126,N126),Table117821341[[#This Row],[Pos.]]="WR4",AVERAGE(L126,M126,N126),Table117821341[[#This Row],[Pos.]]="TE1",AVERAGE(L126,M126,N126),Table117821341[[#This Row],[Pos.]]="TE2",AVERAGE(L126,M126,N126),Table117821341[[#This Row],[Pos.]]="D/ST",AVERAGE(Table117821341[[#This Row],[*TD*]]))</f>
        <v>#N/A</v>
      </c>
      <c r="X126" s="94" t="e">
        <f t="shared" si="1"/>
        <v>#N/A</v>
      </c>
    </row>
    <row r="127" spans="2:24" hidden="1" x14ac:dyDescent="0.35">
      <c r="B127" s="6" t="s">
        <v>126</v>
      </c>
      <c r="C127" s="97" t="s">
        <v>48</v>
      </c>
      <c r="D127" s="97" t="s">
        <v>397</v>
      </c>
      <c r="E127" s="23" t="str" cm="1">
        <f t="array" ref="E127">_xlfn.XLOOKUP(Table117821341[[#This Row],[Team]],Table4334[Team],'2425'!$C$3:$C$34)</f>
        <v>n/a</v>
      </c>
      <c r="F127" s="97" t="str">
        <f>_xlfn.XLOOKUP(Table117821341[[#This Row],[Team]],Table4334[Team],Table4334[OPP])</f>
        <v>n/a</v>
      </c>
      <c r="G127" s="148" t="str" cm="1">
        <f t="array" ref="G127">IF(Table117821341[[#This Row],[Pos.]]="QB1",_xlfn.XLOOKUP(Table117821341[[#This Row],[Opp]],Table123[DEF],'2425'!$G$3:$G$34),"#N/A")</f>
        <v>#N/A</v>
      </c>
      <c r="H127" s="148" t="str" cm="1">
        <f t="array" ref="H127">IF(Table117821341[[#This Row],[Pos.]]="QB1",_xlfn.XLOOKUP(Table117821341[[#This Row],[Opp]],Table123[DEF],'2425'!$J$3:$J$34),"#N/A")</f>
        <v>#N/A</v>
      </c>
      <c r="I127" s="148" t="str" cm="1">
        <f t="array" ref="I127">IF(Table117821341[[#This Row],[Pos.]]="QB1",_xlfn.XLOOKUP(Table117821341[[#This Row],[Opp]],Table123[DEF],'2425'!$K$3:$K$34),"#N/A")</f>
        <v>#N/A</v>
      </c>
      <c r="J127" s="148" t="e" cm="1">
        <f t="array" ref="J12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7" s="148" t="e" cm="1">
        <f t="array" ref="K12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7" s="148" t="e" cm="1">
        <f t="array" ref="L12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7" s="148" t="e" cm="1">
        <f t="array" ref="M12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7" s="148" t="e" cm="1">
        <f t="array" ref="N12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7" s="149" t="str">
        <f>IF(Table117821341[[#This Row],[Pos.]]="QB1",_xlfn.XLOOKUP(Table117821341[[#This Row],[Opp]],Table123[DEF],Table123[P]),"#N/A")</f>
        <v>#N/A</v>
      </c>
      <c r="P127" s="149" t="str">
        <f>IF(Table117821341[[#This Row],[Pos.]]="QB1",_xlfn.XLOOKUP(Table117821341[[#This Row],[Opp]],Table123[DEF],Table123[P+R]),"#N/A")</f>
        <v>#N/A</v>
      </c>
      <c r="Q127" s="150" t="str">
        <f>IF(Table117821341[[#This Row],[Pos.]]="QB1",_xlfn.XLOOKUP(Table117821341[[#This Row],[Opp]],Table123[DEF],Table123[P TD]),"#N/A")</f>
        <v>#N/A</v>
      </c>
      <c r="R127" s="149" t="e" cm="1">
        <f t="array" ref="R12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7" s="150" t="e" cm="1">
        <f t="array" ref="S12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7" s="150" t="e" cm="1">
        <f t="array" ref="T12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7" s="150" t="e" cm="1">
        <f t="array" ref="U12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7" s="162" t="e" cm="1">
        <f t="array" ref="V12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7" s="148" t="e" cm="1">
        <f t="array" ref="W127">_xlfn.IFS(Table117821341[[#This Row],[Pos.]]="QB1",AVERAGE(G127,H127,I127,J127,N127),Table117821341[[#This Row],[Pos.]]="RB1",AVERAGE(J127,K127,N127),Table117821341[[#This Row],[Pos.]]="RB2",AVERAGE(J127,K127,N127),Table117821341[[#This Row],[Pos.]]="WR1",AVERAGE(L127,M127,N127),Table117821341[[#This Row],[Pos.]]="WR2",AVERAGE(L127,M127,N127),Table117821341[[#This Row],[Pos.]]="WR3",AVERAGE(L127,M127,N127),Table117821341[[#This Row],[Pos.]]="WR4",AVERAGE(L127,M127,N127),Table117821341[[#This Row],[Pos.]]="TE1",AVERAGE(L127,M127,N127),Table117821341[[#This Row],[Pos.]]="TE2",AVERAGE(L127,M127,N127),Table117821341[[#This Row],[Pos.]]="D/ST",AVERAGE(Table117821341[[#This Row],[*TD*]]))</f>
        <v>#N/A</v>
      </c>
      <c r="X127" s="94" t="e">
        <f t="shared" si="1"/>
        <v>#N/A</v>
      </c>
    </row>
    <row r="128" spans="2:24" hidden="1" x14ac:dyDescent="0.35">
      <c r="B128" s="6" t="s">
        <v>176</v>
      </c>
      <c r="C128" s="97" t="s">
        <v>32</v>
      </c>
      <c r="D128" s="97" t="s">
        <v>394</v>
      </c>
      <c r="E128" s="23" t="str" cm="1">
        <f t="array" ref="E128">_xlfn.XLOOKUP(Table117821341[[#This Row],[Team]],Table4334[Team],'2425'!$C$3:$C$34)</f>
        <v>n/a</v>
      </c>
      <c r="F128" s="97" t="str">
        <f>_xlfn.XLOOKUP(Table117821341[[#This Row],[Team]],Table4334[Team],Table4334[OPP])</f>
        <v>n/a</v>
      </c>
      <c r="G128" s="148" t="str" cm="1">
        <f t="array" ref="G128">IF(Table117821341[[#This Row],[Pos.]]="QB1",_xlfn.XLOOKUP(Table117821341[[#This Row],[Opp]],Table123[DEF],'2425'!$G$3:$G$34),"#N/A")</f>
        <v>#N/A</v>
      </c>
      <c r="H128" s="148" t="str" cm="1">
        <f t="array" ref="H128">IF(Table117821341[[#This Row],[Pos.]]="QB1",_xlfn.XLOOKUP(Table117821341[[#This Row],[Opp]],Table123[DEF],'2425'!$J$3:$J$34),"#N/A")</f>
        <v>#N/A</v>
      </c>
      <c r="I128" s="148" t="str" cm="1">
        <f t="array" ref="I128">IF(Table117821341[[#This Row],[Pos.]]="QB1",_xlfn.XLOOKUP(Table117821341[[#This Row],[Opp]],Table123[DEF],'2425'!$K$3:$K$34),"#N/A")</f>
        <v>#N/A</v>
      </c>
      <c r="J128" s="148" t="e" cm="1">
        <f t="array" ref="J12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8" s="148" t="e" cm="1">
        <f t="array" ref="K12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8" s="148" t="e" cm="1">
        <f t="array" ref="L12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8" s="148" t="e" cm="1">
        <f t="array" ref="M12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8" s="148" t="e" cm="1">
        <f t="array" ref="N12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8" s="149" t="str">
        <f>IF(Table117821341[[#This Row],[Pos.]]="QB1",_xlfn.XLOOKUP(Table117821341[[#This Row],[Opp]],Table123[DEF],Table123[P]),"#N/A")</f>
        <v>#N/A</v>
      </c>
      <c r="P128" s="149" t="str">
        <f>IF(Table117821341[[#This Row],[Pos.]]="QB1",_xlfn.XLOOKUP(Table117821341[[#This Row],[Opp]],Table123[DEF],Table123[P+R]),"#N/A")</f>
        <v>#N/A</v>
      </c>
      <c r="Q128" s="150" t="str">
        <f>IF(Table117821341[[#This Row],[Pos.]]="QB1",_xlfn.XLOOKUP(Table117821341[[#This Row],[Opp]],Table123[DEF],Table123[P TD]),"#N/A")</f>
        <v>#N/A</v>
      </c>
      <c r="R128" s="149" t="e" cm="1">
        <f t="array" ref="R12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8" s="150" t="e" cm="1">
        <f t="array" ref="S12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8" s="150" t="e" cm="1">
        <f t="array" ref="T12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8" s="150" t="e" cm="1">
        <f t="array" ref="U12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8" s="150" t="e" cm="1">
        <f t="array" ref="V12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8" s="148" t="e" cm="1">
        <f t="array" ref="W128">_xlfn.IFS(Table117821341[[#This Row],[Pos.]]="QB1",AVERAGE(G128,H128,I128,J128,N128),Table117821341[[#This Row],[Pos.]]="RB1",AVERAGE(J128,K128,N128),Table117821341[[#This Row],[Pos.]]="RB2",AVERAGE(J128,K128,N128),Table117821341[[#This Row],[Pos.]]="WR1",AVERAGE(L128,M128,N128),Table117821341[[#This Row],[Pos.]]="WR2",AVERAGE(L128,M128,N128),Table117821341[[#This Row],[Pos.]]="WR3",AVERAGE(L128,M128,N128),Table117821341[[#This Row],[Pos.]]="WR4",AVERAGE(L128,M128,N128),Table117821341[[#This Row],[Pos.]]="TE1",AVERAGE(L128,M128,N128),Table117821341[[#This Row],[Pos.]]="TE2",AVERAGE(L128,M128,N128),Table117821341[[#This Row],[Pos.]]="D/ST",AVERAGE(Table117821341[[#This Row],[*TD*]]))</f>
        <v>#N/A</v>
      </c>
      <c r="X128" s="94" t="e">
        <f t="shared" si="1"/>
        <v>#N/A</v>
      </c>
    </row>
    <row r="129" spans="2:24" hidden="1" x14ac:dyDescent="0.35">
      <c r="B129" s="6" t="s">
        <v>175</v>
      </c>
      <c r="C129" s="97" t="s">
        <v>32</v>
      </c>
      <c r="D129" s="97" t="s">
        <v>396</v>
      </c>
      <c r="E129" s="23" t="str" cm="1">
        <f t="array" ref="E129">_xlfn.XLOOKUP(Table117821341[[#This Row],[Team]],Table4334[Team],'2425'!$C$3:$C$34)</f>
        <v>n/a</v>
      </c>
      <c r="F129" s="97" t="str">
        <f>_xlfn.XLOOKUP(Table117821341[[#This Row],[Team]],Table4334[Team],Table4334[OPP])</f>
        <v>n/a</v>
      </c>
      <c r="G129" s="148" t="str" cm="1">
        <f t="array" ref="G129">IF(Table117821341[[#This Row],[Pos.]]="QB1",_xlfn.XLOOKUP(Table117821341[[#This Row],[Opp]],Table123[DEF],'2425'!$G$3:$G$34),"#N/A")</f>
        <v>#N/A</v>
      </c>
      <c r="H129" s="148" t="str" cm="1">
        <f t="array" ref="H129">IF(Table117821341[[#This Row],[Pos.]]="QB1",_xlfn.XLOOKUP(Table117821341[[#This Row],[Opp]],Table123[DEF],'2425'!$J$3:$J$34),"#N/A")</f>
        <v>#N/A</v>
      </c>
      <c r="I129" s="148" t="str" cm="1">
        <f t="array" ref="I129">IF(Table117821341[[#This Row],[Pos.]]="QB1",_xlfn.XLOOKUP(Table117821341[[#This Row],[Opp]],Table123[DEF],'2425'!$K$3:$K$34),"#N/A")</f>
        <v>#N/A</v>
      </c>
      <c r="J129" s="148" t="e" cm="1">
        <f t="array" ref="J12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29" s="148" t="e" cm="1">
        <f t="array" ref="K12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29" s="148" t="e" cm="1">
        <f t="array" ref="L12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29" s="148" t="e" cm="1">
        <f t="array" ref="M12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29" s="148" t="e" cm="1">
        <f t="array" ref="N12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29" s="149" t="str">
        <f>IF(Table117821341[[#This Row],[Pos.]]="QB1",_xlfn.XLOOKUP(Table117821341[[#This Row],[Opp]],Table123[DEF],Table123[P]),"#N/A")</f>
        <v>#N/A</v>
      </c>
      <c r="P129" s="149" t="str">
        <f>IF(Table117821341[[#This Row],[Pos.]]="QB1",_xlfn.XLOOKUP(Table117821341[[#This Row],[Opp]],Table123[DEF],Table123[P+R]),"#N/A")</f>
        <v>#N/A</v>
      </c>
      <c r="Q129" s="150" t="str">
        <f>IF(Table117821341[[#This Row],[Pos.]]="QB1",_xlfn.XLOOKUP(Table117821341[[#This Row],[Opp]],Table123[DEF],Table123[P TD]),"#N/A")</f>
        <v>#N/A</v>
      </c>
      <c r="R129" s="149" t="e" cm="1">
        <f t="array" ref="R12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29" s="150" t="e" cm="1">
        <f t="array" ref="S12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29" s="150" t="e" cm="1">
        <f t="array" ref="T12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29" s="150" t="e" cm="1">
        <f t="array" ref="U12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29" s="150" t="e" cm="1">
        <f t="array" ref="V12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29" s="148" t="e" cm="1">
        <f t="array" ref="W129">_xlfn.IFS(Table117821341[[#This Row],[Pos.]]="QB1",AVERAGE(G129,H129,I129,J129,N129),Table117821341[[#This Row],[Pos.]]="RB1",AVERAGE(J129,K129,N129),Table117821341[[#This Row],[Pos.]]="RB2",AVERAGE(J129,K129,N129),Table117821341[[#This Row],[Pos.]]="WR1",AVERAGE(L129,M129,N129),Table117821341[[#This Row],[Pos.]]="WR2",AVERAGE(L129,M129,N129),Table117821341[[#This Row],[Pos.]]="WR3",AVERAGE(L129,M129,N129),Table117821341[[#This Row],[Pos.]]="WR4",AVERAGE(L129,M129,N129),Table117821341[[#This Row],[Pos.]]="TE1",AVERAGE(L129,M129,N129),Table117821341[[#This Row],[Pos.]]="TE2",AVERAGE(L129,M129,N129),Table117821341[[#This Row],[Pos.]]="D/ST",AVERAGE(Table117821341[[#This Row],[*TD*]]))</f>
        <v>#N/A</v>
      </c>
      <c r="X129" s="94" t="e">
        <f t="shared" si="1"/>
        <v>#N/A</v>
      </c>
    </row>
    <row r="130" spans="2:24" hidden="1" x14ac:dyDescent="0.35">
      <c r="B130" s="6" t="s">
        <v>481</v>
      </c>
      <c r="C130" s="97" t="s">
        <v>32</v>
      </c>
      <c r="D130" s="97" t="s">
        <v>407</v>
      </c>
      <c r="E130" s="23" t="str" cm="1">
        <f t="array" ref="E130">_xlfn.XLOOKUP(Table117821341[[#This Row],[Team]],Table4334[Team],'2425'!$C$3:$C$34)</f>
        <v>n/a</v>
      </c>
      <c r="F130" s="97" t="str">
        <f>_xlfn.XLOOKUP(Table117821341[[#This Row],[Team]],Table4334[Team],Table4334[OPP])</f>
        <v>n/a</v>
      </c>
      <c r="G130" s="148" t="str" cm="1">
        <f t="array" ref="G130">IF(Table117821341[[#This Row],[Pos.]]="QB1",_xlfn.XLOOKUP(Table117821341[[#This Row],[Opp]],Table123[DEF],'2425'!$G$3:$G$34),"#N/A")</f>
        <v>#N/A</v>
      </c>
      <c r="H130" s="148" t="str" cm="1">
        <f t="array" ref="H130">IF(Table117821341[[#This Row],[Pos.]]="QB1",_xlfn.XLOOKUP(Table117821341[[#This Row],[Opp]],Table123[DEF],'2425'!$J$3:$J$34),"#N/A")</f>
        <v>#N/A</v>
      </c>
      <c r="I130" s="148" t="str" cm="1">
        <f t="array" ref="I130">IF(Table117821341[[#This Row],[Pos.]]="QB1",_xlfn.XLOOKUP(Table117821341[[#This Row],[Opp]],Table123[DEF],'2425'!$K$3:$K$34),"#N/A")</f>
        <v>#N/A</v>
      </c>
      <c r="J130" s="148" t="e" cm="1">
        <f t="array" ref="J13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0" s="148" t="e" cm="1">
        <f t="array" ref="K13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0" s="148" t="e" cm="1">
        <f t="array" ref="L13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0" s="148" t="e" cm="1">
        <f t="array" ref="M13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0" s="148" t="e" cm="1">
        <f t="array" ref="N13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0" s="149" t="str">
        <f>IF(Table117821341[[#This Row],[Pos.]]="QB1",_xlfn.XLOOKUP(Table117821341[[#This Row],[Opp]],Table123[DEF],Table123[P]),"#N/A")</f>
        <v>#N/A</v>
      </c>
      <c r="P130" s="149" t="str">
        <f>IF(Table117821341[[#This Row],[Pos.]]="QB1",_xlfn.XLOOKUP(Table117821341[[#This Row],[Opp]],Table123[DEF],Table123[P+R]),"#N/A")</f>
        <v>#N/A</v>
      </c>
      <c r="Q130" s="150" t="str">
        <f>IF(Table117821341[[#This Row],[Pos.]]="QB1",_xlfn.XLOOKUP(Table117821341[[#This Row],[Opp]],Table123[DEF],Table123[P TD]),"#N/A")</f>
        <v>#N/A</v>
      </c>
      <c r="R130" s="149" t="e" cm="1">
        <f t="array" ref="R13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0" s="150" t="e" cm="1">
        <f t="array" ref="S13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0" s="150" t="e" cm="1">
        <f t="array" ref="T13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0" s="150" t="e" cm="1">
        <f t="array" ref="U13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0" s="150" t="e" cm="1">
        <f t="array" ref="V13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0" s="148" t="e" cm="1">
        <f t="array" ref="W130">_xlfn.IFS(Table117821341[[#This Row],[Pos.]]="QB1",AVERAGE(G130,H130,I130,J130,N130),Table117821341[[#This Row],[Pos.]]="RB1",AVERAGE(J130,K130,N130),Table117821341[[#This Row],[Pos.]]="RB2",AVERAGE(J130,K130,N130),Table117821341[[#This Row],[Pos.]]="WR1",AVERAGE(L130,M130,N130),Table117821341[[#This Row],[Pos.]]="WR2",AVERAGE(L130,M130,N130),Table117821341[[#This Row],[Pos.]]="WR3",AVERAGE(L130,M130,N130),Table117821341[[#This Row],[Pos.]]="WR4",AVERAGE(L130,M130,N130),Table117821341[[#This Row],[Pos.]]="TE1",AVERAGE(L130,M130,N130),Table117821341[[#This Row],[Pos.]]="TE2",AVERAGE(L130,M130,N130),Table117821341[[#This Row],[Pos.]]="D/ST",AVERAGE(Table117821341[[#This Row],[*TD*]]))</f>
        <v>#N/A</v>
      </c>
      <c r="X130" s="94" t="e">
        <f t="shared" si="1"/>
        <v>#N/A</v>
      </c>
    </row>
    <row r="131" spans="2:24" hidden="1" x14ac:dyDescent="0.35">
      <c r="B131" s="6" t="s">
        <v>373</v>
      </c>
      <c r="C131" s="97" t="s">
        <v>54</v>
      </c>
      <c r="D131" s="97" t="s">
        <v>67</v>
      </c>
      <c r="E131" s="23" t="str" cm="1">
        <f t="array" ref="E131">_xlfn.XLOOKUP(Table117821341[[#This Row],[Team]],Table4334[Team],'2425'!$C$3:$C$34)</f>
        <v>n/a</v>
      </c>
      <c r="F131" s="97" t="str">
        <f>_xlfn.XLOOKUP(Table117821341[[#This Row],[Team]],Table4334[Team],Table4334[OPP])</f>
        <v>n/a</v>
      </c>
      <c r="G131" s="148" t="str" cm="1">
        <f t="array" ref="G131">IF(Table117821341[[#This Row],[Pos.]]="QB1",_xlfn.XLOOKUP(Table117821341[[#This Row],[Opp]],Table123[DEF],'2425'!$G$3:$G$34),"#N/A")</f>
        <v>#N/A</v>
      </c>
      <c r="H131" s="148" t="str" cm="1">
        <f t="array" ref="H131">IF(Table117821341[[#This Row],[Pos.]]="QB1",_xlfn.XLOOKUP(Table117821341[[#This Row],[Opp]],Table123[DEF],'2425'!$J$3:$J$34),"#N/A")</f>
        <v>#N/A</v>
      </c>
      <c r="I131" s="148" t="str" cm="1">
        <f t="array" ref="I131">IF(Table117821341[[#This Row],[Pos.]]="QB1",_xlfn.XLOOKUP(Table117821341[[#This Row],[Opp]],Table123[DEF],'2425'!$K$3:$K$34),"#N/A")</f>
        <v>#N/A</v>
      </c>
      <c r="J131" s="148" t="e" cm="1">
        <f t="array" ref="J13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1" s="148" t="e" cm="1">
        <f t="array" ref="K13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1" s="148" t="e" cm="1">
        <f t="array" ref="L13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1" s="148" t="e" cm="1">
        <f t="array" ref="M13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1" s="148" t="e" cm="1">
        <f t="array" ref="N13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1" s="149" t="str">
        <f>IF(Table117821341[[#This Row],[Pos.]]="QB1",_xlfn.XLOOKUP(Table117821341[[#This Row],[Opp]],Table123[DEF],Table123[P]),"#N/A")</f>
        <v>#N/A</v>
      </c>
      <c r="P131" s="149" t="str">
        <f>IF(Table117821341[[#This Row],[Pos.]]="QB1",_xlfn.XLOOKUP(Table117821341[[#This Row],[Opp]],Table123[DEF],Table123[P+R]),"#N/A")</f>
        <v>#N/A</v>
      </c>
      <c r="Q131" s="150" t="str">
        <f>IF(Table117821341[[#This Row],[Pos.]]="QB1",_xlfn.XLOOKUP(Table117821341[[#This Row],[Opp]],Table123[DEF],Table123[P TD]),"#N/A")</f>
        <v>#N/A</v>
      </c>
      <c r="R131" s="149" t="e" cm="1">
        <f t="array" ref="R13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1" s="150" t="e" cm="1">
        <f t="array" ref="S13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1" s="150" t="e" cm="1">
        <f t="array" ref="T13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1" s="150" t="e" cm="1">
        <f t="array" ref="U13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1" s="162" t="e" cm="1">
        <f t="array" ref="V13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1" s="148" t="e" cm="1">
        <f t="array" ref="W131">_xlfn.IFS(Table117821341[[#This Row],[Pos.]]="QB1",AVERAGE(G131,H131,I131,J131,N131),Table117821341[[#This Row],[Pos.]]="RB1",AVERAGE(J131,K131,N131),Table117821341[[#This Row],[Pos.]]="RB2",AVERAGE(J131,K131,N131),Table117821341[[#This Row],[Pos.]]="WR1",AVERAGE(L131,M131,N131),Table117821341[[#This Row],[Pos.]]="WR2",AVERAGE(L131,M131,N131),Table117821341[[#This Row],[Pos.]]="WR3",AVERAGE(L131,M131,N131),Table117821341[[#This Row],[Pos.]]="WR4",AVERAGE(L131,M131,N131),Table117821341[[#This Row],[Pos.]]="TE1",AVERAGE(L131,M131,N131),Table117821341[[#This Row],[Pos.]]="TE2",AVERAGE(L131,M131,N131),Table117821341[[#This Row],[Pos.]]="D/ST",AVERAGE(Table117821341[[#This Row],[*TD*]]))</f>
        <v>#N/A</v>
      </c>
      <c r="X131" s="94" t="e">
        <f t="shared" ref="X131:X194" si="2">AVERAGE(N131,W131)</f>
        <v>#N/A</v>
      </c>
    </row>
    <row r="132" spans="2:24" hidden="1" x14ac:dyDescent="0.35">
      <c r="B132" s="6" t="s">
        <v>178</v>
      </c>
      <c r="C132" s="97" t="s">
        <v>32</v>
      </c>
      <c r="D132" s="97" t="s">
        <v>398</v>
      </c>
      <c r="E132" s="23" t="str" cm="1">
        <f t="array" ref="E132">_xlfn.XLOOKUP(Table117821341[[#This Row],[Team]],Table4334[Team],'2425'!$C$3:$C$34)</f>
        <v>n/a</v>
      </c>
      <c r="F132" s="97" t="str">
        <f>_xlfn.XLOOKUP(Table117821341[[#This Row],[Team]],Table4334[Team],Table4334[OPP])</f>
        <v>n/a</v>
      </c>
      <c r="G132" s="148" t="str" cm="1">
        <f t="array" ref="G132">IF(Table117821341[[#This Row],[Pos.]]="QB1",_xlfn.XLOOKUP(Table117821341[[#This Row],[Opp]],Table123[DEF],'2425'!$G$3:$G$34),"#N/A")</f>
        <v>#N/A</v>
      </c>
      <c r="H132" s="148" t="str" cm="1">
        <f t="array" ref="H132">IF(Table117821341[[#This Row],[Pos.]]="QB1",_xlfn.XLOOKUP(Table117821341[[#This Row],[Opp]],Table123[DEF],'2425'!$J$3:$J$34),"#N/A")</f>
        <v>#N/A</v>
      </c>
      <c r="I132" s="148" t="str" cm="1">
        <f t="array" ref="I132">IF(Table117821341[[#This Row],[Pos.]]="QB1",_xlfn.XLOOKUP(Table117821341[[#This Row],[Opp]],Table123[DEF],'2425'!$K$3:$K$34),"#N/A")</f>
        <v>#N/A</v>
      </c>
      <c r="J132" s="148" t="e" cm="1">
        <f t="array" ref="J13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2" s="148" t="e" cm="1">
        <f t="array" ref="K13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2" s="148" t="e" cm="1">
        <f t="array" ref="L13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2" s="148" t="e" cm="1">
        <f t="array" ref="M13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2" s="148" t="e" cm="1">
        <f t="array" ref="N13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2" s="149" t="str">
        <f>IF(Table117821341[[#This Row],[Pos.]]="QB1",_xlfn.XLOOKUP(Table117821341[[#This Row],[Opp]],Table123[DEF],Table123[P]),"#N/A")</f>
        <v>#N/A</v>
      </c>
      <c r="P132" s="149" t="str">
        <f>IF(Table117821341[[#This Row],[Pos.]]="QB1",_xlfn.XLOOKUP(Table117821341[[#This Row],[Opp]],Table123[DEF],Table123[P+R]),"#N/A")</f>
        <v>#N/A</v>
      </c>
      <c r="Q132" s="150" t="str">
        <f>IF(Table117821341[[#This Row],[Pos.]]="QB1",_xlfn.XLOOKUP(Table117821341[[#This Row],[Opp]],Table123[DEF],Table123[P TD]),"#N/A")</f>
        <v>#N/A</v>
      </c>
      <c r="R132" s="149" t="e" cm="1">
        <f t="array" ref="R13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2" s="150" t="e" cm="1">
        <f t="array" ref="S13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2" s="150" t="e" cm="1">
        <f t="array" ref="T13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2" s="150" t="e" cm="1">
        <f t="array" ref="U13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2" s="150" t="e" cm="1">
        <f t="array" ref="V13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2" s="148" t="e" cm="1">
        <f t="array" ref="W132">_xlfn.IFS(Table117821341[[#This Row],[Pos.]]="QB1",AVERAGE(G132,H132,I132,J132,N132),Table117821341[[#This Row],[Pos.]]="RB1",AVERAGE(J132,K132,N132),Table117821341[[#This Row],[Pos.]]="RB2",AVERAGE(J132,K132,N132),Table117821341[[#This Row],[Pos.]]="WR1",AVERAGE(L132,M132,N132),Table117821341[[#This Row],[Pos.]]="WR2",AVERAGE(L132,M132,N132),Table117821341[[#This Row],[Pos.]]="WR3",AVERAGE(L132,M132,N132),Table117821341[[#This Row],[Pos.]]="WR4",AVERAGE(L132,M132,N132),Table117821341[[#This Row],[Pos.]]="TE1",AVERAGE(L132,M132,N132),Table117821341[[#This Row],[Pos.]]="TE2",AVERAGE(L132,M132,N132),Table117821341[[#This Row],[Pos.]]="D/ST",AVERAGE(Table117821341[[#This Row],[*TD*]]))</f>
        <v>#N/A</v>
      </c>
      <c r="X132" s="94" t="e">
        <f t="shared" si="2"/>
        <v>#N/A</v>
      </c>
    </row>
    <row r="133" spans="2:24" hidden="1" x14ac:dyDescent="0.35">
      <c r="B133" s="6" t="s">
        <v>488</v>
      </c>
      <c r="C133" s="97" t="s">
        <v>32</v>
      </c>
      <c r="D133" s="97" t="s">
        <v>430</v>
      </c>
      <c r="E133" s="23" t="str" cm="1">
        <f t="array" ref="E133">_xlfn.XLOOKUP(Table117821341[[#This Row],[Team]],Table4334[Team],'2425'!$C$3:$C$34)</f>
        <v>n/a</v>
      </c>
      <c r="F133" s="97" t="str">
        <f>_xlfn.XLOOKUP(Table117821341[[#This Row],[Team]],Table4334[Team],Table4334[OPP])</f>
        <v>n/a</v>
      </c>
      <c r="G133" s="148" t="str" cm="1">
        <f t="array" ref="G133">IF(Table117821341[[#This Row],[Pos.]]="QB1",_xlfn.XLOOKUP(Table117821341[[#This Row],[Opp]],Table123[DEF],'2425'!$G$3:$G$34),"#N/A")</f>
        <v>#N/A</v>
      </c>
      <c r="H133" s="148" t="str" cm="1">
        <f t="array" ref="H133">IF(Table117821341[[#This Row],[Pos.]]="QB1",_xlfn.XLOOKUP(Table117821341[[#This Row],[Opp]],Table123[DEF],'2425'!$J$3:$J$34),"#N/A")</f>
        <v>#N/A</v>
      </c>
      <c r="I133" s="148" t="str" cm="1">
        <f t="array" ref="I133">IF(Table117821341[[#This Row],[Pos.]]="QB1",_xlfn.XLOOKUP(Table117821341[[#This Row],[Opp]],Table123[DEF],'2425'!$K$3:$K$34),"#N/A")</f>
        <v>#N/A</v>
      </c>
      <c r="J133" s="148" t="e" cm="1">
        <f t="array" ref="J13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3" s="148" t="e" cm="1">
        <f t="array" ref="K13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3" s="148" t="e" cm="1">
        <f t="array" ref="L13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3" s="148" t="e" cm="1">
        <f t="array" ref="M13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3" s="148" t="e" cm="1">
        <f t="array" ref="N13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3" s="149" t="str">
        <f>IF(Table117821341[[#This Row],[Pos.]]="QB1",_xlfn.XLOOKUP(Table117821341[[#This Row],[Opp]],Table123[DEF],Table123[P]),"#N/A")</f>
        <v>#N/A</v>
      </c>
      <c r="P133" s="149" t="str">
        <f>IF(Table117821341[[#This Row],[Pos.]]="QB1",_xlfn.XLOOKUP(Table117821341[[#This Row],[Opp]],Table123[DEF],Table123[P+R]),"#N/A")</f>
        <v>#N/A</v>
      </c>
      <c r="Q133" s="150" t="str">
        <f>IF(Table117821341[[#This Row],[Pos.]]="QB1",_xlfn.XLOOKUP(Table117821341[[#This Row],[Opp]],Table123[DEF],Table123[P TD]),"#N/A")</f>
        <v>#N/A</v>
      </c>
      <c r="R133" s="149" t="e" cm="1">
        <f t="array" ref="R13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3" s="150" t="e" cm="1">
        <f t="array" ref="S13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3" s="150" t="e" cm="1">
        <f t="array" ref="T13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3" s="150" t="e" cm="1">
        <f t="array" ref="U13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3" s="150" t="e" cm="1">
        <f t="array" ref="V13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3" s="148" t="e" cm="1">
        <f t="array" ref="W133">_xlfn.IFS(Table117821341[[#This Row],[Pos.]]="QB1",AVERAGE(G133,H133,I133,J133,N133),Table117821341[[#This Row],[Pos.]]="RB1",AVERAGE(J133,K133,N133),Table117821341[[#This Row],[Pos.]]="RB2",AVERAGE(J133,K133,N133),Table117821341[[#This Row],[Pos.]]="WR1",AVERAGE(L133,M133,N133),Table117821341[[#This Row],[Pos.]]="WR2",AVERAGE(L133,M133,N133),Table117821341[[#This Row],[Pos.]]="WR3",AVERAGE(L133,M133,N133),Table117821341[[#This Row],[Pos.]]="WR4",AVERAGE(L133,M133,N133),Table117821341[[#This Row],[Pos.]]="TE1",AVERAGE(L133,M133,N133),Table117821341[[#This Row],[Pos.]]="TE2",AVERAGE(L133,M133,N133),Table117821341[[#This Row],[Pos.]]="D/ST",AVERAGE(Table117821341[[#This Row],[*TD*]]))</f>
        <v>#N/A</v>
      </c>
      <c r="X133" s="94" t="e">
        <f t="shared" si="2"/>
        <v>#N/A</v>
      </c>
    </row>
    <row r="134" spans="2:24" hidden="1" x14ac:dyDescent="0.35">
      <c r="B134" s="6" t="s">
        <v>166</v>
      </c>
      <c r="C134" s="97" t="s">
        <v>31</v>
      </c>
      <c r="D134" s="97" t="s">
        <v>67</v>
      </c>
      <c r="E134" s="23" t="str" cm="1">
        <f t="array" ref="E134">_xlfn.XLOOKUP(Table117821341[[#This Row],[Team]],Table4334[Team],'2425'!$C$3:$C$34)</f>
        <v>n/a</v>
      </c>
      <c r="F134" s="97" t="str">
        <f>_xlfn.XLOOKUP(Table117821341[[#This Row],[Team]],Table4334[Team],Table4334[OPP])</f>
        <v>n/a</v>
      </c>
      <c r="G134" s="148" t="str" cm="1">
        <f t="array" ref="G134">IF(Table117821341[[#This Row],[Pos.]]="QB1",_xlfn.XLOOKUP(Table117821341[[#This Row],[Opp]],Table123[DEF],'2425'!$G$3:$G$34),"#N/A")</f>
        <v>#N/A</v>
      </c>
      <c r="H134" s="148" t="str" cm="1">
        <f t="array" ref="H134">IF(Table117821341[[#This Row],[Pos.]]="QB1",_xlfn.XLOOKUP(Table117821341[[#This Row],[Opp]],Table123[DEF],'2425'!$J$3:$J$34),"#N/A")</f>
        <v>#N/A</v>
      </c>
      <c r="I134" s="148" t="str" cm="1">
        <f t="array" ref="I134">IF(Table117821341[[#This Row],[Pos.]]="QB1",_xlfn.XLOOKUP(Table117821341[[#This Row],[Opp]],Table123[DEF],'2425'!$K$3:$K$34),"#N/A")</f>
        <v>#N/A</v>
      </c>
      <c r="J134" s="148" t="e" cm="1">
        <f t="array" ref="J13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4" s="148" t="e" cm="1">
        <f t="array" ref="K13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4" s="148" t="e" cm="1">
        <f t="array" ref="L13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4" s="148" t="e" cm="1">
        <f t="array" ref="M13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4" s="148" t="e" cm="1">
        <f t="array" ref="N13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4" s="149" t="str">
        <f>IF(Table117821341[[#This Row],[Pos.]]="QB1",_xlfn.XLOOKUP(Table117821341[[#This Row],[Opp]],Table123[DEF],Table123[P]),"#N/A")</f>
        <v>#N/A</v>
      </c>
      <c r="P134" s="149" t="str">
        <f>IF(Table117821341[[#This Row],[Pos.]]="QB1",_xlfn.XLOOKUP(Table117821341[[#This Row],[Opp]],Table123[DEF],Table123[P+R]),"#N/A")</f>
        <v>#N/A</v>
      </c>
      <c r="Q134" s="150" t="str">
        <f>IF(Table117821341[[#This Row],[Pos.]]="QB1",_xlfn.XLOOKUP(Table117821341[[#This Row],[Opp]],Table123[DEF],Table123[P TD]),"#N/A")</f>
        <v>#N/A</v>
      </c>
      <c r="R134" s="149" t="e" cm="1">
        <f t="array" ref="R13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4" s="150" t="e" cm="1">
        <f t="array" ref="S13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4" s="150" t="e" cm="1">
        <f t="array" ref="T13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4" s="150" t="e" cm="1">
        <f t="array" ref="U13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4" s="162" t="e" cm="1">
        <f t="array" ref="V13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4" s="148" t="e" cm="1">
        <f t="array" ref="W134">_xlfn.IFS(Table117821341[[#This Row],[Pos.]]="QB1",AVERAGE(G134,H134,I134,J134,N134),Table117821341[[#This Row],[Pos.]]="RB1",AVERAGE(J134,K134,N134),Table117821341[[#This Row],[Pos.]]="RB2",AVERAGE(J134,K134,N134),Table117821341[[#This Row],[Pos.]]="WR1",AVERAGE(L134,M134,N134),Table117821341[[#This Row],[Pos.]]="WR2",AVERAGE(L134,M134,N134),Table117821341[[#This Row],[Pos.]]="WR3",AVERAGE(L134,M134,N134),Table117821341[[#This Row],[Pos.]]="WR4",AVERAGE(L134,M134,N134),Table117821341[[#This Row],[Pos.]]="TE1",AVERAGE(L134,M134,N134),Table117821341[[#This Row],[Pos.]]="TE2",AVERAGE(L134,M134,N134),Table117821341[[#This Row],[Pos.]]="D/ST",AVERAGE(Table117821341[[#This Row],[*TD*]]))</f>
        <v>#N/A</v>
      </c>
      <c r="X134" s="94" t="e">
        <f t="shared" si="2"/>
        <v>#N/A</v>
      </c>
    </row>
    <row r="135" spans="2:24" hidden="1" x14ac:dyDescent="0.35">
      <c r="B135" s="6" t="s">
        <v>390</v>
      </c>
      <c r="C135" s="97" t="s">
        <v>56</v>
      </c>
      <c r="D135" s="97" t="s">
        <v>66</v>
      </c>
      <c r="E135" s="23" t="str" cm="1">
        <f t="array" ref="E135">_xlfn.XLOOKUP(Table117821341[[#This Row],[Team]],Table4334[Team],'2425'!$C$3:$C$34)</f>
        <v>n/a</v>
      </c>
      <c r="F135" s="97" t="str">
        <f>_xlfn.XLOOKUP(Table117821341[[#This Row],[Team]],Table4334[Team],Table4334[OPP])</f>
        <v>n/a</v>
      </c>
      <c r="G135" s="148" t="str" cm="1">
        <f t="array" ref="G135">IF(Table117821341[[#This Row],[Pos.]]="QB1",_xlfn.XLOOKUP(Table117821341[[#This Row],[Opp]],Table123[DEF],'2425'!$G$3:$G$34),"#N/A")</f>
        <v>#N/A</v>
      </c>
      <c r="H135" s="148" t="str" cm="1">
        <f t="array" ref="H135">IF(Table117821341[[#This Row],[Pos.]]="QB1",_xlfn.XLOOKUP(Table117821341[[#This Row],[Opp]],Table123[DEF],'2425'!$J$3:$J$34),"#N/A")</f>
        <v>#N/A</v>
      </c>
      <c r="I135" s="148" t="str" cm="1">
        <f t="array" ref="I135">IF(Table117821341[[#This Row],[Pos.]]="QB1",_xlfn.XLOOKUP(Table117821341[[#This Row],[Opp]],Table123[DEF],'2425'!$K$3:$K$34),"#N/A")</f>
        <v>#N/A</v>
      </c>
      <c r="J135" s="148" t="e" cm="1">
        <f t="array" ref="J13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5" s="148" t="e" cm="1">
        <f t="array" ref="K13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5" s="148" t="e" cm="1">
        <f t="array" ref="L13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5" s="148" t="e" cm="1">
        <f t="array" ref="M13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5" s="148" t="e" cm="1">
        <f t="array" ref="N13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5" s="149" t="str">
        <f>IF(Table117821341[[#This Row],[Pos.]]="QB1",_xlfn.XLOOKUP(Table117821341[[#This Row],[Opp]],Table123[DEF],Table123[P]),"#N/A")</f>
        <v>#N/A</v>
      </c>
      <c r="P135" s="149" t="str">
        <f>IF(Table117821341[[#This Row],[Pos.]]="QB1",_xlfn.XLOOKUP(Table117821341[[#This Row],[Opp]],Table123[DEF],Table123[P+R]),"#N/A")</f>
        <v>#N/A</v>
      </c>
      <c r="Q135" s="150" t="str">
        <f>IF(Table117821341[[#This Row],[Pos.]]="QB1",_xlfn.XLOOKUP(Table117821341[[#This Row],[Opp]],Table123[DEF],Table123[P TD]),"#N/A")</f>
        <v>#N/A</v>
      </c>
      <c r="R135" s="149" t="e" cm="1">
        <f t="array" ref="R13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5" s="150" t="e" cm="1">
        <f t="array" ref="S13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5" s="150" t="e" cm="1">
        <f t="array" ref="T13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5" s="150" t="e" cm="1">
        <f t="array" ref="U13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5" s="162" t="e" cm="1">
        <f t="array" ref="V13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5" s="148" t="e" cm="1">
        <f t="array" ref="W135">_xlfn.IFS(Table117821341[[#This Row],[Pos.]]="QB1",AVERAGE(G135,H135,I135,J135,N135),Table117821341[[#This Row],[Pos.]]="RB1",AVERAGE(J135,K135,N135),Table117821341[[#This Row],[Pos.]]="RB2",AVERAGE(J135,K135,N135),Table117821341[[#This Row],[Pos.]]="WR1",AVERAGE(L135,M135,N135),Table117821341[[#This Row],[Pos.]]="WR2",AVERAGE(L135,M135,N135),Table117821341[[#This Row],[Pos.]]="WR3",AVERAGE(L135,M135,N135),Table117821341[[#This Row],[Pos.]]="WR4",AVERAGE(L135,M135,N135),Table117821341[[#This Row],[Pos.]]="TE1",AVERAGE(L135,M135,N135),Table117821341[[#This Row],[Pos.]]="TE2",AVERAGE(L135,M135,N135),Table117821341[[#This Row],[Pos.]]="D/ST",AVERAGE(Table117821341[[#This Row],[*TD*]]))</f>
        <v>#N/A</v>
      </c>
      <c r="X135" s="94" t="e">
        <f t="shared" si="2"/>
        <v>#N/A</v>
      </c>
    </row>
    <row r="136" spans="2:24" hidden="1" x14ac:dyDescent="0.35">
      <c r="B136" s="6" t="s">
        <v>713</v>
      </c>
      <c r="C136" s="97" t="s">
        <v>32</v>
      </c>
      <c r="D136" s="97" t="s">
        <v>71</v>
      </c>
      <c r="E136" s="23" t="str" cm="1">
        <f t="array" ref="E136">_xlfn.XLOOKUP(Table117821341[[#This Row],[Team]],Table4334[Team],'2425'!$C$3:$C$34)</f>
        <v>n/a</v>
      </c>
      <c r="F136" s="97" t="str">
        <f>_xlfn.XLOOKUP(Table117821341[[#This Row],[Team]],Table4334[Team],Table4334[OPP])</f>
        <v>n/a</v>
      </c>
      <c r="G136" s="148" t="str" cm="1">
        <f t="array" ref="G136">IF(Table117821341[[#This Row],[Pos.]]="QB1",_xlfn.XLOOKUP(Table117821341[[#This Row],[Opp]],Table123[DEF],'2425'!$G$3:$G$34),"#N/A")</f>
        <v>#N/A</v>
      </c>
      <c r="H136" s="148" t="str" cm="1">
        <f t="array" ref="H136">IF(Table117821341[[#This Row],[Pos.]]="QB1",_xlfn.XLOOKUP(Table117821341[[#This Row],[Opp]],Table123[DEF],'2425'!$J$3:$J$34),"#N/A")</f>
        <v>#N/A</v>
      </c>
      <c r="I136" s="148" t="str" cm="1">
        <f t="array" ref="I136">IF(Table117821341[[#This Row],[Pos.]]="QB1",_xlfn.XLOOKUP(Table117821341[[#This Row],[Opp]],Table123[DEF],'2425'!$K$3:$K$34),"#N/A")</f>
        <v>#N/A</v>
      </c>
      <c r="J136" s="148" t="e" cm="1">
        <f t="array" ref="J13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6" s="148" t="e" cm="1">
        <f t="array" ref="K13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6" s="148" t="e" cm="1">
        <f t="array" ref="L13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6" s="148" t="e" cm="1">
        <f t="array" ref="M13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6" s="148" t="e" cm="1">
        <f t="array" ref="N13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6" s="149" t="str">
        <f>IF(Table117821341[[#This Row],[Pos.]]="QB1",_xlfn.XLOOKUP(Table117821341[[#This Row],[Opp]],Table123[DEF],Table123[P]),"#N/A")</f>
        <v>#N/A</v>
      </c>
      <c r="P136" s="149" t="str">
        <f>IF(Table117821341[[#This Row],[Pos.]]="QB1",_xlfn.XLOOKUP(Table117821341[[#This Row],[Opp]],Table123[DEF],Table123[P+R]),"#N/A")</f>
        <v>#N/A</v>
      </c>
      <c r="Q136" s="150" t="str">
        <f>IF(Table117821341[[#This Row],[Pos.]]="QB1",_xlfn.XLOOKUP(Table117821341[[#This Row],[Opp]],Table123[DEF],Table123[P TD]),"#N/A")</f>
        <v>#N/A</v>
      </c>
      <c r="R136" s="149" t="e" cm="1">
        <f t="array" ref="R13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6" s="150" t="e" cm="1">
        <f t="array" ref="S13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6" s="150" t="e" cm="1">
        <f t="array" ref="T13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6" s="150" t="e" cm="1">
        <f t="array" ref="U13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6" s="162" t="e" cm="1">
        <f t="array" ref="V13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6" s="148" t="e" cm="1">
        <f t="array" ref="W136">_xlfn.IFS(Table117821341[[#This Row],[Pos.]]="QB1",AVERAGE(G136,H136,I136,J136,N136),Table117821341[[#This Row],[Pos.]]="RB1",AVERAGE(J136,K136,N136),Table117821341[[#This Row],[Pos.]]="RB2",AVERAGE(J136,K136,N136),Table117821341[[#This Row],[Pos.]]="WR1",AVERAGE(L136,M136,N136),Table117821341[[#This Row],[Pos.]]="WR2",AVERAGE(L136,M136,N136),Table117821341[[#This Row],[Pos.]]="WR3",AVERAGE(L136,M136,N136),Table117821341[[#This Row],[Pos.]]="WR4",AVERAGE(L136,M136,N136),Table117821341[[#This Row],[Pos.]]="TE1",AVERAGE(L136,M136,N136),Table117821341[[#This Row],[Pos.]]="TE2",AVERAGE(L136,M136,N136),Table117821341[[#This Row],[Pos.]]="D/ST",AVERAGE(Table117821341[[#This Row],[*TD*]]))</f>
        <v>#N/A</v>
      </c>
      <c r="X136" s="94" t="e">
        <f t="shared" si="2"/>
        <v>#N/A</v>
      </c>
    </row>
    <row r="137" spans="2:24" hidden="1" x14ac:dyDescent="0.35">
      <c r="B137" s="6" t="s">
        <v>275</v>
      </c>
      <c r="C137" s="97" t="s">
        <v>43</v>
      </c>
      <c r="D137" s="97" t="s">
        <v>399</v>
      </c>
      <c r="E137" s="23" t="str" cm="1">
        <f t="array" ref="E137">_xlfn.XLOOKUP(Table117821341[[#This Row],[Team]],Table4334[Team],'2425'!$C$3:$C$34)</f>
        <v>n/a</v>
      </c>
      <c r="F137" s="97" t="str">
        <f>_xlfn.XLOOKUP(Table117821341[[#This Row],[Team]],Table4334[Team],Table4334[OPP])</f>
        <v>n/a</v>
      </c>
      <c r="G137" s="148" t="e" cm="1">
        <f t="array" ref="G137">IF(Table117821341[[#This Row],[Pos.]]="QB1",_xlfn.XLOOKUP(Table117821341[[#This Row],[Opp]],Table123[DEF],'2425'!$G$3:$G$34),"#N/A")</f>
        <v>#N/A</v>
      </c>
      <c r="H137" s="148" t="e" cm="1">
        <f t="array" ref="H137">IF(Table117821341[[#This Row],[Pos.]]="QB1",_xlfn.XLOOKUP(Table117821341[[#This Row],[Opp]],Table123[DEF],'2425'!$J$3:$J$34),"#N/A")</f>
        <v>#N/A</v>
      </c>
      <c r="I137" s="148" t="e" cm="1">
        <f t="array" ref="I137">IF(Table117821341[[#This Row],[Pos.]]="QB1",_xlfn.XLOOKUP(Table117821341[[#This Row],[Opp]],Table123[DEF],'2425'!$K$3:$K$34),"#N/A")</f>
        <v>#N/A</v>
      </c>
      <c r="J137" s="148" t="e" cm="1">
        <f t="array" ref="J13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7" s="148" t="e" cm="1">
        <f t="array" ref="K13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7" s="148" t="e" cm="1">
        <f t="array" ref="L13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7" s="148" t="e" cm="1">
        <f t="array" ref="M13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7" s="148" t="e" cm="1">
        <f t="array" ref="N13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7" s="149" t="e">
        <f>IF(Table117821341[[#This Row],[Pos.]]="QB1",_xlfn.XLOOKUP(Table117821341[[#This Row],[Opp]],Table123[DEF],Table123[P]),"#N/A")</f>
        <v>#N/A</v>
      </c>
      <c r="P137" s="149" t="e">
        <f>IF(Table117821341[[#This Row],[Pos.]]="QB1",_xlfn.XLOOKUP(Table117821341[[#This Row],[Opp]],Table123[DEF],Table123[P+R]),"#N/A")</f>
        <v>#N/A</v>
      </c>
      <c r="Q137" s="150" t="e">
        <f>IF(Table117821341[[#This Row],[Pos.]]="QB1",_xlfn.XLOOKUP(Table117821341[[#This Row],[Opp]],Table123[DEF],Table123[P TD]),"#N/A")</f>
        <v>#N/A</v>
      </c>
      <c r="R137" s="149" t="e" cm="1">
        <f t="array" ref="R13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7" s="150" t="e" cm="1">
        <f t="array" ref="S13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7" s="150" t="e" cm="1">
        <f t="array" ref="T13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7" s="150" t="e" cm="1">
        <f t="array" ref="U13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7" s="162" t="e" cm="1">
        <f t="array" ref="V13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7" s="148" t="e" cm="1">
        <f t="array" ref="W137">_xlfn.IFS(Table117821341[[#This Row],[Pos.]]="QB1",AVERAGE(G137,H137,I137,J137,N137),Table117821341[[#This Row],[Pos.]]="RB1",AVERAGE(J137,K137,N137),Table117821341[[#This Row],[Pos.]]="RB2",AVERAGE(J137,K137,N137),Table117821341[[#This Row],[Pos.]]="WR1",AVERAGE(L137,M137,N137),Table117821341[[#This Row],[Pos.]]="WR2",AVERAGE(L137,M137,N137),Table117821341[[#This Row],[Pos.]]="WR3",AVERAGE(L137,M137,N137),Table117821341[[#This Row],[Pos.]]="WR4",AVERAGE(L137,M137,N137),Table117821341[[#This Row],[Pos.]]="TE1",AVERAGE(L137,M137,N137),Table117821341[[#This Row],[Pos.]]="TE2",AVERAGE(L137,M137,N137),Table117821341[[#This Row],[Pos.]]="D/ST",AVERAGE(Table117821341[[#This Row],[*TD*]]))</f>
        <v>#N/A</v>
      </c>
      <c r="X137" s="94" t="e">
        <f t="shared" si="2"/>
        <v>#N/A</v>
      </c>
    </row>
    <row r="138" spans="2:24" hidden="1" x14ac:dyDescent="0.35">
      <c r="B138" s="6" t="s">
        <v>688</v>
      </c>
      <c r="C138" s="97" t="s">
        <v>32</v>
      </c>
      <c r="D138" s="97" t="s">
        <v>403</v>
      </c>
      <c r="E138" s="23" t="str" cm="1">
        <f t="array" ref="E138">_xlfn.XLOOKUP(Table117821341[[#This Row],[Team]],Table4334[Team],'2425'!$C$3:$C$34)</f>
        <v>n/a</v>
      </c>
      <c r="F138" s="97" t="str">
        <f>_xlfn.XLOOKUP(Table117821341[[#This Row],[Team]],Table4334[Team],Table4334[OPP])</f>
        <v>n/a</v>
      </c>
      <c r="G138" s="148" t="str" cm="1">
        <f t="array" ref="G138">IF(Table117821341[[#This Row],[Pos.]]="QB1",_xlfn.XLOOKUP(Table117821341[[#This Row],[Opp]],Table123[DEF],'2425'!$G$3:$G$34),"#N/A")</f>
        <v>#N/A</v>
      </c>
      <c r="H138" s="148" t="str" cm="1">
        <f t="array" ref="H138">IF(Table117821341[[#This Row],[Pos.]]="QB1",_xlfn.XLOOKUP(Table117821341[[#This Row],[Opp]],Table123[DEF],'2425'!$J$3:$J$34),"#N/A")</f>
        <v>#N/A</v>
      </c>
      <c r="I138" s="148" t="str" cm="1">
        <f t="array" ref="I138">IF(Table117821341[[#This Row],[Pos.]]="QB1",_xlfn.XLOOKUP(Table117821341[[#This Row],[Opp]],Table123[DEF],'2425'!$K$3:$K$34),"#N/A")</f>
        <v>#N/A</v>
      </c>
      <c r="J138" s="148" t="e" cm="1">
        <f t="array" ref="J13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8" s="148" t="e" cm="1">
        <f t="array" ref="K13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8" s="148" t="e" cm="1">
        <f t="array" ref="L13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8" s="148" t="e" cm="1">
        <f t="array" ref="M13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8" s="148" t="e" cm="1">
        <f t="array" ref="N13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8" s="149" t="str">
        <f>IF(Table117821341[[#This Row],[Pos.]]="QB1",_xlfn.XLOOKUP(Table117821341[[#This Row],[Opp]],Table123[DEF],Table123[P]),"#N/A")</f>
        <v>#N/A</v>
      </c>
      <c r="P138" s="149" t="str">
        <f>IF(Table117821341[[#This Row],[Pos.]]="QB1",_xlfn.XLOOKUP(Table117821341[[#This Row],[Opp]],Table123[DEF],Table123[P+R]),"#N/A")</f>
        <v>#N/A</v>
      </c>
      <c r="Q138" s="150" t="str">
        <f>IF(Table117821341[[#This Row],[Pos.]]="QB1",_xlfn.XLOOKUP(Table117821341[[#This Row],[Opp]],Table123[DEF],Table123[P TD]),"#N/A")</f>
        <v>#N/A</v>
      </c>
      <c r="R138" s="149" t="e" cm="1">
        <f t="array" ref="R13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8" s="150" t="e" cm="1">
        <f t="array" ref="S13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8" s="150" t="e" cm="1">
        <f t="array" ref="T13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8" s="150" t="e" cm="1">
        <f t="array" ref="U13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8" s="150" t="e" cm="1">
        <f t="array" ref="V13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8" s="148" t="e" cm="1">
        <f t="array" ref="W138">_xlfn.IFS(Table117821341[[#This Row],[Pos.]]="QB1",AVERAGE(G138,H138,I138,J138,N138),Table117821341[[#This Row],[Pos.]]="RB1",AVERAGE(J138,K138,N138),Table117821341[[#This Row],[Pos.]]="RB2",AVERAGE(J138,K138,N138),Table117821341[[#This Row],[Pos.]]="WR1",AVERAGE(L138,M138,N138),Table117821341[[#This Row],[Pos.]]="WR2",AVERAGE(L138,M138,N138),Table117821341[[#This Row],[Pos.]]="WR3",AVERAGE(L138,M138,N138),Table117821341[[#This Row],[Pos.]]="WR4",AVERAGE(L138,M138,N138),Table117821341[[#This Row],[Pos.]]="TE1",AVERAGE(L138,M138,N138),Table117821341[[#This Row],[Pos.]]="TE2",AVERAGE(L138,M138,N138),Table117821341[[#This Row],[Pos.]]="D/ST",AVERAGE(Table117821341[[#This Row],[*TD*]]))</f>
        <v>#N/A</v>
      </c>
      <c r="X138" s="94" t="e">
        <f t="shared" si="2"/>
        <v>#N/A</v>
      </c>
    </row>
    <row r="139" spans="2:24" hidden="1" x14ac:dyDescent="0.35">
      <c r="B139" s="6" t="s">
        <v>180</v>
      </c>
      <c r="C139" s="97" t="s">
        <v>32</v>
      </c>
      <c r="D139" s="97" t="s">
        <v>411</v>
      </c>
      <c r="E139" s="23" t="str" cm="1">
        <f t="array" ref="E139">_xlfn.XLOOKUP(Table117821341[[#This Row],[Team]],Table4334[Team],'2425'!$C$3:$C$34)</f>
        <v>n/a</v>
      </c>
      <c r="F139" s="97" t="str">
        <f>_xlfn.XLOOKUP(Table117821341[[#This Row],[Team]],Table4334[Team],Table4334[OPP])</f>
        <v>n/a</v>
      </c>
      <c r="G139" s="148" t="str" cm="1">
        <f t="array" ref="G139">IF(Table117821341[[#This Row],[Pos.]]="QB1",_xlfn.XLOOKUP(Table117821341[[#This Row],[Opp]],Table123[DEF],'2425'!$G$3:$G$34),"#N/A")</f>
        <v>#N/A</v>
      </c>
      <c r="H139" s="148" t="str" cm="1">
        <f t="array" ref="H139">IF(Table117821341[[#This Row],[Pos.]]="QB1",_xlfn.XLOOKUP(Table117821341[[#This Row],[Opp]],Table123[DEF],'2425'!$J$3:$J$34),"#N/A")</f>
        <v>#N/A</v>
      </c>
      <c r="I139" s="148" t="str" cm="1">
        <f t="array" ref="I139">IF(Table117821341[[#This Row],[Pos.]]="QB1",_xlfn.XLOOKUP(Table117821341[[#This Row],[Opp]],Table123[DEF],'2425'!$K$3:$K$34),"#N/A")</f>
        <v>#N/A</v>
      </c>
      <c r="J139" s="148" t="e" cm="1">
        <f t="array" ref="J13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39" s="148" t="e" cm="1">
        <f t="array" ref="K13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39" s="148" t="e" cm="1">
        <f t="array" ref="L13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39" s="148" t="e" cm="1">
        <f t="array" ref="M13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39" s="148" t="e" cm="1">
        <f t="array" ref="N13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39" s="149" t="str">
        <f>IF(Table117821341[[#This Row],[Pos.]]="QB1",_xlfn.XLOOKUP(Table117821341[[#This Row],[Opp]],Table123[DEF],Table123[P]),"#N/A")</f>
        <v>#N/A</v>
      </c>
      <c r="P139" s="149" t="str">
        <f>IF(Table117821341[[#This Row],[Pos.]]="QB1",_xlfn.XLOOKUP(Table117821341[[#This Row],[Opp]],Table123[DEF],Table123[P+R]),"#N/A")</f>
        <v>#N/A</v>
      </c>
      <c r="Q139" s="150" t="str">
        <f>IF(Table117821341[[#This Row],[Pos.]]="QB1",_xlfn.XLOOKUP(Table117821341[[#This Row],[Opp]],Table123[DEF],Table123[P TD]),"#N/A")</f>
        <v>#N/A</v>
      </c>
      <c r="R139" s="149" t="e" cm="1">
        <f t="array" ref="R13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39" s="150" t="e" cm="1">
        <f t="array" ref="S13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39" s="150" t="e" cm="1">
        <f t="array" ref="T13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39" s="150" t="e" cm="1">
        <f t="array" ref="U13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39" s="150" t="e" cm="1">
        <f t="array" ref="V13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39" s="148" t="e" cm="1">
        <f t="array" ref="W139">_xlfn.IFS(Table117821341[[#This Row],[Pos.]]="QB1",AVERAGE(G139,H139,I139,J139,N139),Table117821341[[#This Row],[Pos.]]="RB1",AVERAGE(J139,K139,N139),Table117821341[[#This Row],[Pos.]]="RB2",AVERAGE(J139,K139,N139),Table117821341[[#This Row],[Pos.]]="WR1",AVERAGE(L139,M139,N139),Table117821341[[#This Row],[Pos.]]="WR2",AVERAGE(L139,M139,N139),Table117821341[[#This Row],[Pos.]]="WR3",AVERAGE(L139,M139,N139),Table117821341[[#This Row],[Pos.]]="WR4",AVERAGE(L139,M139,N139),Table117821341[[#This Row],[Pos.]]="TE1",AVERAGE(L139,M139,N139),Table117821341[[#This Row],[Pos.]]="TE2",AVERAGE(L139,M139,N139),Table117821341[[#This Row],[Pos.]]="D/ST",AVERAGE(Table117821341[[#This Row],[*TD*]]))</f>
        <v>#N/A</v>
      </c>
      <c r="X139" s="94" t="e">
        <f t="shared" si="2"/>
        <v>#N/A</v>
      </c>
    </row>
    <row r="140" spans="2:24" hidden="1" x14ac:dyDescent="0.35">
      <c r="B140" s="6" t="s">
        <v>484</v>
      </c>
      <c r="C140" s="97" t="s">
        <v>32</v>
      </c>
      <c r="D140" s="97" t="s">
        <v>441</v>
      </c>
      <c r="E140" s="23" t="str" cm="1">
        <f t="array" ref="E140">_xlfn.XLOOKUP(Table117821341[[#This Row],[Team]],Table4334[Team],'2425'!$C$3:$C$34)</f>
        <v>n/a</v>
      </c>
      <c r="F140" s="97" t="str">
        <f>_xlfn.XLOOKUP(Table117821341[[#This Row],[Team]],Table4334[Team],Table4334[OPP])</f>
        <v>n/a</v>
      </c>
      <c r="G140" s="148" t="str" cm="1">
        <f t="array" ref="G140">IF(Table117821341[[#This Row],[Pos.]]="QB1",_xlfn.XLOOKUP(Table117821341[[#This Row],[Opp]],Table123[DEF],'2425'!$G$3:$G$34),"#N/A")</f>
        <v>#N/A</v>
      </c>
      <c r="H140" s="148" t="str" cm="1">
        <f t="array" ref="H140">IF(Table117821341[[#This Row],[Pos.]]="QB1",_xlfn.XLOOKUP(Table117821341[[#This Row],[Opp]],Table123[DEF],'2425'!$J$3:$J$34),"#N/A")</f>
        <v>#N/A</v>
      </c>
      <c r="I140" s="148" t="str" cm="1">
        <f t="array" ref="I140">IF(Table117821341[[#This Row],[Pos.]]="QB1",_xlfn.XLOOKUP(Table117821341[[#This Row],[Opp]],Table123[DEF],'2425'!$K$3:$K$34),"#N/A")</f>
        <v>#N/A</v>
      </c>
      <c r="J140" s="148" t="e" cm="1">
        <f t="array" ref="J14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0" s="148" t="e" cm="1">
        <f t="array" ref="K14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0" s="148" t="e" cm="1">
        <f t="array" ref="L14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0" s="148" t="e" cm="1">
        <f t="array" ref="M14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0" s="148" t="e" cm="1">
        <f t="array" ref="N14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0" s="149" t="str">
        <f>IF(Table117821341[[#This Row],[Pos.]]="QB1",_xlfn.XLOOKUP(Table117821341[[#This Row],[Opp]],Table123[DEF],Table123[P]),"#N/A")</f>
        <v>#N/A</v>
      </c>
      <c r="P140" s="149" t="str">
        <f>IF(Table117821341[[#This Row],[Pos.]]="QB1",_xlfn.XLOOKUP(Table117821341[[#This Row],[Opp]],Table123[DEF],Table123[P+R]),"#N/A")</f>
        <v>#N/A</v>
      </c>
      <c r="Q140" s="150" t="str">
        <f>IF(Table117821341[[#This Row],[Pos.]]="QB1",_xlfn.XLOOKUP(Table117821341[[#This Row],[Opp]],Table123[DEF],Table123[P TD]),"#N/A")</f>
        <v>#N/A</v>
      </c>
      <c r="R140" s="149" t="e" cm="1">
        <f t="array" ref="R14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0" s="150" t="e" cm="1">
        <f t="array" ref="S14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0" s="150" t="e" cm="1">
        <f t="array" ref="T14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0" s="150" t="e" cm="1">
        <f t="array" ref="U14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0" s="150" t="e" cm="1">
        <f t="array" ref="V14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0" s="148" t="e" cm="1">
        <f t="array" ref="W140">_xlfn.IFS(Table117821341[[#This Row],[Pos.]]="QB1",AVERAGE(G140,H140,I140,J140,N140),Table117821341[[#This Row],[Pos.]]="RB1",AVERAGE(J140,K140,N140),Table117821341[[#This Row],[Pos.]]="RB2",AVERAGE(J140,K140,N140),Table117821341[[#This Row],[Pos.]]="WR1",AVERAGE(L140,M140,N140),Table117821341[[#This Row],[Pos.]]="WR2",AVERAGE(L140,M140,N140),Table117821341[[#This Row],[Pos.]]="WR3",AVERAGE(L140,M140,N140),Table117821341[[#This Row],[Pos.]]="WR4",AVERAGE(L140,M140,N140),Table117821341[[#This Row],[Pos.]]="TE1",AVERAGE(L140,M140,N140),Table117821341[[#This Row],[Pos.]]="TE2",AVERAGE(L140,M140,N140),Table117821341[[#This Row],[Pos.]]="D/ST",AVERAGE(Table117821341[[#This Row],[*TD*]]))</f>
        <v>#N/A</v>
      </c>
      <c r="X140" s="94" t="e">
        <f t="shared" si="2"/>
        <v>#N/A</v>
      </c>
    </row>
    <row r="141" spans="2:24" hidden="1" x14ac:dyDescent="0.35">
      <c r="B141" s="6" t="s">
        <v>487</v>
      </c>
      <c r="C141" s="97" t="s">
        <v>32</v>
      </c>
      <c r="D141" s="97" t="s">
        <v>443</v>
      </c>
      <c r="E141" s="23" t="str" cm="1">
        <f t="array" ref="E141">_xlfn.XLOOKUP(Table117821341[[#This Row],[Team]],Table4334[Team],'2425'!$C$3:$C$34)</f>
        <v>n/a</v>
      </c>
      <c r="F141" s="97" t="str">
        <f>_xlfn.XLOOKUP(Table117821341[[#This Row],[Team]],Table4334[Team],Table4334[OPP])</f>
        <v>n/a</v>
      </c>
      <c r="G141" s="148" t="str" cm="1">
        <f t="array" ref="G141">IF(Table117821341[[#This Row],[Pos.]]="QB1",_xlfn.XLOOKUP(Table117821341[[#This Row],[Opp]],Table123[DEF],'2425'!$G$3:$G$34),"#N/A")</f>
        <v>#N/A</v>
      </c>
      <c r="H141" s="148" t="str" cm="1">
        <f t="array" ref="H141">IF(Table117821341[[#This Row],[Pos.]]="QB1",_xlfn.XLOOKUP(Table117821341[[#This Row],[Opp]],Table123[DEF],'2425'!$J$3:$J$34),"#N/A")</f>
        <v>#N/A</v>
      </c>
      <c r="I141" s="148" t="str" cm="1">
        <f t="array" ref="I141">IF(Table117821341[[#This Row],[Pos.]]="QB1",_xlfn.XLOOKUP(Table117821341[[#This Row],[Opp]],Table123[DEF],'2425'!$K$3:$K$34),"#N/A")</f>
        <v>#N/A</v>
      </c>
      <c r="J141" s="148" t="e" cm="1">
        <f t="array" ref="J14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1" s="148" t="e" cm="1">
        <f t="array" ref="K14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1" s="148" t="e" cm="1">
        <f t="array" ref="L14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1" s="148" t="e" cm="1">
        <f t="array" ref="M14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1" s="148" t="e" cm="1">
        <f t="array" ref="N14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1" s="149" t="str">
        <f>IF(Table117821341[[#This Row],[Pos.]]="QB1",_xlfn.XLOOKUP(Table117821341[[#This Row],[Opp]],Table123[DEF],Table123[P]),"#N/A")</f>
        <v>#N/A</v>
      </c>
      <c r="P141" s="149" t="str">
        <f>IF(Table117821341[[#This Row],[Pos.]]="QB1",_xlfn.XLOOKUP(Table117821341[[#This Row],[Opp]],Table123[DEF],Table123[P+R]),"#N/A")</f>
        <v>#N/A</v>
      </c>
      <c r="Q141" s="150" t="str">
        <f>IF(Table117821341[[#This Row],[Pos.]]="QB1",_xlfn.XLOOKUP(Table117821341[[#This Row],[Opp]],Table123[DEF],Table123[P TD]),"#N/A")</f>
        <v>#N/A</v>
      </c>
      <c r="R141" s="149" t="e" cm="1">
        <f t="array" ref="R14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1" s="150" t="e" cm="1">
        <f t="array" ref="S14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1" s="150" t="e" cm="1">
        <f t="array" ref="T14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1" s="150" t="e" cm="1">
        <f t="array" ref="U14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1" s="150" t="e" cm="1">
        <f t="array" ref="V14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1" s="148" t="e" cm="1">
        <f t="array" ref="W141">_xlfn.IFS(Table117821341[[#This Row],[Pos.]]="QB1",AVERAGE(G141,H141,I141,J141,N141),Table117821341[[#This Row],[Pos.]]="RB1",AVERAGE(J141,K141,N141),Table117821341[[#This Row],[Pos.]]="RB2",AVERAGE(J141,K141,N141),Table117821341[[#This Row],[Pos.]]="WR1",AVERAGE(L141,M141,N141),Table117821341[[#This Row],[Pos.]]="WR2",AVERAGE(L141,M141,N141),Table117821341[[#This Row],[Pos.]]="WR3",AVERAGE(L141,M141,N141),Table117821341[[#This Row],[Pos.]]="WR4",AVERAGE(L141,M141,N141),Table117821341[[#This Row],[Pos.]]="TE1",AVERAGE(L141,M141,N141),Table117821341[[#This Row],[Pos.]]="TE2",AVERAGE(L141,M141,N141),Table117821341[[#This Row],[Pos.]]="D/ST",AVERAGE(Table117821341[[#This Row],[*TD*]]))</f>
        <v>#N/A</v>
      </c>
      <c r="X141" s="94" t="e">
        <f t="shared" si="2"/>
        <v>#N/A</v>
      </c>
    </row>
    <row r="142" spans="2:24" hidden="1" x14ac:dyDescent="0.35">
      <c r="B142" s="6" t="s">
        <v>297</v>
      </c>
      <c r="C142" s="97" t="s">
        <v>45</v>
      </c>
      <c r="D142" s="97" t="s">
        <v>397</v>
      </c>
      <c r="E142" s="23" t="str" cm="1">
        <f t="array" ref="E142">_xlfn.XLOOKUP(Table117821341[[#This Row],[Team]],Table4334[Team],'2425'!$C$3:$C$34)</f>
        <v>n/a</v>
      </c>
      <c r="F142" s="97" t="str">
        <f>_xlfn.XLOOKUP(Table117821341[[#This Row],[Team]],Table4334[Team],Table4334[OPP])</f>
        <v>n/a</v>
      </c>
      <c r="G142" s="148" t="str" cm="1">
        <f t="array" ref="G142">IF(Table117821341[[#This Row],[Pos.]]="QB1",_xlfn.XLOOKUP(Table117821341[[#This Row],[Opp]],Table123[DEF],'2425'!$G$3:$G$34),"#N/A")</f>
        <v>#N/A</v>
      </c>
      <c r="H142" s="148" t="str" cm="1">
        <f t="array" ref="H142">IF(Table117821341[[#This Row],[Pos.]]="QB1",_xlfn.XLOOKUP(Table117821341[[#This Row],[Opp]],Table123[DEF],'2425'!$J$3:$J$34),"#N/A")</f>
        <v>#N/A</v>
      </c>
      <c r="I142" s="148" t="str" cm="1">
        <f t="array" ref="I142">IF(Table117821341[[#This Row],[Pos.]]="QB1",_xlfn.XLOOKUP(Table117821341[[#This Row],[Opp]],Table123[DEF],'2425'!$K$3:$K$34),"#N/A")</f>
        <v>#N/A</v>
      </c>
      <c r="J142" s="148" t="e" cm="1">
        <f t="array" ref="J14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2" s="148" t="e" cm="1">
        <f t="array" ref="K14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2" s="148" t="e" cm="1">
        <f t="array" ref="L14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2" s="148" t="e" cm="1">
        <f t="array" ref="M14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2" s="148" t="e" cm="1">
        <f t="array" ref="N14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2" s="149" t="str">
        <f>IF(Table117821341[[#This Row],[Pos.]]="QB1",_xlfn.XLOOKUP(Table117821341[[#This Row],[Opp]],Table123[DEF],Table123[P]),"#N/A")</f>
        <v>#N/A</v>
      </c>
      <c r="P142" s="149" t="str">
        <f>IF(Table117821341[[#This Row],[Pos.]]="QB1",_xlfn.XLOOKUP(Table117821341[[#This Row],[Opp]],Table123[DEF],Table123[P+R]),"#N/A")</f>
        <v>#N/A</v>
      </c>
      <c r="Q142" s="150" t="str">
        <f>IF(Table117821341[[#This Row],[Pos.]]="QB1",_xlfn.XLOOKUP(Table117821341[[#This Row],[Opp]],Table123[DEF],Table123[P TD]),"#N/A")</f>
        <v>#N/A</v>
      </c>
      <c r="R142" s="149" t="e" cm="1">
        <f t="array" ref="R14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2" s="150" t="e" cm="1">
        <f t="array" ref="S14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2" s="150" t="e" cm="1">
        <f t="array" ref="T14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2" s="150" t="e" cm="1">
        <f t="array" ref="U14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2" s="162" t="e" cm="1">
        <f t="array" ref="V14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2" s="148" t="e" cm="1">
        <f t="array" ref="W142">_xlfn.IFS(Table117821341[[#This Row],[Pos.]]="QB1",AVERAGE(G142,H142,I142,J142,N142),Table117821341[[#This Row],[Pos.]]="RB1",AVERAGE(J142,K142,N142),Table117821341[[#This Row],[Pos.]]="RB2",AVERAGE(J142,K142,N142),Table117821341[[#This Row],[Pos.]]="WR1",AVERAGE(L142,M142,N142),Table117821341[[#This Row],[Pos.]]="WR2",AVERAGE(L142,M142,N142),Table117821341[[#This Row],[Pos.]]="WR3",AVERAGE(L142,M142,N142),Table117821341[[#This Row],[Pos.]]="WR4",AVERAGE(L142,M142,N142),Table117821341[[#This Row],[Pos.]]="TE1",AVERAGE(L142,M142,N142),Table117821341[[#This Row],[Pos.]]="TE2",AVERAGE(L142,M142,N142),Table117821341[[#This Row],[Pos.]]="D/ST",AVERAGE(Table117821341[[#This Row],[*TD*]]))</f>
        <v>#N/A</v>
      </c>
      <c r="X142" s="94" t="e">
        <f t="shared" si="2"/>
        <v>#N/A</v>
      </c>
    </row>
    <row r="143" spans="2:24" hidden="1" x14ac:dyDescent="0.35">
      <c r="B143" s="6" t="s">
        <v>335</v>
      </c>
      <c r="C143" s="97" t="s">
        <v>49</v>
      </c>
      <c r="D143" s="97" t="s">
        <v>66</v>
      </c>
      <c r="E143" s="23" t="str" cm="1">
        <f t="array" ref="E143">_xlfn.XLOOKUP(Table117821341[[#This Row],[Team]],Table4334[Team],'2425'!$C$3:$C$34)</f>
        <v>n/a</v>
      </c>
      <c r="F143" s="97" t="str">
        <f>_xlfn.XLOOKUP(Table117821341[[#This Row],[Team]],Table4334[Team],Table4334[OPP])</f>
        <v>n/a</v>
      </c>
      <c r="G143" s="148" t="str" cm="1">
        <f t="array" ref="G143">IF(Table117821341[[#This Row],[Pos.]]="QB1",_xlfn.XLOOKUP(Table117821341[[#This Row],[Opp]],Table123[DEF],'2425'!$G$3:$G$34),"#N/A")</f>
        <v>#N/A</v>
      </c>
      <c r="H143" s="148" t="str" cm="1">
        <f t="array" ref="H143">IF(Table117821341[[#This Row],[Pos.]]="QB1",_xlfn.XLOOKUP(Table117821341[[#This Row],[Opp]],Table123[DEF],'2425'!$J$3:$J$34),"#N/A")</f>
        <v>#N/A</v>
      </c>
      <c r="I143" s="148" t="str" cm="1">
        <f t="array" ref="I143">IF(Table117821341[[#This Row],[Pos.]]="QB1",_xlfn.XLOOKUP(Table117821341[[#This Row],[Opp]],Table123[DEF],'2425'!$K$3:$K$34),"#N/A")</f>
        <v>#N/A</v>
      </c>
      <c r="J143" s="148" t="e" cm="1">
        <f t="array" ref="J14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3" s="148" t="e" cm="1">
        <f t="array" ref="K14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3" s="148" t="e" cm="1">
        <f t="array" ref="L14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3" s="148" t="e" cm="1">
        <f t="array" ref="M14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3" s="148" t="e" cm="1">
        <f t="array" ref="N14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3" s="149" t="str">
        <f>IF(Table117821341[[#This Row],[Pos.]]="QB1",_xlfn.XLOOKUP(Table117821341[[#This Row],[Opp]],Table123[DEF],Table123[P]),"#N/A")</f>
        <v>#N/A</v>
      </c>
      <c r="P143" s="149" t="str">
        <f>IF(Table117821341[[#This Row],[Pos.]]="QB1",_xlfn.XLOOKUP(Table117821341[[#This Row],[Opp]],Table123[DEF],Table123[P+R]),"#N/A")</f>
        <v>#N/A</v>
      </c>
      <c r="Q143" s="150" t="str">
        <f>IF(Table117821341[[#This Row],[Pos.]]="QB1",_xlfn.XLOOKUP(Table117821341[[#This Row],[Opp]],Table123[DEF],Table123[P TD]),"#N/A")</f>
        <v>#N/A</v>
      </c>
      <c r="R143" s="149" t="e" cm="1">
        <f t="array" ref="R14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3" s="150" t="e" cm="1">
        <f t="array" ref="S14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3" s="150" t="e" cm="1">
        <f t="array" ref="T14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3" s="150" t="e" cm="1">
        <f t="array" ref="U14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3" s="162" t="e" cm="1">
        <f t="array" ref="V14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3" s="148" t="e" cm="1">
        <f t="array" ref="W143">_xlfn.IFS(Table117821341[[#This Row],[Pos.]]="QB1",AVERAGE(G143,H143,I143,J143,N143),Table117821341[[#This Row],[Pos.]]="RB1",AVERAGE(J143,K143,N143),Table117821341[[#This Row],[Pos.]]="RB2",AVERAGE(J143,K143,N143),Table117821341[[#This Row],[Pos.]]="WR1",AVERAGE(L143,M143,N143),Table117821341[[#This Row],[Pos.]]="WR2",AVERAGE(L143,M143,N143),Table117821341[[#This Row],[Pos.]]="WR3",AVERAGE(L143,M143,N143),Table117821341[[#This Row],[Pos.]]="WR4",AVERAGE(L143,M143,N143),Table117821341[[#This Row],[Pos.]]="TE1",AVERAGE(L143,M143,N143),Table117821341[[#This Row],[Pos.]]="TE2",AVERAGE(L143,M143,N143),Table117821341[[#This Row],[Pos.]]="D/ST",AVERAGE(Table117821341[[#This Row],[*TD*]]))</f>
        <v>#N/A</v>
      </c>
      <c r="X143" s="94" t="e">
        <f t="shared" si="2"/>
        <v>#N/A</v>
      </c>
    </row>
    <row r="144" spans="2:24" hidden="1" x14ac:dyDescent="0.35">
      <c r="B144" s="6" t="s">
        <v>182</v>
      </c>
      <c r="C144" s="97" t="s">
        <v>33</v>
      </c>
      <c r="D144" s="97" t="s">
        <v>405</v>
      </c>
      <c r="E144" s="23" t="str" cm="1">
        <f t="array" ref="E144">_xlfn.XLOOKUP(Table117821341[[#This Row],[Team]],Table4334[Team],'2425'!$C$3:$C$34)</f>
        <v>n/a</v>
      </c>
      <c r="F144" s="97" t="str">
        <f>_xlfn.XLOOKUP(Table117821341[[#This Row],[Team]],Table4334[Team],Table4334[OPP])</f>
        <v>n/a</v>
      </c>
      <c r="G144" s="148" t="str" cm="1">
        <f t="array" ref="G144">IF(Table117821341[[#This Row],[Pos.]]="QB1",_xlfn.XLOOKUP(Table117821341[[#This Row],[Opp]],Table123[DEF],'2425'!$G$3:$G$34),"#N/A")</f>
        <v>#N/A</v>
      </c>
      <c r="H144" s="148" t="str" cm="1">
        <f t="array" ref="H144">IF(Table117821341[[#This Row],[Pos.]]="QB1",_xlfn.XLOOKUP(Table117821341[[#This Row],[Opp]],Table123[DEF],'2425'!$J$3:$J$34),"#N/A")</f>
        <v>#N/A</v>
      </c>
      <c r="I144" s="148" t="str" cm="1">
        <f t="array" ref="I144">IF(Table117821341[[#This Row],[Pos.]]="QB1",_xlfn.XLOOKUP(Table117821341[[#This Row],[Opp]],Table123[DEF],'2425'!$K$3:$K$34),"#N/A")</f>
        <v>#N/A</v>
      </c>
      <c r="J144" s="148" t="e" cm="1">
        <f t="array" ref="J14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4" s="148" t="e" cm="1">
        <f t="array" ref="K14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4" s="148" t="e" cm="1">
        <f t="array" ref="L14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4" s="148" t="e" cm="1">
        <f t="array" ref="M14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4" s="148" t="e" cm="1">
        <f t="array" ref="N14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4" s="149" t="str">
        <f>IF(Table117821341[[#This Row],[Pos.]]="QB1",_xlfn.XLOOKUP(Table117821341[[#This Row],[Opp]],Table123[DEF],Table123[P]),"#N/A")</f>
        <v>#N/A</v>
      </c>
      <c r="P144" s="149" t="str">
        <f>IF(Table117821341[[#This Row],[Pos.]]="QB1",_xlfn.XLOOKUP(Table117821341[[#This Row],[Opp]],Table123[DEF],Table123[P+R]),"#N/A")</f>
        <v>#N/A</v>
      </c>
      <c r="Q144" s="150" t="str">
        <f>IF(Table117821341[[#This Row],[Pos.]]="QB1",_xlfn.XLOOKUP(Table117821341[[#This Row],[Opp]],Table123[DEF],Table123[P TD]),"#N/A")</f>
        <v>#N/A</v>
      </c>
      <c r="R144" s="149" t="e" cm="1">
        <f t="array" ref="R14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4" s="150" t="e" cm="1">
        <f t="array" ref="S14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4" s="150" t="e" cm="1">
        <f t="array" ref="T14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4" s="150" t="e" cm="1">
        <f t="array" ref="U14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4" s="150" t="e" cm="1">
        <f t="array" ref="V14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4" s="148" t="e" cm="1">
        <f t="array" ref="W144">_xlfn.IFS(Table117821341[[#This Row],[Pos.]]="QB1",AVERAGE(G144,H144,I144,J144,N144),Table117821341[[#This Row],[Pos.]]="RB1",AVERAGE(J144,K144,N144),Table117821341[[#This Row],[Pos.]]="RB2",AVERAGE(J144,K144,N144),Table117821341[[#This Row],[Pos.]]="WR1",AVERAGE(L144,M144,N144),Table117821341[[#This Row],[Pos.]]="WR2",AVERAGE(L144,M144,N144),Table117821341[[#This Row],[Pos.]]="WR3",AVERAGE(L144,M144,N144),Table117821341[[#This Row],[Pos.]]="WR4",AVERAGE(L144,M144,N144),Table117821341[[#This Row],[Pos.]]="TE1",AVERAGE(L144,M144,N144),Table117821341[[#This Row],[Pos.]]="TE2",AVERAGE(L144,M144,N144),Table117821341[[#This Row],[Pos.]]="D/ST",AVERAGE(Table117821341[[#This Row],[*TD*]]))</f>
        <v>#N/A</v>
      </c>
      <c r="X144" s="94" t="e">
        <f t="shared" si="2"/>
        <v>#N/A</v>
      </c>
    </row>
    <row r="145" spans="2:24" hidden="1" x14ac:dyDescent="0.35">
      <c r="B145" s="6" t="s">
        <v>300</v>
      </c>
      <c r="C145" s="97" t="s">
        <v>45</v>
      </c>
      <c r="D145" s="97" t="s">
        <v>67</v>
      </c>
      <c r="E145" s="23" t="str" cm="1">
        <f t="array" ref="E145">_xlfn.XLOOKUP(Table117821341[[#This Row],[Team]],Table4334[Team],'2425'!$C$3:$C$34)</f>
        <v>n/a</v>
      </c>
      <c r="F145" s="97" t="str">
        <f>_xlfn.XLOOKUP(Table117821341[[#This Row],[Team]],Table4334[Team],Table4334[OPP])</f>
        <v>n/a</v>
      </c>
      <c r="G145" s="148" t="str" cm="1">
        <f t="array" ref="G145">IF(Table117821341[[#This Row],[Pos.]]="QB1",_xlfn.XLOOKUP(Table117821341[[#This Row],[Opp]],Table123[DEF],'2425'!$G$3:$G$34),"#N/A")</f>
        <v>#N/A</v>
      </c>
      <c r="H145" s="148" t="str" cm="1">
        <f t="array" ref="H145">IF(Table117821341[[#This Row],[Pos.]]="QB1",_xlfn.XLOOKUP(Table117821341[[#This Row],[Opp]],Table123[DEF],'2425'!$J$3:$J$34),"#N/A")</f>
        <v>#N/A</v>
      </c>
      <c r="I145" s="148" t="str" cm="1">
        <f t="array" ref="I145">IF(Table117821341[[#This Row],[Pos.]]="QB1",_xlfn.XLOOKUP(Table117821341[[#This Row],[Opp]],Table123[DEF],'2425'!$K$3:$K$34),"#N/A")</f>
        <v>#N/A</v>
      </c>
      <c r="J145" s="148" t="e" cm="1">
        <f t="array" ref="J14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5" s="148" t="e" cm="1">
        <f t="array" ref="K14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5" s="148" t="e" cm="1">
        <f t="array" ref="L14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5" s="148" t="e" cm="1">
        <f t="array" ref="M14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5" s="148" t="e" cm="1">
        <f t="array" ref="N14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5" s="149" t="str">
        <f>IF(Table117821341[[#This Row],[Pos.]]="QB1",_xlfn.XLOOKUP(Table117821341[[#This Row],[Opp]],Table123[DEF],Table123[P]),"#N/A")</f>
        <v>#N/A</v>
      </c>
      <c r="P145" s="149" t="str">
        <f>IF(Table117821341[[#This Row],[Pos.]]="QB1",_xlfn.XLOOKUP(Table117821341[[#This Row],[Opp]],Table123[DEF],Table123[P+R]),"#N/A")</f>
        <v>#N/A</v>
      </c>
      <c r="Q145" s="150" t="str">
        <f>IF(Table117821341[[#This Row],[Pos.]]="QB1",_xlfn.XLOOKUP(Table117821341[[#This Row],[Opp]],Table123[DEF],Table123[P TD]),"#N/A")</f>
        <v>#N/A</v>
      </c>
      <c r="R145" s="149" t="e" cm="1">
        <f t="array" ref="R14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5" s="150" t="e" cm="1">
        <f t="array" ref="S14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5" s="150" t="e" cm="1">
        <f t="array" ref="T14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5" s="150" t="e" cm="1">
        <f t="array" ref="U14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5" s="162" t="e" cm="1">
        <f t="array" ref="V14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5" s="148" t="e" cm="1">
        <f t="array" ref="W145">_xlfn.IFS(Table117821341[[#This Row],[Pos.]]="QB1",AVERAGE(G145,H145,I145,J145,N145),Table117821341[[#This Row],[Pos.]]="RB1",AVERAGE(J145,K145,N145),Table117821341[[#This Row],[Pos.]]="RB2",AVERAGE(J145,K145,N145),Table117821341[[#This Row],[Pos.]]="WR1",AVERAGE(L145,M145,N145),Table117821341[[#This Row],[Pos.]]="WR2",AVERAGE(L145,M145,N145),Table117821341[[#This Row],[Pos.]]="WR3",AVERAGE(L145,M145,N145),Table117821341[[#This Row],[Pos.]]="WR4",AVERAGE(L145,M145,N145),Table117821341[[#This Row],[Pos.]]="TE1",AVERAGE(L145,M145,N145),Table117821341[[#This Row],[Pos.]]="TE2",AVERAGE(L145,M145,N145),Table117821341[[#This Row],[Pos.]]="D/ST",AVERAGE(Table117821341[[#This Row],[*TD*]]))</f>
        <v>#N/A</v>
      </c>
      <c r="X145" s="94" t="e">
        <f t="shared" si="2"/>
        <v>#N/A</v>
      </c>
    </row>
    <row r="146" spans="2:24" hidden="1" x14ac:dyDescent="0.35">
      <c r="B146" s="6" t="s">
        <v>183</v>
      </c>
      <c r="C146" s="97" t="s">
        <v>33</v>
      </c>
      <c r="D146" s="97" t="s">
        <v>394</v>
      </c>
      <c r="E146" s="23" t="str" cm="1">
        <f t="array" ref="E146">_xlfn.XLOOKUP(Table117821341[[#This Row],[Team]],Table4334[Team],'2425'!$C$3:$C$34)</f>
        <v>n/a</v>
      </c>
      <c r="F146" s="97" t="str">
        <f>_xlfn.XLOOKUP(Table117821341[[#This Row],[Team]],Table4334[Team],Table4334[OPP])</f>
        <v>n/a</v>
      </c>
      <c r="G146" s="148" t="str" cm="1">
        <f t="array" ref="G146">IF(Table117821341[[#This Row],[Pos.]]="QB1",_xlfn.XLOOKUP(Table117821341[[#This Row],[Opp]],Table123[DEF],'2425'!$G$3:$G$34),"#N/A")</f>
        <v>#N/A</v>
      </c>
      <c r="H146" s="148" t="str" cm="1">
        <f t="array" ref="H146">IF(Table117821341[[#This Row],[Pos.]]="QB1",_xlfn.XLOOKUP(Table117821341[[#This Row],[Opp]],Table123[DEF],'2425'!$J$3:$J$34),"#N/A")</f>
        <v>#N/A</v>
      </c>
      <c r="I146" s="148" t="str" cm="1">
        <f t="array" ref="I146">IF(Table117821341[[#This Row],[Pos.]]="QB1",_xlfn.XLOOKUP(Table117821341[[#This Row],[Opp]],Table123[DEF],'2425'!$K$3:$K$34),"#N/A")</f>
        <v>#N/A</v>
      </c>
      <c r="J146" s="148" t="e" cm="1">
        <f t="array" ref="J14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6" s="148" t="e" cm="1">
        <f t="array" ref="K14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6" s="148" t="e" cm="1">
        <f t="array" ref="L14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6" s="148" t="e" cm="1">
        <f t="array" ref="M14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6" s="148" t="e" cm="1">
        <f t="array" ref="N14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6" s="149" t="str">
        <f>IF(Table117821341[[#This Row],[Pos.]]="QB1",_xlfn.XLOOKUP(Table117821341[[#This Row],[Opp]],Table123[DEF],Table123[P]),"#N/A")</f>
        <v>#N/A</v>
      </c>
      <c r="P146" s="149" t="str">
        <f>IF(Table117821341[[#This Row],[Pos.]]="QB1",_xlfn.XLOOKUP(Table117821341[[#This Row],[Opp]],Table123[DEF],Table123[P+R]),"#N/A")</f>
        <v>#N/A</v>
      </c>
      <c r="Q146" s="150" t="str">
        <f>IF(Table117821341[[#This Row],[Pos.]]="QB1",_xlfn.XLOOKUP(Table117821341[[#This Row],[Opp]],Table123[DEF],Table123[P TD]),"#N/A")</f>
        <v>#N/A</v>
      </c>
      <c r="R146" s="149" t="e" cm="1">
        <f t="array" ref="R14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6" s="150" t="e" cm="1">
        <f t="array" ref="S14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6" s="150" t="e" cm="1">
        <f t="array" ref="T14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6" s="150" t="e" cm="1">
        <f t="array" ref="U14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6" s="150" t="e" cm="1">
        <f t="array" ref="V14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6" s="148" t="e" cm="1">
        <f t="array" ref="W146">_xlfn.IFS(Table117821341[[#This Row],[Pos.]]="QB1",AVERAGE(G146,H146,I146,J146,N146),Table117821341[[#This Row],[Pos.]]="RB1",AVERAGE(J146,K146,N146),Table117821341[[#This Row],[Pos.]]="RB2",AVERAGE(J146,K146,N146),Table117821341[[#This Row],[Pos.]]="WR1",AVERAGE(L146,M146,N146),Table117821341[[#This Row],[Pos.]]="WR2",AVERAGE(L146,M146,N146),Table117821341[[#This Row],[Pos.]]="WR3",AVERAGE(L146,M146,N146),Table117821341[[#This Row],[Pos.]]="WR4",AVERAGE(L146,M146,N146),Table117821341[[#This Row],[Pos.]]="TE1",AVERAGE(L146,M146,N146),Table117821341[[#This Row],[Pos.]]="TE2",AVERAGE(L146,M146,N146),Table117821341[[#This Row],[Pos.]]="D/ST",AVERAGE(Table117821341[[#This Row],[*TD*]]))</f>
        <v>#N/A</v>
      </c>
      <c r="X146" s="94" t="e">
        <f t="shared" si="2"/>
        <v>#N/A</v>
      </c>
    </row>
    <row r="147" spans="2:24" hidden="1" x14ac:dyDescent="0.35">
      <c r="B147" s="6" t="s">
        <v>185</v>
      </c>
      <c r="C147" s="97" t="s">
        <v>33</v>
      </c>
      <c r="D147" s="97" t="s">
        <v>396</v>
      </c>
      <c r="E147" s="23" t="str" cm="1">
        <f t="array" ref="E147">_xlfn.XLOOKUP(Table117821341[[#This Row],[Team]],Table4334[Team],'2425'!$C$3:$C$34)</f>
        <v>n/a</v>
      </c>
      <c r="F147" s="97" t="str">
        <f>_xlfn.XLOOKUP(Table117821341[[#This Row],[Team]],Table4334[Team],Table4334[OPP])</f>
        <v>n/a</v>
      </c>
      <c r="G147" s="148" t="str" cm="1">
        <f t="array" ref="G147">IF(Table117821341[[#This Row],[Pos.]]="QB1",_xlfn.XLOOKUP(Table117821341[[#This Row],[Opp]],Table123[DEF],'2425'!$G$3:$G$34),"#N/A")</f>
        <v>#N/A</v>
      </c>
      <c r="H147" s="148" t="str" cm="1">
        <f t="array" ref="H147">IF(Table117821341[[#This Row],[Pos.]]="QB1",_xlfn.XLOOKUP(Table117821341[[#This Row],[Opp]],Table123[DEF],'2425'!$J$3:$J$34),"#N/A")</f>
        <v>#N/A</v>
      </c>
      <c r="I147" s="148" t="str" cm="1">
        <f t="array" ref="I147">IF(Table117821341[[#This Row],[Pos.]]="QB1",_xlfn.XLOOKUP(Table117821341[[#This Row],[Opp]],Table123[DEF],'2425'!$K$3:$K$34),"#N/A")</f>
        <v>#N/A</v>
      </c>
      <c r="J147" s="148" t="e" cm="1">
        <f t="array" ref="J14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7" s="148" t="e" cm="1">
        <f t="array" ref="K14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7" s="148" t="e" cm="1">
        <f t="array" ref="L14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7" s="148" t="e" cm="1">
        <f t="array" ref="M14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7" s="148" t="e" cm="1">
        <f t="array" ref="N14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7" s="149" t="str">
        <f>IF(Table117821341[[#This Row],[Pos.]]="QB1",_xlfn.XLOOKUP(Table117821341[[#This Row],[Opp]],Table123[DEF],Table123[P]),"#N/A")</f>
        <v>#N/A</v>
      </c>
      <c r="P147" s="149" t="str">
        <f>IF(Table117821341[[#This Row],[Pos.]]="QB1",_xlfn.XLOOKUP(Table117821341[[#This Row],[Opp]],Table123[DEF],Table123[P+R]),"#N/A")</f>
        <v>#N/A</v>
      </c>
      <c r="Q147" s="150" t="str">
        <f>IF(Table117821341[[#This Row],[Pos.]]="QB1",_xlfn.XLOOKUP(Table117821341[[#This Row],[Opp]],Table123[DEF],Table123[P TD]),"#N/A")</f>
        <v>#N/A</v>
      </c>
      <c r="R147" s="149" t="e" cm="1">
        <f t="array" ref="R14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7" s="150" t="e" cm="1">
        <f t="array" ref="S14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7" s="150" t="e" cm="1">
        <f t="array" ref="T14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7" s="150" t="e" cm="1">
        <f t="array" ref="U14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7" s="150" t="e" cm="1">
        <f t="array" ref="V14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7" s="148" t="e" cm="1">
        <f t="array" ref="W147">_xlfn.IFS(Table117821341[[#This Row],[Pos.]]="QB1",AVERAGE(G147,H147,I147,J147,N147),Table117821341[[#This Row],[Pos.]]="RB1",AVERAGE(J147,K147,N147),Table117821341[[#This Row],[Pos.]]="RB2",AVERAGE(J147,K147,N147),Table117821341[[#This Row],[Pos.]]="WR1",AVERAGE(L147,M147,N147),Table117821341[[#This Row],[Pos.]]="WR2",AVERAGE(L147,M147,N147),Table117821341[[#This Row],[Pos.]]="WR3",AVERAGE(L147,M147,N147),Table117821341[[#This Row],[Pos.]]="WR4",AVERAGE(L147,M147,N147),Table117821341[[#This Row],[Pos.]]="TE1",AVERAGE(L147,M147,N147),Table117821341[[#This Row],[Pos.]]="TE2",AVERAGE(L147,M147,N147),Table117821341[[#This Row],[Pos.]]="D/ST",AVERAGE(Table117821341[[#This Row],[*TD*]]))</f>
        <v>#N/A</v>
      </c>
      <c r="X147" s="94" t="e">
        <f t="shared" si="2"/>
        <v>#N/A</v>
      </c>
    </row>
    <row r="148" spans="2:24" hidden="1" x14ac:dyDescent="0.35">
      <c r="B148" s="6" t="s">
        <v>423</v>
      </c>
      <c r="C148" s="97" t="s">
        <v>33</v>
      </c>
      <c r="D148" s="97" t="s">
        <v>407</v>
      </c>
      <c r="E148" s="23" t="str" cm="1">
        <f t="array" ref="E148">_xlfn.XLOOKUP(Table117821341[[#This Row],[Team]],Table4334[Team],'2425'!$C$3:$C$34)</f>
        <v>n/a</v>
      </c>
      <c r="F148" s="97" t="str">
        <f>_xlfn.XLOOKUP(Table117821341[[#This Row],[Team]],Table4334[Team],Table4334[OPP])</f>
        <v>n/a</v>
      </c>
      <c r="G148" s="148" t="str" cm="1">
        <f t="array" ref="G148">IF(Table117821341[[#This Row],[Pos.]]="QB1",_xlfn.XLOOKUP(Table117821341[[#This Row],[Opp]],Table123[DEF],'2425'!$G$3:$G$34),"#N/A")</f>
        <v>#N/A</v>
      </c>
      <c r="H148" s="148" t="str" cm="1">
        <f t="array" ref="H148">IF(Table117821341[[#This Row],[Pos.]]="QB1",_xlfn.XLOOKUP(Table117821341[[#This Row],[Opp]],Table123[DEF],'2425'!$J$3:$J$34),"#N/A")</f>
        <v>#N/A</v>
      </c>
      <c r="I148" s="148" t="str" cm="1">
        <f t="array" ref="I148">IF(Table117821341[[#This Row],[Pos.]]="QB1",_xlfn.XLOOKUP(Table117821341[[#This Row],[Opp]],Table123[DEF],'2425'!$K$3:$K$34),"#N/A")</f>
        <v>#N/A</v>
      </c>
      <c r="J148" s="148" t="e" cm="1">
        <f t="array" ref="J14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8" s="148" t="e" cm="1">
        <f t="array" ref="K14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8" s="148" t="e" cm="1">
        <f t="array" ref="L14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48" s="148" t="e" cm="1">
        <f t="array" ref="M14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48" s="148" t="e" cm="1">
        <f t="array" ref="N14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48" s="149" t="str">
        <f>IF(Table117821341[[#This Row],[Pos.]]="QB1",_xlfn.XLOOKUP(Table117821341[[#This Row],[Opp]],Table123[DEF],Table123[P]),"#N/A")</f>
        <v>#N/A</v>
      </c>
      <c r="P148" s="149" t="str">
        <f>IF(Table117821341[[#This Row],[Pos.]]="QB1",_xlfn.XLOOKUP(Table117821341[[#This Row],[Opp]],Table123[DEF],Table123[P+R]),"#N/A")</f>
        <v>#N/A</v>
      </c>
      <c r="Q148" s="150" t="str">
        <f>IF(Table117821341[[#This Row],[Pos.]]="QB1",_xlfn.XLOOKUP(Table117821341[[#This Row],[Opp]],Table123[DEF],Table123[P TD]),"#N/A")</f>
        <v>#N/A</v>
      </c>
      <c r="R148" s="149" t="e" cm="1">
        <f t="array" ref="R14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8" s="150" t="e" cm="1">
        <f t="array" ref="S14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8" s="150" t="e" cm="1">
        <f t="array" ref="T14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48" s="150" t="e" cm="1">
        <f t="array" ref="U14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48" s="150" t="e" cm="1">
        <f t="array" ref="V14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48" s="148" t="e" cm="1">
        <f t="array" ref="W148">_xlfn.IFS(Table117821341[[#This Row],[Pos.]]="QB1",AVERAGE(G148,H148,I148,J148,N148),Table117821341[[#This Row],[Pos.]]="RB1",AVERAGE(J148,K148,N148),Table117821341[[#This Row],[Pos.]]="RB2",AVERAGE(J148,K148,N148),Table117821341[[#This Row],[Pos.]]="WR1",AVERAGE(L148,M148,N148),Table117821341[[#This Row],[Pos.]]="WR2",AVERAGE(L148,M148,N148),Table117821341[[#This Row],[Pos.]]="WR3",AVERAGE(L148,M148,N148),Table117821341[[#This Row],[Pos.]]="WR4",AVERAGE(L148,M148,N148),Table117821341[[#This Row],[Pos.]]="TE1",AVERAGE(L148,M148,N148),Table117821341[[#This Row],[Pos.]]="TE2",AVERAGE(L148,M148,N148),Table117821341[[#This Row],[Pos.]]="D/ST",AVERAGE(Table117821341[[#This Row],[*TD*]]))</f>
        <v>#N/A</v>
      </c>
      <c r="X148" s="94" t="e">
        <f t="shared" si="2"/>
        <v>#N/A</v>
      </c>
    </row>
    <row r="149" spans="2:24" hidden="1" x14ac:dyDescent="0.35">
      <c r="B149" s="179" t="s">
        <v>355</v>
      </c>
      <c r="C149" s="97" t="s">
        <v>52</v>
      </c>
      <c r="D149" s="97" t="s">
        <v>66</v>
      </c>
      <c r="E149" s="23" t="str" cm="1">
        <f t="array" ref="E149">_xlfn.XLOOKUP(Table117821341[[#This Row],[Team]],Table4334[Team],'2425'!$C$3:$C$34)</f>
        <v>SB LX</v>
      </c>
      <c r="F149" s="97" t="str">
        <f>_xlfn.XLOOKUP(Table117821341[[#This Row],[Team]],Table4334[Team],Table4334[OPP])</f>
        <v>NE</v>
      </c>
      <c r="G149" s="148" t="str" cm="1">
        <f t="array" ref="G149">IF(Table117821341[[#This Row],[Pos.]]="QB1",_xlfn.XLOOKUP(Table117821341[[#This Row],[Opp]],Table123[DEF],'2425'!$G$3:$G$34),"#N/A")</f>
        <v>#N/A</v>
      </c>
      <c r="H149" s="148" t="str" cm="1">
        <f t="array" ref="H149">IF(Table117821341[[#This Row],[Pos.]]="QB1",_xlfn.XLOOKUP(Table117821341[[#This Row],[Opp]],Table123[DEF],'2425'!$J$3:$J$34),"#N/A")</f>
        <v>#N/A</v>
      </c>
      <c r="I149" s="148" t="str" cm="1">
        <f t="array" ref="I149">IF(Table117821341[[#This Row],[Pos.]]="QB1",_xlfn.XLOOKUP(Table117821341[[#This Row],[Opp]],Table123[DEF],'2425'!$K$3:$K$34),"#N/A")</f>
        <v>#N/A</v>
      </c>
      <c r="J149" s="148" t="e" cm="1">
        <f t="array" ref="J14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49" s="148" t="e" cm="1">
        <f t="array" ref="K14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49" s="148" cm="1">
        <f t="array" ref="L14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26.5</v>
      </c>
      <c r="M149" s="148" cm="1">
        <f t="array" ref="M14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27</v>
      </c>
      <c r="N149" s="148" cm="1">
        <f t="array" ref="N14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12</v>
      </c>
      <c r="O149" s="149" t="str">
        <f>IF(Table117821341[[#This Row],[Pos.]]="QB1",_xlfn.XLOOKUP(Table117821341[[#This Row],[Opp]],Table123[DEF],Table123[P]),"#N/A")</f>
        <v>#N/A</v>
      </c>
      <c r="P149" s="149" t="str">
        <f>IF(Table117821341[[#This Row],[Pos.]]="QB1",_xlfn.XLOOKUP(Table117821341[[#This Row],[Opp]],Table123[DEF],Table123[P+R]),"#N/A")</f>
        <v>#N/A</v>
      </c>
      <c r="Q149" s="150" t="str">
        <f>IF(Table117821341[[#This Row],[Pos.]]="QB1",_xlfn.XLOOKUP(Table117821341[[#This Row],[Opp]],Table123[DEF],Table123[P TD]),"#N/A")</f>
        <v>#N/A</v>
      </c>
      <c r="R149" s="149" t="e" cm="1">
        <f t="array" ref="R14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49" s="150" t="e" cm="1">
        <f t="array" ref="S14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49" s="150" cm="1">
        <f t="array" ref="T14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4.5882352941176467</v>
      </c>
      <c r="U149" s="150" cm="1">
        <f t="array" ref="U14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56.17647058823529</v>
      </c>
      <c r="V149" s="162" cm="1">
        <f t="array" ref="V14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0.44117647058823528</v>
      </c>
      <c r="W149" s="148" cm="1">
        <f t="array" ref="W149">_xlfn.IFS(Table117821341[[#This Row],[Pos.]]="QB1",AVERAGE(G149,H149,I149,J149,N149),Table117821341[[#This Row],[Pos.]]="RB1",AVERAGE(J149,K149,N149),Table117821341[[#This Row],[Pos.]]="RB2",AVERAGE(J149,K149,N149),Table117821341[[#This Row],[Pos.]]="WR1",AVERAGE(L149,M149,N149),Table117821341[[#This Row],[Pos.]]="WR2",AVERAGE(L149,M149,N149),Table117821341[[#This Row],[Pos.]]="WR3",AVERAGE(L149,M149,N149),Table117821341[[#This Row],[Pos.]]="WR4",AVERAGE(L149,M149,N149),Table117821341[[#This Row],[Pos.]]="TE1",AVERAGE(L149,M149,N149),Table117821341[[#This Row],[Pos.]]="TE2",AVERAGE(L149,M149,N149),Table117821341[[#This Row],[Pos.]]="D/ST",AVERAGE(Table117821341[[#This Row],[*TD*]]))</f>
        <v>21.833333333333332</v>
      </c>
      <c r="X149" s="94">
        <f t="shared" si="2"/>
        <v>16.916666666666664</v>
      </c>
    </row>
    <row r="150" spans="2:24" hidden="1" x14ac:dyDescent="0.35">
      <c r="B150" s="6" t="s">
        <v>424</v>
      </c>
      <c r="C150" s="97" t="s">
        <v>33</v>
      </c>
      <c r="D150" s="97" t="s">
        <v>398</v>
      </c>
      <c r="E150" s="23" t="str" cm="1">
        <f t="array" ref="E150">_xlfn.XLOOKUP(Table117821341[[#This Row],[Team]],Table4334[Team],'2425'!$C$3:$C$34)</f>
        <v>n/a</v>
      </c>
      <c r="F150" s="97" t="str">
        <f>_xlfn.XLOOKUP(Table117821341[[#This Row],[Team]],Table4334[Team],Table4334[OPP])</f>
        <v>n/a</v>
      </c>
      <c r="G150" s="148" t="str" cm="1">
        <f t="array" ref="G150">IF(Table117821341[[#This Row],[Pos.]]="QB1",_xlfn.XLOOKUP(Table117821341[[#This Row],[Opp]],Table123[DEF],'2425'!$G$3:$G$34),"#N/A")</f>
        <v>#N/A</v>
      </c>
      <c r="H150" s="148" t="str" cm="1">
        <f t="array" ref="H150">IF(Table117821341[[#This Row],[Pos.]]="QB1",_xlfn.XLOOKUP(Table117821341[[#This Row],[Opp]],Table123[DEF],'2425'!$J$3:$J$34),"#N/A")</f>
        <v>#N/A</v>
      </c>
      <c r="I150" s="148" t="str" cm="1">
        <f t="array" ref="I150">IF(Table117821341[[#This Row],[Pos.]]="QB1",_xlfn.XLOOKUP(Table117821341[[#This Row],[Opp]],Table123[DEF],'2425'!$K$3:$K$34),"#N/A")</f>
        <v>#N/A</v>
      </c>
      <c r="J150" s="148" t="e" cm="1">
        <f t="array" ref="J15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0" s="148" t="e" cm="1">
        <f t="array" ref="K15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0" s="148" t="e" cm="1">
        <f t="array" ref="L15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0" s="148" t="e" cm="1">
        <f t="array" ref="M15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0" s="148" t="e" cm="1">
        <f t="array" ref="N15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0" s="149" t="str">
        <f>IF(Table117821341[[#This Row],[Pos.]]="QB1",_xlfn.XLOOKUP(Table117821341[[#This Row],[Opp]],Table123[DEF],Table123[P]),"#N/A")</f>
        <v>#N/A</v>
      </c>
      <c r="P150" s="149" t="str">
        <f>IF(Table117821341[[#This Row],[Pos.]]="QB1",_xlfn.XLOOKUP(Table117821341[[#This Row],[Opp]],Table123[DEF],Table123[P+R]),"#N/A")</f>
        <v>#N/A</v>
      </c>
      <c r="Q150" s="150" t="str">
        <f>IF(Table117821341[[#This Row],[Pos.]]="QB1",_xlfn.XLOOKUP(Table117821341[[#This Row],[Opp]],Table123[DEF],Table123[P TD]),"#N/A")</f>
        <v>#N/A</v>
      </c>
      <c r="R150" s="149" t="e" cm="1">
        <f t="array" ref="R15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0" s="150" t="e" cm="1">
        <f t="array" ref="S15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0" s="150" t="e" cm="1">
        <f t="array" ref="T15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0" s="150" t="e" cm="1">
        <f t="array" ref="U15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0" s="150" t="e" cm="1">
        <f t="array" ref="V15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0" s="148" t="e" cm="1">
        <f t="array" ref="W150">_xlfn.IFS(Table117821341[[#This Row],[Pos.]]="QB1",AVERAGE(G150,H150,I150,J150,N150),Table117821341[[#This Row],[Pos.]]="RB1",AVERAGE(J150,K150,N150),Table117821341[[#This Row],[Pos.]]="RB2",AVERAGE(J150,K150,N150),Table117821341[[#This Row],[Pos.]]="WR1",AVERAGE(L150,M150,N150),Table117821341[[#This Row],[Pos.]]="WR2",AVERAGE(L150,M150,N150),Table117821341[[#This Row],[Pos.]]="WR3",AVERAGE(L150,M150,N150),Table117821341[[#This Row],[Pos.]]="WR4",AVERAGE(L150,M150,N150),Table117821341[[#This Row],[Pos.]]="TE1",AVERAGE(L150,M150,N150),Table117821341[[#This Row],[Pos.]]="TE2",AVERAGE(L150,M150,N150),Table117821341[[#This Row],[Pos.]]="D/ST",AVERAGE(Table117821341[[#This Row],[*TD*]]))</f>
        <v>#N/A</v>
      </c>
      <c r="X150" s="94" t="e">
        <f t="shared" si="2"/>
        <v>#N/A</v>
      </c>
    </row>
    <row r="151" spans="2:24" hidden="1" x14ac:dyDescent="0.35">
      <c r="B151" s="6" t="s">
        <v>436</v>
      </c>
      <c r="C151" s="97" t="s">
        <v>33</v>
      </c>
      <c r="D151" s="97" t="s">
        <v>430</v>
      </c>
      <c r="E151" s="23" t="str" cm="1">
        <f t="array" ref="E151">_xlfn.XLOOKUP(Table117821341[[#This Row],[Team]],Table4334[Team],'2425'!$C$3:$C$34)</f>
        <v>n/a</v>
      </c>
      <c r="F151" s="97" t="str">
        <f>_xlfn.XLOOKUP(Table117821341[[#This Row],[Team]],Table4334[Team],Table4334[OPP])</f>
        <v>n/a</v>
      </c>
      <c r="G151" s="148" t="str" cm="1">
        <f t="array" ref="G151">IF(Table117821341[[#This Row],[Pos.]]="QB1",_xlfn.XLOOKUP(Table117821341[[#This Row],[Opp]],Table123[DEF],'2425'!$G$3:$G$34),"#N/A")</f>
        <v>#N/A</v>
      </c>
      <c r="H151" s="148" t="str" cm="1">
        <f t="array" ref="H151">IF(Table117821341[[#This Row],[Pos.]]="QB1",_xlfn.XLOOKUP(Table117821341[[#This Row],[Opp]],Table123[DEF],'2425'!$J$3:$J$34),"#N/A")</f>
        <v>#N/A</v>
      </c>
      <c r="I151" s="148" t="str" cm="1">
        <f t="array" ref="I151">IF(Table117821341[[#This Row],[Pos.]]="QB1",_xlfn.XLOOKUP(Table117821341[[#This Row],[Opp]],Table123[DEF],'2425'!$K$3:$K$34),"#N/A")</f>
        <v>#N/A</v>
      </c>
      <c r="J151" s="148" t="e" cm="1">
        <f t="array" ref="J15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1" s="148" t="e" cm="1">
        <f t="array" ref="K15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1" s="148" t="e" cm="1">
        <f t="array" ref="L15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1" s="148" t="e" cm="1">
        <f t="array" ref="M15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1" s="148" t="e" cm="1">
        <f t="array" ref="N15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1" s="149" t="str">
        <f>IF(Table117821341[[#This Row],[Pos.]]="QB1",_xlfn.XLOOKUP(Table117821341[[#This Row],[Opp]],Table123[DEF],Table123[P]),"#N/A")</f>
        <v>#N/A</v>
      </c>
      <c r="P151" s="149" t="str">
        <f>IF(Table117821341[[#This Row],[Pos.]]="QB1",_xlfn.XLOOKUP(Table117821341[[#This Row],[Opp]],Table123[DEF],Table123[P+R]),"#N/A")</f>
        <v>#N/A</v>
      </c>
      <c r="Q151" s="150" t="str">
        <f>IF(Table117821341[[#This Row],[Pos.]]="QB1",_xlfn.XLOOKUP(Table117821341[[#This Row],[Opp]],Table123[DEF],Table123[P TD]),"#N/A")</f>
        <v>#N/A</v>
      </c>
      <c r="R151" s="149" t="e" cm="1">
        <f t="array" ref="R15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1" s="150" t="e" cm="1">
        <f t="array" ref="S15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1" s="150" t="e" cm="1">
        <f t="array" ref="T15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1" s="150" t="e" cm="1">
        <f t="array" ref="U15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1" s="150" t="e" cm="1">
        <f t="array" ref="V15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1" s="148" t="e" cm="1">
        <f t="array" ref="W151">_xlfn.IFS(Table117821341[[#This Row],[Pos.]]="QB1",AVERAGE(G151,H151,I151,J151,N151),Table117821341[[#This Row],[Pos.]]="RB1",AVERAGE(J151,K151,N151),Table117821341[[#This Row],[Pos.]]="RB2",AVERAGE(J151,K151,N151),Table117821341[[#This Row],[Pos.]]="WR1",AVERAGE(L151,M151,N151),Table117821341[[#This Row],[Pos.]]="WR2",AVERAGE(L151,M151,N151),Table117821341[[#This Row],[Pos.]]="WR3",AVERAGE(L151,M151,N151),Table117821341[[#This Row],[Pos.]]="WR4",AVERAGE(L151,M151,N151),Table117821341[[#This Row],[Pos.]]="TE1",AVERAGE(L151,M151,N151),Table117821341[[#This Row],[Pos.]]="TE2",AVERAGE(L151,M151,N151),Table117821341[[#This Row],[Pos.]]="D/ST",AVERAGE(Table117821341[[#This Row],[*TD*]]))</f>
        <v>#N/A</v>
      </c>
      <c r="X151" s="94" t="e">
        <f t="shared" si="2"/>
        <v>#N/A</v>
      </c>
    </row>
    <row r="152" spans="2:24" hidden="1" x14ac:dyDescent="0.35">
      <c r="B152" s="6" t="s">
        <v>437</v>
      </c>
      <c r="C152" s="97" t="s">
        <v>33</v>
      </c>
      <c r="D152" s="97" t="s">
        <v>435</v>
      </c>
      <c r="E152" s="23" t="str" cm="1">
        <f t="array" ref="E152">_xlfn.XLOOKUP(Table117821341[[#This Row],[Team]],Table4334[Team],'2425'!$C$3:$C$34)</f>
        <v>n/a</v>
      </c>
      <c r="F152" s="97" t="str">
        <f>_xlfn.XLOOKUP(Table117821341[[#This Row],[Team]],Table4334[Team],Table4334[OPP])</f>
        <v>n/a</v>
      </c>
      <c r="G152" s="148" t="str" cm="1">
        <f t="array" ref="G152">IF(Table117821341[[#This Row],[Pos.]]="QB1",_xlfn.XLOOKUP(Table117821341[[#This Row],[Opp]],Table123[DEF],'2425'!$G$3:$G$34),"#N/A")</f>
        <v>#N/A</v>
      </c>
      <c r="H152" s="148" t="str" cm="1">
        <f t="array" ref="H152">IF(Table117821341[[#This Row],[Pos.]]="QB1",_xlfn.XLOOKUP(Table117821341[[#This Row],[Opp]],Table123[DEF],'2425'!$J$3:$J$34),"#N/A")</f>
        <v>#N/A</v>
      </c>
      <c r="I152" s="148" t="str" cm="1">
        <f t="array" ref="I152">IF(Table117821341[[#This Row],[Pos.]]="QB1",_xlfn.XLOOKUP(Table117821341[[#This Row],[Opp]],Table123[DEF],'2425'!$K$3:$K$34),"#N/A")</f>
        <v>#N/A</v>
      </c>
      <c r="J152" s="148" t="e" cm="1">
        <f t="array" ref="J15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2" s="148" t="e" cm="1">
        <f t="array" ref="K15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2" s="148" t="e" cm="1">
        <f t="array" ref="L15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2" s="148" t="e" cm="1">
        <f t="array" ref="M15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2" s="148" t="e" cm="1">
        <f t="array" ref="N15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2" s="149" t="str">
        <f>IF(Table117821341[[#This Row],[Pos.]]="QB1",_xlfn.XLOOKUP(Table117821341[[#This Row],[Opp]],Table123[DEF],Table123[P]),"#N/A")</f>
        <v>#N/A</v>
      </c>
      <c r="P152" s="149" t="str">
        <f>IF(Table117821341[[#This Row],[Pos.]]="QB1",_xlfn.XLOOKUP(Table117821341[[#This Row],[Opp]],Table123[DEF],Table123[P+R]),"#N/A")</f>
        <v>#N/A</v>
      </c>
      <c r="Q152" s="150" t="str">
        <f>IF(Table117821341[[#This Row],[Pos.]]="QB1",_xlfn.XLOOKUP(Table117821341[[#This Row],[Opp]],Table123[DEF],Table123[P TD]),"#N/A")</f>
        <v>#N/A</v>
      </c>
      <c r="R152" s="149" t="e" cm="1">
        <f t="array" ref="R15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2" s="150" t="e" cm="1">
        <f t="array" ref="S15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2" s="150" t="e" cm="1">
        <f t="array" ref="T15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2" s="150" t="e" cm="1">
        <f t="array" ref="U15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2" s="150" t="e" cm="1">
        <f t="array" ref="V15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2" s="148" t="e" cm="1">
        <f t="array" ref="W152">_xlfn.IFS(Table117821341[[#This Row],[Pos.]]="QB1",AVERAGE(G152,H152,I152,J152,N152),Table117821341[[#This Row],[Pos.]]="RB1",AVERAGE(J152,K152,N152),Table117821341[[#This Row],[Pos.]]="RB2",AVERAGE(J152,K152,N152),Table117821341[[#This Row],[Pos.]]="WR1",AVERAGE(L152,M152,N152),Table117821341[[#This Row],[Pos.]]="WR2",AVERAGE(L152,M152,N152),Table117821341[[#This Row],[Pos.]]="WR3",AVERAGE(L152,M152,N152),Table117821341[[#This Row],[Pos.]]="WR4",AVERAGE(L152,M152,N152),Table117821341[[#This Row],[Pos.]]="TE1",AVERAGE(L152,M152,N152),Table117821341[[#This Row],[Pos.]]="TE2",AVERAGE(L152,M152,N152),Table117821341[[#This Row],[Pos.]]="D/ST",AVERAGE(Table117821341[[#This Row],[*TD*]]))</f>
        <v>#N/A</v>
      </c>
      <c r="X152" s="94" t="e">
        <f t="shared" si="2"/>
        <v>#N/A</v>
      </c>
    </row>
    <row r="153" spans="2:24" hidden="1" x14ac:dyDescent="0.35">
      <c r="B153" s="6" t="s">
        <v>142</v>
      </c>
      <c r="C153" s="97" t="s">
        <v>0</v>
      </c>
      <c r="D153" s="97" t="s">
        <v>67</v>
      </c>
      <c r="E153" s="23" t="str" cm="1">
        <f t="array" ref="E153">_xlfn.XLOOKUP(Table117821341[[#This Row],[Team]],Table4334[Team],'2425'!$C$3:$C$34)</f>
        <v>n/a</v>
      </c>
      <c r="F153" s="97" t="str">
        <f>_xlfn.XLOOKUP(Table117821341[[#This Row],[Team]],Table4334[Team],Table4334[OPP])</f>
        <v>n/a</v>
      </c>
      <c r="G153" s="148" t="str" cm="1">
        <f t="array" ref="G153">IF(Table117821341[[#This Row],[Pos.]]="QB1",_xlfn.XLOOKUP(Table117821341[[#This Row],[Opp]],Table123[DEF],'2425'!$G$3:$G$34),"#N/A")</f>
        <v>#N/A</v>
      </c>
      <c r="H153" s="148" t="str" cm="1">
        <f t="array" ref="H153">IF(Table117821341[[#This Row],[Pos.]]="QB1",_xlfn.XLOOKUP(Table117821341[[#This Row],[Opp]],Table123[DEF],'2425'!$J$3:$J$34),"#N/A")</f>
        <v>#N/A</v>
      </c>
      <c r="I153" s="148" t="str" cm="1">
        <f t="array" ref="I153">IF(Table117821341[[#This Row],[Pos.]]="QB1",_xlfn.XLOOKUP(Table117821341[[#This Row],[Opp]],Table123[DEF],'2425'!$K$3:$K$34),"#N/A")</f>
        <v>#N/A</v>
      </c>
      <c r="J153" s="148" t="e" cm="1">
        <f t="array" ref="J15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3" s="148" t="e" cm="1">
        <f t="array" ref="K15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3" s="148" t="e" cm="1">
        <f t="array" ref="L15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3" s="148" t="e" cm="1">
        <f t="array" ref="M15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3" s="148" t="e" cm="1">
        <f t="array" ref="N15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3" s="149" t="str">
        <f>IF(Table117821341[[#This Row],[Pos.]]="QB1",_xlfn.XLOOKUP(Table117821341[[#This Row],[Opp]],Table123[DEF],Table123[P]),"#N/A")</f>
        <v>#N/A</v>
      </c>
      <c r="P153" s="149" t="str">
        <f>IF(Table117821341[[#This Row],[Pos.]]="QB1",_xlfn.XLOOKUP(Table117821341[[#This Row],[Opp]],Table123[DEF],Table123[P+R]),"#N/A")</f>
        <v>#N/A</v>
      </c>
      <c r="Q153" s="150" t="str">
        <f>IF(Table117821341[[#This Row],[Pos.]]="QB1",_xlfn.XLOOKUP(Table117821341[[#This Row],[Opp]],Table123[DEF],Table123[P TD]),"#N/A")</f>
        <v>#N/A</v>
      </c>
      <c r="R153" s="149" t="e" cm="1">
        <f t="array" ref="R15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3" s="150" t="e" cm="1">
        <f t="array" ref="S15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3" s="150" t="e" cm="1">
        <f t="array" ref="T15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3" s="150" t="e" cm="1">
        <f t="array" ref="U15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3" s="162" t="e" cm="1">
        <f t="array" ref="V15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3" s="148" t="e" cm="1">
        <f t="array" ref="W153">_xlfn.IFS(Table117821341[[#This Row],[Pos.]]="QB1",AVERAGE(G153,H153,I153,J153,N153),Table117821341[[#This Row],[Pos.]]="RB1",AVERAGE(J153,K153,N153),Table117821341[[#This Row],[Pos.]]="RB2",AVERAGE(J153,K153,N153),Table117821341[[#This Row],[Pos.]]="WR1",AVERAGE(L153,M153,N153),Table117821341[[#This Row],[Pos.]]="WR2",AVERAGE(L153,M153,N153),Table117821341[[#This Row],[Pos.]]="WR3",AVERAGE(L153,M153,N153),Table117821341[[#This Row],[Pos.]]="WR4",AVERAGE(L153,M153,N153),Table117821341[[#This Row],[Pos.]]="TE1",AVERAGE(L153,M153,N153),Table117821341[[#This Row],[Pos.]]="TE2",AVERAGE(L153,M153,N153),Table117821341[[#This Row],[Pos.]]="D/ST",AVERAGE(Table117821341[[#This Row],[*TD*]]))</f>
        <v>#N/A</v>
      </c>
      <c r="X153" s="94" t="e">
        <f t="shared" si="2"/>
        <v>#N/A</v>
      </c>
    </row>
    <row r="154" spans="2:24" hidden="1" x14ac:dyDescent="0.35">
      <c r="B154" s="6" t="s">
        <v>198</v>
      </c>
      <c r="C154" s="97" t="s">
        <v>34</v>
      </c>
      <c r="D154" s="97" t="s">
        <v>67</v>
      </c>
      <c r="E154" s="23" t="str" cm="1">
        <f t="array" ref="E154">_xlfn.XLOOKUP(Table117821341[[#This Row],[Team]],Table4334[Team],'2425'!$C$3:$C$34)</f>
        <v>n/a</v>
      </c>
      <c r="F154" s="97" t="str">
        <f>_xlfn.XLOOKUP(Table117821341[[#This Row],[Team]],Table4334[Team],Table4334[OPP])</f>
        <v>n/a</v>
      </c>
      <c r="G154" s="148" t="str" cm="1">
        <f t="array" ref="G154">IF(Table117821341[[#This Row],[Pos.]]="QB1",_xlfn.XLOOKUP(Table117821341[[#This Row],[Opp]],Table123[DEF],'2425'!$G$3:$G$34),"#N/A")</f>
        <v>#N/A</v>
      </c>
      <c r="H154" s="148" t="str" cm="1">
        <f t="array" ref="H154">IF(Table117821341[[#This Row],[Pos.]]="QB1",_xlfn.XLOOKUP(Table117821341[[#This Row],[Opp]],Table123[DEF],'2425'!$J$3:$J$34),"#N/A")</f>
        <v>#N/A</v>
      </c>
      <c r="I154" s="148" t="str" cm="1">
        <f t="array" ref="I154">IF(Table117821341[[#This Row],[Pos.]]="QB1",_xlfn.XLOOKUP(Table117821341[[#This Row],[Opp]],Table123[DEF],'2425'!$K$3:$K$34),"#N/A")</f>
        <v>#N/A</v>
      </c>
      <c r="J154" s="148" t="e" cm="1">
        <f t="array" ref="J15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4" s="148" t="e" cm="1">
        <f t="array" ref="K15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4" s="148" t="e" cm="1">
        <f t="array" ref="L15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4" s="148" t="e" cm="1">
        <f t="array" ref="M15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4" s="148" t="e" cm="1">
        <f t="array" ref="N15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4" s="149" t="str">
        <f>IF(Table117821341[[#This Row],[Pos.]]="QB1",_xlfn.XLOOKUP(Table117821341[[#This Row],[Opp]],Table123[DEF],Table123[P]),"#N/A")</f>
        <v>#N/A</v>
      </c>
      <c r="P154" s="149" t="str">
        <f>IF(Table117821341[[#This Row],[Pos.]]="QB1",_xlfn.XLOOKUP(Table117821341[[#This Row],[Opp]],Table123[DEF],Table123[P+R]),"#N/A")</f>
        <v>#N/A</v>
      </c>
      <c r="Q154" s="150" t="str">
        <f>IF(Table117821341[[#This Row],[Pos.]]="QB1",_xlfn.XLOOKUP(Table117821341[[#This Row],[Opp]],Table123[DEF],Table123[P TD]),"#N/A")</f>
        <v>#N/A</v>
      </c>
      <c r="R154" s="149" t="e" cm="1">
        <f t="array" ref="R15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4" s="150" t="e" cm="1">
        <f t="array" ref="S15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4" s="150" t="e" cm="1">
        <f t="array" ref="T15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4" s="150" t="e" cm="1">
        <f t="array" ref="U15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4" s="162" t="e" cm="1">
        <f t="array" ref="V15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4" s="148" t="e" cm="1">
        <f t="array" ref="W154">_xlfn.IFS(Table117821341[[#This Row],[Pos.]]="QB1",AVERAGE(G154,H154,I154,J154,N154),Table117821341[[#This Row],[Pos.]]="RB1",AVERAGE(J154,K154,N154),Table117821341[[#This Row],[Pos.]]="RB2",AVERAGE(J154,K154,N154),Table117821341[[#This Row],[Pos.]]="WR1",AVERAGE(L154,M154,N154),Table117821341[[#This Row],[Pos.]]="WR2",AVERAGE(L154,M154,N154),Table117821341[[#This Row],[Pos.]]="WR3",AVERAGE(L154,M154,N154),Table117821341[[#This Row],[Pos.]]="WR4",AVERAGE(L154,M154,N154),Table117821341[[#This Row],[Pos.]]="TE1",AVERAGE(L154,M154,N154),Table117821341[[#This Row],[Pos.]]="TE2",AVERAGE(L154,M154,N154),Table117821341[[#This Row],[Pos.]]="D/ST",AVERAGE(Table117821341[[#This Row],[*TD*]]))</f>
        <v>#N/A</v>
      </c>
      <c r="X154" s="94" t="e">
        <f t="shared" si="2"/>
        <v>#N/A</v>
      </c>
    </row>
    <row r="155" spans="2:24" hidden="1" x14ac:dyDescent="0.35">
      <c r="B155" s="6" t="s">
        <v>231</v>
      </c>
      <c r="C155" s="97" t="s">
        <v>38</v>
      </c>
      <c r="D155" s="97" t="s">
        <v>66</v>
      </c>
      <c r="E155" s="23" t="str" cm="1">
        <f t="array" ref="E155">_xlfn.XLOOKUP(Table117821341[[#This Row],[Team]],Table4334[Team],'2425'!$C$3:$C$34)</f>
        <v>n/a</v>
      </c>
      <c r="F155" s="97" t="str">
        <f>_xlfn.XLOOKUP(Table117821341[[#This Row],[Team]],Table4334[Team],Table4334[OPP])</f>
        <v>n/a</v>
      </c>
      <c r="G155" s="148" t="str" cm="1">
        <f t="array" ref="G155">IF(Table117821341[[#This Row],[Pos.]]="QB1",_xlfn.XLOOKUP(Table117821341[[#This Row],[Opp]],Table123[DEF],'2425'!$G$3:$G$34),"#N/A")</f>
        <v>#N/A</v>
      </c>
      <c r="H155" s="148" t="str" cm="1">
        <f t="array" ref="H155">IF(Table117821341[[#This Row],[Pos.]]="QB1",_xlfn.XLOOKUP(Table117821341[[#This Row],[Opp]],Table123[DEF],'2425'!$J$3:$J$34),"#N/A")</f>
        <v>#N/A</v>
      </c>
      <c r="I155" s="148" t="str" cm="1">
        <f t="array" ref="I155">IF(Table117821341[[#This Row],[Pos.]]="QB1",_xlfn.XLOOKUP(Table117821341[[#This Row],[Opp]],Table123[DEF],'2425'!$K$3:$K$34),"#N/A")</f>
        <v>#N/A</v>
      </c>
      <c r="J155" s="148" t="e" cm="1">
        <f t="array" ref="J15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5" s="148" t="e" cm="1">
        <f t="array" ref="K15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5" s="148" t="e" cm="1">
        <f t="array" ref="L15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5" s="148" t="e" cm="1">
        <f t="array" ref="M15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5" s="148" t="e" cm="1">
        <f t="array" ref="N15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5" s="149" t="str">
        <f>IF(Table117821341[[#This Row],[Pos.]]="QB1",_xlfn.XLOOKUP(Table117821341[[#This Row],[Opp]],Table123[DEF],Table123[P]),"#N/A")</f>
        <v>#N/A</v>
      </c>
      <c r="P155" s="149" t="str">
        <f>IF(Table117821341[[#This Row],[Pos.]]="QB1",_xlfn.XLOOKUP(Table117821341[[#This Row],[Opp]],Table123[DEF],Table123[P+R]),"#N/A")</f>
        <v>#N/A</v>
      </c>
      <c r="Q155" s="150" t="str">
        <f>IF(Table117821341[[#This Row],[Pos.]]="QB1",_xlfn.XLOOKUP(Table117821341[[#This Row],[Opp]],Table123[DEF],Table123[P TD]),"#N/A")</f>
        <v>#N/A</v>
      </c>
      <c r="R155" s="149" t="e" cm="1">
        <f t="array" ref="R15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5" s="150" t="e" cm="1">
        <f t="array" ref="S15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5" s="150" t="e" cm="1">
        <f t="array" ref="T15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5" s="150" t="e" cm="1">
        <f t="array" ref="U15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5" s="162" t="e" cm="1">
        <f t="array" ref="V15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5" s="148" t="e" cm="1">
        <f t="array" ref="W155">_xlfn.IFS(Table117821341[[#This Row],[Pos.]]="QB1",AVERAGE(G155,H155,I155,J155,N155),Table117821341[[#This Row],[Pos.]]="RB1",AVERAGE(J155,K155,N155),Table117821341[[#This Row],[Pos.]]="RB2",AVERAGE(J155,K155,N155),Table117821341[[#This Row],[Pos.]]="WR1",AVERAGE(L155,M155,N155),Table117821341[[#This Row],[Pos.]]="WR2",AVERAGE(L155,M155,N155),Table117821341[[#This Row],[Pos.]]="WR3",AVERAGE(L155,M155,N155),Table117821341[[#This Row],[Pos.]]="WR4",AVERAGE(L155,M155,N155),Table117821341[[#This Row],[Pos.]]="TE1",AVERAGE(L155,M155,N155),Table117821341[[#This Row],[Pos.]]="TE2",AVERAGE(L155,M155,N155),Table117821341[[#This Row],[Pos.]]="D/ST",AVERAGE(Table117821341[[#This Row],[*TD*]]))</f>
        <v>#N/A</v>
      </c>
      <c r="X155" s="94" t="e">
        <f t="shared" si="2"/>
        <v>#N/A</v>
      </c>
    </row>
    <row r="156" spans="2:24" hidden="1" x14ac:dyDescent="0.35">
      <c r="B156" s="6" t="s">
        <v>243</v>
      </c>
      <c r="C156" s="97" t="s">
        <v>40</v>
      </c>
      <c r="D156" s="97" t="s">
        <v>399</v>
      </c>
      <c r="E156" s="23" t="str" cm="1">
        <f t="array" ref="E156">_xlfn.XLOOKUP(Table117821341[[#This Row],[Team]],Table4334[Team],'2425'!$C$3:$C$34)</f>
        <v>n/a</v>
      </c>
      <c r="F156" s="97" t="str">
        <f>_xlfn.XLOOKUP(Table117821341[[#This Row],[Team]],Table4334[Team],Table4334[OPP])</f>
        <v>n/a</v>
      </c>
      <c r="G156" s="148" t="e" cm="1">
        <f t="array" ref="G156">IF(Table117821341[[#This Row],[Pos.]]="QB1",_xlfn.XLOOKUP(Table117821341[[#This Row],[Opp]],Table123[DEF],'2425'!$G$3:$G$34),"#N/A")</f>
        <v>#N/A</v>
      </c>
      <c r="H156" s="148" t="e" cm="1">
        <f t="array" ref="H156">IF(Table117821341[[#This Row],[Pos.]]="QB1",_xlfn.XLOOKUP(Table117821341[[#This Row],[Opp]],Table123[DEF],'2425'!$J$3:$J$34),"#N/A")</f>
        <v>#N/A</v>
      </c>
      <c r="I156" s="148" t="e" cm="1">
        <f t="array" ref="I156">IF(Table117821341[[#This Row],[Pos.]]="QB1",_xlfn.XLOOKUP(Table117821341[[#This Row],[Opp]],Table123[DEF],'2425'!$K$3:$K$34),"#N/A")</f>
        <v>#N/A</v>
      </c>
      <c r="J156" s="148" t="e" cm="1">
        <f t="array" ref="J15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6" s="148" t="e" cm="1">
        <f t="array" ref="K15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6" s="148" t="e" cm="1">
        <f t="array" ref="L15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6" s="148" t="e" cm="1">
        <f t="array" ref="M15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6" s="148" t="e" cm="1">
        <f t="array" ref="N15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6" s="149" t="e">
        <f>IF(Table117821341[[#This Row],[Pos.]]="QB1",_xlfn.XLOOKUP(Table117821341[[#This Row],[Opp]],Table123[DEF],Table123[P]),"#N/A")</f>
        <v>#N/A</v>
      </c>
      <c r="P156" s="149" t="e">
        <f>IF(Table117821341[[#This Row],[Pos.]]="QB1",_xlfn.XLOOKUP(Table117821341[[#This Row],[Opp]],Table123[DEF],Table123[P+R]),"#N/A")</f>
        <v>#N/A</v>
      </c>
      <c r="Q156" s="150" t="e">
        <f>IF(Table117821341[[#This Row],[Pos.]]="QB1",_xlfn.XLOOKUP(Table117821341[[#This Row],[Opp]],Table123[DEF],Table123[P TD]),"#N/A")</f>
        <v>#N/A</v>
      </c>
      <c r="R156" s="149" t="e" cm="1">
        <f t="array" ref="R15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6" s="150" t="e" cm="1">
        <f t="array" ref="S15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6" s="150" t="e" cm="1">
        <f t="array" ref="T15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6" s="150" t="e" cm="1">
        <f t="array" ref="U15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6" s="162" t="e" cm="1">
        <f t="array" ref="V15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6" s="148" t="e" cm="1">
        <f t="array" ref="W156">_xlfn.IFS(Table117821341[[#This Row],[Pos.]]="QB1",AVERAGE(G156,H156,I156,J156,N156),Table117821341[[#This Row],[Pos.]]="RB1",AVERAGE(J156,K156,N156),Table117821341[[#This Row],[Pos.]]="RB2",AVERAGE(J156,K156,N156),Table117821341[[#This Row],[Pos.]]="WR1",AVERAGE(L156,M156,N156),Table117821341[[#This Row],[Pos.]]="WR2",AVERAGE(L156,M156,N156),Table117821341[[#This Row],[Pos.]]="WR3",AVERAGE(L156,M156,N156),Table117821341[[#This Row],[Pos.]]="WR4",AVERAGE(L156,M156,N156),Table117821341[[#This Row],[Pos.]]="TE1",AVERAGE(L156,M156,N156),Table117821341[[#This Row],[Pos.]]="TE2",AVERAGE(L156,M156,N156),Table117821341[[#This Row],[Pos.]]="D/ST",AVERAGE(Table117821341[[#This Row],[*TD*]]))</f>
        <v>#N/A</v>
      </c>
      <c r="X156" s="94" t="e">
        <f t="shared" si="2"/>
        <v>#N/A</v>
      </c>
    </row>
    <row r="157" spans="2:24" hidden="1" x14ac:dyDescent="0.35">
      <c r="B157" s="6" t="s">
        <v>689</v>
      </c>
      <c r="C157" s="97" t="s">
        <v>33</v>
      </c>
      <c r="D157" s="97" t="s">
        <v>403</v>
      </c>
      <c r="E157" s="23" t="str" cm="1">
        <f t="array" ref="E157">_xlfn.XLOOKUP(Table117821341[[#This Row],[Team]],Table4334[Team],'2425'!$C$3:$C$34)</f>
        <v>n/a</v>
      </c>
      <c r="F157" s="97" t="str">
        <f>_xlfn.XLOOKUP(Table117821341[[#This Row],[Team]],Table4334[Team],Table4334[OPP])</f>
        <v>n/a</v>
      </c>
      <c r="G157" s="148" t="str" cm="1">
        <f t="array" ref="G157">IF(Table117821341[[#This Row],[Pos.]]="QB1",_xlfn.XLOOKUP(Table117821341[[#This Row],[Opp]],Table123[DEF],'2425'!$G$3:$G$34),"#N/A")</f>
        <v>#N/A</v>
      </c>
      <c r="H157" s="148" t="str" cm="1">
        <f t="array" ref="H157">IF(Table117821341[[#This Row],[Pos.]]="QB1",_xlfn.XLOOKUP(Table117821341[[#This Row],[Opp]],Table123[DEF],'2425'!$J$3:$J$34),"#N/A")</f>
        <v>#N/A</v>
      </c>
      <c r="I157" s="148" t="str" cm="1">
        <f t="array" ref="I157">IF(Table117821341[[#This Row],[Pos.]]="QB1",_xlfn.XLOOKUP(Table117821341[[#This Row],[Opp]],Table123[DEF],'2425'!$K$3:$K$34),"#N/A")</f>
        <v>#N/A</v>
      </c>
      <c r="J157" s="148" t="e" cm="1">
        <f t="array" ref="J15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7" s="148" t="e" cm="1">
        <f t="array" ref="K15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7" s="148" t="e" cm="1">
        <f t="array" ref="L15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7" s="148" t="e" cm="1">
        <f t="array" ref="M15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7" s="148" t="e" cm="1">
        <f t="array" ref="N15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7" s="149" t="str">
        <f>IF(Table117821341[[#This Row],[Pos.]]="QB1",_xlfn.XLOOKUP(Table117821341[[#This Row],[Opp]],Table123[DEF],Table123[P]),"#N/A")</f>
        <v>#N/A</v>
      </c>
      <c r="P157" s="149" t="str">
        <f>IF(Table117821341[[#This Row],[Pos.]]="QB1",_xlfn.XLOOKUP(Table117821341[[#This Row],[Opp]],Table123[DEF],Table123[P+R]),"#N/A")</f>
        <v>#N/A</v>
      </c>
      <c r="Q157" s="150" t="str">
        <f>IF(Table117821341[[#This Row],[Pos.]]="QB1",_xlfn.XLOOKUP(Table117821341[[#This Row],[Opp]],Table123[DEF],Table123[P TD]),"#N/A")</f>
        <v>#N/A</v>
      </c>
      <c r="R157" s="149" t="e" cm="1">
        <f t="array" ref="R15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7" s="150" t="e" cm="1">
        <f t="array" ref="S15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7" s="150" t="e" cm="1">
        <f t="array" ref="T15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7" s="150" t="e" cm="1">
        <f t="array" ref="U15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7" s="150" t="e" cm="1">
        <f t="array" ref="V15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7" s="148" t="e" cm="1">
        <f t="array" ref="W157">_xlfn.IFS(Table117821341[[#This Row],[Pos.]]="QB1",AVERAGE(G157,H157,I157,J157,N157),Table117821341[[#This Row],[Pos.]]="RB1",AVERAGE(J157,K157,N157),Table117821341[[#This Row],[Pos.]]="RB2",AVERAGE(J157,K157,N157),Table117821341[[#This Row],[Pos.]]="WR1",AVERAGE(L157,M157,N157),Table117821341[[#This Row],[Pos.]]="WR2",AVERAGE(L157,M157,N157),Table117821341[[#This Row],[Pos.]]="WR3",AVERAGE(L157,M157,N157),Table117821341[[#This Row],[Pos.]]="WR4",AVERAGE(L157,M157,N157),Table117821341[[#This Row],[Pos.]]="TE1",AVERAGE(L157,M157,N157),Table117821341[[#This Row],[Pos.]]="TE2",AVERAGE(L157,M157,N157),Table117821341[[#This Row],[Pos.]]="D/ST",AVERAGE(Table117821341[[#This Row],[*TD*]]))</f>
        <v>#N/A</v>
      </c>
      <c r="X157" s="94" t="e">
        <f t="shared" si="2"/>
        <v>#N/A</v>
      </c>
    </row>
    <row r="158" spans="2:24" hidden="1" x14ac:dyDescent="0.35">
      <c r="B158" s="6" t="s">
        <v>253</v>
      </c>
      <c r="C158" s="97" t="s">
        <v>40</v>
      </c>
      <c r="D158" s="97" t="s">
        <v>67</v>
      </c>
      <c r="E158" s="23" t="str" cm="1">
        <f t="array" ref="E158">_xlfn.XLOOKUP(Table117821341[[#This Row],[Team]],Table4334[Team],'2425'!$C$3:$C$34)</f>
        <v>n/a</v>
      </c>
      <c r="F158" s="97" t="str">
        <f>_xlfn.XLOOKUP(Table117821341[[#This Row],[Team]],Table4334[Team],Table4334[OPP])</f>
        <v>n/a</v>
      </c>
      <c r="G158" s="148" t="str" cm="1">
        <f t="array" ref="G158">IF(Table117821341[[#This Row],[Pos.]]="QB1",_xlfn.XLOOKUP(Table117821341[[#This Row],[Opp]],Table123[DEF],'2425'!$G$3:$G$34),"#N/A")</f>
        <v>#N/A</v>
      </c>
      <c r="H158" s="148" t="str" cm="1">
        <f t="array" ref="H158">IF(Table117821341[[#This Row],[Pos.]]="QB1",_xlfn.XLOOKUP(Table117821341[[#This Row],[Opp]],Table123[DEF],'2425'!$J$3:$J$34),"#N/A")</f>
        <v>#N/A</v>
      </c>
      <c r="I158" s="148" t="str" cm="1">
        <f t="array" ref="I158">IF(Table117821341[[#This Row],[Pos.]]="QB1",_xlfn.XLOOKUP(Table117821341[[#This Row],[Opp]],Table123[DEF],'2425'!$K$3:$K$34),"#N/A")</f>
        <v>#N/A</v>
      </c>
      <c r="J158" s="148" t="e" cm="1">
        <f t="array" ref="J15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8" s="148" t="e" cm="1">
        <f t="array" ref="K15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8" s="148" t="e" cm="1">
        <f t="array" ref="L15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8" s="148" t="e" cm="1">
        <f t="array" ref="M15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8" s="148" t="e" cm="1">
        <f t="array" ref="N15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8" s="149" t="str">
        <f>IF(Table117821341[[#This Row],[Pos.]]="QB1",_xlfn.XLOOKUP(Table117821341[[#This Row],[Opp]],Table123[DEF],Table123[P]),"#N/A")</f>
        <v>#N/A</v>
      </c>
      <c r="P158" s="149" t="str">
        <f>IF(Table117821341[[#This Row],[Pos.]]="QB1",_xlfn.XLOOKUP(Table117821341[[#This Row],[Opp]],Table123[DEF],Table123[P+R]),"#N/A")</f>
        <v>#N/A</v>
      </c>
      <c r="Q158" s="150" t="str">
        <f>IF(Table117821341[[#This Row],[Pos.]]="QB1",_xlfn.XLOOKUP(Table117821341[[#This Row],[Opp]],Table123[DEF],Table123[P TD]),"#N/A")</f>
        <v>#N/A</v>
      </c>
      <c r="R158" s="149" t="e" cm="1">
        <f t="array" ref="R15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8" s="150" t="e" cm="1">
        <f t="array" ref="S15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8" s="150" t="e" cm="1">
        <f t="array" ref="T15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8" s="150" t="e" cm="1">
        <f t="array" ref="U15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8" s="162" t="e" cm="1">
        <f t="array" ref="V15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8" s="148" t="e" cm="1">
        <f t="array" ref="W158">_xlfn.IFS(Table117821341[[#This Row],[Pos.]]="QB1",AVERAGE(G158,H158,I158,J158,N158),Table117821341[[#This Row],[Pos.]]="RB1",AVERAGE(J158,K158,N158),Table117821341[[#This Row],[Pos.]]="RB2",AVERAGE(J158,K158,N158),Table117821341[[#This Row],[Pos.]]="WR1",AVERAGE(L158,M158,N158),Table117821341[[#This Row],[Pos.]]="WR2",AVERAGE(L158,M158,N158),Table117821341[[#This Row],[Pos.]]="WR3",AVERAGE(L158,M158,N158),Table117821341[[#This Row],[Pos.]]="WR4",AVERAGE(L158,M158,N158),Table117821341[[#This Row],[Pos.]]="TE1",AVERAGE(L158,M158,N158),Table117821341[[#This Row],[Pos.]]="TE2",AVERAGE(L158,M158,N158),Table117821341[[#This Row],[Pos.]]="D/ST",AVERAGE(Table117821341[[#This Row],[*TD*]]))</f>
        <v>#N/A</v>
      </c>
      <c r="X158" s="94" t="e">
        <f t="shared" si="2"/>
        <v>#N/A</v>
      </c>
    </row>
    <row r="159" spans="2:24" hidden="1" x14ac:dyDescent="0.35">
      <c r="B159" s="6" t="s">
        <v>385</v>
      </c>
      <c r="C159" s="97" t="s">
        <v>56</v>
      </c>
      <c r="D159" s="97" t="s">
        <v>399</v>
      </c>
      <c r="E159" s="23" t="str" cm="1">
        <f t="array" ref="E159">_xlfn.XLOOKUP(Table117821341[[#This Row],[Team]],Table4334[Team],'2425'!$C$3:$C$34)</f>
        <v>n/a</v>
      </c>
      <c r="F159" s="97" t="str">
        <f>_xlfn.XLOOKUP(Table117821341[[#This Row],[Team]],Table4334[Team],Table4334[OPP])</f>
        <v>n/a</v>
      </c>
      <c r="G159" s="148" t="e" cm="1">
        <f t="array" ref="G159">IF(Table117821341[[#This Row],[Pos.]]="QB1",_xlfn.XLOOKUP(Table117821341[[#This Row],[Opp]],Table123[DEF],'2425'!$G$3:$G$34),"#N/A")</f>
        <v>#N/A</v>
      </c>
      <c r="H159" s="148" t="e" cm="1">
        <f t="array" ref="H159">IF(Table117821341[[#This Row],[Pos.]]="QB1",_xlfn.XLOOKUP(Table117821341[[#This Row],[Opp]],Table123[DEF],'2425'!$J$3:$J$34),"#N/A")</f>
        <v>#N/A</v>
      </c>
      <c r="I159" s="148" t="e" cm="1">
        <f t="array" ref="I159">IF(Table117821341[[#This Row],[Pos.]]="QB1",_xlfn.XLOOKUP(Table117821341[[#This Row],[Opp]],Table123[DEF],'2425'!$K$3:$K$34),"#N/A")</f>
        <v>#N/A</v>
      </c>
      <c r="J159" s="148" t="e" cm="1">
        <f t="array" ref="J15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59" s="148" t="e" cm="1">
        <f t="array" ref="K15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59" s="148" t="e" cm="1">
        <f t="array" ref="L15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59" s="148" t="e" cm="1">
        <f t="array" ref="M15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59" s="148" t="e" cm="1">
        <f t="array" ref="N15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59" s="149" t="e">
        <f>IF(Table117821341[[#This Row],[Pos.]]="QB1",_xlfn.XLOOKUP(Table117821341[[#This Row],[Opp]],Table123[DEF],Table123[P]),"#N/A")</f>
        <v>#N/A</v>
      </c>
      <c r="P159" s="149" t="e">
        <f>IF(Table117821341[[#This Row],[Pos.]]="QB1",_xlfn.XLOOKUP(Table117821341[[#This Row],[Opp]],Table123[DEF],Table123[P+R]),"#N/A")</f>
        <v>#N/A</v>
      </c>
      <c r="Q159" s="150" t="e">
        <f>IF(Table117821341[[#This Row],[Pos.]]="QB1",_xlfn.XLOOKUP(Table117821341[[#This Row],[Opp]],Table123[DEF],Table123[P TD]),"#N/A")</f>
        <v>#N/A</v>
      </c>
      <c r="R159" s="149" t="e" cm="1">
        <f t="array" ref="R15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59" s="150" t="e" cm="1">
        <f t="array" ref="S15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59" s="150" t="e" cm="1">
        <f t="array" ref="T15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59" s="150" t="e" cm="1">
        <f t="array" ref="U15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59" s="162" t="e" cm="1">
        <f t="array" ref="V15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59" s="148" t="e" cm="1">
        <f t="array" ref="W159">_xlfn.IFS(Table117821341[[#This Row],[Pos.]]="QB1",AVERAGE(G159,H159,I159,J159,N159),Table117821341[[#This Row],[Pos.]]="RB1",AVERAGE(J159,K159,N159),Table117821341[[#This Row],[Pos.]]="RB2",AVERAGE(J159,K159,N159),Table117821341[[#This Row],[Pos.]]="WR1",AVERAGE(L159,M159,N159),Table117821341[[#This Row],[Pos.]]="WR2",AVERAGE(L159,M159,N159),Table117821341[[#This Row],[Pos.]]="WR3",AVERAGE(L159,M159,N159),Table117821341[[#This Row],[Pos.]]="WR4",AVERAGE(L159,M159,N159),Table117821341[[#This Row],[Pos.]]="TE1",AVERAGE(L159,M159,N159),Table117821341[[#This Row],[Pos.]]="TE2",AVERAGE(L159,M159,N159),Table117821341[[#This Row],[Pos.]]="D/ST",AVERAGE(Table117821341[[#This Row],[*TD*]]))</f>
        <v>#N/A</v>
      </c>
      <c r="X159" s="94" t="e">
        <f t="shared" si="2"/>
        <v>#N/A</v>
      </c>
    </row>
    <row r="160" spans="2:24" hidden="1" x14ac:dyDescent="0.35">
      <c r="B160" s="6" t="s">
        <v>576</v>
      </c>
      <c r="C160" s="97" t="s">
        <v>34</v>
      </c>
      <c r="D160" s="97" t="s">
        <v>405</v>
      </c>
      <c r="E160" s="23" t="str" cm="1">
        <f t="array" ref="E160">_xlfn.XLOOKUP(Table117821341[[#This Row],[Team]],Table4334[Team],'2425'!$C$3:$C$34)</f>
        <v>n/a</v>
      </c>
      <c r="F160" s="97" t="str">
        <f>_xlfn.XLOOKUP(Table117821341[[#This Row],[Team]],Table4334[Team],Table4334[OPP])</f>
        <v>n/a</v>
      </c>
      <c r="G160" s="148" t="str" cm="1">
        <f t="array" ref="G160">IF(Table117821341[[#This Row],[Pos.]]="QB1",_xlfn.XLOOKUP(Table117821341[[#This Row],[Opp]],Table123[DEF],'2425'!$G$3:$G$34),"#N/A")</f>
        <v>#N/A</v>
      </c>
      <c r="H160" s="148" t="str" cm="1">
        <f t="array" ref="H160">IF(Table117821341[[#This Row],[Pos.]]="QB1",_xlfn.XLOOKUP(Table117821341[[#This Row],[Opp]],Table123[DEF],'2425'!$J$3:$J$34),"#N/A")</f>
        <v>#N/A</v>
      </c>
      <c r="I160" s="148" t="str" cm="1">
        <f t="array" ref="I160">IF(Table117821341[[#This Row],[Pos.]]="QB1",_xlfn.XLOOKUP(Table117821341[[#This Row],[Opp]],Table123[DEF],'2425'!$K$3:$K$34),"#N/A")</f>
        <v>#N/A</v>
      </c>
      <c r="J160" s="148" t="e" cm="1">
        <f t="array" ref="J16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0" s="148" t="e" cm="1">
        <f t="array" ref="K16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0" s="148" t="e" cm="1">
        <f t="array" ref="L16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0" s="148" t="e" cm="1">
        <f t="array" ref="M16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0" s="148" t="e" cm="1">
        <f t="array" ref="N16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0" s="149" t="str">
        <f>IF(Table117821341[[#This Row],[Pos.]]="QB1",_xlfn.XLOOKUP(Table117821341[[#This Row],[Opp]],Table123[DEF],Table123[P]),"#N/A")</f>
        <v>#N/A</v>
      </c>
      <c r="P160" s="149" t="str">
        <f>IF(Table117821341[[#This Row],[Pos.]]="QB1",_xlfn.XLOOKUP(Table117821341[[#This Row],[Opp]],Table123[DEF],Table123[P+R]),"#N/A")</f>
        <v>#N/A</v>
      </c>
      <c r="Q160" s="150" t="str">
        <f>IF(Table117821341[[#This Row],[Pos.]]="QB1",_xlfn.XLOOKUP(Table117821341[[#This Row],[Opp]],Table123[DEF],Table123[P TD]),"#N/A")</f>
        <v>#N/A</v>
      </c>
      <c r="R160" s="149" t="e" cm="1">
        <f t="array" ref="R16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0" s="150" t="e" cm="1">
        <f t="array" ref="S16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0" s="150" t="e" cm="1">
        <f t="array" ref="T16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0" s="150" t="e" cm="1">
        <f t="array" ref="U16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0" s="150" t="e" cm="1">
        <f t="array" ref="V16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0" s="148" t="e" cm="1">
        <f t="array" ref="W160">_xlfn.IFS(Table117821341[[#This Row],[Pos.]]="QB1",AVERAGE(G160,H160,I160,J160,N160),Table117821341[[#This Row],[Pos.]]="RB1",AVERAGE(J160,K160,N160),Table117821341[[#This Row],[Pos.]]="RB2",AVERAGE(J160,K160,N160),Table117821341[[#This Row],[Pos.]]="WR1",AVERAGE(L160,M160,N160),Table117821341[[#This Row],[Pos.]]="WR2",AVERAGE(L160,M160,N160),Table117821341[[#This Row],[Pos.]]="WR3",AVERAGE(L160,M160,N160),Table117821341[[#This Row],[Pos.]]="WR4",AVERAGE(L160,M160,N160),Table117821341[[#This Row],[Pos.]]="TE1",AVERAGE(L160,M160,N160),Table117821341[[#This Row],[Pos.]]="TE2",AVERAGE(L160,M160,N160),Table117821341[[#This Row],[Pos.]]="D/ST",AVERAGE(Table117821341[[#This Row],[*TD*]]))</f>
        <v>#N/A</v>
      </c>
      <c r="X160" s="94" t="e">
        <f t="shared" si="2"/>
        <v>#N/A</v>
      </c>
    </row>
    <row r="161" spans="2:24" hidden="1" x14ac:dyDescent="0.35">
      <c r="B161" s="6" t="s">
        <v>181</v>
      </c>
      <c r="C161" s="97" t="s">
        <v>33</v>
      </c>
      <c r="D161" s="97" t="s">
        <v>399</v>
      </c>
      <c r="E161" s="23" t="str" cm="1">
        <f t="array" ref="E161">_xlfn.XLOOKUP(Table117821341[[#This Row],[Team]],Table4334[Team],'2425'!$C$3:$C$34)</f>
        <v>n/a</v>
      </c>
      <c r="F161" s="97" t="str">
        <f>_xlfn.XLOOKUP(Table117821341[[#This Row],[Team]],Table4334[Team],Table4334[OPP])</f>
        <v>n/a</v>
      </c>
      <c r="G161" s="148" t="e" cm="1">
        <f t="array" ref="G161">IF(Table117821341[[#This Row],[Pos.]]="QB1",_xlfn.XLOOKUP(Table117821341[[#This Row],[Opp]],Table123[DEF],'2425'!$G$3:$G$34),"#N/A")</f>
        <v>#N/A</v>
      </c>
      <c r="H161" s="148" t="e" cm="1">
        <f t="array" ref="H161">IF(Table117821341[[#This Row],[Pos.]]="QB1",_xlfn.XLOOKUP(Table117821341[[#This Row],[Opp]],Table123[DEF],'2425'!$J$3:$J$34),"#N/A")</f>
        <v>#N/A</v>
      </c>
      <c r="I161" s="148" t="e" cm="1">
        <f t="array" ref="I161">IF(Table117821341[[#This Row],[Pos.]]="QB1",_xlfn.XLOOKUP(Table117821341[[#This Row],[Opp]],Table123[DEF],'2425'!$K$3:$K$34),"#N/A")</f>
        <v>#N/A</v>
      </c>
      <c r="J161" s="148" t="e" cm="1">
        <f t="array" ref="J16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1" s="148" t="e" cm="1">
        <f t="array" ref="K16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1" s="148" t="e" cm="1">
        <f t="array" ref="L16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1" s="148" t="e" cm="1">
        <f t="array" ref="M16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1" s="148" t="e" cm="1">
        <f t="array" ref="N16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1" s="149" t="e">
        <f>IF(Table117821341[[#This Row],[Pos.]]="QB1",_xlfn.XLOOKUP(Table117821341[[#This Row],[Opp]],Table123[DEF],Table123[P]),"#N/A")</f>
        <v>#N/A</v>
      </c>
      <c r="P161" s="149" t="e">
        <f>IF(Table117821341[[#This Row],[Pos.]]="QB1",_xlfn.XLOOKUP(Table117821341[[#This Row],[Opp]],Table123[DEF],Table123[P+R]),"#N/A")</f>
        <v>#N/A</v>
      </c>
      <c r="Q161" s="150" t="e">
        <f>IF(Table117821341[[#This Row],[Pos.]]="QB1",_xlfn.XLOOKUP(Table117821341[[#This Row],[Opp]],Table123[DEF],Table123[P TD]),"#N/A")</f>
        <v>#N/A</v>
      </c>
      <c r="R161" s="149" t="e" cm="1">
        <f t="array" ref="R16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1" s="150" t="e" cm="1">
        <f t="array" ref="S16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1" s="150" t="e" cm="1">
        <f t="array" ref="T16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1" s="150" t="e" cm="1">
        <f t="array" ref="U16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1" s="162" t="e" cm="1">
        <f t="array" ref="V16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1" s="148" t="e" cm="1">
        <f t="array" ref="W161">_xlfn.IFS(Table117821341[[#This Row],[Pos.]]="QB1",AVERAGE(G161,H161,I161,J161,N161),Table117821341[[#This Row],[Pos.]]="RB1",AVERAGE(J161,K161,N161),Table117821341[[#This Row],[Pos.]]="RB2",AVERAGE(J161,K161,N161),Table117821341[[#This Row],[Pos.]]="WR1",AVERAGE(L161,M161,N161),Table117821341[[#This Row],[Pos.]]="WR2",AVERAGE(L161,M161,N161),Table117821341[[#This Row],[Pos.]]="WR3",AVERAGE(L161,M161,N161),Table117821341[[#This Row],[Pos.]]="WR4",AVERAGE(L161,M161,N161),Table117821341[[#This Row],[Pos.]]="TE1",AVERAGE(L161,M161,N161),Table117821341[[#This Row],[Pos.]]="TE2",AVERAGE(L161,M161,N161),Table117821341[[#This Row],[Pos.]]="D/ST",AVERAGE(Table117821341[[#This Row],[*TD*]]))</f>
        <v>#N/A</v>
      </c>
      <c r="X161" s="94" t="e">
        <f t="shared" si="2"/>
        <v>#N/A</v>
      </c>
    </row>
    <row r="162" spans="2:24" hidden="1" x14ac:dyDescent="0.35">
      <c r="B162" s="6" t="s">
        <v>192</v>
      </c>
      <c r="C162" s="97" t="s">
        <v>34</v>
      </c>
      <c r="D162" s="97" t="s">
        <v>394</v>
      </c>
      <c r="E162" s="23" t="str" cm="1">
        <f t="array" ref="E162">_xlfn.XLOOKUP(Table117821341[[#This Row],[Team]],Table4334[Team],'2425'!$C$3:$C$34)</f>
        <v>n/a</v>
      </c>
      <c r="F162" s="97" t="str">
        <f>_xlfn.XLOOKUP(Table117821341[[#This Row],[Team]],Table4334[Team],Table4334[OPP])</f>
        <v>n/a</v>
      </c>
      <c r="G162" s="148" t="str" cm="1">
        <f t="array" ref="G162">IF(Table117821341[[#This Row],[Pos.]]="QB1",_xlfn.XLOOKUP(Table117821341[[#This Row],[Opp]],Table123[DEF],'2425'!$G$3:$G$34),"#N/A")</f>
        <v>#N/A</v>
      </c>
      <c r="H162" s="148" t="str" cm="1">
        <f t="array" ref="H162">IF(Table117821341[[#This Row],[Pos.]]="QB1",_xlfn.XLOOKUP(Table117821341[[#This Row],[Opp]],Table123[DEF],'2425'!$J$3:$J$34),"#N/A")</f>
        <v>#N/A</v>
      </c>
      <c r="I162" s="148" t="str" cm="1">
        <f t="array" ref="I162">IF(Table117821341[[#This Row],[Pos.]]="QB1",_xlfn.XLOOKUP(Table117821341[[#This Row],[Opp]],Table123[DEF],'2425'!$K$3:$K$34),"#N/A")</f>
        <v>#N/A</v>
      </c>
      <c r="J162" s="148" t="e" cm="1">
        <f t="array" ref="J16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2" s="148" t="e" cm="1">
        <f t="array" ref="K16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2" s="148" t="e" cm="1">
        <f t="array" ref="L16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2" s="148" t="e" cm="1">
        <f t="array" ref="M16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2" s="148" t="e" cm="1">
        <f t="array" ref="N16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2" s="149" t="str">
        <f>IF(Table117821341[[#This Row],[Pos.]]="QB1",_xlfn.XLOOKUP(Table117821341[[#This Row],[Opp]],Table123[DEF],Table123[P]),"#N/A")</f>
        <v>#N/A</v>
      </c>
      <c r="P162" s="149" t="str">
        <f>IF(Table117821341[[#This Row],[Pos.]]="QB1",_xlfn.XLOOKUP(Table117821341[[#This Row],[Opp]],Table123[DEF],Table123[P+R]),"#N/A")</f>
        <v>#N/A</v>
      </c>
      <c r="Q162" s="150" t="str">
        <f>IF(Table117821341[[#This Row],[Pos.]]="QB1",_xlfn.XLOOKUP(Table117821341[[#This Row],[Opp]],Table123[DEF],Table123[P TD]),"#N/A")</f>
        <v>#N/A</v>
      </c>
      <c r="R162" s="149" t="e" cm="1">
        <f t="array" ref="R16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2" s="150" t="e" cm="1">
        <f t="array" ref="S16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2" s="150" t="e" cm="1">
        <f t="array" ref="T16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2" s="150" t="e" cm="1">
        <f t="array" ref="U16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2" s="150" t="e" cm="1">
        <f t="array" ref="V16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2" s="148" t="e" cm="1">
        <f t="array" ref="W162">_xlfn.IFS(Table117821341[[#This Row],[Pos.]]="QB1",AVERAGE(G162,H162,I162,J162,N162),Table117821341[[#This Row],[Pos.]]="RB1",AVERAGE(J162,K162,N162),Table117821341[[#This Row],[Pos.]]="RB2",AVERAGE(J162,K162,N162),Table117821341[[#This Row],[Pos.]]="WR1",AVERAGE(L162,M162,N162),Table117821341[[#This Row],[Pos.]]="WR2",AVERAGE(L162,M162,N162),Table117821341[[#This Row],[Pos.]]="WR3",AVERAGE(L162,M162,N162),Table117821341[[#This Row],[Pos.]]="WR4",AVERAGE(L162,M162,N162),Table117821341[[#This Row],[Pos.]]="TE1",AVERAGE(L162,M162,N162),Table117821341[[#This Row],[Pos.]]="TE2",AVERAGE(L162,M162,N162),Table117821341[[#This Row],[Pos.]]="D/ST",AVERAGE(Table117821341[[#This Row],[*TD*]]))</f>
        <v>#N/A</v>
      </c>
      <c r="X162" s="94" t="e">
        <f t="shared" si="2"/>
        <v>#N/A</v>
      </c>
    </row>
    <row r="163" spans="2:24" hidden="1" x14ac:dyDescent="0.35">
      <c r="B163" s="6" t="s">
        <v>577</v>
      </c>
      <c r="C163" s="97" t="s">
        <v>34</v>
      </c>
      <c r="D163" s="97" t="s">
        <v>396</v>
      </c>
      <c r="E163" s="23" t="str" cm="1">
        <f t="array" ref="E163">_xlfn.XLOOKUP(Table117821341[[#This Row],[Team]],Table4334[Team],'2425'!$C$3:$C$34)</f>
        <v>n/a</v>
      </c>
      <c r="F163" s="97" t="str">
        <f>_xlfn.XLOOKUP(Table117821341[[#This Row],[Team]],Table4334[Team],Table4334[OPP])</f>
        <v>n/a</v>
      </c>
      <c r="G163" s="148" t="str" cm="1">
        <f t="array" ref="G163">IF(Table117821341[[#This Row],[Pos.]]="QB1",_xlfn.XLOOKUP(Table117821341[[#This Row],[Opp]],Table123[DEF],'2425'!$G$3:$G$34),"#N/A")</f>
        <v>#N/A</v>
      </c>
      <c r="H163" s="148" t="str" cm="1">
        <f t="array" ref="H163">IF(Table117821341[[#This Row],[Pos.]]="QB1",_xlfn.XLOOKUP(Table117821341[[#This Row],[Opp]],Table123[DEF],'2425'!$J$3:$J$34),"#N/A")</f>
        <v>#N/A</v>
      </c>
      <c r="I163" s="148" t="str" cm="1">
        <f t="array" ref="I163">IF(Table117821341[[#This Row],[Pos.]]="QB1",_xlfn.XLOOKUP(Table117821341[[#This Row],[Opp]],Table123[DEF],'2425'!$K$3:$K$34),"#N/A")</f>
        <v>#N/A</v>
      </c>
      <c r="J163" s="148" t="e" cm="1">
        <f t="array" ref="J16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3" s="148" t="e" cm="1">
        <f t="array" ref="K16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3" s="148" t="e" cm="1">
        <f t="array" ref="L16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3" s="148" t="e" cm="1">
        <f t="array" ref="M16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3" s="148" t="e" cm="1">
        <f t="array" ref="N16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3" s="149" t="str">
        <f>IF(Table117821341[[#This Row],[Pos.]]="QB1",_xlfn.XLOOKUP(Table117821341[[#This Row],[Opp]],Table123[DEF],Table123[P]),"#N/A")</f>
        <v>#N/A</v>
      </c>
      <c r="P163" s="149" t="str">
        <f>IF(Table117821341[[#This Row],[Pos.]]="QB1",_xlfn.XLOOKUP(Table117821341[[#This Row],[Opp]],Table123[DEF],Table123[P+R]),"#N/A")</f>
        <v>#N/A</v>
      </c>
      <c r="Q163" s="150" t="str">
        <f>IF(Table117821341[[#This Row],[Pos.]]="QB1",_xlfn.XLOOKUP(Table117821341[[#This Row],[Opp]],Table123[DEF],Table123[P TD]),"#N/A")</f>
        <v>#N/A</v>
      </c>
      <c r="R163" s="149" t="e" cm="1">
        <f t="array" ref="R16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3" s="150" t="e" cm="1">
        <f t="array" ref="S16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3" s="150" t="e" cm="1">
        <f t="array" ref="T16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3" s="150" t="e" cm="1">
        <f t="array" ref="U16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3" s="150" t="e" cm="1">
        <f t="array" ref="V16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3" s="148" t="e" cm="1">
        <f t="array" ref="W163">_xlfn.IFS(Table117821341[[#This Row],[Pos.]]="QB1",AVERAGE(G163,H163,I163,J163,N163),Table117821341[[#This Row],[Pos.]]="RB1",AVERAGE(J163,K163,N163),Table117821341[[#This Row],[Pos.]]="RB2",AVERAGE(J163,K163,N163),Table117821341[[#This Row],[Pos.]]="WR1",AVERAGE(L163,M163,N163),Table117821341[[#This Row],[Pos.]]="WR2",AVERAGE(L163,M163,N163),Table117821341[[#This Row],[Pos.]]="WR3",AVERAGE(L163,M163,N163),Table117821341[[#This Row],[Pos.]]="WR4",AVERAGE(L163,M163,N163),Table117821341[[#This Row],[Pos.]]="TE1",AVERAGE(L163,M163,N163),Table117821341[[#This Row],[Pos.]]="TE2",AVERAGE(L163,M163,N163),Table117821341[[#This Row],[Pos.]]="D/ST",AVERAGE(Table117821341[[#This Row],[*TD*]]))</f>
        <v>#N/A</v>
      </c>
      <c r="X163" s="94" t="e">
        <f t="shared" si="2"/>
        <v>#N/A</v>
      </c>
    </row>
    <row r="164" spans="2:24" hidden="1" x14ac:dyDescent="0.35">
      <c r="B164" s="6" t="s">
        <v>194</v>
      </c>
      <c r="C164" s="97" t="s">
        <v>34</v>
      </c>
      <c r="D164" s="97" t="s">
        <v>407</v>
      </c>
      <c r="E164" s="23" t="str" cm="1">
        <f t="array" ref="E164">_xlfn.XLOOKUP(Table117821341[[#This Row],[Team]],Table4334[Team],'2425'!$C$3:$C$34)</f>
        <v>n/a</v>
      </c>
      <c r="F164" s="97" t="str">
        <f>_xlfn.XLOOKUP(Table117821341[[#This Row],[Team]],Table4334[Team],Table4334[OPP])</f>
        <v>n/a</v>
      </c>
      <c r="G164" s="148" t="str" cm="1">
        <f t="array" ref="G164">IF(Table117821341[[#This Row],[Pos.]]="QB1",_xlfn.XLOOKUP(Table117821341[[#This Row],[Opp]],Table123[DEF],'2425'!$G$3:$G$34),"#N/A")</f>
        <v>#N/A</v>
      </c>
      <c r="H164" s="148" t="str" cm="1">
        <f t="array" ref="H164">IF(Table117821341[[#This Row],[Pos.]]="QB1",_xlfn.XLOOKUP(Table117821341[[#This Row],[Opp]],Table123[DEF],'2425'!$J$3:$J$34),"#N/A")</f>
        <v>#N/A</v>
      </c>
      <c r="I164" s="148" t="str" cm="1">
        <f t="array" ref="I164">IF(Table117821341[[#This Row],[Pos.]]="QB1",_xlfn.XLOOKUP(Table117821341[[#This Row],[Opp]],Table123[DEF],'2425'!$K$3:$K$34),"#N/A")</f>
        <v>#N/A</v>
      </c>
      <c r="J164" s="148" t="e" cm="1">
        <f t="array" ref="J16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4" s="148" t="e" cm="1">
        <f t="array" ref="K16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4" s="148" t="e" cm="1">
        <f t="array" ref="L16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4" s="148" t="e" cm="1">
        <f t="array" ref="M16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4" s="148" t="e" cm="1">
        <f t="array" ref="N16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4" s="149" t="str">
        <f>IF(Table117821341[[#This Row],[Pos.]]="QB1",_xlfn.XLOOKUP(Table117821341[[#This Row],[Opp]],Table123[DEF],Table123[P]),"#N/A")</f>
        <v>#N/A</v>
      </c>
      <c r="P164" s="149" t="str">
        <f>IF(Table117821341[[#This Row],[Pos.]]="QB1",_xlfn.XLOOKUP(Table117821341[[#This Row],[Opp]],Table123[DEF],Table123[P+R]),"#N/A")</f>
        <v>#N/A</v>
      </c>
      <c r="Q164" s="150" t="str">
        <f>IF(Table117821341[[#This Row],[Pos.]]="QB1",_xlfn.XLOOKUP(Table117821341[[#This Row],[Opp]],Table123[DEF],Table123[P TD]),"#N/A")</f>
        <v>#N/A</v>
      </c>
      <c r="R164" s="149" t="e" cm="1">
        <f t="array" ref="R16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4" s="150" t="e" cm="1">
        <f t="array" ref="S16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4" s="150" t="e" cm="1">
        <f t="array" ref="T16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4" s="150" t="e" cm="1">
        <f t="array" ref="U16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4" s="150" t="e" cm="1">
        <f t="array" ref="V16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4" s="148" t="e" cm="1">
        <f t="array" ref="W164">_xlfn.IFS(Table117821341[[#This Row],[Pos.]]="QB1",AVERAGE(G164,H164,I164,J164,N164),Table117821341[[#This Row],[Pos.]]="RB1",AVERAGE(J164,K164,N164),Table117821341[[#This Row],[Pos.]]="RB2",AVERAGE(J164,K164,N164),Table117821341[[#This Row],[Pos.]]="WR1",AVERAGE(L164,M164,N164),Table117821341[[#This Row],[Pos.]]="WR2",AVERAGE(L164,M164,N164),Table117821341[[#This Row],[Pos.]]="WR3",AVERAGE(L164,M164,N164),Table117821341[[#This Row],[Pos.]]="WR4",AVERAGE(L164,M164,N164),Table117821341[[#This Row],[Pos.]]="TE1",AVERAGE(L164,M164,N164),Table117821341[[#This Row],[Pos.]]="TE2",AVERAGE(L164,M164,N164),Table117821341[[#This Row],[Pos.]]="D/ST",AVERAGE(Table117821341[[#This Row],[*TD*]]))</f>
        <v>#N/A</v>
      </c>
      <c r="X164" s="94" t="e">
        <f t="shared" si="2"/>
        <v>#N/A</v>
      </c>
    </row>
    <row r="165" spans="2:24" hidden="1" x14ac:dyDescent="0.35">
      <c r="B165" s="6" t="s">
        <v>186</v>
      </c>
      <c r="C165" s="97" t="s">
        <v>33</v>
      </c>
      <c r="D165" s="97" t="s">
        <v>397</v>
      </c>
      <c r="E165" s="23" t="str" cm="1">
        <f t="array" ref="E165">_xlfn.XLOOKUP(Table117821341[[#This Row],[Team]],Table4334[Team],'2425'!$C$3:$C$34)</f>
        <v>n/a</v>
      </c>
      <c r="F165" s="97" t="str">
        <f>_xlfn.XLOOKUP(Table117821341[[#This Row],[Team]],Table4334[Team],Table4334[OPP])</f>
        <v>n/a</v>
      </c>
      <c r="G165" s="148" t="str" cm="1">
        <f t="array" ref="G165">IF(Table117821341[[#This Row],[Pos.]]="QB1",_xlfn.XLOOKUP(Table117821341[[#This Row],[Opp]],Table123[DEF],'2425'!$G$3:$G$34),"#N/A")</f>
        <v>#N/A</v>
      </c>
      <c r="H165" s="148" t="str" cm="1">
        <f t="array" ref="H165">IF(Table117821341[[#This Row],[Pos.]]="QB1",_xlfn.XLOOKUP(Table117821341[[#This Row],[Opp]],Table123[DEF],'2425'!$J$3:$J$34),"#N/A")</f>
        <v>#N/A</v>
      </c>
      <c r="I165" s="148" t="str" cm="1">
        <f t="array" ref="I165">IF(Table117821341[[#This Row],[Pos.]]="QB1",_xlfn.XLOOKUP(Table117821341[[#This Row],[Opp]],Table123[DEF],'2425'!$K$3:$K$34),"#N/A")</f>
        <v>#N/A</v>
      </c>
      <c r="J165" s="148" t="e" cm="1">
        <f t="array" ref="J16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5" s="148" t="e" cm="1">
        <f t="array" ref="K16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5" s="148" t="e" cm="1">
        <f t="array" ref="L16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5" s="148" t="e" cm="1">
        <f t="array" ref="M16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5" s="148" t="e" cm="1">
        <f t="array" ref="N16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5" s="149" t="str">
        <f>IF(Table117821341[[#This Row],[Pos.]]="QB1",_xlfn.XLOOKUP(Table117821341[[#This Row],[Opp]],Table123[DEF],Table123[P]),"#N/A")</f>
        <v>#N/A</v>
      </c>
      <c r="P165" s="149" t="str">
        <f>IF(Table117821341[[#This Row],[Pos.]]="QB1",_xlfn.XLOOKUP(Table117821341[[#This Row],[Opp]],Table123[DEF],Table123[P+R]),"#N/A")</f>
        <v>#N/A</v>
      </c>
      <c r="Q165" s="150" t="str">
        <f>IF(Table117821341[[#This Row],[Pos.]]="QB1",_xlfn.XLOOKUP(Table117821341[[#This Row],[Opp]],Table123[DEF],Table123[P TD]),"#N/A")</f>
        <v>#N/A</v>
      </c>
      <c r="R165" s="149" t="e" cm="1">
        <f t="array" ref="R16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5" s="150" t="e" cm="1">
        <f t="array" ref="S16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5" s="150" t="e" cm="1">
        <f t="array" ref="T16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5" s="150" t="e" cm="1">
        <f t="array" ref="U16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5" s="162" t="e" cm="1">
        <f t="array" ref="V16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5" s="148" t="e" cm="1">
        <f t="array" ref="W165">_xlfn.IFS(Table117821341[[#This Row],[Pos.]]="QB1",AVERAGE(G165,H165,I165,J165,N165),Table117821341[[#This Row],[Pos.]]="RB1",AVERAGE(J165,K165,N165),Table117821341[[#This Row],[Pos.]]="RB2",AVERAGE(J165,K165,N165),Table117821341[[#This Row],[Pos.]]="WR1",AVERAGE(L165,M165,N165),Table117821341[[#This Row],[Pos.]]="WR2",AVERAGE(L165,M165,N165),Table117821341[[#This Row],[Pos.]]="WR3",AVERAGE(L165,M165,N165),Table117821341[[#This Row],[Pos.]]="WR4",AVERAGE(L165,M165,N165),Table117821341[[#This Row],[Pos.]]="TE1",AVERAGE(L165,M165,N165),Table117821341[[#This Row],[Pos.]]="TE2",AVERAGE(L165,M165,N165),Table117821341[[#This Row],[Pos.]]="D/ST",AVERAGE(Table117821341[[#This Row],[*TD*]]))</f>
        <v>#N/A</v>
      </c>
      <c r="X165" s="94" t="e">
        <f t="shared" si="2"/>
        <v>#N/A</v>
      </c>
    </row>
    <row r="166" spans="2:24" hidden="1" x14ac:dyDescent="0.35">
      <c r="B166" s="6" t="s">
        <v>580</v>
      </c>
      <c r="C166" s="97" t="s">
        <v>34</v>
      </c>
      <c r="D166" s="97" t="s">
        <v>398</v>
      </c>
      <c r="E166" s="23" t="str" cm="1">
        <f t="array" ref="E166">_xlfn.XLOOKUP(Table117821341[[#This Row],[Team]],Table4334[Team],'2425'!$C$3:$C$34)</f>
        <v>n/a</v>
      </c>
      <c r="F166" s="97" t="str">
        <f>_xlfn.XLOOKUP(Table117821341[[#This Row],[Team]],Table4334[Team],Table4334[OPP])</f>
        <v>n/a</v>
      </c>
      <c r="G166" s="148" t="str" cm="1">
        <f t="array" ref="G166">IF(Table117821341[[#This Row],[Pos.]]="QB1",_xlfn.XLOOKUP(Table117821341[[#This Row],[Opp]],Table123[DEF],'2425'!$G$3:$G$34),"#N/A")</f>
        <v>#N/A</v>
      </c>
      <c r="H166" s="148" t="str" cm="1">
        <f t="array" ref="H166">IF(Table117821341[[#This Row],[Pos.]]="QB1",_xlfn.XLOOKUP(Table117821341[[#This Row],[Opp]],Table123[DEF],'2425'!$J$3:$J$34),"#N/A")</f>
        <v>#N/A</v>
      </c>
      <c r="I166" s="148" t="str" cm="1">
        <f t="array" ref="I166">IF(Table117821341[[#This Row],[Pos.]]="QB1",_xlfn.XLOOKUP(Table117821341[[#This Row],[Opp]],Table123[DEF],'2425'!$K$3:$K$34),"#N/A")</f>
        <v>#N/A</v>
      </c>
      <c r="J166" s="148" t="e" cm="1">
        <f t="array" ref="J16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6" s="148" t="e" cm="1">
        <f t="array" ref="K16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6" s="148" t="e" cm="1">
        <f t="array" ref="L16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6" s="148" t="e" cm="1">
        <f t="array" ref="M16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6" s="148" t="e" cm="1">
        <f t="array" ref="N16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6" s="149" t="str">
        <f>IF(Table117821341[[#This Row],[Pos.]]="QB1",_xlfn.XLOOKUP(Table117821341[[#This Row],[Opp]],Table123[DEF],Table123[P]),"#N/A")</f>
        <v>#N/A</v>
      </c>
      <c r="P166" s="149" t="str">
        <f>IF(Table117821341[[#This Row],[Pos.]]="QB1",_xlfn.XLOOKUP(Table117821341[[#This Row],[Opp]],Table123[DEF],Table123[P+R]),"#N/A")</f>
        <v>#N/A</v>
      </c>
      <c r="Q166" s="150" t="str">
        <f>IF(Table117821341[[#This Row],[Pos.]]="QB1",_xlfn.XLOOKUP(Table117821341[[#This Row],[Opp]],Table123[DEF],Table123[P TD]),"#N/A")</f>
        <v>#N/A</v>
      </c>
      <c r="R166" s="149" t="e" cm="1">
        <f t="array" ref="R16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6" s="150" t="e" cm="1">
        <f t="array" ref="S16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6" s="150" t="e" cm="1">
        <f t="array" ref="T16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6" s="150" t="e" cm="1">
        <f t="array" ref="U16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6" s="150" t="e" cm="1">
        <f t="array" ref="V16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6" s="148" t="e" cm="1">
        <f t="array" ref="W166">_xlfn.IFS(Table117821341[[#This Row],[Pos.]]="QB1",AVERAGE(G166,H166,I166,J166,N166),Table117821341[[#This Row],[Pos.]]="RB1",AVERAGE(J166,K166,N166),Table117821341[[#This Row],[Pos.]]="RB2",AVERAGE(J166,K166,N166),Table117821341[[#This Row],[Pos.]]="WR1",AVERAGE(L166,M166,N166),Table117821341[[#This Row],[Pos.]]="WR2",AVERAGE(L166,M166,N166),Table117821341[[#This Row],[Pos.]]="WR3",AVERAGE(L166,M166,N166),Table117821341[[#This Row],[Pos.]]="WR4",AVERAGE(L166,M166,N166),Table117821341[[#This Row],[Pos.]]="TE1",AVERAGE(L166,M166,N166),Table117821341[[#This Row],[Pos.]]="TE2",AVERAGE(L166,M166,N166),Table117821341[[#This Row],[Pos.]]="D/ST",AVERAGE(Table117821341[[#This Row],[*TD*]]))</f>
        <v>#N/A</v>
      </c>
      <c r="X166" s="94" t="e">
        <f t="shared" si="2"/>
        <v>#N/A</v>
      </c>
    </row>
    <row r="167" spans="2:24" hidden="1" x14ac:dyDescent="0.35">
      <c r="B167" s="6" t="s">
        <v>581</v>
      </c>
      <c r="C167" s="97" t="s">
        <v>34</v>
      </c>
      <c r="D167" s="97" t="s">
        <v>430</v>
      </c>
      <c r="E167" s="23" t="str" cm="1">
        <f t="array" ref="E167">_xlfn.XLOOKUP(Table117821341[[#This Row],[Team]],Table4334[Team],'2425'!$C$3:$C$34)</f>
        <v>n/a</v>
      </c>
      <c r="F167" s="97" t="str">
        <f>_xlfn.XLOOKUP(Table117821341[[#This Row],[Team]],Table4334[Team],Table4334[OPP])</f>
        <v>n/a</v>
      </c>
      <c r="G167" s="148" t="str" cm="1">
        <f t="array" ref="G167">IF(Table117821341[[#This Row],[Pos.]]="QB1",_xlfn.XLOOKUP(Table117821341[[#This Row],[Opp]],Table123[DEF],'2425'!$G$3:$G$34),"#N/A")</f>
        <v>#N/A</v>
      </c>
      <c r="H167" s="148" t="str" cm="1">
        <f t="array" ref="H167">IF(Table117821341[[#This Row],[Pos.]]="QB1",_xlfn.XLOOKUP(Table117821341[[#This Row],[Opp]],Table123[DEF],'2425'!$J$3:$J$34),"#N/A")</f>
        <v>#N/A</v>
      </c>
      <c r="I167" s="148" t="str" cm="1">
        <f t="array" ref="I167">IF(Table117821341[[#This Row],[Pos.]]="QB1",_xlfn.XLOOKUP(Table117821341[[#This Row],[Opp]],Table123[DEF],'2425'!$K$3:$K$34),"#N/A")</f>
        <v>#N/A</v>
      </c>
      <c r="J167" s="148" t="e" cm="1">
        <f t="array" ref="J16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7" s="148" t="e" cm="1">
        <f t="array" ref="K16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7" s="148" t="e" cm="1">
        <f t="array" ref="L16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7" s="148" t="e" cm="1">
        <f t="array" ref="M16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7" s="148" t="e" cm="1">
        <f t="array" ref="N16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7" s="149" t="str">
        <f>IF(Table117821341[[#This Row],[Pos.]]="QB1",_xlfn.XLOOKUP(Table117821341[[#This Row],[Opp]],Table123[DEF],Table123[P]),"#N/A")</f>
        <v>#N/A</v>
      </c>
      <c r="P167" s="149" t="str">
        <f>IF(Table117821341[[#This Row],[Pos.]]="QB1",_xlfn.XLOOKUP(Table117821341[[#This Row],[Opp]],Table123[DEF],Table123[P+R]),"#N/A")</f>
        <v>#N/A</v>
      </c>
      <c r="Q167" s="150" t="str">
        <f>IF(Table117821341[[#This Row],[Pos.]]="QB1",_xlfn.XLOOKUP(Table117821341[[#This Row],[Opp]],Table123[DEF],Table123[P TD]),"#N/A")</f>
        <v>#N/A</v>
      </c>
      <c r="R167" s="149" t="e" cm="1">
        <f t="array" ref="R16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7" s="150" t="e" cm="1">
        <f t="array" ref="S16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7" s="150" t="e" cm="1">
        <f t="array" ref="T16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7" s="150" t="e" cm="1">
        <f t="array" ref="U16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7" s="150" t="e" cm="1">
        <f t="array" ref="V16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7" s="148" t="e" cm="1">
        <f t="array" ref="W167">_xlfn.IFS(Table117821341[[#This Row],[Pos.]]="QB1",AVERAGE(G167,H167,I167,J167,N167),Table117821341[[#This Row],[Pos.]]="RB1",AVERAGE(J167,K167,N167),Table117821341[[#This Row],[Pos.]]="RB2",AVERAGE(J167,K167,N167),Table117821341[[#This Row],[Pos.]]="WR1",AVERAGE(L167,M167,N167),Table117821341[[#This Row],[Pos.]]="WR2",AVERAGE(L167,M167,N167),Table117821341[[#This Row],[Pos.]]="WR3",AVERAGE(L167,M167,N167),Table117821341[[#This Row],[Pos.]]="WR4",AVERAGE(L167,M167,N167),Table117821341[[#This Row],[Pos.]]="TE1",AVERAGE(L167,M167,N167),Table117821341[[#This Row],[Pos.]]="TE2",AVERAGE(L167,M167,N167),Table117821341[[#This Row],[Pos.]]="D/ST",AVERAGE(Table117821341[[#This Row],[*TD*]]))</f>
        <v>#N/A</v>
      </c>
      <c r="X167" s="94" t="e">
        <f t="shared" si="2"/>
        <v>#N/A</v>
      </c>
    </row>
    <row r="168" spans="2:24" hidden="1" x14ac:dyDescent="0.35">
      <c r="B168" s="6" t="s">
        <v>582</v>
      </c>
      <c r="C168" s="97" t="s">
        <v>34</v>
      </c>
      <c r="D168" s="97" t="s">
        <v>435</v>
      </c>
      <c r="E168" s="23" t="str" cm="1">
        <f t="array" ref="E168">_xlfn.XLOOKUP(Table117821341[[#This Row],[Team]],Table4334[Team],'2425'!$C$3:$C$34)</f>
        <v>n/a</v>
      </c>
      <c r="F168" s="97" t="str">
        <f>_xlfn.XLOOKUP(Table117821341[[#This Row],[Team]],Table4334[Team],Table4334[OPP])</f>
        <v>n/a</v>
      </c>
      <c r="G168" s="148" t="str" cm="1">
        <f t="array" ref="G168">IF(Table117821341[[#This Row],[Pos.]]="QB1",_xlfn.XLOOKUP(Table117821341[[#This Row],[Opp]],Table123[DEF],'2425'!$G$3:$G$34),"#N/A")</f>
        <v>#N/A</v>
      </c>
      <c r="H168" s="148" t="str" cm="1">
        <f t="array" ref="H168">IF(Table117821341[[#This Row],[Pos.]]="QB1",_xlfn.XLOOKUP(Table117821341[[#This Row],[Opp]],Table123[DEF],'2425'!$J$3:$J$34),"#N/A")</f>
        <v>#N/A</v>
      </c>
      <c r="I168" s="148" t="str" cm="1">
        <f t="array" ref="I168">IF(Table117821341[[#This Row],[Pos.]]="QB1",_xlfn.XLOOKUP(Table117821341[[#This Row],[Opp]],Table123[DEF],'2425'!$K$3:$K$34),"#N/A")</f>
        <v>#N/A</v>
      </c>
      <c r="J168" s="148" t="e" cm="1">
        <f t="array" ref="J16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8" s="148" t="e" cm="1">
        <f t="array" ref="K16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8" s="148" t="e" cm="1">
        <f t="array" ref="L16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8" s="148" t="e" cm="1">
        <f t="array" ref="M16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8" s="148" t="e" cm="1">
        <f t="array" ref="N16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8" s="149" t="str">
        <f>IF(Table117821341[[#This Row],[Pos.]]="QB1",_xlfn.XLOOKUP(Table117821341[[#This Row],[Opp]],Table123[DEF],Table123[P]),"#N/A")</f>
        <v>#N/A</v>
      </c>
      <c r="P168" s="149" t="str">
        <f>IF(Table117821341[[#This Row],[Pos.]]="QB1",_xlfn.XLOOKUP(Table117821341[[#This Row],[Opp]],Table123[DEF],Table123[P+R]),"#N/A")</f>
        <v>#N/A</v>
      </c>
      <c r="Q168" s="150" t="str">
        <f>IF(Table117821341[[#This Row],[Pos.]]="QB1",_xlfn.XLOOKUP(Table117821341[[#This Row],[Opp]],Table123[DEF],Table123[P TD]),"#N/A")</f>
        <v>#N/A</v>
      </c>
      <c r="R168" s="149" t="e" cm="1">
        <f t="array" ref="R16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8" s="150" t="e" cm="1">
        <f t="array" ref="S16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8" s="150" t="e" cm="1">
        <f t="array" ref="T16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8" s="150" t="e" cm="1">
        <f t="array" ref="U16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8" s="150" t="e" cm="1">
        <f t="array" ref="V16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8" s="148" t="e" cm="1">
        <f t="array" ref="W168">_xlfn.IFS(Table117821341[[#This Row],[Pos.]]="QB1",AVERAGE(G168,H168,I168,J168,N168),Table117821341[[#This Row],[Pos.]]="RB1",AVERAGE(J168,K168,N168),Table117821341[[#This Row],[Pos.]]="RB2",AVERAGE(J168,K168,N168),Table117821341[[#This Row],[Pos.]]="WR1",AVERAGE(L168,M168,N168),Table117821341[[#This Row],[Pos.]]="WR2",AVERAGE(L168,M168,N168),Table117821341[[#This Row],[Pos.]]="WR3",AVERAGE(L168,M168,N168),Table117821341[[#This Row],[Pos.]]="WR4",AVERAGE(L168,M168,N168),Table117821341[[#This Row],[Pos.]]="TE1",AVERAGE(L168,M168,N168),Table117821341[[#This Row],[Pos.]]="TE2",AVERAGE(L168,M168,N168),Table117821341[[#This Row],[Pos.]]="D/ST",AVERAGE(Table117821341[[#This Row],[*TD*]]))</f>
        <v>#N/A</v>
      </c>
      <c r="X168" s="94" t="e">
        <f t="shared" si="2"/>
        <v>#N/A</v>
      </c>
    </row>
    <row r="169" spans="2:24" hidden="1" x14ac:dyDescent="0.35">
      <c r="B169" s="6" t="s">
        <v>712</v>
      </c>
      <c r="C169" s="97" t="s">
        <v>31</v>
      </c>
      <c r="D169" s="97" t="s">
        <v>71</v>
      </c>
      <c r="E169" s="23" t="str" cm="1">
        <f t="array" ref="E169">_xlfn.XLOOKUP(Table117821341[[#This Row],[Team]],Table4334[Team],'2425'!$C$3:$C$34)</f>
        <v>n/a</v>
      </c>
      <c r="F169" s="97" t="str">
        <f>_xlfn.XLOOKUP(Table117821341[[#This Row],[Team]],Table4334[Team],Table4334[OPP])</f>
        <v>n/a</v>
      </c>
      <c r="G169" s="148" t="str" cm="1">
        <f t="array" ref="G169">IF(Table117821341[[#This Row],[Pos.]]="QB1",_xlfn.XLOOKUP(Table117821341[[#This Row],[Opp]],Table123[DEF],'2425'!$G$3:$G$34),"#N/A")</f>
        <v>#N/A</v>
      </c>
      <c r="H169" s="148" t="str" cm="1">
        <f t="array" ref="H169">IF(Table117821341[[#This Row],[Pos.]]="QB1",_xlfn.XLOOKUP(Table117821341[[#This Row],[Opp]],Table123[DEF],'2425'!$J$3:$J$34),"#N/A")</f>
        <v>#N/A</v>
      </c>
      <c r="I169" s="148" t="str" cm="1">
        <f t="array" ref="I169">IF(Table117821341[[#This Row],[Pos.]]="QB1",_xlfn.XLOOKUP(Table117821341[[#This Row],[Opp]],Table123[DEF],'2425'!$K$3:$K$34),"#N/A")</f>
        <v>#N/A</v>
      </c>
      <c r="J169" s="148" t="e" cm="1">
        <f t="array" ref="J16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69" s="148" t="e" cm="1">
        <f t="array" ref="K16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69" s="148" t="e" cm="1">
        <f t="array" ref="L16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69" s="148" t="e" cm="1">
        <f t="array" ref="M16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69" s="148" t="e" cm="1">
        <f t="array" ref="N16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69" s="149" t="str">
        <f>IF(Table117821341[[#This Row],[Pos.]]="QB1",_xlfn.XLOOKUP(Table117821341[[#This Row],[Opp]],Table123[DEF],Table123[P]),"#N/A")</f>
        <v>#N/A</v>
      </c>
      <c r="P169" s="149" t="str">
        <f>IF(Table117821341[[#This Row],[Pos.]]="QB1",_xlfn.XLOOKUP(Table117821341[[#This Row],[Opp]],Table123[DEF],Table123[P+R]),"#N/A")</f>
        <v>#N/A</v>
      </c>
      <c r="Q169" s="150" t="str">
        <f>IF(Table117821341[[#This Row],[Pos.]]="QB1",_xlfn.XLOOKUP(Table117821341[[#This Row],[Opp]],Table123[DEF],Table123[P TD]),"#N/A")</f>
        <v>#N/A</v>
      </c>
      <c r="R169" s="149" t="e" cm="1">
        <f t="array" ref="R16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69" s="150" t="e" cm="1">
        <f t="array" ref="S16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69" s="150" t="e" cm="1">
        <f t="array" ref="T16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69" s="150" t="e" cm="1">
        <f t="array" ref="U16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69" s="162" t="e" cm="1">
        <f t="array" ref="V16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69" s="148" t="e" cm="1">
        <f t="array" ref="W169">_xlfn.IFS(Table117821341[[#This Row],[Pos.]]="QB1",AVERAGE(G169,H169,I169,J169,N169),Table117821341[[#This Row],[Pos.]]="RB1",AVERAGE(J169,K169,N169),Table117821341[[#This Row],[Pos.]]="RB2",AVERAGE(J169,K169,N169),Table117821341[[#This Row],[Pos.]]="WR1",AVERAGE(L169,M169,N169),Table117821341[[#This Row],[Pos.]]="WR2",AVERAGE(L169,M169,N169),Table117821341[[#This Row],[Pos.]]="WR3",AVERAGE(L169,M169,N169),Table117821341[[#This Row],[Pos.]]="WR4",AVERAGE(L169,M169,N169),Table117821341[[#This Row],[Pos.]]="TE1",AVERAGE(L169,M169,N169),Table117821341[[#This Row],[Pos.]]="TE2",AVERAGE(L169,M169,N169),Table117821341[[#This Row],[Pos.]]="D/ST",AVERAGE(Table117821341[[#This Row],[*TD*]]))</f>
        <v>#N/A</v>
      </c>
      <c r="X169" s="94" t="e">
        <f t="shared" si="2"/>
        <v>#N/A</v>
      </c>
    </row>
    <row r="170" spans="2:24" hidden="1" x14ac:dyDescent="0.35">
      <c r="B170" s="6" t="s">
        <v>278</v>
      </c>
      <c r="C170" s="97" t="s">
        <v>43</v>
      </c>
      <c r="D170" s="97" t="s">
        <v>397</v>
      </c>
      <c r="E170" s="23" t="str" cm="1">
        <f t="array" ref="E170">_xlfn.XLOOKUP(Table117821341[[#This Row],[Team]],Table4334[Team],'2425'!$C$3:$C$34)</f>
        <v>n/a</v>
      </c>
      <c r="F170" s="97" t="str">
        <f>_xlfn.XLOOKUP(Table117821341[[#This Row],[Team]],Table4334[Team],Table4334[OPP])</f>
        <v>n/a</v>
      </c>
      <c r="G170" s="148" t="str" cm="1">
        <f t="array" ref="G170">IF(Table117821341[[#This Row],[Pos.]]="QB1",_xlfn.XLOOKUP(Table117821341[[#This Row],[Opp]],Table123[DEF],'2425'!$G$3:$G$34),"#N/A")</f>
        <v>#N/A</v>
      </c>
      <c r="H170" s="148" t="str" cm="1">
        <f t="array" ref="H170">IF(Table117821341[[#This Row],[Pos.]]="QB1",_xlfn.XLOOKUP(Table117821341[[#This Row],[Opp]],Table123[DEF],'2425'!$J$3:$J$34),"#N/A")</f>
        <v>#N/A</v>
      </c>
      <c r="I170" s="148" t="str" cm="1">
        <f t="array" ref="I170">IF(Table117821341[[#This Row],[Pos.]]="QB1",_xlfn.XLOOKUP(Table117821341[[#This Row],[Opp]],Table123[DEF],'2425'!$K$3:$K$34),"#N/A")</f>
        <v>#N/A</v>
      </c>
      <c r="J170" s="148" t="e" cm="1">
        <f t="array" ref="J17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0" s="148" t="e" cm="1">
        <f t="array" ref="K17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0" s="148" t="e" cm="1">
        <f t="array" ref="L17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0" s="148" t="e" cm="1">
        <f t="array" ref="M17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0" s="148" t="e" cm="1">
        <f t="array" ref="N17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0" s="149" t="str">
        <f>IF(Table117821341[[#This Row],[Pos.]]="QB1",_xlfn.XLOOKUP(Table117821341[[#This Row],[Opp]],Table123[DEF],Table123[P]),"#N/A")</f>
        <v>#N/A</v>
      </c>
      <c r="P170" s="149" t="str">
        <f>IF(Table117821341[[#This Row],[Pos.]]="QB1",_xlfn.XLOOKUP(Table117821341[[#This Row],[Opp]],Table123[DEF],Table123[P+R]),"#N/A")</f>
        <v>#N/A</v>
      </c>
      <c r="Q170" s="150" t="str">
        <f>IF(Table117821341[[#This Row],[Pos.]]="QB1",_xlfn.XLOOKUP(Table117821341[[#This Row],[Opp]],Table123[DEF],Table123[P TD]),"#N/A")</f>
        <v>#N/A</v>
      </c>
      <c r="R170" s="149" t="e" cm="1">
        <f t="array" ref="R17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0" s="150" t="e" cm="1">
        <f t="array" ref="S17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0" s="150" t="e" cm="1">
        <f t="array" ref="T17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0" s="150" t="e" cm="1">
        <f t="array" ref="U17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0" s="162" t="e" cm="1">
        <f t="array" ref="V17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0" s="148" t="e" cm="1">
        <f t="array" ref="W170">_xlfn.IFS(Table117821341[[#This Row],[Pos.]]="QB1",AVERAGE(G170,H170,I170,J170,N170),Table117821341[[#This Row],[Pos.]]="RB1",AVERAGE(J170,K170,N170),Table117821341[[#This Row],[Pos.]]="RB2",AVERAGE(J170,K170,N170),Table117821341[[#This Row],[Pos.]]="WR1",AVERAGE(L170,M170,N170),Table117821341[[#This Row],[Pos.]]="WR2",AVERAGE(L170,M170,N170),Table117821341[[#This Row],[Pos.]]="WR3",AVERAGE(L170,M170,N170),Table117821341[[#This Row],[Pos.]]="WR4",AVERAGE(L170,M170,N170),Table117821341[[#This Row],[Pos.]]="TE1",AVERAGE(L170,M170,N170),Table117821341[[#This Row],[Pos.]]="TE2",AVERAGE(L170,M170,N170),Table117821341[[#This Row],[Pos.]]="D/ST",AVERAGE(Table117821341[[#This Row],[*TD*]]))</f>
        <v>#N/A</v>
      </c>
      <c r="X170" s="94" t="e">
        <f t="shared" si="2"/>
        <v>#N/A</v>
      </c>
    </row>
    <row r="171" spans="2:24" hidden="1" x14ac:dyDescent="0.35">
      <c r="B171" s="6" t="s">
        <v>391</v>
      </c>
      <c r="C171" s="97" t="s">
        <v>56</v>
      </c>
      <c r="D171" s="97" t="s">
        <v>67</v>
      </c>
      <c r="E171" s="23" t="str" cm="1">
        <f t="array" ref="E171">_xlfn.XLOOKUP(Table117821341[[#This Row],[Team]],Table4334[Team],'2425'!$C$3:$C$34)</f>
        <v>n/a</v>
      </c>
      <c r="F171" s="97" t="str">
        <f>_xlfn.XLOOKUP(Table117821341[[#This Row],[Team]],Table4334[Team],Table4334[OPP])</f>
        <v>n/a</v>
      </c>
      <c r="G171" s="148" t="str" cm="1">
        <f t="array" ref="G171">IF(Table117821341[[#This Row],[Pos.]]="QB1",_xlfn.XLOOKUP(Table117821341[[#This Row],[Opp]],Table123[DEF],'2425'!$G$3:$G$34),"#N/A")</f>
        <v>#N/A</v>
      </c>
      <c r="H171" s="148" t="str" cm="1">
        <f t="array" ref="H171">IF(Table117821341[[#This Row],[Pos.]]="QB1",_xlfn.XLOOKUP(Table117821341[[#This Row],[Opp]],Table123[DEF],'2425'!$J$3:$J$34),"#N/A")</f>
        <v>#N/A</v>
      </c>
      <c r="I171" s="148" t="str" cm="1">
        <f t="array" ref="I171">IF(Table117821341[[#This Row],[Pos.]]="QB1",_xlfn.XLOOKUP(Table117821341[[#This Row],[Opp]],Table123[DEF],'2425'!$K$3:$K$34),"#N/A")</f>
        <v>#N/A</v>
      </c>
      <c r="J171" s="148" t="e" cm="1">
        <f t="array" ref="J17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1" s="148" t="e" cm="1">
        <f t="array" ref="K17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1" s="148" t="e" cm="1">
        <f t="array" ref="L17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1" s="148" t="e" cm="1">
        <f t="array" ref="M17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1" s="148" t="e" cm="1">
        <f t="array" ref="N17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1" s="149" t="str">
        <f>IF(Table117821341[[#This Row],[Pos.]]="QB1",_xlfn.XLOOKUP(Table117821341[[#This Row],[Opp]],Table123[DEF],Table123[P]),"#N/A")</f>
        <v>#N/A</v>
      </c>
      <c r="P171" s="149" t="str">
        <f>IF(Table117821341[[#This Row],[Pos.]]="QB1",_xlfn.XLOOKUP(Table117821341[[#This Row],[Opp]],Table123[DEF],Table123[P+R]),"#N/A")</f>
        <v>#N/A</v>
      </c>
      <c r="Q171" s="150" t="str">
        <f>IF(Table117821341[[#This Row],[Pos.]]="QB1",_xlfn.XLOOKUP(Table117821341[[#This Row],[Opp]],Table123[DEF],Table123[P TD]),"#N/A")</f>
        <v>#N/A</v>
      </c>
      <c r="R171" s="149" t="e" cm="1">
        <f t="array" ref="R17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1" s="150" t="e" cm="1">
        <f t="array" ref="S17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1" s="150" t="e" cm="1">
        <f t="array" ref="T17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1" s="150" t="e" cm="1">
        <f t="array" ref="U17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1" s="162" t="e" cm="1">
        <f t="array" ref="V17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1" s="148" t="e" cm="1">
        <f t="array" ref="W171">_xlfn.IFS(Table117821341[[#This Row],[Pos.]]="QB1",AVERAGE(G171,H171,I171,J171,N171),Table117821341[[#This Row],[Pos.]]="RB1",AVERAGE(J171,K171,N171),Table117821341[[#This Row],[Pos.]]="RB2",AVERAGE(J171,K171,N171),Table117821341[[#This Row],[Pos.]]="WR1",AVERAGE(L171,M171,N171),Table117821341[[#This Row],[Pos.]]="WR2",AVERAGE(L171,M171,N171),Table117821341[[#This Row],[Pos.]]="WR3",AVERAGE(L171,M171,N171),Table117821341[[#This Row],[Pos.]]="WR4",AVERAGE(L171,M171,N171),Table117821341[[#This Row],[Pos.]]="TE1",AVERAGE(L171,M171,N171),Table117821341[[#This Row],[Pos.]]="TE2",AVERAGE(L171,M171,N171),Table117821341[[#This Row],[Pos.]]="D/ST",AVERAGE(Table117821341[[#This Row],[*TD*]]))</f>
        <v>#N/A</v>
      </c>
      <c r="X171" s="94" t="e">
        <f t="shared" si="2"/>
        <v>#N/A</v>
      </c>
    </row>
    <row r="172" spans="2:24" hidden="1" x14ac:dyDescent="0.35">
      <c r="B172" s="6" t="s">
        <v>139</v>
      </c>
      <c r="C172" s="97" t="s">
        <v>16</v>
      </c>
      <c r="D172" s="97" t="s">
        <v>67</v>
      </c>
      <c r="E172" s="23" t="str" cm="1">
        <f t="array" ref="E172">_xlfn.XLOOKUP(Table117821341[[#This Row],[Team]],Table4334[Team],'2425'!$C$3:$C$34)</f>
        <v>n/a</v>
      </c>
      <c r="F172" s="97" t="str">
        <f>_xlfn.XLOOKUP(Table117821341[[#This Row],[Team]],Table4334[Team],Table4334[OPP])</f>
        <v>n/a</v>
      </c>
      <c r="G172" s="148" t="str" cm="1">
        <f t="array" ref="G172">IF(Table117821341[[#This Row],[Pos.]]="QB1",_xlfn.XLOOKUP(Table117821341[[#This Row],[Opp]],Table123[DEF],'2425'!$G$3:$G$34),"#N/A")</f>
        <v>#N/A</v>
      </c>
      <c r="H172" s="148" t="str" cm="1">
        <f t="array" ref="H172">IF(Table117821341[[#This Row],[Pos.]]="QB1",_xlfn.XLOOKUP(Table117821341[[#This Row],[Opp]],Table123[DEF],'2425'!$J$3:$J$34),"#N/A")</f>
        <v>#N/A</v>
      </c>
      <c r="I172" s="148" t="str" cm="1">
        <f t="array" ref="I172">IF(Table117821341[[#This Row],[Pos.]]="QB1",_xlfn.XLOOKUP(Table117821341[[#This Row],[Opp]],Table123[DEF],'2425'!$K$3:$K$34),"#N/A")</f>
        <v>#N/A</v>
      </c>
      <c r="J172" s="148" t="e" cm="1">
        <f t="array" ref="J17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2" s="148" t="e" cm="1">
        <f t="array" ref="K17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2" s="148" t="e" cm="1">
        <f t="array" ref="L17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2" s="148" t="e" cm="1">
        <f t="array" ref="M17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2" s="148" t="e" cm="1">
        <f t="array" ref="N17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2" s="149" t="str">
        <f>IF(Table117821341[[#This Row],[Pos.]]="QB1",_xlfn.XLOOKUP(Table117821341[[#This Row],[Opp]],Table123[DEF],Table123[P]),"#N/A")</f>
        <v>#N/A</v>
      </c>
      <c r="P172" s="149" t="str">
        <f>IF(Table117821341[[#This Row],[Pos.]]="QB1",_xlfn.XLOOKUP(Table117821341[[#This Row],[Opp]],Table123[DEF],Table123[P+R]),"#N/A")</f>
        <v>#N/A</v>
      </c>
      <c r="Q172" s="150" t="str">
        <f>IF(Table117821341[[#This Row],[Pos.]]="QB1",_xlfn.XLOOKUP(Table117821341[[#This Row],[Opp]],Table123[DEF],Table123[P TD]),"#N/A")</f>
        <v>#N/A</v>
      </c>
      <c r="R172" s="149" t="e" cm="1">
        <f t="array" ref="R17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2" s="150" t="e" cm="1">
        <f t="array" ref="S17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2" s="150" t="e" cm="1">
        <f t="array" ref="T17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2" s="150" t="e" cm="1">
        <f t="array" ref="U17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2" s="162" t="e" cm="1">
        <f t="array" ref="V17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2" s="148" t="e" cm="1">
        <f t="array" ref="W172">_xlfn.IFS(Table117821341[[#This Row],[Pos.]]="QB1",AVERAGE(G172,H172,I172,J172,N172),Table117821341[[#This Row],[Pos.]]="RB1",AVERAGE(J172,K172,N172),Table117821341[[#This Row],[Pos.]]="RB2",AVERAGE(J172,K172,N172),Table117821341[[#This Row],[Pos.]]="WR1",AVERAGE(L172,M172,N172),Table117821341[[#This Row],[Pos.]]="WR2",AVERAGE(L172,M172,N172),Table117821341[[#This Row],[Pos.]]="WR3",AVERAGE(L172,M172,N172),Table117821341[[#This Row],[Pos.]]="WR4",AVERAGE(L172,M172,N172),Table117821341[[#This Row],[Pos.]]="TE1",AVERAGE(L172,M172,N172),Table117821341[[#This Row],[Pos.]]="TE2",AVERAGE(L172,M172,N172),Table117821341[[#This Row],[Pos.]]="D/ST",AVERAGE(Table117821341[[#This Row],[*TD*]]))</f>
        <v>#N/A</v>
      </c>
      <c r="X172" s="94" t="e">
        <f t="shared" si="2"/>
        <v>#N/A</v>
      </c>
    </row>
    <row r="173" spans="2:24" hidden="1" x14ac:dyDescent="0.35">
      <c r="B173" s="6" t="s">
        <v>579</v>
      </c>
      <c r="C173" s="97" t="s">
        <v>34</v>
      </c>
      <c r="D173" s="97" t="s">
        <v>403</v>
      </c>
      <c r="E173" s="23" t="str" cm="1">
        <f t="array" ref="E173">_xlfn.XLOOKUP(Table117821341[[#This Row],[Team]],Table4334[Team],'2425'!$C$3:$C$34)</f>
        <v>n/a</v>
      </c>
      <c r="F173" s="97" t="str">
        <f>_xlfn.XLOOKUP(Table117821341[[#This Row],[Team]],Table4334[Team],Table4334[OPP])</f>
        <v>n/a</v>
      </c>
      <c r="G173" s="148" t="str" cm="1">
        <f t="array" ref="G173">IF(Table117821341[[#This Row],[Pos.]]="QB1",_xlfn.XLOOKUP(Table117821341[[#This Row],[Opp]],Table123[DEF],'2425'!$G$3:$G$34),"#N/A")</f>
        <v>#N/A</v>
      </c>
      <c r="H173" s="148" t="str" cm="1">
        <f t="array" ref="H173">IF(Table117821341[[#This Row],[Pos.]]="QB1",_xlfn.XLOOKUP(Table117821341[[#This Row],[Opp]],Table123[DEF],'2425'!$J$3:$J$34),"#N/A")</f>
        <v>#N/A</v>
      </c>
      <c r="I173" s="148" t="str" cm="1">
        <f t="array" ref="I173">IF(Table117821341[[#This Row],[Pos.]]="QB1",_xlfn.XLOOKUP(Table117821341[[#This Row],[Opp]],Table123[DEF],'2425'!$K$3:$K$34),"#N/A")</f>
        <v>#N/A</v>
      </c>
      <c r="J173" s="148" t="e" cm="1">
        <f t="array" ref="J17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3" s="148" t="e" cm="1">
        <f t="array" ref="K17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3" s="148" t="e" cm="1">
        <f t="array" ref="L17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3" s="148" t="e" cm="1">
        <f t="array" ref="M17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3" s="148" t="e" cm="1">
        <f t="array" ref="N17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3" s="149" t="str">
        <f>IF(Table117821341[[#This Row],[Pos.]]="QB1",_xlfn.XLOOKUP(Table117821341[[#This Row],[Opp]],Table123[DEF],Table123[P]),"#N/A")</f>
        <v>#N/A</v>
      </c>
      <c r="P173" s="149" t="str">
        <f>IF(Table117821341[[#This Row],[Pos.]]="QB1",_xlfn.XLOOKUP(Table117821341[[#This Row],[Opp]],Table123[DEF],Table123[P+R]),"#N/A")</f>
        <v>#N/A</v>
      </c>
      <c r="Q173" s="150" t="str">
        <f>IF(Table117821341[[#This Row],[Pos.]]="QB1",_xlfn.XLOOKUP(Table117821341[[#This Row],[Opp]],Table123[DEF],Table123[P TD]),"#N/A")</f>
        <v>#N/A</v>
      </c>
      <c r="R173" s="149" t="e" cm="1">
        <f t="array" ref="R17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3" s="150" t="e" cm="1">
        <f t="array" ref="S17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3" s="150" t="e" cm="1">
        <f t="array" ref="T17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3" s="150" t="e" cm="1">
        <f t="array" ref="U17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3" s="150" t="e" cm="1">
        <f t="array" ref="V17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3" s="148" t="e" cm="1">
        <f t="array" ref="W173">_xlfn.IFS(Table117821341[[#This Row],[Pos.]]="QB1",AVERAGE(G173,H173,I173,J173,N173),Table117821341[[#This Row],[Pos.]]="RB1",AVERAGE(J173,K173,N173),Table117821341[[#This Row],[Pos.]]="RB2",AVERAGE(J173,K173,N173),Table117821341[[#This Row],[Pos.]]="WR1",AVERAGE(L173,M173,N173),Table117821341[[#This Row],[Pos.]]="WR2",AVERAGE(L173,M173,N173),Table117821341[[#This Row],[Pos.]]="WR3",AVERAGE(L173,M173,N173),Table117821341[[#This Row],[Pos.]]="WR4",AVERAGE(L173,M173,N173),Table117821341[[#This Row],[Pos.]]="TE1",AVERAGE(L173,M173,N173),Table117821341[[#This Row],[Pos.]]="TE2",AVERAGE(L173,M173,N173),Table117821341[[#This Row],[Pos.]]="D/ST",AVERAGE(Table117821341[[#This Row],[*TD*]]))</f>
        <v>#N/A</v>
      </c>
      <c r="X173" s="94" t="e">
        <f t="shared" si="2"/>
        <v>#N/A</v>
      </c>
    </row>
    <row r="174" spans="2:24" hidden="1" x14ac:dyDescent="0.35">
      <c r="B174" s="6" t="s">
        <v>654</v>
      </c>
      <c r="C174" s="97" t="s">
        <v>32</v>
      </c>
      <c r="D174" s="97" t="s">
        <v>67</v>
      </c>
      <c r="E174" s="23" t="str" cm="1">
        <f t="array" ref="E174">_xlfn.XLOOKUP(Table117821341[[#This Row],[Team]],Table4334[Team],'2425'!$C$3:$C$34)</f>
        <v>n/a</v>
      </c>
      <c r="F174" s="97" t="str">
        <f>_xlfn.XLOOKUP(Table117821341[[#This Row],[Team]],Table4334[Team],Table4334[OPP])</f>
        <v>n/a</v>
      </c>
      <c r="G174" s="148" t="str" cm="1">
        <f t="array" ref="G174">IF(Table117821341[[#This Row],[Pos.]]="QB1",_xlfn.XLOOKUP(Table117821341[[#This Row],[Opp]],Table123[DEF],'2425'!$G$3:$G$34),"#N/A")</f>
        <v>#N/A</v>
      </c>
      <c r="H174" s="148" t="str" cm="1">
        <f t="array" ref="H174">IF(Table117821341[[#This Row],[Pos.]]="QB1",_xlfn.XLOOKUP(Table117821341[[#This Row],[Opp]],Table123[DEF],'2425'!$J$3:$J$34),"#N/A")</f>
        <v>#N/A</v>
      </c>
      <c r="I174" s="148" t="str" cm="1">
        <f t="array" ref="I174">IF(Table117821341[[#This Row],[Pos.]]="QB1",_xlfn.XLOOKUP(Table117821341[[#This Row],[Opp]],Table123[DEF],'2425'!$K$3:$K$34),"#N/A")</f>
        <v>#N/A</v>
      </c>
      <c r="J174" s="148" t="e" cm="1">
        <f t="array" ref="J17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4" s="148" t="e" cm="1">
        <f t="array" ref="K17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4" s="148" t="e" cm="1">
        <f t="array" ref="L17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4" s="148" t="e" cm="1">
        <f t="array" ref="M17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4" s="148" t="e" cm="1">
        <f t="array" ref="N17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4" s="149" t="str">
        <f>IF(Table117821341[[#This Row],[Pos.]]="QB1",_xlfn.XLOOKUP(Table117821341[[#This Row],[Opp]],Table123[DEF],Table123[P]),"#N/A")</f>
        <v>#N/A</v>
      </c>
      <c r="P174" s="149" t="str">
        <f>IF(Table117821341[[#This Row],[Pos.]]="QB1",_xlfn.XLOOKUP(Table117821341[[#This Row],[Opp]],Table123[DEF],Table123[P+R]),"#N/A")</f>
        <v>#N/A</v>
      </c>
      <c r="Q174" s="150" t="str">
        <f>IF(Table117821341[[#This Row],[Pos.]]="QB1",_xlfn.XLOOKUP(Table117821341[[#This Row],[Opp]],Table123[DEF],Table123[P TD]),"#N/A")</f>
        <v>#N/A</v>
      </c>
      <c r="R174" s="149" t="e" cm="1">
        <f t="array" ref="R17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4" s="150" t="e" cm="1">
        <f t="array" ref="S17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4" s="150" t="e" cm="1">
        <f t="array" ref="T17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4" s="150" t="e" cm="1">
        <f t="array" ref="U17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4" s="162" t="e" cm="1">
        <f t="array" ref="V17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4" s="148" t="e" cm="1">
        <f t="array" ref="W174">_xlfn.IFS(Table117821341[[#This Row],[Pos.]]="QB1",AVERAGE(G174,H174,I174,J174,N174),Table117821341[[#This Row],[Pos.]]="RB1",AVERAGE(J174,K174,N174),Table117821341[[#This Row],[Pos.]]="RB2",AVERAGE(J174,K174,N174),Table117821341[[#This Row],[Pos.]]="WR1",AVERAGE(L174,M174,N174),Table117821341[[#This Row],[Pos.]]="WR2",AVERAGE(L174,M174,N174),Table117821341[[#This Row],[Pos.]]="WR3",AVERAGE(L174,M174,N174),Table117821341[[#This Row],[Pos.]]="WR4",AVERAGE(L174,M174,N174),Table117821341[[#This Row],[Pos.]]="TE1",AVERAGE(L174,M174,N174),Table117821341[[#This Row],[Pos.]]="TE2",AVERAGE(L174,M174,N174),Table117821341[[#This Row],[Pos.]]="D/ST",AVERAGE(Table117821341[[#This Row],[*TD*]]))</f>
        <v>#N/A</v>
      </c>
      <c r="X174" s="94" t="e">
        <f t="shared" si="2"/>
        <v>#N/A</v>
      </c>
    </row>
    <row r="175" spans="2:24" hidden="1" x14ac:dyDescent="0.35">
      <c r="B175" s="6" t="s">
        <v>714</v>
      </c>
      <c r="C175" s="97" t="s">
        <v>33</v>
      </c>
      <c r="D175" s="97" t="s">
        <v>71</v>
      </c>
      <c r="E175" s="23" t="str" cm="1">
        <f t="array" ref="E175">_xlfn.XLOOKUP(Table117821341[[#This Row],[Team]],Table4334[Team],'2425'!$C$3:$C$34)</f>
        <v>n/a</v>
      </c>
      <c r="F175" s="97" t="str">
        <f>_xlfn.XLOOKUP(Table117821341[[#This Row],[Team]],Table4334[Team],Table4334[OPP])</f>
        <v>n/a</v>
      </c>
      <c r="G175" s="148" t="str" cm="1">
        <f t="array" ref="G175">IF(Table117821341[[#This Row],[Pos.]]="QB1",_xlfn.XLOOKUP(Table117821341[[#This Row],[Opp]],Table123[DEF],'2425'!$G$3:$G$34),"#N/A")</f>
        <v>#N/A</v>
      </c>
      <c r="H175" s="148" t="str" cm="1">
        <f t="array" ref="H175">IF(Table117821341[[#This Row],[Pos.]]="QB1",_xlfn.XLOOKUP(Table117821341[[#This Row],[Opp]],Table123[DEF],'2425'!$J$3:$J$34),"#N/A")</f>
        <v>#N/A</v>
      </c>
      <c r="I175" s="148" t="str" cm="1">
        <f t="array" ref="I175">IF(Table117821341[[#This Row],[Pos.]]="QB1",_xlfn.XLOOKUP(Table117821341[[#This Row],[Opp]],Table123[DEF],'2425'!$K$3:$K$34),"#N/A")</f>
        <v>#N/A</v>
      </c>
      <c r="J175" s="148" t="e" cm="1">
        <f t="array" ref="J17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5" s="148" t="e" cm="1">
        <f t="array" ref="K17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5" s="148" t="e" cm="1">
        <f t="array" ref="L17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5" s="148" t="e" cm="1">
        <f t="array" ref="M17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5" s="148" t="e" cm="1">
        <f t="array" ref="N17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5" s="149" t="str">
        <f>IF(Table117821341[[#This Row],[Pos.]]="QB1",_xlfn.XLOOKUP(Table117821341[[#This Row],[Opp]],Table123[DEF],Table123[P]),"#N/A")</f>
        <v>#N/A</v>
      </c>
      <c r="P175" s="149" t="str">
        <f>IF(Table117821341[[#This Row],[Pos.]]="QB1",_xlfn.XLOOKUP(Table117821341[[#This Row],[Opp]],Table123[DEF],Table123[P+R]),"#N/A")</f>
        <v>#N/A</v>
      </c>
      <c r="Q175" s="150" t="str">
        <f>IF(Table117821341[[#This Row],[Pos.]]="QB1",_xlfn.XLOOKUP(Table117821341[[#This Row],[Opp]],Table123[DEF],Table123[P TD]),"#N/A")</f>
        <v>#N/A</v>
      </c>
      <c r="R175" s="149" t="e" cm="1">
        <f t="array" ref="R17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5" s="150" t="e" cm="1">
        <f t="array" ref="S17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5" s="150" t="e" cm="1">
        <f t="array" ref="T17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5" s="150" t="e" cm="1">
        <f t="array" ref="U17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5" s="162" t="e" cm="1">
        <f t="array" ref="V17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5" s="148" t="e" cm="1">
        <f t="array" ref="W175">_xlfn.IFS(Table117821341[[#This Row],[Pos.]]="QB1",AVERAGE(G175,H175,I175,J175,N175),Table117821341[[#This Row],[Pos.]]="RB1",AVERAGE(J175,K175,N175),Table117821341[[#This Row],[Pos.]]="RB2",AVERAGE(J175,K175,N175),Table117821341[[#This Row],[Pos.]]="WR1",AVERAGE(L175,M175,N175),Table117821341[[#This Row],[Pos.]]="WR2",AVERAGE(L175,M175,N175),Table117821341[[#This Row],[Pos.]]="WR3",AVERAGE(L175,M175,N175),Table117821341[[#This Row],[Pos.]]="WR4",AVERAGE(L175,M175,N175),Table117821341[[#This Row],[Pos.]]="TE1",AVERAGE(L175,M175,N175),Table117821341[[#This Row],[Pos.]]="TE2",AVERAGE(L175,M175,N175),Table117821341[[#This Row],[Pos.]]="D/ST",AVERAGE(Table117821341[[#This Row],[*TD*]]))</f>
        <v>#N/A</v>
      </c>
      <c r="X175" s="94" t="e">
        <f t="shared" si="2"/>
        <v>#N/A</v>
      </c>
    </row>
    <row r="176" spans="2:24" hidden="1" x14ac:dyDescent="0.35">
      <c r="B176" s="6" t="s">
        <v>261</v>
      </c>
      <c r="C176" s="97" t="s">
        <v>35</v>
      </c>
      <c r="D176" s="97" t="s">
        <v>405</v>
      </c>
      <c r="E176" s="23" t="str" cm="1">
        <f t="array" ref="E176">_xlfn.XLOOKUP(Table117821341[[#This Row],[Team]],Table4334[Team],'2425'!$C$3:$C$34)</f>
        <v>n/a</v>
      </c>
      <c r="F176" s="97" t="str">
        <f>_xlfn.XLOOKUP(Table117821341[[#This Row],[Team]],Table4334[Team],Table4334[OPP])</f>
        <v>n/a</v>
      </c>
      <c r="G176" s="148" t="str" cm="1">
        <f t="array" ref="G176">IF(Table117821341[[#This Row],[Pos.]]="QB1",_xlfn.XLOOKUP(Table117821341[[#This Row],[Opp]],Table123[DEF],'2425'!$G$3:$G$34),"#N/A")</f>
        <v>#N/A</v>
      </c>
      <c r="H176" s="148" t="str" cm="1">
        <f t="array" ref="H176">IF(Table117821341[[#This Row],[Pos.]]="QB1",_xlfn.XLOOKUP(Table117821341[[#This Row],[Opp]],Table123[DEF],'2425'!$J$3:$J$34),"#N/A")</f>
        <v>#N/A</v>
      </c>
      <c r="I176" s="148" t="str" cm="1">
        <f t="array" ref="I176">IF(Table117821341[[#This Row],[Pos.]]="QB1",_xlfn.XLOOKUP(Table117821341[[#This Row],[Opp]],Table123[DEF],'2425'!$K$3:$K$34),"#N/A")</f>
        <v>#N/A</v>
      </c>
      <c r="J176" s="148" t="e" cm="1">
        <f t="array" ref="J17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6" s="148" t="e" cm="1">
        <f t="array" ref="K17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6" s="148" t="e" cm="1">
        <f t="array" ref="L17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6" s="148" t="e" cm="1">
        <f t="array" ref="M17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6" s="148" t="e" cm="1">
        <f t="array" ref="N17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6" s="149" t="str">
        <f>IF(Table117821341[[#This Row],[Pos.]]="QB1",_xlfn.XLOOKUP(Table117821341[[#This Row],[Opp]],Table123[DEF],Table123[P]),"#N/A")</f>
        <v>#N/A</v>
      </c>
      <c r="P176" s="149" t="str">
        <f>IF(Table117821341[[#This Row],[Pos.]]="QB1",_xlfn.XLOOKUP(Table117821341[[#This Row],[Opp]],Table123[DEF],Table123[P+R]),"#N/A")</f>
        <v>#N/A</v>
      </c>
      <c r="Q176" s="150" t="str">
        <f>IF(Table117821341[[#This Row],[Pos.]]="QB1",_xlfn.XLOOKUP(Table117821341[[#This Row],[Opp]],Table123[DEF],Table123[P TD]),"#N/A")</f>
        <v>#N/A</v>
      </c>
      <c r="R176" s="149" t="e" cm="1">
        <f t="array" ref="R17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6" s="150" t="e" cm="1">
        <f t="array" ref="S17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6" s="150" t="e" cm="1">
        <f t="array" ref="T17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6" s="150" t="e" cm="1">
        <f t="array" ref="U17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6" s="150" t="e" cm="1">
        <f t="array" ref="V17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6" s="148" t="e" cm="1">
        <f t="array" ref="W176">_xlfn.IFS(Table117821341[[#This Row],[Pos.]]="QB1",AVERAGE(G176,H176,I176,J176,N176),Table117821341[[#This Row],[Pos.]]="RB1",AVERAGE(J176,K176,N176),Table117821341[[#This Row],[Pos.]]="RB2",AVERAGE(J176,K176,N176),Table117821341[[#This Row],[Pos.]]="WR1",AVERAGE(L176,M176,N176),Table117821341[[#This Row],[Pos.]]="WR2",AVERAGE(L176,M176,N176),Table117821341[[#This Row],[Pos.]]="WR3",AVERAGE(L176,M176,N176),Table117821341[[#This Row],[Pos.]]="WR4",AVERAGE(L176,M176,N176),Table117821341[[#This Row],[Pos.]]="TE1",AVERAGE(L176,M176,N176),Table117821341[[#This Row],[Pos.]]="TE2",AVERAGE(L176,M176,N176),Table117821341[[#This Row],[Pos.]]="D/ST",AVERAGE(Table117821341[[#This Row],[*TD*]]))</f>
        <v>#N/A</v>
      </c>
      <c r="X176" s="94" t="e">
        <f t="shared" si="2"/>
        <v>#N/A</v>
      </c>
    </row>
    <row r="177" spans="2:24" hidden="1" x14ac:dyDescent="0.35">
      <c r="B177" s="6" t="s">
        <v>317</v>
      </c>
      <c r="C177" s="97" t="s">
        <v>47</v>
      </c>
      <c r="D177" s="97" t="s">
        <v>397</v>
      </c>
      <c r="E177" s="23" t="str" cm="1">
        <f t="array" ref="E177">_xlfn.XLOOKUP(Table117821341[[#This Row],[Team]],Table4334[Team],'2425'!$C$3:$C$34)</f>
        <v>n/a</v>
      </c>
      <c r="F177" s="97" t="str">
        <f>_xlfn.XLOOKUP(Table117821341[[#This Row],[Team]],Table4334[Team],Table4334[OPP])</f>
        <v>n/a</v>
      </c>
      <c r="G177" s="148" t="str" cm="1">
        <f t="array" ref="G177">IF(Table117821341[[#This Row],[Pos.]]="QB1",_xlfn.XLOOKUP(Table117821341[[#This Row],[Opp]],Table123[DEF],'2425'!$G$3:$G$34),"#N/A")</f>
        <v>#N/A</v>
      </c>
      <c r="H177" s="148" t="str" cm="1">
        <f t="array" ref="H177">IF(Table117821341[[#This Row],[Pos.]]="QB1",_xlfn.XLOOKUP(Table117821341[[#This Row],[Opp]],Table123[DEF],'2425'!$J$3:$J$34),"#N/A")</f>
        <v>#N/A</v>
      </c>
      <c r="I177" s="148" t="str" cm="1">
        <f t="array" ref="I177">IF(Table117821341[[#This Row],[Pos.]]="QB1",_xlfn.XLOOKUP(Table117821341[[#This Row],[Opp]],Table123[DEF],'2425'!$K$3:$K$34),"#N/A")</f>
        <v>#N/A</v>
      </c>
      <c r="J177" s="148" t="e" cm="1">
        <f t="array" ref="J17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7" s="148" t="e" cm="1">
        <f t="array" ref="K17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7" s="148" t="e" cm="1">
        <f t="array" ref="L17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7" s="148" t="e" cm="1">
        <f t="array" ref="M17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7" s="148" t="e" cm="1">
        <f t="array" ref="N17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7" s="149" t="str">
        <f>IF(Table117821341[[#This Row],[Pos.]]="QB1",_xlfn.XLOOKUP(Table117821341[[#This Row],[Opp]],Table123[DEF],Table123[P]),"#N/A")</f>
        <v>#N/A</v>
      </c>
      <c r="P177" s="149" t="str">
        <f>IF(Table117821341[[#This Row],[Pos.]]="QB1",_xlfn.XLOOKUP(Table117821341[[#This Row],[Opp]],Table123[DEF],Table123[P+R]),"#N/A")</f>
        <v>#N/A</v>
      </c>
      <c r="Q177" s="150" t="str">
        <f>IF(Table117821341[[#This Row],[Pos.]]="QB1",_xlfn.XLOOKUP(Table117821341[[#This Row],[Opp]],Table123[DEF],Table123[P TD]),"#N/A")</f>
        <v>#N/A</v>
      </c>
      <c r="R177" s="149" t="e" cm="1">
        <f t="array" ref="R17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7" s="150" t="e" cm="1">
        <f t="array" ref="S17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7" s="150" t="e" cm="1">
        <f t="array" ref="T17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7" s="150" t="e" cm="1">
        <f t="array" ref="U17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7" s="162" t="e" cm="1">
        <f t="array" ref="V17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7" s="148" t="e" cm="1">
        <f t="array" ref="W177">_xlfn.IFS(Table117821341[[#This Row],[Pos.]]="QB1",AVERAGE(G177,H177,I177,J177,N177),Table117821341[[#This Row],[Pos.]]="RB1",AVERAGE(J177,K177,N177),Table117821341[[#This Row],[Pos.]]="RB2",AVERAGE(J177,K177,N177),Table117821341[[#This Row],[Pos.]]="WR1",AVERAGE(L177,M177,N177),Table117821341[[#This Row],[Pos.]]="WR2",AVERAGE(L177,M177,N177),Table117821341[[#This Row],[Pos.]]="WR3",AVERAGE(L177,M177,N177),Table117821341[[#This Row],[Pos.]]="WR4",AVERAGE(L177,M177,N177),Table117821341[[#This Row],[Pos.]]="TE1",AVERAGE(L177,M177,N177),Table117821341[[#This Row],[Pos.]]="TE2",AVERAGE(L177,M177,N177),Table117821341[[#This Row],[Pos.]]="D/ST",AVERAGE(Table117821341[[#This Row],[*TD*]]))</f>
        <v>#N/A</v>
      </c>
      <c r="X177" s="94" t="e">
        <f t="shared" si="2"/>
        <v>#N/A</v>
      </c>
    </row>
    <row r="178" spans="2:24" hidden="1" x14ac:dyDescent="0.35">
      <c r="B178" s="6" t="s">
        <v>201</v>
      </c>
      <c r="C178" s="97" t="s">
        <v>35</v>
      </c>
      <c r="D178" s="97" t="s">
        <v>394</v>
      </c>
      <c r="E178" s="23" t="str" cm="1">
        <f t="array" ref="E178">_xlfn.XLOOKUP(Table117821341[[#This Row],[Team]],Table4334[Team],'2425'!$C$3:$C$34)</f>
        <v>n/a</v>
      </c>
      <c r="F178" s="97" t="str">
        <f>_xlfn.XLOOKUP(Table117821341[[#This Row],[Team]],Table4334[Team],Table4334[OPP])</f>
        <v>n/a</v>
      </c>
      <c r="G178" s="148" t="str" cm="1">
        <f t="array" ref="G178">IF(Table117821341[[#This Row],[Pos.]]="QB1",_xlfn.XLOOKUP(Table117821341[[#This Row],[Opp]],Table123[DEF],'2425'!$G$3:$G$34),"#N/A")</f>
        <v>#N/A</v>
      </c>
      <c r="H178" s="148" t="str" cm="1">
        <f t="array" ref="H178">IF(Table117821341[[#This Row],[Pos.]]="QB1",_xlfn.XLOOKUP(Table117821341[[#This Row],[Opp]],Table123[DEF],'2425'!$J$3:$J$34),"#N/A")</f>
        <v>#N/A</v>
      </c>
      <c r="I178" s="148" t="str" cm="1">
        <f t="array" ref="I178">IF(Table117821341[[#This Row],[Pos.]]="QB1",_xlfn.XLOOKUP(Table117821341[[#This Row],[Opp]],Table123[DEF],'2425'!$K$3:$K$34),"#N/A")</f>
        <v>#N/A</v>
      </c>
      <c r="J178" s="148" t="e" cm="1">
        <f t="array" ref="J17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8" s="148" t="e" cm="1">
        <f t="array" ref="K17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8" s="148" t="e" cm="1">
        <f t="array" ref="L17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8" s="148" t="e" cm="1">
        <f t="array" ref="M17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8" s="148" t="e" cm="1">
        <f t="array" ref="N17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8" s="149" t="str">
        <f>IF(Table117821341[[#This Row],[Pos.]]="QB1",_xlfn.XLOOKUP(Table117821341[[#This Row],[Opp]],Table123[DEF],Table123[P]),"#N/A")</f>
        <v>#N/A</v>
      </c>
      <c r="P178" s="149" t="str">
        <f>IF(Table117821341[[#This Row],[Pos.]]="QB1",_xlfn.XLOOKUP(Table117821341[[#This Row],[Opp]],Table123[DEF],Table123[P+R]),"#N/A")</f>
        <v>#N/A</v>
      </c>
      <c r="Q178" s="150" t="str">
        <f>IF(Table117821341[[#This Row],[Pos.]]="QB1",_xlfn.XLOOKUP(Table117821341[[#This Row],[Opp]],Table123[DEF],Table123[P TD]),"#N/A")</f>
        <v>#N/A</v>
      </c>
      <c r="R178" s="149" t="e" cm="1">
        <f t="array" ref="R17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8" s="150" t="e" cm="1">
        <f t="array" ref="S17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8" s="150" t="e" cm="1">
        <f t="array" ref="T17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8" s="150" t="e" cm="1">
        <f t="array" ref="U17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8" s="150" t="e" cm="1">
        <f t="array" ref="V17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8" s="148" t="e" cm="1">
        <f t="array" ref="W178">_xlfn.IFS(Table117821341[[#This Row],[Pos.]]="QB1",AVERAGE(G178,H178,I178,J178,N178),Table117821341[[#This Row],[Pos.]]="RB1",AVERAGE(J178,K178,N178),Table117821341[[#This Row],[Pos.]]="RB2",AVERAGE(J178,K178,N178),Table117821341[[#This Row],[Pos.]]="WR1",AVERAGE(L178,M178,N178),Table117821341[[#This Row],[Pos.]]="WR2",AVERAGE(L178,M178,N178),Table117821341[[#This Row],[Pos.]]="WR3",AVERAGE(L178,M178,N178),Table117821341[[#This Row],[Pos.]]="WR4",AVERAGE(L178,M178,N178),Table117821341[[#This Row],[Pos.]]="TE1",AVERAGE(L178,M178,N178),Table117821341[[#This Row],[Pos.]]="TE2",AVERAGE(L178,M178,N178),Table117821341[[#This Row],[Pos.]]="D/ST",AVERAGE(Table117821341[[#This Row],[*TD*]]))</f>
        <v>#N/A</v>
      </c>
      <c r="X178" s="94" t="e">
        <f t="shared" si="2"/>
        <v>#N/A</v>
      </c>
    </row>
    <row r="179" spans="2:24" hidden="1" x14ac:dyDescent="0.35">
      <c r="B179" s="6" t="s">
        <v>503</v>
      </c>
      <c r="C179" s="97" t="s">
        <v>35</v>
      </c>
      <c r="D179" s="97" t="s">
        <v>396</v>
      </c>
      <c r="E179" s="23" t="str" cm="1">
        <f t="array" ref="E179">_xlfn.XLOOKUP(Table117821341[[#This Row],[Team]],Table4334[Team],'2425'!$C$3:$C$34)</f>
        <v>n/a</v>
      </c>
      <c r="F179" s="97" t="str">
        <f>_xlfn.XLOOKUP(Table117821341[[#This Row],[Team]],Table4334[Team],Table4334[OPP])</f>
        <v>n/a</v>
      </c>
      <c r="G179" s="148" t="str" cm="1">
        <f t="array" ref="G179">IF(Table117821341[[#This Row],[Pos.]]="QB1",_xlfn.XLOOKUP(Table117821341[[#This Row],[Opp]],Table123[DEF],'2425'!$G$3:$G$34),"#N/A")</f>
        <v>#N/A</v>
      </c>
      <c r="H179" s="148" t="str" cm="1">
        <f t="array" ref="H179">IF(Table117821341[[#This Row],[Pos.]]="QB1",_xlfn.XLOOKUP(Table117821341[[#This Row],[Opp]],Table123[DEF],'2425'!$J$3:$J$34),"#N/A")</f>
        <v>#N/A</v>
      </c>
      <c r="I179" s="148" t="str" cm="1">
        <f t="array" ref="I179">IF(Table117821341[[#This Row],[Pos.]]="QB1",_xlfn.XLOOKUP(Table117821341[[#This Row],[Opp]],Table123[DEF],'2425'!$K$3:$K$34),"#N/A")</f>
        <v>#N/A</v>
      </c>
      <c r="J179" s="148" t="e" cm="1">
        <f t="array" ref="J17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79" s="148" t="e" cm="1">
        <f t="array" ref="K17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79" s="148" t="e" cm="1">
        <f t="array" ref="L17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79" s="148" t="e" cm="1">
        <f t="array" ref="M17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79" s="148" t="e" cm="1">
        <f t="array" ref="N17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79" s="149" t="str">
        <f>IF(Table117821341[[#This Row],[Pos.]]="QB1",_xlfn.XLOOKUP(Table117821341[[#This Row],[Opp]],Table123[DEF],Table123[P]),"#N/A")</f>
        <v>#N/A</v>
      </c>
      <c r="P179" s="149" t="str">
        <f>IF(Table117821341[[#This Row],[Pos.]]="QB1",_xlfn.XLOOKUP(Table117821341[[#This Row],[Opp]],Table123[DEF],Table123[P+R]),"#N/A")</f>
        <v>#N/A</v>
      </c>
      <c r="Q179" s="150" t="str">
        <f>IF(Table117821341[[#This Row],[Pos.]]="QB1",_xlfn.XLOOKUP(Table117821341[[#This Row],[Opp]],Table123[DEF],Table123[P TD]),"#N/A")</f>
        <v>#N/A</v>
      </c>
      <c r="R179" s="149" t="e" cm="1">
        <f t="array" ref="R17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79" s="150" t="e" cm="1">
        <f t="array" ref="S17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79" s="150" t="e" cm="1">
        <f t="array" ref="T17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79" s="150" t="e" cm="1">
        <f t="array" ref="U17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79" s="150" t="e" cm="1">
        <f t="array" ref="V17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79" s="148" t="e" cm="1">
        <f t="array" ref="W179">_xlfn.IFS(Table117821341[[#This Row],[Pos.]]="QB1",AVERAGE(G179,H179,I179,J179,N179),Table117821341[[#This Row],[Pos.]]="RB1",AVERAGE(J179,K179,N179),Table117821341[[#This Row],[Pos.]]="RB2",AVERAGE(J179,K179,N179),Table117821341[[#This Row],[Pos.]]="WR1",AVERAGE(L179,M179,N179),Table117821341[[#This Row],[Pos.]]="WR2",AVERAGE(L179,M179,N179),Table117821341[[#This Row],[Pos.]]="WR3",AVERAGE(L179,M179,N179),Table117821341[[#This Row],[Pos.]]="WR4",AVERAGE(L179,M179,N179),Table117821341[[#This Row],[Pos.]]="TE1",AVERAGE(L179,M179,N179),Table117821341[[#This Row],[Pos.]]="TE2",AVERAGE(L179,M179,N179),Table117821341[[#This Row],[Pos.]]="D/ST",AVERAGE(Table117821341[[#This Row],[*TD*]]))</f>
        <v>#N/A</v>
      </c>
      <c r="X179" s="94" t="e">
        <f t="shared" si="2"/>
        <v>#N/A</v>
      </c>
    </row>
    <row r="180" spans="2:24" hidden="1" x14ac:dyDescent="0.35">
      <c r="B180" s="6" t="s">
        <v>504</v>
      </c>
      <c r="C180" s="97" t="s">
        <v>35</v>
      </c>
      <c r="D180" s="97" t="s">
        <v>407</v>
      </c>
      <c r="E180" s="23" t="str" cm="1">
        <f t="array" ref="E180">_xlfn.XLOOKUP(Table117821341[[#This Row],[Team]],Table4334[Team],'2425'!$C$3:$C$34)</f>
        <v>n/a</v>
      </c>
      <c r="F180" s="97" t="str">
        <f>_xlfn.XLOOKUP(Table117821341[[#This Row],[Team]],Table4334[Team],Table4334[OPP])</f>
        <v>n/a</v>
      </c>
      <c r="G180" s="148" t="str" cm="1">
        <f t="array" ref="G180">IF(Table117821341[[#This Row],[Pos.]]="QB1",_xlfn.XLOOKUP(Table117821341[[#This Row],[Opp]],Table123[DEF],'2425'!$G$3:$G$34),"#N/A")</f>
        <v>#N/A</v>
      </c>
      <c r="H180" s="148" t="str" cm="1">
        <f t="array" ref="H180">IF(Table117821341[[#This Row],[Pos.]]="QB1",_xlfn.XLOOKUP(Table117821341[[#This Row],[Opp]],Table123[DEF],'2425'!$J$3:$J$34),"#N/A")</f>
        <v>#N/A</v>
      </c>
      <c r="I180" s="148" t="str" cm="1">
        <f t="array" ref="I180">IF(Table117821341[[#This Row],[Pos.]]="QB1",_xlfn.XLOOKUP(Table117821341[[#This Row],[Opp]],Table123[DEF],'2425'!$K$3:$K$34),"#N/A")</f>
        <v>#N/A</v>
      </c>
      <c r="J180" s="148" t="e" cm="1">
        <f t="array" ref="J18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0" s="148" t="e" cm="1">
        <f t="array" ref="K18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0" s="148" t="e" cm="1">
        <f t="array" ref="L18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0" s="148" t="e" cm="1">
        <f t="array" ref="M18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0" s="148" t="e" cm="1">
        <f t="array" ref="N18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0" s="149" t="str">
        <f>IF(Table117821341[[#This Row],[Pos.]]="QB1",_xlfn.XLOOKUP(Table117821341[[#This Row],[Opp]],Table123[DEF],Table123[P]),"#N/A")</f>
        <v>#N/A</v>
      </c>
      <c r="P180" s="149" t="str">
        <f>IF(Table117821341[[#This Row],[Pos.]]="QB1",_xlfn.XLOOKUP(Table117821341[[#This Row],[Opp]],Table123[DEF],Table123[P+R]),"#N/A")</f>
        <v>#N/A</v>
      </c>
      <c r="Q180" s="150" t="str">
        <f>IF(Table117821341[[#This Row],[Pos.]]="QB1",_xlfn.XLOOKUP(Table117821341[[#This Row],[Opp]],Table123[DEF],Table123[P TD]),"#N/A")</f>
        <v>#N/A</v>
      </c>
      <c r="R180" s="149" t="e" cm="1">
        <f t="array" ref="R18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0" s="150" t="e" cm="1">
        <f t="array" ref="S18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0" s="150" t="e" cm="1">
        <f t="array" ref="T18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0" s="150" t="e" cm="1">
        <f t="array" ref="U18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0" s="150" t="e" cm="1">
        <f t="array" ref="V18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0" s="148" t="e" cm="1">
        <f t="array" ref="W180">_xlfn.IFS(Table117821341[[#This Row],[Pos.]]="QB1",AVERAGE(G180,H180,I180,J180,N180),Table117821341[[#This Row],[Pos.]]="RB1",AVERAGE(J180,K180,N180),Table117821341[[#This Row],[Pos.]]="RB2",AVERAGE(J180,K180,N180),Table117821341[[#This Row],[Pos.]]="WR1",AVERAGE(L180,M180,N180),Table117821341[[#This Row],[Pos.]]="WR2",AVERAGE(L180,M180,N180),Table117821341[[#This Row],[Pos.]]="WR3",AVERAGE(L180,M180,N180),Table117821341[[#This Row],[Pos.]]="WR4",AVERAGE(L180,M180,N180),Table117821341[[#This Row],[Pos.]]="TE1",AVERAGE(L180,M180,N180),Table117821341[[#This Row],[Pos.]]="TE2",AVERAGE(L180,M180,N180),Table117821341[[#This Row],[Pos.]]="D/ST",AVERAGE(Table117821341[[#This Row],[*TD*]]))</f>
        <v>#N/A</v>
      </c>
      <c r="X180" s="94" t="e">
        <f t="shared" si="2"/>
        <v>#N/A</v>
      </c>
    </row>
    <row r="181" spans="2:24" hidden="1" x14ac:dyDescent="0.35">
      <c r="B181" s="6" t="s">
        <v>596</v>
      </c>
      <c r="C181" s="97" t="s">
        <v>15</v>
      </c>
      <c r="D181" s="97" t="s">
        <v>397</v>
      </c>
      <c r="E181" s="23" t="str" cm="1">
        <f t="array" ref="E181">_xlfn.XLOOKUP(Table117821341[[#This Row],[Team]],Table4334[Team],'2425'!$C$3:$C$34)</f>
        <v>n/a</v>
      </c>
      <c r="F181" s="97" t="str">
        <f>_xlfn.XLOOKUP(Table117821341[[#This Row],[Team]],Table4334[Team],Table4334[OPP])</f>
        <v>n/a</v>
      </c>
      <c r="G181" s="148" t="str" cm="1">
        <f t="array" ref="G181">IF(Table117821341[[#This Row],[Pos.]]="QB1",_xlfn.XLOOKUP(Table117821341[[#This Row],[Opp]],Table123[DEF],'2425'!$G$3:$G$34),"#N/A")</f>
        <v>#N/A</v>
      </c>
      <c r="H181" s="148" t="str" cm="1">
        <f t="array" ref="H181">IF(Table117821341[[#This Row],[Pos.]]="QB1",_xlfn.XLOOKUP(Table117821341[[#This Row],[Opp]],Table123[DEF],'2425'!$J$3:$J$34),"#N/A")</f>
        <v>#N/A</v>
      </c>
      <c r="I181" s="148" t="str" cm="1">
        <f t="array" ref="I181">IF(Table117821341[[#This Row],[Pos.]]="QB1",_xlfn.XLOOKUP(Table117821341[[#This Row],[Opp]],Table123[DEF],'2425'!$K$3:$K$34),"#N/A")</f>
        <v>#N/A</v>
      </c>
      <c r="J181" s="148" t="e" cm="1">
        <f t="array" ref="J18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1" s="148" t="e" cm="1">
        <f t="array" ref="K18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1" s="148" t="e" cm="1">
        <f t="array" ref="L18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1" s="148" t="e" cm="1">
        <f t="array" ref="M18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1" s="148" t="e" cm="1">
        <f t="array" ref="N18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1" s="149" t="str">
        <f>IF(Table117821341[[#This Row],[Pos.]]="QB1",_xlfn.XLOOKUP(Table117821341[[#This Row],[Opp]],Table123[DEF],Table123[P]),"#N/A")</f>
        <v>#N/A</v>
      </c>
      <c r="P181" s="149" t="str">
        <f>IF(Table117821341[[#This Row],[Pos.]]="QB1",_xlfn.XLOOKUP(Table117821341[[#This Row],[Opp]],Table123[DEF],Table123[P+R]),"#N/A")</f>
        <v>#N/A</v>
      </c>
      <c r="Q181" s="150" t="str">
        <f>IF(Table117821341[[#This Row],[Pos.]]="QB1",_xlfn.XLOOKUP(Table117821341[[#This Row],[Opp]],Table123[DEF],Table123[P TD]),"#N/A")</f>
        <v>#N/A</v>
      </c>
      <c r="R181" s="149" t="e" cm="1">
        <f t="array" ref="R18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1" s="150" t="e" cm="1">
        <f t="array" ref="S18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1" s="150" t="e" cm="1">
        <f t="array" ref="T18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1" s="150" t="e" cm="1">
        <f t="array" ref="U18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1" s="162" t="e" cm="1">
        <f t="array" ref="V18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1" s="148" t="e" cm="1">
        <f t="array" ref="W181">_xlfn.IFS(Table117821341[[#This Row],[Pos.]]="QB1",AVERAGE(G181,H181,I181,J181,N181),Table117821341[[#This Row],[Pos.]]="RB1",AVERAGE(J181,K181,N181),Table117821341[[#This Row],[Pos.]]="RB2",AVERAGE(J181,K181,N181),Table117821341[[#This Row],[Pos.]]="WR1",AVERAGE(L181,M181,N181),Table117821341[[#This Row],[Pos.]]="WR2",AVERAGE(L181,M181,N181),Table117821341[[#This Row],[Pos.]]="WR3",AVERAGE(L181,M181,N181),Table117821341[[#This Row],[Pos.]]="WR4",AVERAGE(L181,M181,N181),Table117821341[[#This Row],[Pos.]]="TE1",AVERAGE(L181,M181,N181),Table117821341[[#This Row],[Pos.]]="TE2",AVERAGE(L181,M181,N181),Table117821341[[#This Row],[Pos.]]="D/ST",AVERAGE(Table117821341[[#This Row],[*TD*]]))</f>
        <v>#N/A</v>
      </c>
      <c r="X181" s="94" t="e">
        <f t="shared" si="2"/>
        <v>#N/A</v>
      </c>
    </row>
    <row r="182" spans="2:24" hidden="1" x14ac:dyDescent="0.35">
      <c r="B182" s="6" t="s">
        <v>508</v>
      </c>
      <c r="C182" s="97" t="s">
        <v>35</v>
      </c>
      <c r="D182" s="97" t="s">
        <v>398</v>
      </c>
      <c r="E182" s="23" t="str" cm="1">
        <f t="array" ref="E182">_xlfn.XLOOKUP(Table117821341[[#This Row],[Team]],Table4334[Team],'2425'!$C$3:$C$34)</f>
        <v>n/a</v>
      </c>
      <c r="F182" s="97" t="str">
        <f>_xlfn.XLOOKUP(Table117821341[[#This Row],[Team]],Table4334[Team],Table4334[OPP])</f>
        <v>n/a</v>
      </c>
      <c r="G182" s="148" t="str" cm="1">
        <f t="array" ref="G182">IF(Table117821341[[#This Row],[Pos.]]="QB1",_xlfn.XLOOKUP(Table117821341[[#This Row],[Opp]],Table123[DEF],'2425'!$G$3:$G$34),"#N/A")</f>
        <v>#N/A</v>
      </c>
      <c r="H182" s="148" t="str" cm="1">
        <f t="array" ref="H182">IF(Table117821341[[#This Row],[Pos.]]="QB1",_xlfn.XLOOKUP(Table117821341[[#This Row],[Opp]],Table123[DEF],'2425'!$J$3:$J$34),"#N/A")</f>
        <v>#N/A</v>
      </c>
      <c r="I182" s="148" t="str" cm="1">
        <f t="array" ref="I182">IF(Table117821341[[#This Row],[Pos.]]="QB1",_xlfn.XLOOKUP(Table117821341[[#This Row],[Opp]],Table123[DEF],'2425'!$K$3:$K$34),"#N/A")</f>
        <v>#N/A</v>
      </c>
      <c r="J182" s="148" t="e" cm="1">
        <f t="array" ref="J18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2" s="148" t="e" cm="1">
        <f t="array" ref="K18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2" s="148" t="e" cm="1">
        <f t="array" ref="L18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2" s="148" t="e" cm="1">
        <f t="array" ref="M18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2" s="148" t="e" cm="1">
        <f t="array" ref="N18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2" s="149" t="str">
        <f>IF(Table117821341[[#This Row],[Pos.]]="QB1",_xlfn.XLOOKUP(Table117821341[[#This Row],[Opp]],Table123[DEF],Table123[P]),"#N/A")</f>
        <v>#N/A</v>
      </c>
      <c r="P182" s="149" t="str">
        <f>IF(Table117821341[[#This Row],[Pos.]]="QB1",_xlfn.XLOOKUP(Table117821341[[#This Row],[Opp]],Table123[DEF],Table123[P+R]),"#N/A")</f>
        <v>#N/A</v>
      </c>
      <c r="Q182" s="150" t="str">
        <f>IF(Table117821341[[#This Row],[Pos.]]="QB1",_xlfn.XLOOKUP(Table117821341[[#This Row],[Opp]],Table123[DEF],Table123[P TD]),"#N/A")</f>
        <v>#N/A</v>
      </c>
      <c r="R182" s="149" t="e" cm="1">
        <f t="array" ref="R18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2" s="150" t="e" cm="1">
        <f t="array" ref="S18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2" s="150" t="e" cm="1">
        <f t="array" ref="T18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2" s="150" t="e" cm="1">
        <f t="array" ref="U18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2" s="150" t="e" cm="1">
        <f t="array" ref="V18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2" s="148" t="e" cm="1">
        <f t="array" ref="W182">_xlfn.IFS(Table117821341[[#This Row],[Pos.]]="QB1",AVERAGE(G182,H182,I182,J182,N182),Table117821341[[#This Row],[Pos.]]="RB1",AVERAGE(J182,K182,N182),Table117821341[[#This Row],[Pos.]]="RB2",AVERAGE(J182,K182,N182),Table117821341[[#This Row],[Pos.]]="WR1",AVERAGE(L182,M182,N182),Table117821341[[#This Row],[Pos.]]="WR2",AVERAGE(L182,M182,N182),Table117821341[[#This Row],[Pos.]]="WR3",AVERAGE(L182,M182,N182),Table117821341[[#This Row],[Pos.]]="WR4",AVERAGE(L182,M182,N182),Table117821341[[#This Row],[Pos.]]="TE1",AVERAGE(L182,M182,N182),Table117821341[[#This Row],[Pos.]]="TE2",AVERAGE(L182,M182,N182),Table117821341[[#This Row],[Pos.]]="D/ST",AVERAGE(Table117821341[[#This Row],[*TD*]]))</f>
        <v>#N/A</v>
      </c>
      <c r="X182" s="94" t="e">
        <f t="shared" si="2"/>
        <v>#N/A</v>
      </c>
    </row>
    <row r="183" spans="2:24" hidden="1" x14ac:dyDescent="0.35">
      <c r="B183" s="6" t="s">
        <v>509</v>
      </c>
      <c r="C183" s="97" t="s">
        <v>35</v>
      </c>
      <c r="D183" s="97" t="s">
        <v>430</v>
      </c>
      <c r="E183" s="23" t="str" cm="1">
        <f t="array" ref="E183">_xlfn.XLOOKUP(Table117821341[[#This Row],[Team]],Table4334[Team],'2425'!$C$3:$C$34)</f>
        <v>n/a</v>
      </c>
      <c r="F183" s="97" t="str">
        <f>_xlfn.XLOOKUP(Table117821341[[#This Row],[Team]],Table4334[Team],Table4334[OPP])</f>
        <v>n/a</v>
      </c>
      <c r="G183" s="148" t="str" cm="1">
        <f t="array" ref="G183">IF(Table117821341[[#This Row],[Pos.]]="QB1",_xlfn.XLOOKUP(Table117821341[[#This Row],[Opp]],Table123[DEF],'2425'!$G$3:$G$34),"#N/A")</f>
        <v>#N/A</v>
      </c>
      <c r="H183" s="148" t="str" cm="1">
        <f t="array" ref="H183">IF(Table117821341[[#This Row],[Pos.]]="QB1",_xlfn.XLOOKUP(Table117821341[[#This Row],[Opp]],Table123[DEF],'2425'!$J$3:$J$34),"#N/A")</f>
        <v>#N/A</v>
      </c>
      <c r="I183" s="148" t="str" cm="1">
        <f t="array" ref="I183">IF(Table117821341[[#This Row],[Pos.]]="QB1",_xlfn.XLOOKUP(Table117821341[[#This Row],[Opp]],Table123[DEF],'2425'!$K$3:$K$34),"#N/A")</f>
        <v>#N/A</v>
      </c>
      <c r="J183" s="148" t="e" cm="1">
        <f t="array" ref="J18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3" s="148" t="e" cm="1">
        <f t="array" ref="K18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3" s="148" t="e" cm="1">
        <f t="array" ref="L18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3" s="148" t="e" cm="1">
        <f t="array" ref="M18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3" s="148" t="e" cm="1">
        <f t="array" ref="N18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3" s="149" t="str">
        <f>IF(Table117821341[[#This Row],[Pos.]]="QB1",_xlfn.XLOOKUP(Table117821341[[#This Row],[Opp]],Table123[DEF],Table123[P]),"#N/A")</f>
        <v>#N/A</v>
      </c>
      <c r="P183" s="149" t="str">
        <f>IF(Table117821341[[#This Row],[Pos.]]="QB1",_xlfn.XLOOKUP(Table117821341[[#This Row],[Opp]],Table123[DEF],Table123[P+R]),"#N/A")</f>
        <v>#N/A</v>
      </c>
      <c r="Q183" s="150" t="str">
        <f>IF(Table117821341[[#This Row],[Pos.]]="QB1",_xlfn.XLOOKUP(Table117821341[[#This Row],[Opp]],Table123[DEF],Table123[P TD]),"#N/A")</f>
        <v>#N/A</v>
      </c>
      <c r="R183" s="149" t="e" cm="1">
        <f t="array" ref="R18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3" s="150" t="e" cm="1">
        <f t="array" ref="S18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3" s="150" t="e" cm="1">
        <f t="array" ref="T18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3" s="150" t="e" cm="1">
        <f t="array" ref="U18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3" s="150" t="e" cm="1">
        <f t="array" ref="V18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3" s="148" t="e" cm="1">
        <f t="array" ref="W183">_xlfn.IFS(Table117821341[[#This Row],[Pos.]]="QB1",AVERAGE(G183,H183,I183,J183,N183),Table117821341[[#This Row],[Pos.]]="RB1",AVERAGE(J183,K183,N183),Table117821341[[#This Row],[Pos.]]="RB2",AVERAGE(J183,K183,N183),Table117821341[[#This Row],[Pos.]]="WR1",AVERAGE(L183,M183,N183),Table117821341[[#This Row],[Pos.]]="WR2",AVERAGE(L183,M183,N183),Table117821341[[#This Row],[Pos.]]="WR3",AVERAGE(L183,M183,N183),Table117821341[[#This Row],[Pos.]]="WR4",AVERAGE(L183,M183,N183),Table117821341[[#This Row],[Pos.]]="TE1",AVERAGE(L183,M183,N183),Table117821341[[#This Row],[Pos.]]="TE2",AVERAGE(L183,M183,N183),Table117821341[[#This Row],[Pos.]]="D/ST",AVERAGE(Table117821341[[#This Row],[*TD*]]))</f>
        <v>#N/A</v>
      </c>
      <c r="X183" s="94" t="e">
        <f t="shared" si="2"/>
        <v>#N/A</v>
      </c>
    </row>
    <row r="184" spans="2:24" hidden="1" x14ac:dyDescent="0.35">
      <c r="B184" s="6" t="s">
        <v>510</v>
      </c>
      <c r="C184" s="97" t="s">
        <v>35</v>
      </c>
      <c r="D184" s="97" t="s">
        <v>435</v>
      </c>
      <c r="E184" s="23" t="str" cm="1">
        <f t="array" ref="E184">_xlfn.XLOOKUP(Table117821341[[#This Row],[Team]],Table4334[Team],'2425'!$C$3:$C$34)</f>
        <v>n/a</v>
      </c>
      <c r="F184" s="97" t="str">
        <f>_xlfn.XLOOKUP(Table117821341[[#This Row],[Team]],Table4334[Team],Table4334[OPP])</f>
        <v>n/a</v>
      </c>
      <c r="G184" s="148" t="str" cm="1">
        <f t="array" ref="G184">IF(Table117821341[[#This Row],[Pos.]]="QB1",_xlfn.XLOOKUP(Table117821341[[#This Row],[Opp]],Table123[DEF],'2425'!$G$3:$G$34),"#N/A")</f>
        <v>#N/A</v>
      </c>
      <c r="H184" s="148" t="str" cm="1">
        <f t="array" ref="H184">IF(Table117821341[[#This Row],[Pos.]]="QB1",_xlfn.XLOOKUP(Table117821341[[#This Row],[Opp]],Table123[DEF],'2425'!$J$3:$J$34),"#N/A")</f>
        <v>#N/A</v>
      </c>
      <c r="I184" s="148" t="str" cm="1">
        <f t="array" ref="I184">IF(Table117821341[[#This Row],[Pos.]]="QB1",_xlfn.XLOOKUP(Table117821341[[#This Row],[Opp]],Table123[DEF],'2425'!$K$3:$K$34),"#N/A")</f>
        <v>#N/A</v>
      </c>
      <c r="J184" s="148" t="e" cm="1">
        <f t="array" ref="J18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4" s="148" t="e" cm="1">
        <f t="array" ref="K18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4" s="148" t="e" cm="1">
        <f t="array" ref="L18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4" s="148" t="e" cm="1">
        <f t="array" ref="M18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4" s="148" t="e" cm="1">
        <f t="array" ref="N18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4" s="149" t="str">
        <f>IF(Table117821341[[#This Row],[Pos.]]="QB1",_xlfn.XLOOKUP(Table117821341[[#This Row],[Opp]],Table123[DEF],Table123[P]),"#N/A")</f>
        <v>#N/A</v>
      </c>
      <c r="P184" s="149" t="str">
        <f>IF(Table117821341[[#This Row],[Pos.]]="QB1",_xlfn.XLOOKUP(Table117821341[[#This Row],[Opp]],Table123[DEF],Table123[P+R]),"#N/A")</f>
        <v>#N/A</v>
      </c>
      <c r="Q184" s="150" t="str">
        <f>IF(Table117821341[[#This Row],[Pos.]]="QB1",_xlfn.XLOOKUP(Table117821341[[#This Row],[Opp]],Table123[DEF],Table123[P TD]),"#N/A")</f>
        <v>#N/A</v>
      </c>
      <c r="R184" s="149" t="e" cm="1">
        <f t="array" ref="R18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4" s="150" t="e" cm="1">
        <f t="array" ref="S18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4" s="150" t="e" cm="1">
        <f t="array" ref="T18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4" s="150" t="e" cm="1">
        <f t="array" ref="U18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4" s="150" t="e" cm="1">
        <f t="array" ref="V18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4" s="148" t="e" cm="1">
        <f t="array" ref="W184">_xlfn.IFS(Table117821341[[#This Row],[Pos.]]="QB1",AVERAGE(G184,H184,I184,J184,N184),Table117821341[[#This Row],[Pos.]]="RB1",AVERAGE(J184,K184,N184),Table117821341[[#This Row],[Pos.]]="RB2",AVERAGE(J184,K184,N184),Table117821341[[#This Row],[Pos.]]="WR1",AVERAGE(L184,M184,N184),Table117821341[[#This Row],[Pos.]]="WR2",AVERAGE(L184,M184,N184),Table117821341[[#This Row],[Pos.]]="WR3",AVERAGE(L184,M184,N184),Table117821341[[#This Row],[Pos.]]="WR4",AVERAGE(L184,M184,N184),Table117821341[[#This Row],[Pos.]]="TE1",AVERAGE(L184,M184,N184),Table117821341[[#This Row],[Pos.]]="TE2",AVERAGE(L184,M184,N184),Table117821341[[#This Row],[Pos.]]="D/ST",AVERAGE(Table117821341[[#This Row],[*TD*]]))</f>
        <v>#N/A</v>
      </c>
      <c r="X184" s="94" t="e">
        <f t="shared" si="2"/>
        <v>#N/A</v>
      </c>
    </row>
    <row r="185" spans="2:24" hidden="1" x14ac:dyDescent="0.35">
      <c r="B185" s="6" t="s">
        <v>195</v>
      </c>
      <c r="C185" s="97" t="s">
        <v>34</v>
      </c>
      <c r="D185" s="97" t="s">
        <v>397</v>
      </c>
      <c r="E185" s="23" t="str" cm="1">
        <f t="array" ref="E185">_xlfn.XLOOKUP(Table117821341[[#This Row],[Team]],Table4334[Team],'2425'!$C$3:$C$34)</f>
        <v>n/a</v>
      </c>
      <c r="F185" s="97" t="str">
        <f>_xlfn.XLOOKUP(Table117821341[[#This Row],[Team]],Table4334[Team],Table4334[OPP])</f>
        <v>n/a</v>
      </c>
      <c r="G185" s="148" t="str" cm="1">
        <f t="array" ref="G185">IF(Table117821341[[#This Row],[Pos.]]="QB1",_xlfn.XLOOKUP(Table117821341[[#This Row],[Opp]],Table123[DEF],'2425'!$G$3:$G$34),"#N/A")</f>
        <v>#N/A</v>
      </c>
      <c r="H185" s="148" t="str" cm="1">
        <f t="array" ref="H185">IF(Table117821341[[#This Row],[Pos.]]="QB1",_xlfn.XLOOKUP(Table117821341[[#This Row],[Opp]],Table123[DEF],'2425'!$J$3:$J$34),"#N/A")</f>
        <v>#N/A</v>
      </c>
      <c r="I185" s="148" t="str" cm="1">
        <f t="array" ref="I185">IF(Table117821341[[#This Row],[Pos.]]="QB1",_xlfn.XLOOKUP(Table117821341[[#This Row],[Opp]],Table123[DEF],'2425'!$K$3:$K$34),"#N/A")</f>
        <v>#N/A</v>
      </c>
      <c r="J185" s="148" t="e" cm="1">
        <f t="array" ref="J18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5" s="148" t="e" cm="1">
        <f t="array" ref="K18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5" s="148" t="e" cm="1">
        <f t="array" ref="L18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5" s="148" t="e" cm="1">
        <f t="array" ref="M18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5" s="148" t="e" cm="1">
        <f t="array" ref="N18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5" s="149" t="str">
        <f>IF(Table117821341[[#This Row],[Pos.]]="QB1",_xlfn.XLOOKUP(Table117821341[[#This Row],[Opp]],Table123[DEF],Table123[P]),"#N/A")</f>
        <v>#N/A</v>
      </c>
      <c r="P185" s="149" t="str">
        <f>IF(Table117821341[[#This Row],[Pos.]]="QB1",_xlfn.XLOOKUP(Table117821341[[#This Row],[Opp]],Table123[DEF],Table123[P+R]),"#N/A")</f>
        <v>#N/A</v>
      </c>
      <c r="Q185" s="150" t="str">
        <f>IF(Table117821341[[#This Row],[Pos.]]="QB1",_xlfn.XLOOKUP(Table117821341[[#This Row],[Opp]],Table123[DEF],Table123[P TD]),"#N/A")</f>
        <v>#N/A</v>
      </c>
      <c r="R185" s="149" t="e" cm="1">
        <f t="array" ref="R18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5" s="150" t="e" cm="1">
        <f t="array" ref="S18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5" s="150" t="e" cm="1">
        <f t="array" ref="T18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5" s="150" t="e" cm="1">
        <f t="array" ref="U18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5" s="162" t="e" cm="1">
        <f t="array" ref="V18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5" s="148" t="e" cm="1">
        <f t="array" ref="W185">_xlfn.IFS(Table117821341[[#This Row],[Pos.]]="QB1",AVERAGE(G185,H185,I185,J185,N185),Table117821341[[#This Row],[Pos.]]="RB1",AVERAGE(J185,K185,N185),Table117821341[[#This Row],[Pos.]]="RB2",AVERAGE(J185,K185,N185),Table117821341[[#This Row],[Pos.]]="WR1",AVERAGE(L185,M185,N185),Table117821341[[#This Row],[Pos.]]="WR2",AVERAGE(L185,M185,N185),Table117821341[[#This Row],[Pos.]]="WR3",AVERAGE(L185,M185,N185),Table117821341[[#This Row],[Pos.]]="WR4",AVERAGE(L185,M185,N185),Table117821341[[#This Row],[Pos.]]="TE1",AVERAGE(L185,M185,N185),Table117821341[[#This Row],[Pos.]]="TE2",AVERAGE(L185,M185,N185),Table117821341[[#This Row],[Pos.]]="D/ST",AVERAGE(Table117821341[[#This Row],[*TD*]]))</f>
        <v>#N/A</v>
      </c>
      <c r="X185" s="94" t="e">
        <f t="shared" si="2"/>
        <v>#N/A</v>
      </c>
    </row>
    <row r="186" spans="2:24" hidden="1" x14ac:dyDescent="0.35">
      <c r="B186" s="6" t="s">
        <v>184</v>
      </c>
      <c r="C186" s="97" t="s">
        <v>35</v>
      </c>
      <c r="D186" s="97" t="s">
        <v>67</v>
      </c>
      <c r="E186" s="23" t="str" cm="1">
        <f t="array" ref="E186">_xlfn.XLOOKUP(Table117821341[[#This Row],[Team]],Table4334[Team],'2425'!$C$3:$C$34)</f>
        <v>n/a</v>
      </c>
      <c r="F186" s="97" t="str">
        <f>_xlfn.XLOOKUP(Table117821341[[#This Row],[Team]],Table4334[Team],Table4334[OPP])</f>
        <v>n/a</v>
      </c>
      <c r="G186" s="148" t="str" cm="1">
        <f t="array" ref="G186">IF(Table117821341[[#This Row],[Pos.]]="QB1",_xlfn.XLOOKUP(Table117821341[[#This Row],[Opp]],Table123[DEF],'2425'!$G$3:$G$34),"#N/A")</f>
        <v>#N/A</v>
      </c>
      <c r="H186" s="148" t="str" cm="1">
        <f t="array" ref="H186">IF(Table117821341[[#This Row],[Pos.]]="QB1",_xlfn.XLOOKUP(Table117821341[[#This Row],[Opp]],Table123[DEF],'2425'!$J$3:$J$34),"#N/A")</f>
        <v>#N/A</v>
      </c>
      <c r="I186" s="148" t="str" cm="1">
        <f t="array" ref="I186">IF(Table117821341[[#This Row],[Pos.]]="QB1",_xlfn.XLOOKUP(Table117821341[[#This Row],[Opp]],Table123[DEF],'2425'!$K$3:$K$34),"#N/A")</f>
        <v>#N/A</v>
      </c>
      <c r="J186" s="148" t="e" cm="1">
        <f t="array" ref="J18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6" s="148" t="e" cm="1">
        <f t="array" ref="K18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6" s="148" t="e" cm="1">
        <f t="array" ref="L18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6" s="148" t="e" cm="1">
        <f t="array" ref="M18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6" s="148" t="e" cm="1">
        <f t="array" ref="N18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6" s="149" t="str">
        <f>IF(Table117821341[[#This Row],[Pos.]]="QB1",_xlfn.XLOOKUP(Table117821341[[#This Row],[Opp]],Table123[DEF],Table123[P]),"#N/A")</f>
        <v>#N/A</v>
      </c>
      <c r="P186" s="149" t="str">
        <f>IF(Table117821341[[#This Row],[Pos.]]="QB1",_xlfn.XLOOKUP(Table117821341[[#This Row],[Opp]],Table123[DEF],Table123[P+R]),"#N/A")</f>
        <v>#N/A</v>
      </c>
      <c r="Q186" s="150" t="str">
        <f>IF(Table117821341[[#This Row],[Pos.]]="QB1",_xlfn.XLOOKUP(Table117821341[[#This Row],[Opp]],Table123[DEF],Table123[P TD]),"#N/A")</f>
        <v>#N/A</v>
      </c>
      <c r="R186" s="149" t="e" cm="1">
        <f t="array" ref="R18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6" s="150" t="e" cm="1">
        <f t="array" ref="S18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6" s="150" t="e" cm="1">
        <f t="array" ref="T18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6" s="150" t="e" cm="1">
        <f t="array" ref="U18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6" s="162" t="e" cm="1">
        <f t="array" ref="V18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6" s="148" t="e" cm="1">
        <f t="array" ref="W186">_xlfn.IFS(Table117821341[[#This Row],[Pos.]]="QB1",AVERAGE(G186,H186,I186,J186,N186),Table117821341[[#This Row],[Pos.]]="RB1",AVERAGE(J186,K186,N186),Table117821341[[#This Row],[Pos.]]="RB2",AVERAGE(J186,K186,N186),Table117821341[[#This Row],[Pos.]]="WR1",AVERAGE(L186,M186,N186),Table117821341[[#This Row],[Pos.]]="WR2",AVERAGE(L186,M186,N186),Table117821341[[#This Row],[Pos.]]="WR3",AVERAGE(L186,M186,N186),Table117821341[[#This Row],[Pos.]]="WR4",AVERAGE(L186,M186,N186),Table117821341[[#This Row],[Pos.]]="TE1",AVERAGE(L186,M186,N186),Table117821341[[#This Row],[Pos.]]="TE2",AVERAGE(L186,M186,N186),Table117821341[[#This Row],[Pos.]]="D/ST",AVERAGE(Table117821341[[#This Row],[*TD*]]))</f>
        <v>#N/A</v>
      </c>
      <c r="X186" s="94" t="e">
        <f t="shared" si="2"/>
        <v>#N/A</v>
      </c>
    </row>
    <row r="187" spans="2:24" hidden="1" x14ac:dyDescent="0.35">
      <c r="B187" s="6" t="s">
        <v>721</v>
      </c>
      <c r="C187" s="97" t="s">
        <v>40</v>
      </c>
      <c r="D187" s="97" t="s">
        <v>71</v>
      </c>
      <c r="E187" s="23" t="str" cm="1">
        <f t="array" ref="E187">_xlfn.XLOOKUP(Table117821341[[#This Row],[Team]],Table4334[Team],'2425'!$C$3:$C$34)</f>
        <v>n/a</v>
      </c>
      <c r="F187" s="97" t="str">
        <f>_xlfn.XLOOKUP(Table117821341[[#This Row],[Team]],Table4334[Team],Table4334[OPP])</f>
        <v>n/a</v>
      </c>
      <c r="G187" s="148" t="str" cm="1">
        <f t="array" ref="G187">IF(Table117821341[[#This Row],[Pos.]]="QB1",_xlfn.XLOOKUP(Table117821341[[#This Row],[Opp]],Table123[DEF],'2425'!$G$3:$G$34),"#N/A")</f>
        <v>#N/A</v>
      </c>
      <c r="H187" s="148" t="str" cm="1">
        <f t="array" ref="H187">IF(Table117821341[[#This Row],[Pos.]]="QB1",_xlfn.XLOOKUP(Table117821341[[#This Row],[Opp]],Table123[DEF],'2425'!$J$3:$J$34),"#N/A")</f>
        <v>#N/A</v>
      </c>
      <c r="I187" s="148" t="str" cm="1">
        <f t="array" ref="I187">IF(Table117821341[[#This Row],[Pos.]]="QB1",_xlfn.XLOOKUP(Table117821341[[#This Row],[Opp]],Table123[DEF],'2425'!$K$3:$K$34),"#N/A")</f>
        <v>#N/A</v>
      </c>
      <c r="J187" s="148" t="e" cm="1">
        <f t="array" ref="J18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7" s="148" t="e" cm="1">
        <f t="array" ref="K18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7" s="148" t="e" cm="1">
        <f t="array" ref="L18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7" s="148" t="e" cm="1">
        <f t="array" ref="M18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7" s="148" t="e" cm="1">
        <f t="array" ref="N18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7" s="149" t="str">
        <f>IF(Table117821341[[#This Row],[Pos.]]="QB1",_xlfn.XLOOKUP(Table117821341[[#This Row],[Opp]],Table123[DEF],Table123[P]),"#N/A")</f>
        <v>#N/A</v>
      </c>
      <c r="P187" s="149" t="str">
        <f>IF(Table117821341[[#This Row],[Pos.]]="QB1",_xlfn.XLOOKUP(Table117821341[[#This Row],[Opp]],Table123[DEF],Table123[P+R]),"#N/A")</f>
        <v>#N/A</v>
      </c>
      <c r="Q187" s="150" t="str">
        <f>IF(Table117821341[[#This Row],[Pos.]]="QB1",_xlfn.XLOOKUP(Table117821341[[#This Row],[Opp]],Table123[DEF],Table123[P TD]),"#N/A")</f>
        <v>#N/A</v>
      </c>
      <c r="R187" s="149" t="e" cm="1">
        <f t="array" ref="R18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7" s="150" t="e" cm="1">
        <f t="array" ref="S18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7" s="150" t="e" cm="1">
        <f t="array" ref="T18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7" s="150" t="e" cm="1">
        <f t="array" ref="U18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7" s="162" t="e" cm="1">
        <f t="array" ref="V18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7" s="148" t="e" cm="1">
        <f t="array" ref="W187">_xlfn.IFS(Table117821341[[#This Row],[Pos.]]="QB1",AVERAGE(G187,H187,I187,J187,N187),Table117821341[[#This Row],[Pos.]]="RB1",AVERAGE(J187,K187,N187),Table117821341[[#This Row],[Pos.]]="RB2",AVERAGE(J187,K187,N187),Table117821341[[#This Row],[Pos.]]="WR1",AVERAGE(L187,M187,N187),Table117821341[[#This Row],[Pos.]]="WR2",AVERAGE(L187,M187,N187),Table117821341[[#This Row],[Pos.]]="WR3",AVERAGE(L187,M187,N187),Table117821341[[#This Row],[Pos.]]="WR4",AVERAGE(L187,M187,N187),Table117821341[[#This Row],[Pos.]]="TE1",AVERAGE(L187,M187,N187),Table117821341[[#This Row],[Pos.]]="TE2",AVERAGE(L187,M187,N187),Table117821341[[#This Row],[Pos.]]="D/ST",AVERAGE(Table117821341[[#This Row],[*TD*]]))</f>
        <v>#N/A</v>
      </c>
      <c r="X187" s="94" t="e">
        <f t="shared" si="2"/>
        <v>#N/A</v>
      </c>
    </row>
    <row r="188" spans="2:24" hidden="1" x14ac:dyDescent="0.35">
      <c r="B188" s="6" t="s">
        <v>482</v>
      </c>
      <c r="C188" s="97" t="s">
        <v>32</v>
      </c>
      <c r="D188" s="97" t="s">
        <v>68</v>
      </c>
      <c r="E188" s="23" t="str" cm="1">
        <f t="array" ref="E188">_xlfn.XLOOKUP(Table117821341[[#This Row],[Team]],Table4334[Team],'2425'!$C$3:$C$34)</f>
        <v>n/a</v>
      </c>
      <c r="F188" s="97" t="str">
        <f>_xlfn.XLOOKUP(Table117821341[[#This Row],[Team]],Table4334[Team],Table4334[OPP])</f>
        <v>n/a</v>
      </c>
      <c r="G188" s="148" t="str" cm="1">
        <f t="array" ref="G188">IF(Table117821341[[#This Row],[Pos.]]="QB1",_xlfn.XLOOKUP(Table117821341[[#This Row],[Opp]],Table123[DEF],'2425'!$G$3:$G$34),"#N/A")</f>
        <v>#N/A</v>
      </c>
      <c r="H188" s="148" t="str" cm="1">
        <f t="array" ref="H188">IF(Table117821341[[#This Row],[Pos.]]="QB1",_xlfn.XLOOKUP(Table117821341[[#This Row],[Opp]],Table123[DEF],'2425'!$J$3:$J$34),"#N/A")</f>
        <v>#N/A</v>
      </c>
      <c r="I188" s="148" t="str" cm="1">
        <f t="array" ref="I188">IF(Table117821341[[#This Row],[Pos.]]="QB1",_xlfn.XLOOKUP(Table117821341[[#This Row],[Opp]],Table123[DEF],'2425'!$K$3:$K$34),"#N/A")</f>
        <v>#N/A</v>
      </c>
      <c r="J188" s="148" t="e" cm="1">
        <f t="array" ref="J18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8" s="148" t="e" cm="1">
        <f t="array" ref="K18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8" s="148" t="e" cm="1">
        <f t="array" ref="L18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8" s="148" t="e" cm="1">
        <f t="array" ref="M18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8" s="148" t="e" cm="1">
        <f t="array" ref="N18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8" s="149" t="str">
        <f>IF(Table117821341[[#This Row],[Pos.]]="QB1",_xlfn.XLOOKUP(Table117821341[[#This Row],[Opp]],Table123[DEF],Table123[P]),"#N/A")</f>
        <v>#N/A</v>
      </c>
      <c r="P188" s="149" t="str">
        <f>IF(Table117821341[[#This Row],[Pos.]]="QB1",_xlfn.XLOOKUP(Table117821341[[#This Row],[Opp]],Table123[DEF],Table123[P+R]),"#N/A")</f>
        <v>#N/A</v>
      </c>
      <c r="Q188" s="150" t="str">
        <f>IF(Table117821341[[#This Row],[Pos.]]="QB1",_xlfn.XLOOKUP(Table117821341[[#This Row],[Opp]],Table123[DEF],Table123[P TD]),"#N/A")</f>
        <v>#N/A</v>
      </c>
      <c r="R188" s="149" t="e" cm="1">
        <f t="array" ref="R18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8" s="150" t="e" cm="1">
        <f t="array" ref="S18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8" s="150" t="e" cm="1">
        <f t="array" ref="T18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8" s="150" t="e" cm="1">
        <f t="array" ref="U18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8" s="162" t="e" cm="1">
        <f t="array" ref="V18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8" s="148" t="e" cm="1">
        <f t="array" ref="W188">_xlfn.IFS(Table117821341[[#This Row],[Pos.]]="QB1",AVERAGE(G188,H188,I188,J188,N188),Table117821341[[#This Row],[Pos.]]="RB1",AVERAGE(J188,K188,N188),Table117821341[[#This Row],[Pos.]]="RB2",AVERAGE(J188,K188,N188),Table117821341[[#This Row],[Pos.]]="WR1",AVERAGE(L188,M188,N188),Table117821341[[#This Row],[Pos.]]="WR2",AVERAGE(L188,M188,N188),Table117821341[[#This Row],[Pos.]]="WR3",AVERAGE(L188,M188,N188),Table117821341[[#This Row],[Pos.]]="WR4",AVERAGE(L188,M188,N188),Table117821341[[#This Row],[Pos.]]="TE1",AVERAGE(L188,M188,N188),Table117821341[[#This Row],[Pos.]]="TE2",AVERAGE(L188,M188,N188),Table117821341[[#This Row],[Pos.]]="D/ST",AVERAGE(Table117821341[[#This Row],[*TD*]]))</f>
        <v>#N/A</v>
      </c>
      <c r="X188" s="94" t="e">
        <f t="shared" si="2"/>
        <v>#N/A</v>
      </c>
    </row>
    <row r="189" spans="2:24" hidden="1" x14ac:dyDescent="0.35">
      <c r="B189" s="6" t="s">
        <v>507</v>
      </c>
      <c r="C189" s="97" t="s">
        <v>35</v>
      </c>
      <c r="D189" s="97" t="s">
        <v>403</v>
      </c>
      <c r="E189" s="23" t="str" cm="1">
        <f t="array" ref="E189">_xlfn.XLOOKUP(Table117821341[[#This Row],[Team]],Table4334[Team],'2425'!$C$3:$C$34)</f>
        <v>n/a</v>
      </c>
      <c r="F189" s="97" t="str">
        <f>_xlfn.XLOOKUP(Table117821341[[#This Row],[Team]],Table4334[Team],Table4334[OPP])</f>
        <v>n/a</v>
      </c>
      <c r="G189" s="148" t="str" cm="1">
        <f t="array" ref="G189">IF(Table117821341[[#This Row],[Pos.]]="QB1",_xlfn.XLOOKUP(Table117821341[[#This Row],[Opp]],Table123[DEF],'2425'!$G$3:$G$34),"#N/A")</f>
        <v>#N/A</v>
      </c>
      <c r="H189" s="148" t="str" cm="1">
        <f t="array" ref="H189">IF(Table117821341[[#This Row],[Pos.]]="QB1",_xlfn.XLOOKUP(Table117821341[[#This Row],[Opp]],Table123[DEF],'2425'!$J$3:$J$34),"#N/A")</f>
        <v>#N/A</v>
      </c>
      <c r="I189" s="148" t="str" cm="1">
        <f t="array" ref="I189">IF(Table117821341[[#This Row],[Pos.]]="QB1",_xlfn.XLOOKUP(Table117821341[[#This Row],[Opp]],Table123[DEF],'2425'!$K$3:$K$34),"#N/A")</f>
        <v>#N/A</v>
      </c>
      <c r="J189" s="148" t="e" cm="1">
        <f t="array" ref="J18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89" s="148" t="e" cm="1">
        <f t="array" ref="K18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89" s="148" t="e" cm="1">
        <f t="array" ref="L18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89" s="148" t="e" cm="1">
        <f t="array" ref="M18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89" s="148" t="e" cm="1">
        <f t="array" ref="N18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89" s="149" t="str">
        <f>IF(Table117821341[[#This Row],[Pos.]]="QB1",_xlfn.XLOOKUP(Table117821341[[#This Row],[Opp]],Table123[DEF],Table123[P]),"#N/A")</f>
        <v>#N/A</v>
      </c>
      <c r="P189" s="149" t="str">
        <f>IF(Table117821341[[#This Row],[Pos.]]="QB1",_xlfn.XLOOKUP(Table117821341[[#This Row],[Opp]],Table123[DEF],Table123[P+R]),"#N/A")</f>
        <v>#N/A</v>
      </c>
      <c r="Q189" s="150" t="str">
        <f>IF(Table117821341[[#This Row],[Pos.]]="QB1",_xlfn.XLOOKUP(Table117821341[[#This Row],[Opp]],Table123[DEF],Table123[P TD]),"#N/A")</f>
        <v>#N/A</v>
      </c>
      <c r="R189" s="149" t="e" cm="1">
        <f t="array" ref="R18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89" s="150" t="e" cm="1">
        <f t="array" ref="S18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89" s="150" t="e" cm="1">
        <f t="array" ref="T18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89" s="150" t="e" cm="1">
        <f t="array" ref="U18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89" s="150" t="e" cm="1">
        <f t="array" ref="V18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89" s="148" t="e" cm="1">
        <f t="array" ref="W189">_xlfn.IFS(Table117821341[[#This Row],[Pos.]]="QB1",AVERAGE(G189,H189,I189,J189,N189),Table117821341[[#This Row],[Pos.]]="RB1",AVERAGE(J189,K189,N189),Table117821341[[#This Row],[Pos.]]="RB2",AVERAGE(J189,K189,N189),Table117821341[[#This Row],[Pos.]]="WR1",AVERAGE(L189,M189,N189),Table117821341[[#This Row],[Pos.]]="WR2",AVERAGE(L189,M189,N189),Table117821341[[#This Row],[Pos.]]="WR3",AVERAGE(L189,M189,N189),Table117821341[[#This Row],[Pos.]]="WR4",AVERAGE(L189,M189,N189),Table117821341[[#This Row],[Pos.]]="TE1",AVERAGE(L189,M189,N189),Table117821341[[#This Row],[Pos.]]="TE2",AVERAGE(L189,M189,N189),Table117821341[[#This Row],[Pos.]]="D/ST",AVERAGE(Table117821341[[#This Row],[*TD*]]))</f>
        <v>#N/A</v>
      </c>
      <c r="X189" s="94" t="e">
        <f t="shared" si="2"/>
        <v>#N/A</v>
      </c>
    </row>
    <row r="190" spans="2:24" hidden="1" x14ac:dyDescent="0.35">
      <c r="B190" s="6" t="s">
        <v>251</v>
      </c>
      <c r="C190" s="97" t="s">
        <v>40</v>
      </c>
      <c r="D190" s="97" t="s">
        <v>68</v>
      </c>
      <c r="E190" s="23" t="str" cm="1">
        <f t="array" ref="E190">_xlfn.XLOOKUP(Table117821341[[#This Row],[Team]],Table4334[Team],'2425'!$C$3:$C$34)</f>
        <v>n/a</v>
      </c>
      <c r="F190" s="97" t="str">
        <f>_xlfn.XLOOKUP(Table117821341[[#This Row],[Team]],Table4334[Team],Table4334[OPP])</f>
        <v>n/a</v>
      </c>
      <c r="G190" s="148" t="str" cm="1">
        <f t="array" ref="G190">IF(Table117821341[[#This Row],[Pos.]]="QB1",_xlfn.XLOOKUP(Table117821341[[#This Row],[Opp]],Table123[DEF],'2425'!$G$3:$G$34),"#N/A")</f>
        <v>#N/A</v>
      </c>
      <c r="H190" s="148" t="str" cm="1">
        <f t="array" ref="H190">IF(Table117821341[[#This Row],[Pos.]]="QB1",_xlfn.XLOOKUP(Table117821341[[#This Row],[Opp]],Table123[DEF],'2425'!$J$3:$J$34),"#N/A")</f>
        <v>#N/A</v>
      </c>
      <c r="I190" s="148" t="str" cm="1">
        <f t="array" ref="I190">IF(Table117821341[[#This Row],[Pos.]]="QB1",_xlfn.XLOOKUP(Table117821341[[#This Row],[Opp]],Table123[DEF],'2425'!$K$3:$K$34),"#N/A")</f>
        <v>#N/A</v>
      </c>
      <c r="J190" s="148" t="e" cm="1">
        <f t="array" ref="J19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0" s="148" t="e" cm="1">
        <f t="array" ref="K19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0" s="148" t="e" cm="1">
        <f t="array" ref="L19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0" s="148" t="e" cm="1">
        <f t="array" ref="M19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0" s="148" t="e" cm="1">
        <f t="array" ref="N19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0" s="149" t="str">
        <f>IF(Table117821341[[#This Row],[Pos.]]="QB1",_xlfn.XLOOKUP(Table117821341[[#This Row],[Opp]],Table123[DEF],Table123[P]),"#N/A")</f>
        <v>#N/A</v>
      </c>
      <c r="P190" s="149" t="str">
        <f>IF(Table117821341[[#This Row],[Pos.]]="QB1",_xlfn.XLOOKUP(Table117821341[[#This Row],[Opp]],Table123[DEF],Table123[P+R]),"#N/A")</f>
        <v>#N/A</v>
      </c>
      <c r="Q190" s="150" t="str">
        <f>IF(Table117821341[[#This Row],[Pos.]]="QB1",_xlfn.XLOOKUP(Table117821341[[#This Row],[Opp]],Table123[DEF],Table123[P TD]),"#N/A")</f>
        <v>#N/A</v>
      </c>
      <c r="R190" s="149" t="e" cm="1">
        <f t="array" ref="R19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0" s="150" t="e" cm="1">
        <f t="array" ref="S19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0" s="150" t="e" cm="1">
        <f t="array" ref="T19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0" s="150" t="e" cm="1">
        <f t="array" ref="U19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0" s="162" t="e" cm="1">
        <f t="array" ref="V19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0" s="148" t="e" cm="1">
        <f t="array" ref="W190">_xlfn.IFS(Table117821341[[#This Row],[Pos.]]="QB1",AVERAGE(G190,H190,I190,J190,N190),Table117821341[[#This Row],[Pos.]]="RB1",AVERAGE(J190,K190,N190),Table117821341[[#This Row],[Pos.]]="RB2",AVERAGE(J190,K190,N190),Table117821341[[#This Row],[Pos.]]="WR1",AVERAGE(L190,M190,N190),Table117821341[[#This Row],[Pos.]]="WR2",AVERAGE(L190,M190,N190),Table117821341[[#This Row],[Pos.]]="WR3",AVERAGE(L190,M190,N190),Table117821341[[#This Row],[Pos.]]="WR4",AVERAGE(L190,M190,N190),Table117821341[[#This Row],[Pos.]]="TE1",AVERAGE(L190,M190,N190),Table117821341[[#This Row],[Pos.]]="TE2",AVERAGE(L190,M190,N190),Table117821341[[#This Row],[Pos.]]="D/ST",AVERAGE(Table117821341[[#This Row],[*TD*]]))</f>
        <v>#N/A</v>
      </c>
      <c r="X190" s="94" t="e">
        <f t="shared" si="2"/>
        <v>#N/A</v>
      </c>
    </row>
    <row r="191" spans="2:24" hidden="1" x14ac:dyDescent="0.35">
      <c r="B191" s="6" t="s">
        <v>367</v>
      </c>
      <c r="C191" s="97" t="s">
        <v>54</v>
      </c>
      <c r="D191" s="97" t="s">
        <v>399</v>
      </c>
      <c r="E191" s="23" t="str" cm="1">
        <f t="array" ref="E191">_xlfn.XLOOKUP(Table117821341[[#This Row],[Team]],Table4334[Team],'2425'!$C$3:$C$34)</f>
        <v>n/a</v>
      </c>
      <c r="F191" s="97" t="str">
        <f>_xlfn.XLOOKUP(Table117821341[[#This Row],[Team]],Table4334[Team],Table4334[OPP])</f>
        <v>n/a</v>
      </c>
      <c r="G191" s="148" t="e" cm="1">
        <f t="array" ref="G191">IF(Table117821341[[#This Row],[Pos.]]="QB1",_xlfn.XLOOKUP(Table117821341[[#This Row],[Opp]],Table123[DEF],'2425'!$G$3:$G$34),"#N/A")</f>
        <v>#N/A</v>
      </c>
      <c r="H191" s="148" t="e" cm="1">
        <f t="array" ref="H191">IF(Table117821341[[#This Row],[Pos.]]="QB1",_xlfn.XLOOKUP(Table117821341[[#This Row],[Opp]],Table123[DEF],'2425'!$J$3:$J$34),"#N/A")</f>
        <v>#N/A</v>
      </c>
      <c r="I191" s="148" t="e" cm="1">
        <f t="array" ref="I191">IF(Table117821341[[#This Row],[Pos.]]="QB1",_xlfn.XLOOKUP(Table117821341[[#This Row],[Opp]],Table123[DEF],'2425'!$K$3:$K$34),"#N/A")</f>
        <v>#N/A</v>
      </c>
      <c r="J191" s="148" t="e" cm="1">
        <f t="array" ref="J19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1" s="148" t="e" cm="1">
        <f t="array" ref="K19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1" s="148" t="e" cm="1">
        <f t="array" ref="L19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1" s="148" t="e" cm="1">
        <f t="array" ref="M19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1" s="148" t="e" cm="1">
        <f t="array" ref="N19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1" s="149" t="e">
        <f>IF(Table117821341[[#This Row],[Pos.]]="QB1",_xlfn.XLOOKUP(Table117821341[[#This Row],[Opp]],Table123[DEF],Table123[P]),"#N/A")</f>
        <v>#N/A</v>
      </c>
      <c r="P191" s="149" t="e">
        <f>IF(Table117821341[[#This Row],[Pos.]]="QB1",_xlfn.XLOOKUP(Table117821341[[#This Row],[Opp]],Table123[DEF],Table123[P+R]),"#N/A")</f>
        <v>#N/A</v>
      </c>
      <c r="Q191" s="150" t="e">
        <f>IF(Table117821341[[#This Row],[Pos.]]="QB1",_xlfn.XLOOKUP(Table117821341[[#This Row],[Opp]],Table123[DEF],Table123[P TD]),"#N/A")</f>
        <v>#N/A</v>
      </c>
      <c r="R191" s="149" t="e" cm="1">
        <f t="array" ref="R19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1" s="150" t="e" cm="1">
        <f t="array" ref="S19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1" s="150" t="e" cm="1">
        <f t="array" ref="T19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1" s="150" t="e" cm="1">
        <f t="array" ref="U19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1" s="162" t="e" cm="1">
        <f t="array" ref="V19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1" s="148" t="e" cm="1">
        <f t="array" ref="W191">_xlfn.IFS(Table117821341[[#This Row],[Pos.]]="QB1",AVERAGE(G191,H191,I191,J191,N191),Table117821341[[#This Row],[Pos.]]="RB1",AVERAGE(J191,K191,N191),Table117821341[[#This Row],[Pos.]]="RB2",AVERAGE(J191,K191,N191),Table117821341[[#This Row],[Pos.]]="WR1",AVERAGE(L191,M191,N191),Table117821341[[#This Row],[Pos.]]="WR2",AVERAGE(L191,M191,N191),Table117821341[[#This Row],[Pos.]]="WR3",AVERAGE(L191,M191,N191),Table117821341[[#This Row],[Pos.]]="WR4",AVERAGE(L191,M191,N191),Table117821341[[#This Row],[Pos.]]="TE1",AVERAGE(L191,M191,N191),Table117821341[[#This Row],[Pos.]]="TE2",AVERAGE(L191,M191,N191),Table117821341[[#This Row],[Pos.]]="D/ST",AVERAGE(Table117821341[[#This Row],[*TD*]]))</f>
        <v>#N/A</v>
      </c>
      <c r="X191" s="94" t="e">
        <f t="shared" si="2"/>
        <v>#N/A</v>
      </c>
    </row>
    <row r="192" spans="2:24" hidden="1" x14ac:dyDescent="0.35">
      <c r="B192" s="6" t="s">
        <v>205</v>
      </c>
      <c r="C192" s="97" t="s">
        <v>36</v>
      </c>
      <c r="D192" s="97" t="s">
        <v>405</v>
      </c>
      <c r="E192" s="23" t="str" cm="1">
        <f t="array" ref="E192">_xlfn.XLOOKUP(Table117821341[[#This Row],[Team]],Table4334[Team],'2425'!$C$3:$C$34)</f>
        <v>n/a</v>
      </c>
      <c r="F192" s="97" t="str">
        <f>_xlfn.XLOOKUP(Table117821341[[#This Row],[Team]],Table4334[Team],Table4334[OPP])</f>
        <v>n/a</v>
      </c>
      <c r="G192" s="148" t="str" cm="1">
        <f t="array" ref="G192">IF(Table117821341[[#This Row],[Pos.]]="QB1",_xlfn.XLOOKUP(Table117821341[[#This Row],[Opp]],Table123[DEF],'2425'!$G$3:$G$34),"#N/A")</f>
        <v>#N/A</v>
      </c>
      <c r="H192" s="148" t="str" cm="1">
        <f t="array" ref="H192">IF(Table117821341[[#This Row],[Pos.]]="QB1",_xlfn.XLOOKUP(Table117821341[[#This Row],[Opp]],Table123[DEF],'2425'!$J$3:$J$34),"#N/A")</f>
        <v>#N/A</v>
      </c>
      <c r="I192" s="148" t="str" cm="1">
        <f t="array" ref="I192">IF(Table117821341[[#This Row],[Pos.]]="QB1",_xlfn.XLOOKUP(Table117821341[[#This Row],[Opp]],Table123[DEF],'2425'!$K$3:$K$34),"#N/A")</f>
        <v>#N/A</v>
      </c>
      <c r="J192" s="148" t="e" cm="1">
        <f t="array" ref="J19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2" s="148" t="e" cm="1">
        <f t="array" ref="K19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2" s="148" t="e" cm="1">
        <f t="array" ref="L19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2" s="148" t="e" cm="1">
        <f t="array" ref="M19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2" s="148" t="e" cm="1">
        <f t="array" ref="N19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2" s="149" t="str">
        <f>IF(Table117821341[[#This Row],[Pos.]]="QB1",_xlfn.XLOOKUP(Table117821341[[#This Row],[Opp]],Table123[DEF],Table123[P]),"#N/A")</f>
        <v>#N/A</v>
      </c>
      <c r="P192" s="149" t="str">
        <f>IF(Table117821341[[#This Row],[Pos.]]="QB1",_xlfn.XLOOKUP(Table117821341[[#This Row],[Opp]],Table123[DEF],Table123[P+R]),"#N/A")</f>
        <v>#N/A</v>
      </c>
      <c r="Q192" s="150" t="str">
        <f>IF(Table117821341[[#This Row],[Pos.]]="QB1",_xlfn.XLOOKUP(Table117821341[[#This Row],[Opp]],Table123[DEF],Table123[P TD]),"#N/A")</f>
        <v>#N/A</v>
      </c>
      <c r="R192" s="149" t="e" cm="1">
        <f t="array" ref="R19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2" s="150" t="e" cm="1">
        <f t="array" ref="S19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2" s="150" t="e" cm="1">
        <f t="array" ref="T19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2" s="150" t="e" cm="1">
        <f t="array" ref="U19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2" s="150" t="e" cm="1">
        <f t="array" ref="V19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2" s="148" t="e" cm="1">
        <f t="array" ref="W192">_xlfn.IFS(Table117821341[[#This Row],[Pos.]]="QB1",AVERAGE(G192,H192,I192,J192,N192),Table117821341[[#This Row],[Pos.]]="RB1",AVERAGE(J192,K192,N192),Table117821341[[#This Row],[Pos.]]="RB2",AVERAGE(J192,K192,N192),Table117821341[[#This Row],[Pos.]]="WR1",AVERAGE(L192,M192,N192),Table117821341[[#This Row],[Pos.]]="WR2",AVERAGE(L192,M192,N192),Table117821341[[#This Row],[Pos.]]="WR3",AVERAGE(L192,M192,N192),Table117821341[[#This Row],[Pos.]]="WR4",AVERAGE(L192,M192,N192),Table117821341[[#This Row],[Pos.]]="TE1",AVERAGE(L192,M192,N192),Table117821341[[#This Row],[Pos.]]="TE2",AVERAGE(L192,M192,N192),Table117821341[[#This Row],[Pos.]]="D/ST",AVERAGE(Table117821341[[#This Row],[*TD*]]))</f>
        <v>#N/A</v>
      </c>
      <c r="X192" s="94" t="e">
        <f t="shared" si="2"/>
        <v>#N/A</v>
      </c>
    </row>
    <row r="193" spans="2:24" hidden="1" x14ac:dyDescent="0.35">
      <c r="B193" s="6" t="s">
        <v>388</v>
      </c>
      <c r="C193" s="97" t="s">
        <v>56</v>
      </c>
      <c r="D193" s="97" t="s">
        <v>397</v>
      </c>
      <c r="E193" s="23" t="str" cm="1">
        <f t="array" ref="E193">_xlfn.XLOOKUP(Table117821341[[#This Row],[Team]],Table4334[Team],'2425'!$C$3:$C$34)</f>
        <v>n/a</v>
      </c>
      <c r="F193" s="97" t="str">
        <f>_xlfn.XLOOKUP(Table117821341[[#This Row],[Team]],Table4334[Team],Table4334[OPP])</f>
        <v>n/a</v>
      </c>
      <c r="G193" s="148" t="str" cm="1">
        <f t="array" ref="G193">IF(Table117821341[[#This Row],[Pos.]]="QB1",_xlfn.XLOOKUP(Table117821341[[#This Row],[Opp]],Table123[DEF],'2425'!$G$3:$G$34),"#N/A")</f>
        <v>#N/A</v>
      </c>
      <c r="H193" s="148" t="str" cm="1">
        <f t="array" ref="H193">IF(Table117821341[[#This Row],[Pos.]]="QB1",_xlfn.XLOOKUP(Table117821341[[#This Row],[Opp]],Table123[DEF],'2425'!$J$3:$J$34),"#N/A")</f>
        <v>#N/A</v>
      </c>
      <c r="I193" s="148" t="str" cm="1">
        <f t="array" ref="I193">IF(Table117821341[[#This Row],[Pos.]]="QB1",_xlfn.XLOOKUP(Table117821341[[#This Row],[Opp]],Table123[DEF],'2425'!$K$3:$K$34),"#N/A")</f>
        <v>#N/A</v>
      </c>
      <c r="J193" s="148" t="e" cm="1">
        <f t="array" ref="J19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3" s="148" t="e" cm="1">
        <f t="array" ref="K19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3" s="148" t="e" cm="1">
        <f t="array" ref="L19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3" s="148" t="e" cm="1">
        <f t="array" ref="M19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3" s="148" t="e" cm="1">
        <f t="array" ref="N19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3" s="149" t="str">
        <f>IF(Table117821341[[#This Row],[Pos.]]="QB1",_xlfn.XLOOKUP(Table117821341[[#This Row],[Opp]],Table123[DEF],Table123[P]),"#N/A")</f>
        <v>#N/A</v>
      </c>
      <c r="P193" s="149" t="str">
        <f>IF(Table117821341[[#This Row],[Pos.]]="QB1",_xlfn.XLOOKUP(Table117821341[[#This Row],[Opp]],Table123[DEF],Table123[P+R]),"#N/A")</f>
        <v>#N/A</v>
      </c>
      <c r="Q193" s="150" t="str">
        <f>IF(Table117821341[[#This Row],[Pos.]]="QB1",_xlfn.XLOOKUP(Table117821341[[#This Row],[Opp]],Table123[DEF],Table123[P TD]),"#N/A")</f>
        <v>#N/A</v>
      </c>
      <c r="R193" s="149" t="e" cm="1">
        <f t="array" ref="R19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3" s="150" t="e" cm="1">
        <f t="array" ref="S19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3" s="150" t="e" cm="1">
        <f t="array" ref="T19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3" s="150" t="e" cm="1">
        <f t="array" ref="U19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3" s="162" t="e" cm="1">
        <f t="array" ref="V19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3" s="148" t="e" cm="1">
        <f t="array" ref="W193">_xlfn.IFS(Table117821341[[#This Row],[Pos.]]="QB1",AVERAGE(G193,H193,I193,J193,N193),Table117821341[[#This Row],[Pos.]]="RB1",AVERAGE(J193,K193,N193),Table117821341[[#This Row],[Pos.]]="RB2",AVERAGE(J193,K193,N193),Table117821341[[#This Row],[Pos.]]="WR1",AVERAGE(L193,M193,N193),Table117821341[[#This Row],[Pos.]]="WR2",AVERAGE(L193,M193,N193),Table117821341[[#This Row],[Pos.]]="WR3",AVERAGE(L193,M193,N193),Table117821341[[#This Row],[Pos.]]="WR4",AVERAGE(L193,M193,N193),Table117821341[[#This Row],[Pos.]]="TE1",AVERAGE(L193,M193,N193),Table117821341[[#This Row],[Pos.]]="TE2",AVERAGE(L193,M193,N193),Table117821341[[#This Row],[Pos.]]="D/ST",AVERAGE(Table117821341[[#This Row],[*TD*]]))</f>
        <v>#N/A</v>
      </c>
      <c r="X193" s="94" t="e">
        <f t="shared" si="2"/>
        <v>#N/A</v>
      </c>
    </row>
    <row r="194" spans="2:24" hidden="1" x14ac:dyDescent="0.35">
      <c r="B194" s="6" t="s">
        <v>207</v>
      </c>
      <c r="C194" s="97" t="s">
        <v>36</v>
      </c>
      <c r="D194" s="97" t="s">
        <v>394</v>
      </c>
      <c r="E194" s="23" t="str" cm="1">
        <f t="array" ref="E194">_xlfn.XLOOKUP(Table117821341[[#This Row],[Team]],Table4334[Team],'2425'!$C$3:$C$34)</f>
        <v>n/a</v>
      </c>
      <c r="F194" s="97" t="str">
        <f>_xlfn.XLOOKUP(Table117821341[[#This Row],[Team]],Table4334[Team],Table4334[OPP])</f>
        <v>n/a</v>
      </c>
      <c r="G194" s="148" t="str" cm="1">
        <f t="array" ref="G194">IF(Table117821341[[#This Row],[Pos.]]="QB1",_xlfn.XLOOKUP(Table117821341[[#This Row],[Opp]],Table123[DEF],'2425'!$G$3:$G$34),"#N/A")</f>
        <v>#N/A</v>
      </c>
      <c r="H194" s="148" t="str" cm="1">
        <f t="array" ref="H194">IF(Table117821341[[#This Row],[Pos.]]="QB1",_xlfn.XLOOKUP(Table117821341[[#This Row],[Opp]],Table123[DEF],'2425'!$J$3:$J$34),"#N/A")</f>
        <v>#N/A</v>
      </c>
      <c r="I194" s="148" t="str" cm="1">
        <f t="array" ref="I194">IF(Table117821341[[#This Row],[Pos.]]="QB1",_xlfn.XLOOKUP(Table117821341[[#This Row],[Opp]],Table123[DEF],'2425'!$K$3:$K$34),"#N/A")</f>
        <v>#N/A</v>
      </c>
      <c r="J194" s="148" t="e" cm="1">
        <f t="array" ref="J19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4" s="148" t="e" cm="1">
        <f t="array" ref="K19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4" s="148" t="e" cm="1">
        <f t="array" ref="L19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4" s="148" t="e" cm="1">
        <f t="array" ref="M19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4" s="148" t="e" cm="1">
        <f t="array" ref="N19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4" s="149" t="str">
        <f>IF(Table117821341[[#This Row],[Pos.]]="QB1",_xlfn.XLOOKUP(Table117821341[[#This Row],[Opp]],Table123[DEF],Table123[P]),"#N/A")</f>
        <v>#N/A</v>
      </c>
      <c r="P194" s="149" t="str">
        <f>IF(Table117821341[[#This Row],[Pos.]]="QB1",_xlfn.XLOOKUP(Table117821341[[#This Row],[Opp]],Table123[DEF],Table123[P+R]),"#N/A")</f>
        <v>#N/A</v>
      </c>
      <c r="Q194" s="150" t="str">
        <f>IF(Table117821341[[#This Row],[Pos.]]="QB1",_xlfn.XLOOKUP(Table117821341[[#This Row],[Opp]],Table123[DEF],Table123[P TD]),"#N/A")</f>
        <v>#N/A</v>
      </c>
      <c r="R194" s="149" t="e" cm="1">
        <f t="array" ref="R19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4" s="150" t="e" cm="1">
        <f t="array" ref="S19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4" s="150" t="e" cm="1">
        <f t="array" ref="T19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4" s="150" t="e" cm="1">
        <f t="array" ref="U19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4" s="150" t="e" cm="1">
        <f t="array" ref="V19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4" s="148" t="e" cm="1">
        <f t="array" ref="W194">_xlfn.IFS(Table117821341[[#This Row],[Pos.]]="QB1",AVERAGE(G194,H194,I194,J194,N194),Table117821341[[#This Row],[Pos.]]="RB1",AVERAGE(J194,K194,N194),Table117821341[[#This Row],[Pos.]]="RB2",AVERAGE(J194,K194,N194),Table117821341[[#This Row],[Pos.]]="WR1",AVERAGE(L194,M194,N194),Table117821341[[#This Row],[Pos.]]="WR2",AVERAGE(L194,M194,N194),Table117821341[[#This Row],[Pos.]]="WR3",AVERAGE(L194,M194,N194),Table117821341[[#This Row],[Pos.]]="WR4",AVERAGE(L194,M194,N194),Table117821341[[#This Row],[Pos.]]="TE1",AVERAGE(L194,M194,N194),Table117821341[[#This Row],[Pos.]]="TE2",AVERAGE(L194,M194,N194),Table117821341[[#This Row],[Pos.]]="D/ST",AVERAGE(Table117821341[[#This Row],[*TD*]]))</f>
        <v>#N/A</v>
      </c>
      <c r="X194" s="94" t="e">
        <f t="shared" si="2"/>
        <v>#N/A</v>
      </c>
    </row>
    <row r="195" spans="2:24" hidden="1" x14ac:dyDescent="0.35">
      <c r="B195" s="6" t="s">
        <v>511</v>
      </c>
      <c r="C195" s="97" t="s">
        <v>36</v>
      </c>
      <c r="D195" s="97" t="s">
        <v>396</v>
      </c>
      <c r="E195" s="23" t="str" cm="1">
        <f t="array" ref="E195">_xlfn.XLOOKUP(Table117821341[[#This Row],[Team]],Table4334[Team],'2425'!$C$3:$C$34)</f>
        <v>n/a</v>
      </c>
      <c r="F195" s="97" t="str">
        <f>_xlfn.XLOOKUP(Table117821341[[#This Row],[Team]],Table4334[Team],Table4334[OPP])</f>
        <v>n/a</v>
      </c>
      <c r="G195" s="148" t="str" cm="1">
        <f t="array" ref="G195">IF(Table117821341[[#This Row],[Pos.]]="QB1",_xlfn.XLOOKUP(Table117821341[[#This Row],[Opp]],Table123[DEF],'2425'!$G$3:$G$34),"#N/A")</f>
        <v>#N/A</v>
      </c>
      <c r="H195" s="148" t="str" cm="1">
        <f t="array" ref="H195">IF(Table117821341[[#This Row],[Pos.]]="QB1",_xlfn.XLOOKUP(Table117821341[[#This Row],[Opp]],Table123[DEF],'2425'!$J$3:$J$34),"#N/A")</f>
        <v>#N/A</v>
      </c>
      <c r="I195" s="148" t="str" cm="1">
        <f t="array" ref="I195">IF(Table117821341[[#This Row],[Pos.]]="QB1",_xlfn.XLOOKUP(Table117821341[[#This Row],[Opp]],Table123[DEF],'2425'!$K$3:$K$34),"#N/A")</f>
        <v>#N/A</v>
      </c>
      <c r="J195" s="148" t="e" cm="1">
        <f t="array" ref="J19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5" s="148" t="e" cm="1">
        <f t="array" ref="K19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5" s="148" t="e" cm="1">
        <f t="array" ref="L19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5" s="148" t="e" cm="1">
        <f t="array" ref="M19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5" s="148" t="e" cm="1">
        <f t="array" ref="N19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5" s="149" t="str">
        <f>IF(Table117821341[[#This Row],[Pos.]]="QB1",_xlfn.XLOOKUP(Table117821341[[#This Row],[Opp]],Table123[DEF],Table123[P]),"#N/A")</f>
        <v>#N/A</v>
      </c>
      <c r="P195" s="149" t="str">
        <f>IF(Table117821341[[#This Row],[Pos.]]="QB1",_xlfn.XLOOKUP(Table117821341[[#This Row],[Opp]],Table123[DEF],Table123[P+R]),"#N/A")</f>
        <v>#N/A</v>
      </c>
      <c r="Q195" s="150" t="str">
        <f>IF(Table117821341[[#This Row],[Pos.]]="QB1",_xlfn.XLOOKUP(Table117821341[[#This Row],[Opp]],Table123[DEF],Table123[P TD]),"#N/A")</f>
        <v>#N/A</v>
      </c>
      <c r="R195" s="149" t="e" cm="1">
        <f t="array" ref="R19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5" s="150" t="e" cm="1">
        <f t="array" ref="S19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5" s="150" t="e" cm="1">
        <f t="array" ref="T19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5" s="150" t="e" cm="1">
        <f t="array" ref="U19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5" s="150" t="e" cm="1">
        <f t="array" ref="V19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5" s="148" t="e" cm="1">
        <f t="array" ref="W195">_xlfn.IFS(Table117821341[[#This Row],[Pos.]]="QB1",AVERAGE(G195,H195,I195,J195,N195),Table117821341[[#This Row],[Pos.]]="RB1",AVERAGE(J195,K195,N195),Table117821341[[#This Row],[Pos.]]="RB2",AVERAGE(J195,K195,N195),Table117821341[[#This Row],[Pos.]]="WR1",AVERAGE(L195,M195,N195),Table117821341[[#This Row],[Pos.]]="WR2",AVERAGE(L195,M195,N195),Table117821341[[#This Row],[Pos.]]="WR3",AVERAGE(L195,M195,N195),Table117821341[[#This Row],[Pos.]]="WR4",AVERAGE(L195,M195,N195),Table117821341[[#This Row],[Pos.]]="TE1",AVERAGE(L195,M195,N195),Table117821341[[#This Row],[Pos.]]="TE2",AVERAGE(L195,M195,N195),Table117821341[[#This Row],[Pos.]]="D/ST",AVERAGE(Table117821341[[#This Row],[*TD*]]))</f>
        <v>#N/A</v>
      </c>
      <c r="X195" s="94" t="e">
        <f t="shared" ref="X195:X258" si="3">AVERAGE(N195,W195)</f>
        <v>#N/A</v>
      </c>
    </row>
    <row r="196" spans="2:24" hidden="1" x14ac:dyDescent="0.35">
      <c r="B196" s="6" t="s">
        <v>208</v>
      </c>
      <c r="C196" s="97" t="s">
        <v>36</v>
      </c>
      <c r="D196" s="97" t="s">
        <v>407</v>
      </c>
      <c r="E196" s="23" t="str" cm="1">
        <f t="array" ref="E196">_xlfn.XLOOKUP(Table117821341[[#This Row],[Team]],Table4334[Team],'2425'!$C$3:$C$34)</f>
        <v>n/a</v>
      </c>
      <c r="F196" s="97" t="str">
        <f>_xlfn.XLOOKUP(Table117821341[[#This Row],[Team]],Table4334[Team],Table4334[OPP])</f>
        <v>n/a</v>
      </c>
      <c r="G196" s="148" t="str" cm="1">
        <f t="array" ref="G196">IF(Table117821341[[#This Row],[Pos.]]="QB1",_xlfn.XLOOKUP(Table117821341[[#This Row],[Opp]],Table123[DEF],'2425'!$G$3:$G$34),"#N/A")</f>
        <v>#N/A</v>
      </c>
      <c r="H196" s="148" t="str" cm="1">
        <f t="array" ref="H196">IF(Table117821341[[#This Row],[Pos.]]="QB1",_xlfn.XLOOKUP(Table117821341[[#This Row],[Opp]],Table123[DEF],'2425'!$J$3:$J$34),"#N/A")</f>
        <v>#N/A</v>
      </c>
      <c r="I196" s="148" t="str" cm="1">
        <f t="array" ref="I196">IF(Table117821341[[#This Row],[Pos.]]="QB1",_xlfn.XLOOKUP(Table117821341[[#This Row],[Opp]],Table123[DEF],'2425'!$K$3:$K$34),"#N/A")</f>
        <v>#N/A</v>
      </c>
      <c r="J196" s="148" t="e" cm="1">
        <f t="array" ref="J19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6" s="148" t="e" cm="1">
        <f t="array" ref="K19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6" s="148" t="e" cm="1">
        <f t="array" ref="L19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6" s="148" t="e" cm="1">
        <f t="array" ref="M19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6" s="148" t="e" cm="1">
        <f t="array" ref="N19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6" s="149" t="str">
        <f>IF(Table117821341[[#This Row],[Pos.]]="QB1",_xlfn.XLOOKUP(Table117821341[[#This Row],[Opp]],Table123[DEF],Table123[P]),"#N/A")</f>
        <v>#N/A</v>
      </c>
      <c r="P196" s="149" t="str">
        <f>IF(Table117821341[[#This Row],[Pos.]]="QB1",_xlfn.XLOOKUP(Table117821341[[#This Row],[Opp]],Table123[DEF],Table123[P+R]),"#N/A")</f>
        <v>#N/A</v>
      </c>
      <c r="Q196" s="150" t="str">
        <f>IF(Table117821341[[#This Row],[Pos.]]="QB1",_xlfn.XLOOKUP(Table117821341[[#This Row],[Opp]],Table123[DEF],Table123[P TD]),"#N/A")</f>
        <v>#N/A</v>
      </c>
      <c r="R196" s="149" t="e" cm="1">
        <f t="array" ref="R19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6" s="150" t="e" cm="1">
        <f t="array" ref="S19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6" s="150" t="e" cm="1">
        <f t="array" ref="T19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6" s="150" t="e" cm="1">
        <f t="array" ref="U19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6" s="150" t="e" cm="1">
        <f t="array" ref="V19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6" s="148" t="e" cm="1">
        <f t="array" ref="W196">_xlfn.IFS(Table117821341[[#This Row],[Pos.]]="QB1",AVERAGE(G196,H196,I196,J196,N196),Table117821341[[#This Row],[Pos.]]="RB1",AVERAGE(J196,K196,N196),Table117821341[[#This Row],[Pos.]]="RB2",AVERAGE(J196,K196,N196),Table117821341[[#This Row],[Pos.]]="WR1",AVERAGE(L196,M196,N196),Table117821341[[#This Row],[Pos.]]="WR2",AVERAGE(L196,M196,N196),Table117821341[[#This Row],[Pos.]]="WR3",AVERAGE(L196,M196,N196),Table117821341[[#This Row],[Pos.]]="WR4",AVERAGE(L196,M196,N196),Table117821341[[#This Row],[Pos.]]="TE1",AVERAGE(L196,M196,N196),Table117821341[[#This Row],[Pos.]]="TE2",AVERAGE(L196,M196,N196),Table117821341[[#This Row],[Pos.]]="D/ST",AVERAGE(Table117821341[[#This Row],[*TD*]]))</f>
        <v>#N/A</v>
      </c>
      <c r="X196" s="94" t="e">
        <f t="shared" si="3"/>
        <v>#N/A</v>
      </c>
    </row>
    <row r="197" spans="2:24" hidden="1" x14ac:dyDescent="0.35">
      <c r="B197" s="6" t="s">
        <v>168</v>
      </c>
      <c r="C197" s="97" t="s">
        <v>31</v>
      </c>
      <c r="D197" s="97" t="s">
        <v>68</v>
      </c>
      <c r="E197" s="23" t="str" cm="1">
        <f t="array" ref="E197">_xlfn.XLOOKUP(Table117821341[[#This Row],[Team]],Table4334[Team],'2425'!$C$3:$C$34)</f>
        <v>n/a</v>
      </c>
      <c r="F197" s="97" t="str">
        <f>_xlfn.XLOOKUP(Table117821341[[#This Row],[Team]],Table4334[Team],Table4334[OPP])</f>
        <v>n/a</v>
      </c>
      <c r="G197" s="148" t="str" cm="1">
        <f t="array" ref="G197">IF(Table117821341[[#This Row],[Pos.]]="QB1",_xlfn.XLOOKUP(Table117821341[[#This Row],[Opp]],Table123[DEF],'2425'!$G$3:$G$34),"#N/A")</f>
        <v>#N/A</v>
      </c>
      <c r="H197" s="148" t="str" cm="1">
        <f t="array" ref="H197">IF(Table117821341[[#This Row],[Pos.]]="QB1",_xlfn.XLOOKUP(Table117821341[[#This Row],[Opp]],Table123[DEF],'2425'!$J$3:$J$34),"#N/A")</f>
        <v>#N/A</v>
      </c>
      <c r="I197" s="148" t="str" cm="1">
        <f t="array" ref="I197">IF(Table117821341[[#This Row],[Pos.]]="QB1",_xlfn.XLOOKUP(Table117821341[[#This Row],[Opp]],Table123[DEF],'2425'!$K$3:$K$34),"#N/A")</f>
        <v>#N/A</v>
      </c>
      <c r="J197" s="148" t="e" cm="1">
        <f t="array" ref="J19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7" s="148" t="e" cm="1">
        <f t="array" ref="K19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7" s="148" t="e" cm="1">
        <f t="array" ref="L19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7" s="148" t="e" cm="1">
        <f t="array" ref="M19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7" s="148" t="e" cm="1">
        <f t="array" ref="N19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7" s="149" t="str">
        <f>IF(Table117821341[[#This Row],[Pos.]]="QB1",_xlfn.XLOOKUP(Table117821341[[#This Row],[Opp]],Table123[DEF],Table123[P]),"#N/A")</f>
        <v>#N/A</v>
      </c>
      <c r="P197" s="149" t="str">
        <f>IF(Table117821341[[#This Row],[Pos.]]="QB1",_xlfn.XLOOKUP(Table117821341[[#This Row],[Opp]],Table123[DEF],Table123[P+R]),"#N/A")</f>
        <v>#N/A</v>
      </c>
      <c r="Q197" s="150" t="str">
        <f>IF(Table117821341[[#This Row],[Pos.]]="QB1",_xlfn.XLOOKUP(Table117821341[[#This Row],[Opp]],Table123[DEF],Table123[P TD]),"#N/A")</f>
        <v>#N/A</v>
      </c>
      <c r="R197" s="149" t="e" cm="1">
        <f t="array" ref="R19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7" s="150" t="e" cm="1">
        <f t="array" ref="S19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7" s="150" t="e" cm="1">
        <f t="array" ref="T19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7" s="150" t="e" cm="1">
        <f t="array" ref="U19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7" s="162" t="e" cm="1">
        <f t="array" ref="V19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7" s="148" t="e" cm="1">
        <f t="array" ref="W197">_xlfn.IFS(Table117821341[[#This Row],[Pos.]]="QB1",AVERAGE(G197,H197,I197,J197,N197),Table117821341[[#This Row],[Pos.]]="RB1",AVERAGE(J197,K197,N197),Table117821341[[#This Row],[Pos.]]="RB2",AVERAGE(J197,K197,N197),Table117821341[[#This Row],[Pos.]]="WR1",AVERAGE(L197,M197,N197),Table117821341[[#This Row],[Pos.]]="WR2",AVERAGE(L197,M197,N197),Table117821341[[#This Row],[Pos.]]="WR3",AVERAGE(L197,M197,N197),Table117821341[[#This Row],[Pos.]]="WR4",AVERAGE(L197,M197,N197),Table117821341[[#This Row],[Pos.]]="TE1",AVERAGE(L197,M197,N197),Table117821341[[#This Row],[Pos.]]="TE2",AVERAGE(L197,M197,N197),Table117821341[[#This Row],[Pos.]]="D/ST",AVERAGE(Table117821341[[#This Row],[*TD*]]))</f>
        <v>#N/A</v>
      </c>
      <c r="X197" s="94" t="e">
        <f t="shared" si="3"/>
        <v>#N/A</v>
      </c>
    </row>
    <row r="198" spans="2:24" hidden="1" x14ac:dyDescent="0.35">
      <c r="B198" s="6" t="s">
        <v>210</v>
      </c>
      <c r="C198" s="97" t="s">
        <v>36</v>
      </c>
      <c r="D198" s="97" t="s">
        <v>398</v>
      </c>
      <c r="E198" s="23" t="str" cm="1">
        <f t="array" ref="E198">_xlfn.XLOOKUP(Table117821341[[#This Row],[Team]],Table4334[Team],'2425'!$C$3:$C$34)</f>
        <v>n/a</v>
      </c>
      <c r="F198" s="97" t="str">
        <f>_xlfn.XLOOKUP(Table117821341[[#This Row],[Team]],Table4334[Team],Table4334[OPP])</f>
        <v>n/a</v>
      </c>
      <c r="G198" s="148" t="str" cm="1">
        <f t="array" ref="G198">IF(Table117821341[[#This Row],[Pos.]]="QB1",_xlfn.XLOOKUP(Table117821341[[#This Row],[Opp]],Table123[DEF],'2425'!$G$3:$G$34),"#N/A")</f>
        <v>#N/A</v>
      </c>
      <c r="H198" s="148" t="str" cm="1">
        <f t="array" ref="H198">IF(Table117821341[[#This Row],[Pos.]]="QB1",_xlfn.XLOOKUP(Table117821341[[#This Row],[Opp]],Table123[DEF],'2425'!$J$3:$J$34),"#N/A")</f>
        <v>#N/A</v>
      </c>
      <c r="I198" s="148" t="str" cm="1">
        <f t="array" ref="I198">IF(Table117821341[[#This Row],[Pos.]]="QB1",_xlfn.XLOOKUP(Table117821341[[#This Row],[Opp]],Table123[DEF],'2425'!$K$3:$K$34),"#N/A")</f>
        <v>#N/A</v>
      </c>
      <c r="J198" s="148" t="e" cm="1">
        <f t="array" ref="J19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8" s="148" t="e" cm="1">
        <f t="array" ref="K19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8" s="148" t="e" cm="1">
        <f t="array" ref="L19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8" s="148" t="e" cm="1">
        <f t="array" ref="M19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8" s="148" t="e" cm="1">
        <f t="array" ref="N19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8" s="149" t="str">
        <f>IF(Table117821341[[#This Row],[Pos.]]="QB1",_xlfn.XLOOKUP(Table117821341[[#This Row],[Opp]],Table123[DEF],Table123[P]),"#N/A")</f>
        <v>#N/A</v>
      </c>
      <c r="P198" s="149" t="str">
        <f>IF(Table117821341[[#This Row],[Pos.]]="QB1",_xlfn.XLOOKUP(Table117821341[[#This Row],[Opp]],Table123[DEF],Table123[P+R]),"#N/A")</f>
        <v>#N/A</v>
      </c>
      <c r="Q198" s="150" t="str">
        <f>IF(Table117821341[[#This Row],[Pos.]]="QB1",_xlfn.XLOOKUP(Table117821341[[#This Row],[Opp]],Table123[DEF],Table123[P TD]),"#N/A")</f>
        <v>#N/A</v>
      </c>
      <c r="R198" s="149" t="e" cm="1">
        <f t="array" ref="R19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8" s="150" t="e" cm="1">
        <f t="array" ref="S19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8" s="150" t="e" cm="1">
        <f t="array" ref="T19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8" s="150" t="e" cm="1">
        <f t="array" ref="U19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8" s="150" t="e" cm="1">
        <f t="array" ref="V19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8" s="148" t="e" cm="1">
        <f t="array" ref="W198">_xlfn.IFS(Table117821341[[#This Row],[Pos.]]="QB1",AVERAGE(G198,H198,I198,J198,N198),Table117821341[[#This Row],[Pos.]]="RB1",AVERAGE(J198,K198,N198),Table117821341[[#This Row],[Pos.]]="RB2",AVERAGE(J198,K198,N198),Table117821341[[#This Row],[Pos.]]="WR1",AVERAGE(L198,M198,N198),Table117821341[[#This Row],[Pos.]]="WR2",AVERAGE(L198,M198,N198),Table117821341[[#This Row],[Pos.]]="WR3",AVERAGE(L198,M198,N198),Table117821341[[#This Row],[Pos.]]="WR4",AVERAGE(L198,M198,N198),Table117821341[[#This Row],[Pos.]]="TE1",AVERAGE(L198,M198,N198),Table117821341[[#This Row],[Pos.]]="TE2",AVERAGE(L198,M198,N198),Table117821341[[#This Row],[Pos.]]="D/ST",AVERAGE(Table117821341[[#This Row],[*TD*]]))</f>
        <v>#N/A</v>
      </c>
      <c r="X198" s="94" t="e">
        <f t="shared" si="3"/>
        <v>#N/A</v>
      </c>
    </row>
    <row r="199" spans="2:24" hidden="1" x14ac:dyDescent="0.35">
      <c r="B199" s="6" t="s">
        <v>515</v>
      </c>
      <c r="C199" s="97" t="s">
        <v>36</v>
      </c>
      <c r="D199" s="97" t="s">
        <v>430</v>
      </c>
      <c r="E199" s="23" t="str" cm="1">
        <f t="array" ref="E199">_xlfn.XLOOKUP(Table117821341[[#This Row],[Team]],Table4334[Team],'2425'!$C$3:$C$34)</f>
        <v>n/a</v>
      </c>
      <c r="F199" s="97" t="str">
        <f>_xlfn.XLOOKUP(Table117821341[[#This Row],[Team]],Table4334[Team],Table4334[OPP])</f>
        <v>n/a</v>
      </c>
      <c r="G199" s="148" t="str" cm="1">
        <f t="array" ref="G199">IF(Table117821341[[#This Row],[Pos.]]="QB1",_xlfn.XLOOKUP(Table117821341[[#This Row],[Opp]],Table123[DEF],'2425'!$G$3:$G$34),"#N/A")</f>
        <v>#N/A</v>
      </c>
      <c r="H199" s="148" t="str" cm="1">
        <f t="array" ref="H199">IF(Table117821341[[#This Row],[Pos.]]="QB1",_xlfn.XLOOKUP(Table117821341[[#This Row],[Opp]],Table123[DEF],'2425'!$J$3:$J$34),"#N/A")</f>
        <v>#N/A</v>
      </c>
      <c r="I199" s="148" t="str" cm="1">
        <f t="array" ref="I199">IF(Table117821341[[#This Row],[Pos.]]="QB1",_xlfn.XLOOKUP(Table117821341[[#This Row],[Opp]],Table123[DEF],'2425'!$K$3:$K$34),"#N/A")</f>
        <v>#N/A</v>
      </c>
      <c r="J199" s="148" t="e" cm="1">
        <f t="array" ref="J19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199" s="148" t="e" cm="1">
        <f t="array" ref="K19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199" s="148" t="e" cm="1">
        <f t="array" ref="L19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199" s="148" t="e" cm="1">
        <f t="array" ref="M19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199" s="148" t="e" cm="1">
        <f t="array" ref="N19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199" s="149" t="str">
        <f>IF(Table117821341[[#This Row],[Pos.]]="QB1",_xlfn.XLOOKUP(Table117821341[[#This Row],[Opp]],Table123[DEF],Table123[P]),"#N/A")</f>
        <v>#N/A</v>
      </c>
      <c r="P199" s="149" t="str">
        <f>IF(Table117821341[[#This Row],[Pos.]]="QB1",_xlfn.XLOOKUP(Table117821341[[#This Row],[Opp]],Table123[DEF],Table123[P+R]),"#N/A")</f>
        <v>#N/A</v>
      </c>
      <c r="Q199" s="150" t="str">
        <f>IF(Table117821341[[#This Row],[Pos.]]="QB1",_xlfn.XLOOKUP(Table117821341[[#This Row],[Opp]],Table123[DEF],Table123[P TD]),"#N/A")</f>
        <v>#N/A</v>
      </c>
      <c r="R199" s="149" t="e" cm="1">
        <f t="array" ref="R19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199" s="150" t="e" cm="1">
        <f t="array" ref="S19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199" s="150" t="e" cm="1">
        <f t="array" ref="T19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199" s="150" t="e" cm="1">
        <f t="array" ref="U19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199" s="150" t="e" cm="1">
        <f t="array" ref="V19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199" s="148" t="e" cm="1">
        <f t="array" ref="W199">_xlfn.IFS(Table117821341[[#This Row],[Pos.]]="QB1",AVERAGE(G199,H199,I199,J199,N199),Table117821341[[#This Row],[Pos.]]="RB1",AVERAGE(J199,K199,N199),Table117821341[[#This Row],[Pos.]]="RB2",AVERAGE(J199,K199,N199),Table117821341[[#This Row],[Pos.]]="WR1",AVERAGE(L199,M199,N199),Table117821341[[#This Row],[Pos.]]="WR2",AVERAGE(L199,M199,N199),Table117821341[[#This Row],[Pos.]]="WR3",AVERAGE(L199,M199,N199),Table117821341[[#This Row],[Pos.]]="WR4",AVERAGE(L199,M199,N199),Table117821341[[#This Row],[Pos.]]="TE1",AVERAGE(L199,M199,N199),Table117821341[[#This Row],[Pos.]]="TE2",AVERAGE(L199,M199,N199),Table117821341[[#This Row],[Pos.]]="D/ST",AVERAGE(Table117821341[[#This Row],[*TD*]]))</f>
        <v>#N/A</v>
      </c>
      <c r="X199" s="94" t="e">
        <f t="shared" si="3"/>
        <v>#N/A</v>
      </c>
    </row>
    <row r="200" spans="2:24" hidden="1" x14ac:dyDescent="0.35">
      <c r="B200" s="6" t="s">
        <v>516</v>
      </c>
      <c r="C200" s="97" t="s">
        <v>36</v>
      </c>
      <c r="D200" s="97" t="s">
        <v>435</v>
      </c>
      <c r="E200" s="23" t="str" cm="1">
        <f t="array" ref="E200">_xlfn.XLOOKUP(Table117821341[[#This Row],[Team]],Table4334[Team],'2425'!$C$3:$C$34)</f>
        <v>n/a</v>
      </c>
      <c r="F200" s="97" t="str">
        <f>_xlfn.XLOOKUP(Table117821341[[#This Row],[Team]],Table4334[Team],Table4334[OPP])</f>
        <v>n/a</v>
      </c>
      <c r="G200" s="148" t="str" cm="1">
        <f t="array" ref="G200">IF(Table117821341[[#This Row],[Pos.]]="QB1",_xlfn.XLOOKUP(Table117821341[[#This Row],[Opp]],Table123[DEF],'2425'!$G$3:$G$34),"#N/A")</f>
        <v>#N/A</v>
      </c>
      <c r="H200" s="148" t="str" cm="1">
        <f t="array" ref="H200">IF(Table117821341[[#This Row],[Pos.]]="QB1",_xlfn.XLOOKUP(Table117821341[[#This Row],[Opp]],Table123[DEF],'2425'!$J$3:$J$34),"#N/A")</f>
        <v>#N/A</v>
      </c>
      <c r="I200" s="148" t="str" cm="1">
        <f t="array" ref="I200">IF(Table117821341[[#This Row],[Pos.]]="QB1",_xlfn.XLOOKUP(Table117821341[[#This Row],[Opp]],Table123[DEF],'2425'!$K$3:$K$34),"#N/A")</f>
        <v>#N/A</v>
      </c>
      <c r="J200" s="148" t="e" cm="1">
        <f t="array" ref="J20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0" s="148" t="e" cm="1">
        <f t="array" ref="K20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0" s="148" t="e" cm="1">
        <f t="array" ref="L20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0" s="148" t="e" cm="1">
        <f t="array" ref="M20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0" s="148" t="e" cm="1">
        <f t="array" ref="N20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0" s="149" t="str">
        <f>IF(Table117821341[[#This Row],[Pos.]]="QB1",_xlfn.XLOOKUP(Table117821341[[#This Row],[Opp]],Table123[DEF],Table123[P]),"#N/A")</f>
        <v>#N/A</v>
      </c>
      <c r="P200" s="149" t="str">
        <f>IF(Table117821341[[#This Row],[Pos.]]="QB1",_xlfn.XLOOKUP(Table117821341[[#This Row],[Opp]],Table123[DEF],Table123[P+R]),"#N/A")</f>
        <v>#N/A</v>
      </c>
      <c r="Q200" s="150" t="str">
        <f>IF(Table117821341[[#This Row],[Pos.]]="QB1",_xlfn.XLOOKUP(Table117821341[[#This Row],[Opp]],Table123[DEF],Table123[P TD]),"#N/A")</f>
        <v>#N/A</v>
      </c>
      <c r="R200" s="149" t="e" cm="1">
        <f t="array" ref="R20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0" s="150" t="e" cm="1">
        <f t="array" ref="S20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0" s="150" t="e" cm="1">
        <f t="array" ref="T20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0" s="150" t="e" cm="1">
        <f t="array" ref="U20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0" s="150" t="e" cm="1">
        <f t="array" ref="V20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0" s="148" t="e" cm="1">
        <f t="array" ref="W200">_xlfn.IFS(Table117821341[[#This Row],[Pos.]]="QB1",AVERAGE(G200,H200,I200,J200,N200),Table117821341[[#This Row],[Pos.]]="RB1",AVERAGE(J200,K200,N200),Table117821341[[#This Row],[Pos.]]="RB2",AVERAGE(J200,K200,N200),Table117821341[[#This Row],[Pos.]]="WR1",AVERAGE(L200,M200,N200),Table117821341[[#This Row],[Pos.]]="WR2",AVERAGE(L200,M200,N200),Table117821341[[#This Row],[Pos.]]="WR3",AVERAGE(L200,M200,N200),Table117821341[[#This Row],[Pos.]]="WR4",AVERAGE(L200,M200,N200),Table117821341[[#This Row],[Pos.]]="TE1",AVERAGE(L200,M200,N200),Table117821341[[#This Row],[Pos.]]="TE2",AVERAGE(L200,M200,N200),Table117821341[[#This Row],[Pos.]]="D/ST",AVERAGE(Table117821341[[#This Row],[*TD*]]))</f>
        <v>#N/A</v>
      </c>
      <c r="X200" s="94" t="e">
        <f t="shared" si="3"/>
        <v>#N/A</v>
      </c>
    </row>
    <row r="201" spans="2:24" hidden="1" x14ac:dyDescent="0.35">
      <c r="B201" s="6" t="s">
        <v>110</v>
      </c>
      <c r="C201" s="97" t="s">
        <v>16</v>
      </c>
      <c r="D201" s="97" t="s">
        <v>399</v>
      </c>
      <c r="E201" s="23" t="str" cm="1">
        <f t="array" ref="E201">_xlfn.XLOOKUP(Table117821341[[#This Row],[Team]],Table4334[Team],'2425'!$C$3:$C$34)</f>
        <v>n/a</v>
      </c>
      <c r="F201" s="97" t="str">
        <f>_xlfn.XLOOKUP(Table117821341[[#This Row],[Team]],Table4334[Team],Table4334[OPP])</f>
        <v>n/a</v>
      </c>
      <c r="G201" s="148" t="e" cm="1">
        <f t="array" ref="G201">IF(Table117821341[[#This Row],[Pos.]]="QB1",_xlfn.XLOOKUP(Table117821341[[#This Row],[Opp]],Table123[DEF],'2425'!$G$3:$G$34),"#N/A")</f>
        <v>#N/A</v>
      </c>
      <c r="H201" s="148" t="e" cm="1">
        <f t="array" ref="H201">IF(Table117821341[[#This Row],[Pos.]]="QB1",_xlfn.XLOOKUP(Table117821341[[#This Row],[Opp]],Table123[DEF],'2425'!$J$3:$J$34),"#N/A")</f>
        <v>#N/A</v>
      </c>
      <c r="I201" s="148" t="e" cm="1">
        <f t="array" ref="I201">IF(Table117821341[[#This Row],[Pos.]]="QB1",_xlfn.XLOOKUP(Table117821341[[#This Row],[Opp]],Table123[DEF],'2425'!$K$3:$K$34),"#N/A")</f>
        <v>#N/A</v>
      </c>
      <c r="J201" s="148" t="e" cm="1">
        <f t="array" ref="J20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1" s="148" t="e" cm="1">
        <f t="array" ref="K20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1" s="148" t="e" cm="1">
        <f t="array" ref="L20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1" s="148" t="e" cm="1">
        <f t="array" ref="M20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1" s="148" t="e" cm="1">
        <f t="array" ref="N20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1" s="149" t="e">
        <f>IF(Table117821341[[#This Row],[Pos.]]="QB1",_xlfn.XLOOKUP(Table117821341[[#This Row],[Opp]],Table123[DEF],Table123[P]),"#N/A")</f>
        <v>#N/A</v>
      </c>
      <c r="P201" s="149" t="e">
        <f>IF(Table117821341[[#This Row],[Pos.]]="QB1",_xlfn.XLOOKUP(Table117821341[[#This Row],[Opp]],Table123[DEF],Table123[P+R]),"#N/A")</f>
        <v>#N/A</v>
      </c>
      <c r="Q201" s="150" t="e">
        <f>IF(Table117821341[[#This Row],[Pos.]]="QB1",_xlfn.XLOOKUP(Table117821341[[#This Row],[Opp]],Table123[DEF],Table123[P TD]),"#N/A")</f>
        <v>#N/A</v>
      </c>
      <c r="R201" s="149" t="e" cm="1">
        <f t="array" ref="R20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1" s="150" t="e" cm="1">
        <f t="array" ref="S20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1" s="150" t="e" cm="1">
        <f t="array" ref="T20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1" s="150" t="e" cm="1">
        <f t="array" ref="U20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1" s="162" t="e" cm="1">
        <f t="array" ref="V20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1" s="148" t="e" cm="1">
        <f t="array" ref="W201">_xlfn.IFS(Table117821341[[#This Row],[Pos.]]="QB1",AVERAGE(G201,H201,I201,J201,N201),Table117821341[[#This Row],[Pos.]]="RB1",AVERAGE(J201,K201,N201),Table117821341[[#This Row],[Pos.]]="RB2",AVERAGE(J201,K201,N201),Table117821341[[#This Row],[Pos.]]="WR1",AVERAGE(L201,M201,N201),Table117821341[[#This Row],[Pos.]]="WR2",AVERAGE(L201,M201,N201),Table117821341[[#This Row],[Pos.]]="WR3",AVERAGE(L201,M201,N201),Table117821341[[#This Row],[Pos.]]="WR4",AVERAGE(L201,M201,N201),Table117821341[[#This Row],[Pos.]]="TE1",AVERAGE(L201,M201,N201),Table117821341[[#This Row],[Pos.]]="TE2",AVERAGE(L201,M201,N201),Table117821341[[#This Row],[Pos.]]="D/ST",AVERAGE(Table117821341[[#This Row],[*TD*]]))</f>
        <v>#N/A</v>
      </c>
      <c r="X201" s="94" t="e">
        <f t="shared" si="3"/>
        <v>#N/A</v>
      </c>
    </row>
    <row r="202" spans="2:24" hidden="1" x14ac:dyDescent="0.35">
      <c r="B202" s="6" t="s">
        <v>329</v>
      </c>
      <c r="C202" s="97" t="s">
        <v>48</v>
      </c>
      <c r="D202" s="97" t="s">
        <v>68</v>
      </c>
      <c r="E202" s="23" t="str" cm="1">
        <f t="array" ref="E202">_xlfn.XLOOKUP(Table117821341[[#This Row],[Team]],Table4334[Team],'2425'!$C$3:$C$34)</f>
        <v>n/a</v>
      </c>
      <c r="F202" s="97" t="str">
        <f>_xlfn.XLOOKUP(Table117821341[[#This Row],[Team]],Table4334[Team],Table4334[OPP])</f>
        <v>n/a</v>
      </c>
      <c r="G202" s="148" t="str" cm="1">
        <f t="array" ref="G202">IF(Table117821341[[#This Row],[Pos.]]="QB1",_xlfn.XLOOKUP(Table117821341[[#This Row],[Opp]],Table123[DEF],'2425'!$G$3:$G$34),"#N/A")</f>
        <v>#N/A</v>
      </c>
      <c r="H202" s="148" t="str" cm="1">
        <f t="array" ref="H202">IF(Table117821341[[#This Row],[Pos.]]="QB1",_xlfn.XLOOKUP(Table117821341[[#This Row],[Opp]],Table123[DEF],'2425'!$J$3:$J$34),"#N/A")</f>
        <v>#N/A</v>
      </c>
      <c r="I202" s="148" t="str" cm="1">
        <f t="array" ref="I202">IF(Table117821341[[#This Row],[Pos.]]="QB1",_xlfn.XLOOKUP(Table117821341[[#This Row],[Opp]],Table123[DEF],'2425'!$K$3:$K$34),"#N/A")</f>
        <v>#N/A</v>
      </c>
      <c r="J202" s="148" t="e" cm="1">
        <f t="array" ref="J20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2" s="148" t="e" cm="1">
        <f t="array" ref="K20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2" s="148" t="e" cm="1">
        <f t="array" ref="L20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2" s="148" t="e" cm="1">
        <f t="array" ref="M20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2" s="148" t="e" cm="1">
        <f t="array" ref="N20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2" s="149" t="str">
        <f>IF(Table117821341[[#This Row],[Pos.]]="QB1",_xlfn.XLOOKUP(Table117821341[[#This Row],[Opp]],Table123[DEF],Table123[P]),"#N/A")</f>
        <v>#N/A</v>
      </c>
      <c r="P202" s="149" t="str">
        <f>IF(Table117821341[[#This Row],[Pos.]]="QB1",_xlfn.XLOOKUP(Table117821341[[#This Row],[Opp]],Table123[DEF],Table123[P+R]),"#N/A")</f>
        <v>#N/A</v>
      </c>
      <c r="Q202" s="150" t="str">
        <f>IF(Table117821341[[#This Row],[Pos.]]="QB1",_xlfn.XLOOKUP(Table117821341[[#This Row],[Opp]],Table123[DEF],Table123[P TD]),"#N/A")</f>
        <v>#N/A</v>
      </c>
      <c r="R202" s="149" t="e" cm="1">
        <f t="array" ref="R20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2" s="150" t="e" cm="1">
        <f t="array" ref="S20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2" s="150" t="e" cm="1">
        <f t="array" ref="T20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2" s="150" t="e" cm="1">
        <f t="array" ref="U20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2" s="162" t="e" cm="1">
        <f t="array" ref="V20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2" s="148" t="e" cm="1">
        <f t="array" ref="W202">_xlfn.IFS(Table117821341[[#This Row],[Pos.]]="QB1",AVERAGE(G202,H202,I202,J202,N202),Table117821341[[#This Row],[Pos.]]="RB1",AVERAGE(J202,K202,N202),Table117821341[[#This Row],[Pos.]]="RB2",AVERAGE(J202,K202,N202),Table117821341[[#This Row],[Pos.]]="WR1",AVERAGE(L202,M202,N202),Table117821341[[#This Row],[Pos.]]="WR2",AVERAGE(L202,M202,N202),Table117821341[[#This Row],[Pos.]]="WR3",AVERAGE(L202,M202,N202),Table117821341[[#This Row],[Pos.]]="WR4",AVERAGE(L202,M202,N202),Table117821341[[#This Row],[Pos.]]="TE1",AVERAGE(L202,M202,N202),Table117821341[[#This Row],[Pos.]]="TE2",AVERAGE(L202,M202,N202),Table117821341[[#This Row],[Pos.]]="D/ST",AVERAGE(Table117821341[[#This Row],[*TD*]]))</f>
        <v>#N/A</v>
      </c>
      <c r="X202" s="94" t="e">
        <f t="shared" si="3"/>
        <v>#N/A</v>
      </c>
    </row>
    <row r="203" spans="2:24" hidden="1" x14ac:dyDescent="0.35">
      <c r="B203" s="6" t="s">
        <v>191</v>
      </c>
      <c r="C203" s="97" t="s">
        <v>34</v>
      </c>
      <c r="D203" s="97" t="s">
        <v>399</v>
      </c>
      <c r="E203" s="23" t="str" cm="1">
        <f t="array" ref="E203">_xlfn.XLOOKUP(Table117821341[[#This Row],[Team]],Table4334[Team],'2425'!$C$3:$C$34)</f>
        <v>n/a</v>
      </c>
      <c r="F203" s="97" t="str">
        <f>_xlfn.XLOOKUP(Table117821341[[#This Row],[Team]],Table4334[Team],Table4334[OPP])</f>
        <v>n/a</v>
      </c>
      <c r="G203" s="148" t="e" cm="1">
        <f t="array" ref="G203">IF(Table117821341[[#This Row],[Pos.]]="QB1",_xlfn.XLOOKUP(Table117821341[[#This Row],[Opp]],Table123[DEF],'2425'!$G$3:$G$34),"#N/A")</f>
        <v>#N/A</v>
      </c>
      <c r="H203" s="148" t="e" cm="1">
        <f t="array" ref="H203">IF(Table117821341[[#This Row],[Pos.]]="QB1",_xlfn.XLOOKUP(Table117821341[[#This Row],[Opp]],Table123[DEF],'2425'!$J$3:$J$34),"#N/A")</f>
        <v>#N/A</v>
      </c>
      <c r="I203" s="148" t="e" cm="1">
        <f t="array" ref="I203">IF(Table117821341[[#This Row],[Pos.]]="QB1",_xlfn.XLOOKUP(Table117821341[[#This Row],[Opp]],Table123[DEF],'2425'!$K$3:$K$34),"#N/A")</f>
        <v>#N/A</v>
      </c>
      <c r="J203" s="148" t="e" cm="1">
        <f t="array" ref="J20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3" s="148" t="e" cm="1">
        <f t="array" ref="K20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3" s="148" t="e" cm="1">
        <f t="array" ref="L20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3" s="148" t="e" cm="1">
        <f t="array" ref="M20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3" s="148" t="e" cm="1">
        <f t="array" ref="N20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3" s="149" t="e">
        <f>IF(Table117821341[[#This Row],[Pos.]]="QB1",_xlfn.XLOOKUP(Table117821341[[#This Row],[Opp]],Table123[DEF],Table123[P]),"#N/A")</f>
        <v>#N/A</v>
      </c>
      <c r="P203" s="149" t="e">
        <f>IF(Table117821341[[#This Row],[Pos.]]="QB1",_xlfn.XLOOKUP(Table117821341[[#This Row],[Opp]],Table123[DEF],Table123[P+R]),"#N/A")</f>
        <v>#N/A</v>
      </c>
      <c r="Q203" s="150" t="e">
        <f>IF(Table117821341[[#This Row],[Pos.]]="QB1",_xlfn.XLOOKUP(Table117821341[[#This Row],[Opp]],Table123[DEF],Table123[P TD]),"#N/A")</f>
        <v>#N/A</v>
      </c>
      <c r="R203" s="149" t="e" cm="1">
        <f t="array" ref="R20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3" s="150" t="e" cm="1">
        <f t="array" ref="S20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3" s="150" t="e" cm="1">
        <f t="array" ref="T20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3" s="150" t="e" cm="1">
        <f t="array" ref="U20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3" s="162" t="e" cm="1">
        <f t="array" ref="V20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3" s="148" t="e" cm="1">
        <f t="array" ref="W203">_xlfn.IFS(Table117821341[[#This Row],[Pos.]]="QB1",AVERAGE(G203,H203,I203,J203,N203),Table117821341[[#This Row],[Pos.]]="RB1",AVERAGE(J203,K203,N203),Table117821341[[#This Row],[Pos.]]="RB2",AVERAGE(J203,K203,N203),Table117821341[[#This Row],[Pos.]]="WR1",AVERAGE(L203,M203,N203),Table117821341[[#This Row],[Pos.]]="WR2",AVERAGE(L203,M203,N203),Table117821341[[#This Row],[Pos.]]="WR3",AVERAGE(L203,M203,N203),Table117821341[[#This Row],[Pos.]]="WR4",AVERAGE(L203,M203,N203),Table117821341[[#This Row],[Pos.]]="TE1",AVERAGE(L203,M203,N203),Table117821341[[#This Row],[Pos.]]="TE2",AVERAGE(L203,M203,N203),Table117821341[[#This Row],[Pos.]]="D/ST",AVERAGE(Table117821341[[#This Row],[*TD*]]))</f>
        <v>#N/A</v>
      </c>
      <c r="X203" s="94" t="e">
        <f t="shared" si="3"/>
        <v>#N/A</v>
      </c>
    </row>
    <row r="204" spans="2:24" hidden="1" x14ac:dyDescent="0.35">
      <c r="B204" s="6" t="s">
        <v>173</v>
      </c>
      <c r="C204" s="97" t="s">
        <v>32</v>
      </c>
      <c r="D204" s="97" t="s">
        <v>399</v>
      </c>
      <c r="E204" s="23" t="str" cm="1">
        <f t="array" ref="E204">_xlfn.XLOOKUP(Table117821341[[#This Row],[Team]],Table4334[Team],'2425'!$C$3:$C$34)</f>
        <v>n/a</v>
      </c>
      <c r="F204" s="97" t="str">
        <f>_xlfn.XLOOKUP(Table117821341[[#This Row],[Team]],Table4334[Team],Table4334[OPP])</f>
        <v>n/a</v>
      </c>
      <c r="G204" s="148" t="e" cm="1">
        <f t="array" ref="G204">IF(Table117821341[[#This Row],[Pos.]]="QB1",_xlfn.XLOOKUP(Table117821341[[#This Row],[Opp]],Table123[DEF],'2425'!$G$3:$G$34),"#N/A")</f>
        <v>#N/A</v>
      </c>
      <c r="H204" s="148" t="e" cm="1">
        <f t="array" ref="H204">IF(Table117821341[[#This Row],[Pos.]]="QB1",_xlfn.XLOOKUP(Table117821341[[#This Row],[Opp]],Table123[DEF],'2425'!$J$3:$J$34),"#N/A")</f>
        <v>#N/A</v>
      </c>
      <c r="I204" s="148" t="e" cm="1">
        <f t="array" ref="I204">IF(Table117821341[[#This Row],[Pos.]]="QB1",_xlfn.XLOOKUP(Table117821341[[#This Row],[Opp]],Table123[DEF],'2425'!$K$3:$K$34),"#N/A")</f>
        <v>#N/A</v>
      </c>
      <c r="J204" s="148" t="e" cm="1">
        <f t="array" ref="J20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4" s="148" t="e" cm="1">
        <f t="array" ref="K20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4" s="148" t="e" cm="1">
        <f t="array" ref="L20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4" s="148" t="e" cm="1">
        <f t="array" ref="M20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4" s="148" t="e" cm="1">
        <f t="array" ref="N20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4" s="149" t="e">
        <f>IF(Table117821341[[#This Row],[Pos.]]="QB1",_xlfn.XLOOKUP(Table117821341[[#This Row],[Opp]],Table123[DEF],Table123[P]),"#N/A")</f>
        <v>#N/A</v>
      </c>
      <c r="P204" s="149" t="e">
        <f>IF(Table117821341[[#This Row],[Pos.]]="QB1",_xlfn.XLOOKUP(Table117821341[[#This Row],[Opp]],Table123[DEF],Table123[P+R]),"#N/A")</f>
        <v>#N/A</v>
      </c>
      <c r="Q204" s="150" t="e">
        <f>IF(Table117821341[[#This Row],[Pos.]]="QB1",_xlfn.XLOOKUP(Table117821341[[#This Row],[Opp]],Table123[DEF],Table123[P TD]),"#N/A")</f>
        <v>#N/A</v>
      </c>
      <c r="R204" s="149" t="e" cm="1">
        <f t="array" ref="R20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4" s="150" t="e" cm="1">
        <f t="array" ref="S20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4" s="150" t="e" cm="1">
        <f t="array" ref="T20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4" s="150" t="e" cm="1">
        <f t="array" ref="U20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4" s="162" t="e" cm="1">
        <f t="array" ref="V20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4" s="148" t="e" cm="1">
        <f t="array" ref="W204">_xlfn.IFS(Table117821341[[#This Row],[Pos.]]="QB1",AVERAGE(G204,H204,I204,J204,N204),Table117821341[[#This Row],[Pos.]]="RB1",AVERAGE(J204,K204,N204),Table117821341[[#This Row],[Pos.]]="RB2",AVERAGE(J204,K204,N204),Table117821341[[#This Row],[Pos.]]="WR1",AVERAGE(L204,M204,N204),Table117821341[[#This Row],[Pos.]]="WR2",AVERAGE(L204,M204,N204),Table117821341[[#This Row],[Pos.]]="WR3",AVERAGE(L204,M204,N204),Table117821341[[#This Row],[Pos.]]="WR4",AVERAGE(L204,M204,N204),Table117821341[[#This Row],[Pos.]]="TE1",AVERAGE(L204,M204,N204),Table117821341[[#This Row],[Pos.]]="TE2",AVERAGE(L204,M204,N204),Table117821341[[#This Row],[Pos.]]="D/ST",AVERAGE(Table117821341[[#This Row],[*TD*]]))</f>
        <v>#N/A</v>
      </c>
      <c r="X204" s="94" t="e">
        <f t="shared" si="3"/>
        <v>#N/A</v>
      </c>
    </row>
    <row r="205" spans="2:24" hidden="1" x14ac:dyDescent="0.35">
      <c r="B205" s="6" t="s">
        <v>513</v>
      </c>
      <c r="C205" s="97" t="s">
        <v>36</v>
      </c>
      <c r="D205" s="97" t="s">
        <v>403</v>
      </c>
      <c r="E205" s="23" t="str" cm="1">
        <f t="array" ref="E205">_xlfn.XLOOKUP(Table117821341[[#This Row],[Team]],Table4334[Team],'2425'!$C$3:$C$34)</f>
        <v>n/a</v>
      </c>
      <c r="F205" s="97" t="str">
        <f>_xlfn.XLOOKUP(Table117821341[[#This Row],[Team]],Table4334[Team],Table4334[OPP])</f>
        <v>n/a</v>
      </c>
      <c r="G205" s="148" t="str" cm="1">
        <f t="array" ref="G205">IF(Table117821341[[#This Row],[Pos.]]="QB1",_xlfn.XLOOKUP(Table117821341[[#This Row],[Opp]],Table123[DEF],'2425'!$G$3:$G$34),"#N/A")</f>
        <v>#N/A</v>
      </c>
      <c r="H205" s="148" t="str" cm="1">
        <f t="array" ref="H205">IF(Table117821341[[#This Row],[Pos.]]="QB1",_xlfn.XLOOKUP(Table117821341[[#This Row],[Opp]],Table123[DEF],'2425'!$J$3:$J$34),"#N/A")</f>
        <v>#N/A</v>
      </c>
      <c r="I205" s="148" t="str" cm="1">
        <f t="array" ref="I205">IF(Table117821341[[#This Row],[Pos.]]="QB1",_xlfn.XLOOKUP(Table117821341[[#This Row],[Opp]],Table123[DEF],'2425'!$K$3:$K$34),"#N/A")</f>
        <v>#N/A</v>
      </c>
      <c r="J205" s="148" t="e" cm="1">
        <f t="array" ref="J20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5" s="148" t="e" cm="1">
        <f t="array" ref="K20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5" s="148" t="e" cm="1">
        <f t="array" ref="L20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5" s="148" t="e" cm="1">
        <f t="array" ref="M20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5" s="148" t="e" cm="1">
        <f t="array" ref="N20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5" s="149" t="str">
        <f>IF(Table117821341[[#This Row],[Pos.]]="QB1",_xlfn.XLOOKUP(Table117821341[[#This Row],[Opp]],Table123[DEF],Table123[P]),"#N/A")</f>
        <v>#N/A</v>
      </c>
      <c r="P205" s="149" t="str">
        <f>IF(Table117821341[[#This Row],[Pos.]]="QB1",_xlfn.XLOOKUP(Table117821341[[#This Row],[Opp]],Table123[DEF],Table123[P+R]),"#N/A")</f>
        <v>#N/A</v>
      </c>
      <c r="Q205" s="150" t="str">
        <f>IF(Table117821341[[#This Row],[Pos.]]="QB1",_xlfn.XLOOKUP(Table117821341[[#This Row],[Opp]],Table123[DEF],Table123[P TD]),"#N/A")</f>
        <v>#N/A</v>
      </c>
      <c r="R205" s="149" t="e" cm="1">
        <f t="array" ref="R20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5" s="150" t="e" cm="1">
        <f t="array" ref="S20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5" s="150" t="e" cm="1">
        <f t="array" ref="T20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5" s="150" t="e" cm="1">
        <f t="array" ref="U20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5" s="150" t="e" cm="1">
        <f t="array" ref="V20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5" s="148" t="e" cm="1">
        <f t="array" ref="W205">_xlfn.IFS(Table117821341[[#This Row],[Pos.]]="QB1",AVERAGE(G205,H205,I205,J205,N205),Table117821341[[#This Row],[Pos.]]="RB1",AVERAGE(J205,K205,N205),Table117821341[[#This Row],[Pos.]]="RB2",AVERAGE(J205,K205,N205),Table117821341[[#This Row],[Pos.]]="WR1",AVERAGE(L205,M205,N205),Table117821341[[#This Row],[Pos.]]="WR2",AVERAGE(L205,M205,N205),Table117821341[[#This Row],[Pos.]]="WR3",AVERAGE(L205,M205,N205),Table117821341[[#This Row],[Pos.]]="WR4",AVERAGE(L205,M205,N205),Table117821341[[#This Row],[Pos.]]="TE1",AVERAGE(L205,M205,N205),Table117821341[[#This Row],[Pos.]]="TE2",AVERAGE(L205,M205,N205),Table117821341[[#This Row],[Pos.]]="D/ST",AVERAGE(Table117821341[[#This Row],[*TD*]]))</f>
        <v>#N/A</v>
      </c>
      <c r="X205" s="94" t="e">
        <f t="shared" si="3"/>
        <v>#N/A</v>
      </c>
    </row>
    <row r="206" spans="2:24" hidden="1" x14ac:dyDescent="0.35">
      <c r="B206" s="6" t="s">
        <v>512</v>
      </c>
      <c r="C206" s="97" t="s">
        <v>36</v>
      </c>
      <c r="D206" s="97" t="s">
        <v>411</v>
      </c>
      <c r="E206" s="23" t="str" cm="1">
        <f t="array" ref="E206">_xlfn.XLOOKUP(Table117821341[[#This Row],[Team]],Table4334[Team],'2425'!$C$3:$C$34)</f>
        <v>n/a</v>
      </c>
      <c r="F206" s="97" t="str">
        <f>_xlfn.XLOOKUP(Table117821341[[#This Row],[Team]],Table4334[Team],Table4334[OPP])</f>
        <v>n/a</v>
      </c>
      <c r="G206" s="148" t="str" cm="1">
        <f t="array" ref="G206">IF(Table117821341[[#This Row],[Pos.]]="QB1",_xlfn.XLOOKUP(Table117821341[[#This Row],[Opp]],Table123[DEF],'2425'!$G$3:$G$34),"#N/A")</f>
        <v>#N/A</v>
      </c>
      <c r="H206" s="148" t="str" cm="1">
        <f t="array" ref="H206">IF(Table117821341[[#This Row],[Pos.]]="QB1",_xlfn.XLOOKUP(Table117821341[[#This Row],[Opp]],Table123[DEF],'2425'!$J$3:$J$34),"#N/A")</f>
        <v>#N/A</v>
      </c>
      <c r="I206" s="148" t="str" cm="1">
        <f t="array" ref="I206">IF(Table117821341[[#This Row],[Pos.]]="QB1",_xlfn.XLOOKUP(Table117821341[[#This Row],[Opp]],Table123[DEF],'2425'!$K$3:$K$34),"#N/A")</f>
        <v>#N/A</v>
      </c>
      <c r="J206" s="148" t="e" cm="1">
        <f t="array" ref="J20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6" s="148" t="e" cm="1">
        <f t="array" ref="K20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6" s="148" t="e" cm="1">
        <f t="array" ref="L20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6" s="148" t="e" cm="1">
        <f t="array" ref="M20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6" s="148" t="e" cm="1">
        <f t="array" ref="N20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6" s="149" t="str">
        <f>IF(Table117821341[[#This Row],[Pos.]]="QB1",_xlfn.XLOOKUP(Table117821341[[#This Row],[Opp]],Table123[DEF],Table123[P]),"#N/A")</f>
        <v>#N/A</v>
      </c>
      <c r="P206" s="149" t="str">
        <f>IF(Table117821341[[#This Row],[Pos.]]="QB1",_xlfn.XLOOKUP(Table117821341[[#This Row],[Opp]],Table123[DEF],Table123[P+R]),"#N/A")</f>
        <v>#N/A</v>
      </c>
      <c r="Q206" s="150" t="str">
        <f>IF(Table117821341[[#This Row],[Pos.]]="QB1",_xlfn.XLOOKUP(Table117821341[[#This Row],[Opp]],Table123[DEF],Table123[P TD]),"#N/A")</f>
        <v>#N/A</v>
      </c>
      <c r="R206" s="149" t="e" cm="1">
        <f t="array" ref="R20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6" s="150" t="e" cm="1">
        <f t="array" ref="S20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6" s="150" t="e" cm="1">
        <f t="array" ref="T20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6" s="150" t="e" cm="1">
        <f t="array" ref="U20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6" s="150" t="e" cm="1">
        <f t="array" ref="V20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6" s="148" t="e" cm="1">
        <f t="array" ref="W206">_xlfn.IFS(Table117821341[[#This Row],[Pos.]]="QB1",AVERAGE(G206,H206,I206,J206,N206),Table117821341[[#This Row],[Pos.]]="RB1",AVERAGE(J206,K206,N206),Table117821341[[#This Row],[Pos.]]="RB2",AVERAGE(J206,K206,N206),Table117821341[[#This Row],[Pos.]]="WR1",AVERAGE(L206,M206,N206),Table117821341[[#This Row],[Pos.]]="WR2",AVERAGE(L206,M206,N206),Table117821341[[#This Row],[Pos.]]="WR3",AVERAGE(L206,M206,N206),Table117821341[[#This Row],[Pos.]]="WR4",AVERAGE(L206,M206,N206),Table117821341[[#This Row],[Pos.]]="TE1",AVERAGE(L206,M206,N206),Table117821341[[#This Row],[Pos.]]="TE2",AVERAGE(L206,M206,N206),Table117821341[[#This Row],[Pos.]]="D/ST",AVERAGE(Table117821341[[#This Row],[*TD*]]))</f>
        <v>#N/A</v>
      </c>
      <c r="X206" s="94" t="e">
        <f t="shared" si="3"/>
        <v>#N/A</v>
      </c>
    </row>
    <row r="207" spans="2:24" hidden="1" x14ac:dyDescent="0.35">
      <c r="B207" s="6" t="s">
        <v>212</v>
      </c>
      <c r="C207" s="97" t="s">
        <v>36</v>
      </c>
      <c r="D207" s="97" t="s">
        <v>441</v>
      </c>
      <c r="E207" s="23" t="str" cm="1">
        <f t="array" ref="E207">_xlfn.XLOOKUP(Table117821341[[#This Row],[Team]],Table4334[Team],'2425'!$C$3:$C$34)</f>
        <v>n/a</v>
      </c>
      <c r="F207" s="97" t="str">
        <f>_xlfn.XLOOKUP(Table117821341[[#This Row],[Team]],Table4334[Team],Table4334[OPP])</f>
        <v>n/a</v>
      </c>
      <c r="G207" s="148" t="str" cm="1">
        <f t="array" ref="G207">IF(Table117821341[[#This Row],[Pos.]]="QB1",_xlfn.XLOOKUP(Table117821341[[#This Row],[Opp]],Table123[DEF],'2425'!$G$3:$G$34),"#N/A")</f>
        <v>#N/A</v>
      </c>
      <c r="H207" s="148" t="str" cm="1">
        <f t="array" ref="H207">IF(Table117821341[[#This Row],[Pos.]]="QB1",_xlfn.XLOOKUP(Table117821341[[#This Row],[Opp]],Table123[DEF],'2425'!$J$3:$J$34),"#N/A")</f>
        <v>#N/A</v>
      </c>
      <c r="I207" s="148" t="str" cm="1">
        <f t="array" ref="I207">IF(Table117821341[[#This Row],[Pos.]]="QB1",_xlfn.XLOOKUP(Table117821341[[#This Row],[Opp]],Table123[DEF],'2425'!$K$3:$K$34),"#N/A")</f>
        <v>#N/A</v>
      </c>
      <c r="J207" s="148" t="e" cm="1">
        <f t="array" ref="J20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7" s="148" t="e" cm="1">
        <f t="array" ref="K20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7" s="148" t="e" cm="1">
        <f t="array" ref="L20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7" s="148" t="e" cm="1">
        <f t="array" ref="M20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7" s="148" t="e" cm="1">
        <f t="array" ref="N20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7" s="149" t="str">
        <f>IF(Table117821341[[#This Row],[Pos.]]="QB1",_xlfn.XLOOKUP(Table117821341[[#This Row],[Opp]],Table123[DEF],Table123[P]),"#N/A")</f>
        <v>#N/A</v>
      </c>
      <c r="P207" s="149" t="str">
        <f>IF(Table117821341[[#This Row],[Pos.]]="QB1",_xlfn.XLOOKUP(Table117821341[[#This Row],[Opp]],Table123[DEF],Table123[P+R]),"#N/A")</f>
        <v>#N/A</v>
      </c>
      <c r="Q207" s="150" t="str">
        <f>IF(Table117821341[[#This Row],[Pos.]]="QB1",_xlfn.XLOOKUP(Table117821341[[#This Row],[Opp]],Table123[DEF],Table123[P TD]),"#N/A")</f>
        <v>#N/A</v>
      </c>
      <c r="R207" s="149" t="e" cm="1">
        <f t="array" ref="R20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7" s="150" t="e" cm="1">
        <f t="array" ref="S20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7" s="150" t="e" cm="1">
        <f t="array" ref="T20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7" s="150" t="e" cm="1">
        <f t="array" ref="U20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7" s="150" t="e" cm="1">
        <f t="array" ref="V20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7" s="148" t="e" cm="1">
        <f t="array" ref="W207">_xlfn.IFS(Table117821341[[#This Row],[Pos.]]="QB1",AVERAGE(G207,H207,I207,J207,N207),Table117821341[[#This Row],[Pos.]]="RB1",AVERAGE(J207,K207,N207),Table117821341[[#This Row],[Pos.]]="RB2",AVERAGE(J207,K207,N207),Table117821341[[#This Row],[Pos.]]="WR1",AVERAGE(L207,M207,N207),Table117821341[[#This Row],[Pos.]]="WR2",AVERAGE(L207,M207,N207),Table117821341[[#This Row],[Pos.]]="WR3",AVERAGE(L207,M207,N207),Table117821341[[#This Row],[Pos.]]="WR4",AVERAGE(L207,M207,N207),Table117821341[[#This Row],[Pos.]]="TE1",AVERAGE(L207,M207,N207),Table117821341[[#This Row],[Pos.]]="TE2",AVERAGE(L207,M207,N207),Table117821341[[#This Row],[Pos.]]="D/ST",AVERAGE(Table117821341[[#This Row],[*TD*]]))</f>
        <v>#N/A</v>
      </c>
      <c r="X207" s="94" t="e">
        <f t="shared" si="3"/>
        <v>#N/A</v>
      </c>
    </row>
    <row r="208" spans="2:24" hidden="1" x14ac:dyDescent="0.35">
      <c r="B208" s="6" t="s">
        <v>568</v>
      </c>
      <c r="C208" s="97" t="s">
        <v>43</v>
      </c>
      <c r="D208" s="97" t="s">
        <v>66</v>
      </c>
      <c r="E208" s="23" t="str" cm="1">
        <f t="array" ref="E208">_xlfn.XLOOKUP(Table117821341[[#This Row],[Team]],Table4334[Team],'2425'!$C$3:$C$34)</f>
        <v>n/a</v>
      </c>
      <c r="F208" s="97" t="str">
        <f>_xlfn.XLOOKUP(Table117821341[[#This Row],[Team]],Table4334[Team],Table4334[OPP])</f>
        <v>n/a</v>
      </c>
      <c r="G208" s="148" t="str" cm="1">
        <f t="array" ref="G208">IF(Table117821341[[#This Row],[Pos.]]="QB1",_xlfn.XLOOKUP(Table117821341[[#This Row],[Opp]],Table123[DEF],'2425'!$G$3:$G$34),"#N/A")</f>
        <v>#N/A</v>
      </c>
      <c r="H208" s="148" t="str" cm="1">
        <f t="array" ref="H208">IF(Table117821341[[#This Row],[Pos.]]="QB1",_xlfn.XLOOKUP(Table117821341[[#This Row],[Opp]],Table123[DEF],'2425'!$J$3:$J$34),"#N/A")</f>
        <v>#N/A</v>
      </c>
      <c r="I208" s="148" t="str" cm="1">
        <f t="array" ref="I208">IF(Table117821341[[#This Row],[Pos.]]="QB1",_xlfn.XLOOKUP(Table117821341[[#This Row],[Opp]],Table123[DEF],'2425'!$K$3:$K$34),"#N/A")</f>
        <v>#N/A</v>
      </c>
      <c r="J208" s="148" t="e" cm="1">
        <f t="array" ref="J20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8" s="148" t="e" cm="1">
        <f t="array" ref="K20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8" s="148" t="e" cm="1">
        <f t="array" ref="L20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8" s="148" t="e" cm="1">
        <f t="array" ref="M20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8" s="148" t="e" cm="1">
        <f t="array" ref="N20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8" s="149" t="str">
        <f>IF(Table117821341[[#This Row],[Pos.]]="QB1",_xlfn.XLOOKUP(Table117821341[[#This Row],[Opp]],Table123[DEF],Table123[P]),"#N/A")</f>
        <v>#N/A</v>
      </c>
      <c r="P208" s="149" t="str">
        <f>IF(Table117821341[[#This Row],[Pos.]]="QB1",_xlfn.XLOOKUP(Table117821341[[#This Row],[Opp]],Table123[DEF],Table123[P+R]),"#N/A")</f>
        <v>#N/A</v>
      </c>
      <c r="Q208" s="150" t="str">
        <f>IF(Table117821341[[#This Row],[Pos.]]="QB1",_xlfn.XLOOKUP(Table117821341[[#This Row],[Opp]],Table123[DEF],Table123[P TD]),"#N/A")</f>
        <v>#N/A</v>
      </c>
      <c r="R208" s="149" t="e" cm="1">
        <f t="array" ref="R20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8" s="150" t="e" cm="1">
        <f t="array" ref="S20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8" s="150" t="e" cm="1">
        <f t="array" ref="T20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8" s="150" t="e" cm="1">
        <f t="array" ref="U20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8" s="162" t="e" cm="1">
        <f t="array" ref="V20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8" s="148" t="e" cm="1">
        <f t="array" ref="W208">_xlfn.IFS(Table117821341[[#This Row],[Pos.]]="QB1",AVERAGE(G208,H208,I208,J208,N208),Table117821341[[#This Row],[Pos.]]="RB1",AVERAGE(J208,K208,N208),Table117821341[[#This Row],[Pos.]]="RB2",AVERAGE(J208,K208,N208),Table117821341[[#This Row],[Pos.]]="WR1",AVERAGE(L208,M208,N208),Table117821341[[#This Row],[Pos.]]="WR2",AVERAGE(L208,M208,N208),Table117821341[[#This Row],[Pos.]]="WR3",AVERAGE(L208,M208,N208),Table117821341[[#This Row],[Pos.]]="WR4",AVERAGE(L208,M208,N208),Table117821341[[#This Row],[Pos.]]="TE1",AVERAGE(L208,M208,N208),Table117821341[[#This Row],[Pos.]]="TE2",AVERAGE(L208,M208,N208),Table117821341[[#This Row],[Pos.]]="D/ST",AVERAGE(Table117821341[[#This Row],[*TD*]]))</f>
        <v>#N/A</v>
      </c>
      <c r="X208" s="94" t="e">
        <f t="shared" si="3"/>
        <v>#N/A</v>
      </c>
    </row>
    <row r="209" spans="2:24" hidden="1" x14ac:dyDescent="0.35">
      <c r="B209" s="142" t="s">
        <v>136</v>
      </c>
      <c r="C209" s="143" t="s">
        <v>45</v>
      </c>
      <c r="D209" s="143" t="s">
        <v>68</v>
      </c>
      <c r="E209" s="23" t="str" cm="1">
        <f t="array" ref="E209">_xlfn.XLOOKUP(Table117821341[[#This Row],[Team]],Table4334[Team],'2425'!$C$3:$C$34)</f>
        <v>n/a</v>
      </c>
      <c r="F209" s="97" t="str">
        <f>_xlfn.XLOOKUP(Table117821341[[#This Row],[Team]],Table4334[Team],Table4334[OPP])</f>
        <v>n/a</v>
      </c>
      <c r="G209" s="148" t="str" cm="1">
        <f t="array" ref="G209">IF(Table117821341[[#This Row],[Pos.]]="QB1",_xlfn.XLOOKUP(Table117821341[[#This Row],[Opp]],Table123[DEF],'2425'!$G$3:$G$34),"#N/A")</f>
        <v>#N/A</v>
      </c>
      <c r="H209" s="148" t="str" cm="1">
        <f t="array" ref="H209">IF(Table117821341[[#This Row],[Pos.]]="QB1",_xlfn.XLOOKUP(Table117821341[[#This Row],[Opp]],Table123[DEF],'2425'!$J$3:$J$34),"#N/A")</f>
        <v>#N/A</v>
      </c>
      <c r="I209" s="148" t="str" cm="1">
        <f t="array" ref="I209">IF(Table117821341[[#This Row],[Pos.]]="QB1",_xlfn.XLOOKUP(Table117821341[[#This Row],[Opp]],Table123[DEF],'2425'!$K$3:$K$34),"#N/A")</f>
        <v>#N/A</v>
      </c>
      <c r="J209" s="148" t="e" cm="1">
        <f t="array" ref="J20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09" s="148" t="e" cm="1">
        <f t="array" ref="K20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09" s="148" t="e" cm="1">
        <f t="array" ref="L20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09" s="148" t="e" cm="1">
        <f t="array" ref="M20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09" s="148" t="e" cm="1">
        <f t="array" ref="N20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09" s="149" t="str">
        <f>IF(Table117821341[[#This Row],[Pos.]]="QB1",_xlfn.XLOOKUP(Table117821341[[#This Row],[Opp]],Table123[DEF],Table123[P]),"#N/A")</f>
        <v>#N/A</v>
      </c>
      <c r="P209" s="149" t="str">
        <f>IF(Table117821341[[#This Row],[Pos.]]="QB1",_xlfn.XLOOKUP(Table117821341[[#This Row],[Opp]],Table123[DEF],Table123[P+R]),"#N/A")</f>
        <v>#N/A</v>
      </c>
      <c r="Q209" s="150" t="str">
        <f>IF(Table117821341[[#This Row],[Pos.]]="QB1",_xlfn.XLOOKUP(Table117821341[[#This Row],[Opp]],Table123[DEF],Table123[P TD]),"#N/A")</f>
        <v>#N/A</v>
      </c>
      <c r="R209" s="149" t="e" cm="1">
        <f t="array" ref="R20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09" s="150" t="e" cm="1">
        <f t="array" ref="S20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09" s="150" t="e" cm="1">
        <f t="array" ref="T20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09" s="150" t="e" cm="1">
        <f t="array" ref="U20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09" s="162" t="e" cm="1">
        <f t="array" ref="V20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09" s="148" t="e" cm="1">
        <f t="array" ref="W209">_xlfn.IFS(Table117821341[[#This Row],[Pos.]]="QB1",AVERAGE(G209,H209,I209,J209,N209),Table117821341[[#This Row],[Pos.]]="RB1",AVERAGE(J209,K209,N209),Table117821341[[#This Row],[Pos.]]="RB2",AVERAGE(J209,K209,N209),Table117821341[[#This Row],[Pos.]]="WR1",AVERAGE(L209,M209,N209),Table117821341[[#This Row],[Pos.]]="WR2",AVERAGE(L209,M209,N209),Table117821341[[#This Row],[Pos.]]="WR3",AVERAGE(L209,M209,N209),Table117821341[[#This Row],[Pos.]]="WR4",AVERAGE(L209,M209,N209),Table117821341[[#This Row],[Pos.]]="TE1",AVERAGE(L209,M209,N209),Table117821341[[#This Row],[Pos.]]="TE2",AVERAGE(L209,M209,N209),Table117821341[[#This Row],[Pos.]]="D/ST",AVERAGE(Table117821341[[#This Row],[*TD*]]))</f>
        <v>#N/A</v>
      </c>
      <c r="X209" s="94" t="e">
        <f t="shared" si="3"/>
        <v>#N/A</v>
      </c>
    </row>
    <row r="210" spans="2:24" hidden="1" x14ac:dyDescent="0.35">
      <c r="B210" s="6" t="s">
        <v>630</v>
      </c>
      <c r="C210" s="97" t="s">
        <v>37</v>
      </c>
      <c r="D210" s="97" t="s">
        <v>405</v>
      </c>
      <c r="E210" s="23" t="str" cm="1">
        <f t="array" ref="E210">_xlfn.XLOOKUP(Table117821341[[#This Row],[Team]],Table4334[Team],'2425'!$C$3:$C$34)</f>
        <v>n/a</v>
      </c>
      <c r="F210" s="97" t="str">
        <f>_xlfn.XLOOKUP(Table117821341[[#This Row],[Team]],Table4334[Team],Table4334[OPP])</f>
        <v>n/a</v>
      </c>
      <c r="G210" s="148" t="str" cm="1">
        <f t="array" ref="G210">IF(Table117821341[[#This Row],[Pos.]]="QB1",_xlfn.XLOOKUP(Table117821341[[#This Row],[Opp]],Table123[DEF],'2425'!$G$3:$G$34),"#N/A")</f>
        <v>#N/A</v>
      </c>
      <c r="H210" s="148" t="str" cm="1">
        <f t="array" ref="H210">IF(Table117821341[[#This Row],[Pos.]]="QB1",_xlfn.XLOOKUP(Table117821341[[#This Row],[Opp]],Table123[DEF],'2425'!$J$3:$J$34),"#N/A")</f>
        <v>#N/A</v>
      </c>
      <c r="I210" s="148" t="str" cm="1">
        <f t="array" ref="I210">IF(Table117821341[[#This Row],[Pos.]]="QB1",_xlfn.XLOOKUP(Table117821341[[#This Row],[Opp]],Table123[DEF],'2425'!$K$3:$K$34),"#N/A")</f>
        <v>#N/A</v>
      </c>
      <c r="J210" s="148" t="e" cm="1">
        <f t="array" ref="J21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0" s="148" t="e" cm="1">
        <f t="array" ref="K21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0" s="148" t="e" cm="1">
        <f t="array" ref="L21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0" s="148" t="e" cm="1">
        <f t="array" ref="M21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0" s="148" t="e" cm="1">
        <f t="array" ref="N21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0" s="149" t="str">
        <f>IF(Table117821341[[#This Row],[Pos.]]="QB1",_xlfn.XLOOKUP(Table117821341[[#This Row],[Opp]],Table123[DEF],Table123[P]),"#N/A")</f>
        <v>#N/A</v>
      </c>
      <c r="P210" s="149" t="str">
        <f>IF(Table117821341[[#This Row],[Pos.]]="QB1",_xlfn.XLOOKUP(Table117821341[[#This Row],[Opp]],Table123[DEF],Table123[P+R]),"#N/A")</f>
        <v>#N/A</v>
      </c>
      <c r="Q210" s="150" t="str">
        <f>IF(Table117821341[[#This Row],[Pos.]]="QB1",_xlfn.XLOOKUP(Table117821341[[#This Row],[Opp]],Table123[DEF],Table123[P TD]),"#N/A")</f>
        <v>#N/A</v>
      </c>
      <c r="R210" s="149" t="e" cm="1">
        <f t="array" ref="R21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0" s="150" t="e" cm="1">
        <f t="array" ref="S21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0" s="150" t="e" cm="1">
        <f t="array" ref="T21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0" s="150" t="e" cm="1">
        <f t="array" ref="U21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0" s="150" t="e" cm="1">
        <f t="array" ref="V21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0" s="148" t="e" cm="1">
        <f t="array" ref="W210">_xlfn.IFS(Table117821341[[#This Row],[Pos.]]="QB1",AVERAGE(G210,H210,I210,J210,N210),Table117821341[[#This Row],[Pos.]]="RB1",AVERAGE(J210,K210,N210),Table117821341[[#This Row],[Pos.]]="RB2",AVERAGE(J210,K210,N210),Table117821341[[#This Row],[Pos.]]="WR1",AVERAGE(L210,M210,N210),Table117821341[[#This Row],[Pos.]]="WR2",AVERAGE(L210,M210,N210),Table117821341[[#This Row],[Pos.]]="WR3",AVERAGE(L210,M210,N210),Table117821341[[#This Row],[Pos.]]="WR4",AVERAGE(L210,M210,N210),Table117821341[[#This Row],[Pos.]]="TE1",AVERAGE(L210,M210,N210),Table117821341[[#This Row],[Pos.]]="TE2",AVERAGE(L210,M210,N210),Table117821341[[#This Row],[Pos.]]="D/ST",AVERAGE(Table117821341[[#This Row],[*TD*]]))</f>
        <v>#N/A</v>
      </c>
      <c r="X210" s="94" t="e">
        <f t="shared" si="3"/>
        <v>#N/A</v>
      </c>
    </row>
    <row r="211" spans="2:24" hidden="1" x14ac:dyDescent="0.35">
      <c r="B211" s="6" t="s">
        <v>631</v>
      </c>
      <c r="C211" s="97" t="s">
        <v>37</v>
      </c>
      <c r="D211" s="97" t="s">
        <v>425</v>
      </c>
      <c r="E211" s="23" t="str" cm="1">
        <f t="array" ref="E211">_xlfn.XLOOKUP(Table117821341[[#This Row],[Team]],Table4334[Team],'2425'!$C$3:$C$34)</f>
        <v>n/a</v>
      </c>
      <c r="F211" s="97" t="str">
        <f>_xlfn.XLOOKUP(Table117821341[[#This Row],[Team]],Table4334[Team],Table4334[OPP])</f>
        <v>n/a</v>
      </c>
      <c r="G211" s="148" t="str" cm="1">
        <f t="array" ref="G211">IF(Table117821341[[#This Row],[Pos.]]="QB1",_xlfn.XLOOKUP(Table117821341[[#This Row],[Opp]],Table123[DEF],'2425'!$G$3:$G$34),"#N/A")</f>
        <v>#N/A</v>
      </c>
      <c r="H211" s="148" t="str" cm="1">
        <f t="array" ref="H211">IF(Table117821341[[#This Row],[Pos.]]="QB1",_xlfn.XLOOKUP(Table117821341[[#This Row],[Opp]],Table123[DEF],'2425'!$J$3:$J$34),"#N/A")</f>
        <v>#N/A</v>
      </c>
      <c r="I211" s="148" t="str" cm="1">
        <f t="array" ref="I211">IF(Table117821341[[#This Row],[Pos.]]="QB1",_xlfn.XLOOKUP(Table117821341[[#This Row],[Opp]],Table123[DEF],'2425'!$K$3:$K$34),"#N/A")</f>
        <v>#N/A</v>
      </c>
      <c r="J211" s="148" t="e" cm="1">
        <f t="array" ref="J21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1" s="148" t="e" cm="1">
        <f t="array" ref="K21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1" s="148" t="e" cm="1">
        <f t="array" ref="L21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1" s="148" t="e" cm="1">
        <f t="array" ref="M21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1" s="148" t="e" cm="1">
        <f t="array" ref="N21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1" s="149" t="str">
        <f>IF(Table117821341[[#This Row],[Pos.]]="QB1",_xlfn.XLOOKUP(Table117821341[[#This Row],[Opp]],Table123[DEF],Table123[P]),"#N/A")</f>
        <v>#N/A</v>
      </c>
      <c r="P211" s="149" t="str">
        <f>IF(Table117821341[[#This Row],[Pos.]]="QB1",_xlfn.XLOOKUP(Table117821341[[#This Row],[Opp]],Table123[DEF],Table123[P+R]),"#N/A")</f>
        <v>#N/A</v>
      </c>
      <c r="Q211" s="150" t="str">
        <f>IF(Table117821341[[#This Row],[Pos.]]="QB1",_xlfn.XLOOKUP(Table117821341[[#This Row],[Opp]],Table123[DEF],Table123[P TD]),"#N/A")</f>
        <v>#N/A</v>
      </c>
      <c r="R211" s="149" t="e" cm="1">
        <f t="array" ref="R21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1" s="150" t="e" cm="1">
        <f t="array" ref="S21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1" s="150" t="e" cm="1">
        <f t="array" ref="T21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1" s="150" t="e" cm="1">
        <f t="array" ref="U21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1" s="150" t="e" cm="1">
        <f t="array" ref="V21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1" s="148" t="e" cm="1">
        <f t="array" ref="W211">_xlfn.IFS(Table117821341[[#This Row],[Pos.]]="QB1",AVERAGE(G211,H211,I211,J211,N211),Table117821341[[#This Row],[Pos.]]="RB1",AVERAGE(J211,K211,N211),Table117821341[[#This Row],[Pos.]]="RB2",AVERAGE(J211,K211,N211),Table117821341[[#This Row],[Pos.]]="WR1",AVERAGE(L211,M211,N211),Table117821341[[#This Row],[Pos.]]="WR2",AVERAGE(L211,M211,N211),Table117821341[[#This Row],[Pos.]]="WR3",AVERAGE(L211,M211,N211),Table117821341[[#This Row],[Pos.]]="WR4",AVERAGE(L211,M211,N211),Table117821341[[#This Row],[Pos.]]="TE1",AVERAGE(L211,M211,N211),Table117821341[[#This Row],[Pos.]]="TE2",AVERAGE(L211,M211,N211),Table117821341[[#This Row],[Pos.]]="D/ST",AVERAGE(Table117821341[[#This Row],[*TD*]]))</f>
        <v>#N/A</v>
      </c>
      <c r="X211" s="94" t="e">
        <f t="shared" si="3"/>
        <v>#N/A</v>
      </c>
    </row>
    <row r="212" spans="2:24" hidden="1" x14ac:dyDescent="0.35">
      <c r="B212" s="6" t="s">
        <v>313</v>
      </c>
      <c r="C212" s="97" t="s">
        <v>47</v>
      </c>
      <c r="D212" s="97" t="s">
        <v>399</v>
      </c>
      <c r="E212" s="23" t="str" cm="1">
        <f t="array" ref="E212">_xlfn.XLOOKUP(Table117821341[[#This Row],[Team]],Table4334[Team],'2425'!$C$3:$C$34)</f>
        <v>n/a</v>
      </c>
      <c r="F212" s="97" t="str">
        <f>_xlfn.XLOOKUP(Table117821341[[#This Row],[Team]],Table4334[Team],Table4334[OPP])</f>
        <v>n/a</v>
      </c>
      <c r="G212" s="148" t="e" cm="1">
        <f t="array" ref="G212">IF(Table117821341[[#This Row],[Pos.]]="QB1",_xlfn.XLOOKUP(Table117821341[[#This Row],[Opp]],Table123[DEF],'2425'!$G$3:$G$34),"#N/A")</f>
        <v>#N/A</v>
      </c>
      <c r="H212" s="148" t="e" cm="1">
        <f t="array" ref="H212">IF(Table117821341[[#This Row],[Pos.]]="QB1",_xlfn.XLOOKUP(Table117821341[[#This Row],[Opp]],Table123[DEF],'2425'!$J$3:$J$34),"#N/A")</f>
        <v>#N/A</v>
      </c>
      <c r="I212" s="148" t="e" cm="1">
        <f t="array" ref="I212">IF(Table117821341[[#This Row],[Pos.]]="QB1",_xlfn.XLOOKUP(Table117821341[[#This Row],[Opp]],Table123[DEF],'2425'!$K$3:$K$34),"#N/A")</f>
        <v>#N/A</v>
      </c>
      <c r="J212" s="148" t="e" cm="1">
        <f t="array" ref="J21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2" s="148" t="e" cm="1">
        <f t="array" ref="K21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2" s="148" t="e" cm="1">
        <f t="array" ref="L21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2" s="148" t="e" cm="1">
        <f t="array" ref="M21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2" s="148" t="e" cm="1">
        <f t="array" ref="N21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2" s="149" t="e">
        <f>IF(Table117821341[[#This Row],[Pos.]]="QB1",_xlfn.XLOOKUP(Table117821341[[#This Row],[Opp]],Table123[DEF],Table123[P]),"#N/A")</f>
        <v>#N/A</v>
      </c>
      <c r="P212" s="149" t="e">
        <f>IF(Table117821341[[#This Row],[Pos.]]="QB1",_xlfn.XLOOKUP(Table117821341[[#This Row],[Opp]],Table123[DEF],Table123[P+R]),"#N/A")</f>
        <v>#N/A</v>
      </c>
      <c r="Q212" s="150" t="e">
        <f>IF(Table117821341[[#This Row],[Pos.]]="QB1",_xlfn.XLOOKUP(Table117821341[[#This Row],[Opp]],Table123[DEF],Table123[P TD]),"#N/A")</f>
        <v>#N/A</v>
      </c>
      <c r="R212" s="149" t="e" cm="1">
        <f t="array" ref="R21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2" s="150" t="e" cm="1">
        <f t="array" ref="S21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2" s="150" t="e" cm="1">
        <f t="array" ref="T21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2" s="150" t="e" cm="1">
        <f t="array" ref="U21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2" s="162" t="e" cm="1">
        <f t="array" ref="V21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2" s="148" t="e" cm="1">
        <f t="array" ref="W212">_xlfn.IFS(Table117821341[[#This Row],[Pos.]]="QB1",AVERAGE(G212,H212,I212,J212,N212),Table117821341[[#This Row],[Pos.]]="RB1",AVERAGE(J212,K212,N212),Table117821341[[#This Row],[Pos.]]="RB2",AVERAGE(J212,K212,N212),Table117821341[[#This Row],[Pos.]]="WR1",AVERAGE(L212,M212,N212),Table117821341[[#This Row],[Pos.]]="WR2",AVERAGE(L212,M212,N212),Table117821341[[#This Row],[Pos.]]="WR3",AVERAGE(L212,M212,N212),Table117821341[[#This Row],[Pos.]]="WR4",AVERAGE(L212,M212,N212),Table117821341[[#This Row],[Pos.]]="TE1",AVERAGE(L212,M212,N212),Table117821341[[#This Row],[Pos.]]="TE2",AVERAGE(L212,M212,N212),Table117821341[[#This Row],[Pos.]]="D/ST",AVERAGE(Table117821341[[#This Row],[*TD*]]))</f>
        <v>#N/A</v>
      </c>
      <c r="X212" s="94" t="e">
        <f t="shared" si="3"/>
        <v>#N/A</v>
      </c>
    </row>
    <row r="213" spans="2:24" hidden="1" x14ac:dyDescent="0.35">
      <c r="B213" s="6" t="s">
        <v>217</v>
      </c>
      <c r="C213" s="97" t="s">
        <v>37</v>
      </c>
      <c r="D213" s="97" t="s">
        <v>394</v>
      </c>
      <c r="E213" s="23" t="str" cm="1">
        <f t="array" ref="E213">_xlfn.XLOOKUP(Table117821341[[#This Row],[Team]],Table4334[Team],'2425'!$C$3:$C$34)</f>
        <v>n/a</v>
      </c>
      <c r="F213" s="97" t="str">
        <f>_xlfn.XLOOKUP(Table117821341[[#This Row],[Team]],Table4334[Team],Table4334[OPP])</f>
        <v>n/a</v>
      </c>
      <c r="G213" s="148" t="str" cm="1">
        <f t="array" ref="G213">IF(Table117821341[[#This Row],[Pos.]]="QB1",_xlfn.XLOOKUP(Table117821341[[#This Row],[Opp]],Table123[DEF],'2425'!$G$3:$G$34),"#N/A")</f>
        <v>#N/A</v>
      </c>
      <c r="H213" s="148" t="str" cm="1">
        <f t="array" ref="H213">IF(Table117821341[[#This Row],[Pos.]]="QB1",_xlfn.XLOOKUP(Table117821341[[#This Row],[Opp]],Table123[DEF],'2425'!$J$3:$J$34),"#N/A")</f>
        <v>#N/A</v>
      </c>
      <c r="I213" s="148" t="str" cm="1">
        <f t="array" ref="I213">IF(Table117821341[[#This Row],[Pos.]]="QB1",_xlfn.XLOOKUP(Table117821341[[#This Row],[Opp]],Table123[DEF],'2425'!$K$3:$K$34),"#N/A")</f>
        <v>#N/A</v>
      </c>
      <c r="J213" s="148" t="e" cm="1">
        <f t="array" ref="J21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3" s="148" t="e" cm="1">
        <f t="array" ref="K21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3" s="148" t="e" cm="1">
        <f t="array" ref="L21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3" s="148" t="e" cm="1">
        <f t="array" ref="M21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3" s="148" t="e" cm="1">
        <f t="array" ref="N21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3" s="149" t="str">
        <f>IF(Table117821341[[#This Row],[Pos.]]="QB1",_xlfn.XLOOKUP(Table117821341[[#This Row],[Opp]],Table123[DEF],Table123[P]),"#N/A")</f>
        <v>#N/A</v>
      </c>
      <c r="P213" s="149" t="str">
        <f>IF(Table117821341[[#This Row],[Pos.]]="QB1",_xlfn.XLOOKUP(Table117821341[[#This Row],[Opp]],Table123[DEF],Table123[P+R]),"#N/A")</f>
        <v>#N/A</v>
      </c>
      <c r="Q213" s="150" t="str">
        <f>IF(Table117821341[[#This Row],[Pos.]]="QB1",_xlfn.XLOOKUP(Table117821341[[#This Row],[Opp]],Table123[DEF],Table123[P TD]),"#N/A")</f>
        <v>#N/A</v>
      </c>
      <c r="R213" s="149" t="e" cm="1">
        <f t="array" ref="R21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3" s="150" t="e" cm="1">
        <f t="array" ref="S21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3" s="150" t="e" cm="1">
        <f t="array" ref="T21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3" s="150" t="e" cm="1">
        <f t="array" ref="U21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3" s="150" t="e" cm="1">
        <f t="array" ref="V21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3" s="148" t="e" cm="1">
        <f t="array" ref="W213">_xlfn.IFS(Table117821341[[#This Row],[Pos.]]="QB1",AVERAGE(G213,H213,I213,J213,N213),Table117821341[[#This Row],[Pos.]]="RB1",AVERAGE(J213,K213,N213),Table117821341[[#This Row],[Pos.]]="RB2",AVERAGE(J213,K213,N213),Table117821341[[#This Row],[Pos.]]="WR1",AVERAGE(L213,M213,N213),Table117821341[[#This Row],[Pos.]]="WR2",AVERAGE(L213,M213,N213),Table117821341[[#This Row],[Pos.]]="WR3",AVERAGE(L213,M213,N213),Table117821341[[#This Row],[Pos.]]="WR4",AVERAGE(L213,M213,N213),Table117821341[[#This Row],[Pos.]]="TE1",AVERAGE(L213,M213,N213),Table117821341[[#This Row],[Pos.]]="TE2",AVERAGE(L213,M213,N213),Table117821341[[#This Row],[Pos.]]="D/ST",AVERAGE(Table117821341[[#This Row],[*TD*]]))</f>
        <v>#N/A</v>
      </c>
      <c r="X213" s="94" t="e">
        <f t="shared" si="3"/>
        <v>#N/A</v>
      </c>
    </row>
    <row r="214" spans="2:24" hidden="1" x14ac:dyDescent="0.35">
      <c r="B214" s="6" t="s">
        <v>219</v>
      </c>
      <c r="C214" s="97" t="s">
        <v>37</v>
      </c>
      <c r="D214" s="97" t="s">
        <v>396</v>
      </c>
      <c r="E214" s="23" t="str" cm="1">
        <f t="array" ref="E214">_xlfn.XLOOKUP(Table117821341[[#This Row],[Team]],Table4334[Team],'2425'!$C$3:$C$34)</f>
        <v>n/a</v>
      </c>
      <c r="F214" s="97" t="str">
        <f>_xlfn.XLOOKUP(Table117821341[[#This Row],[Team]],Table4334[Team],Table4334[OPP])</f>
        <v>n/a</v>
      </c>
      <c r="G214" s="148" t="str" cm="1">
        <f t="array" ref="G214">IF(Table117821341[[#This Row],[Pos.]]="QB1",_xlfn.XLOOKUP(Table117821341[[#This Row],[Opp]],Table123[DEF],'2425'!$G$3:$G$34),"#N/A")</f>
        <v>#N/A</v>
      </c>
      <c r="H214" s="148" t="str" cm="1">
        <f t="array" ref="H214">IF(Table117821341[[#This Row],[Pos.]]="QB1",_xlfn.XLOOKUP(Table117821341[[#This Row],[Opp]],Table123[DEF],'2425'!$J$3:$J$34),"#N/A")</f>
        <v>#N/A</v>
      </c>
      <c r="I214" s="148" t="str" cm="1">
        <f t="array" ref="I214">IF(Table117821341[[#This Row],[Pos.]]="QB1",_xlfn.XLOOKUP(Table117821341[[#This Row],[Opp]],Table123[DEF],'2425'!$K$3:$K$34),"#N/A")</f>
        <v>#N/A</v>
      </c>
      <c r="J214" s="148" t="e" cm="1">
        <f t="array" ref="J21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4" s="148" t="e" cm="1">
        <f t="array" ref="K21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4" s="148" t="e" cm="1">
        <f t="array" ref="L21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4" s="148" t="e" cm="1">
        <f t="array" ref="M21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4" s="148" t="e" cm="1">
        <f t="array" ref="N21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4" s="149" t="str">
        <f>IF(Table117821341[[#This Row],[Pos.]]="QB1",_xlfn.XLOOKUP(Table117821341[[#This Row],[Opp]],Table123[DEF],Table123[P]),"#N/A")</f>
        <v>#N/A</v>
      </c>
      <c r="P214" s="149" t="str">
        <f>IF(Table117821341[[#This Row],[Pos.]]="QB1",_xlfn.XLOOKUP(Table117821341[[#This Row],[Opp]],Table123[DEF],Table123[P+R]),"#N/A")</f>
        <v>#N/A</v>
      </c>
      <c r="Q214" s="150" t="str">
        <f>IF(Table117821341[[#This Row],[Pos.]]="QB1",_xlfn.XLOOKUP(Table117821341[[#This Row],[Opp]],Table123[DEF],Table123[P TD]),"#N/A")</f>
        <v>#N/A</v>
      </c>
      <c r="R214" s="149" t="e" cm="1">
        <f t="array" ref="R21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4" s="150" t="e" cm="1">
        <f t="array" ref="S21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4" s="150" t="e" cm="1">
        <f t="array" ref="T21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4" s="150" t="e" cm="1">
        <f t="array" ref="U21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4" s="150" t="e" cm="1">
        <f t="array" ref="V21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4" s="148" t="e" cm="1">
        <f t="array" ref="W214">_xlfn.IFS(Table117821341[[#This Row],[Pos.]]="QB1",AVERAGE(G214,H214,I214,J214,N214),Table117821341[[#This Row],[Pos.]]="RB1",AVERAGE(J214,K214,N214),Table117821341[[#This Row],[Pos.]]="RB2",AVERAGE(J214,K214,N214),Table117821341[[#This Row],[Pos.]]="WR1",AVERAGE(L214,M214,N214),Table117821341[[#This Row],[Pos.]]="WR2",AVERAGE(L214,M214,N214),Table117821341[[#This Row],[Pos.]]="WR3",AVERAGE(L214,M214,N214),Table117821341[[#This Row],[Pos.]]="WR4",AVERAGE(L214,M214,N214),Table117821341[[#This Row],[Pos.]]="TE1",AVERAGE(L214,M214,N214),Table117821341[[#This Row],[Pos.]]="TE2",AVERAGE(L214,M214,N214),Table117821341[[#This Row],[Pos.]]="D/ST",AVERAGE(Table117821341[[#This Row],[*TD*]]))</f>
        <v>#N/A</v>
      </c>
      <c r="X214" s="94" t="e">
        <f t="shared" si="3"/>
        <v>#N/A</v>
      </c>
    </row>
    <row r="215" spans="2:24" hidden="1" x14ac:dyDescent="0.35">
      <c r="B215" s="6" t="s">
        <v>220</v>
      </c>
      <c r="C215" s="97" t="s">
        <v>37</v>
      </c>
      <c r="D215" s="97" t="s">
        <v>407</v>
      </c>
      <c r="E215" s="23" t="str" cm="1">
        <f t="array" ref="E215">_xlfn.XLOOKUP(Table117821341[[#This Row],[Team]],Table4334[Team],'2425'!$C$3:$C$34)</f>
        <v>n/a</v>
      </c>
      <c r="F215" s="97" t="str">
        <f>_xlfn.XLOOKUP(Table117821341[[#This Row],[Team]],Table4334[Team],Table4334[OPP])</f>
        <v>n/a</v>
      </c>
      <c r="G215" s="148" t="str" cm="1">
        <f t="array" ref="G215">IF(Table117821341[[#This Row],[Pos.]]="QB1",_xlfn.XLOOKUP(Table117821341[[#This Row],[Opp]],Table123[DEF],'2425'!$G$3:$G$34),"#N/A")</f>
        <v>#N/A</v>
      </c>
      <c r="H215" s="148" t="str" cm="1">
        <f t="array" ref="H215">IF(Table117821341[[#This Row],[Pos.]]="QB1",_xlfn.XLOOKUP(Table117821341[[#This Row],[Opp]],Table123[DEF],'2425'!$J$3:$J$34),"#N/A")</f>
        <v>#N/A</v>
      </c>
      <c r="I215" s="148" t="str" cm="1">
        <f t="array" ref="I215">IF(Table117821341[[#This Row],[Pos.]]="QB1",_xlfn.XLOOKUP(Table117821341[[#This Row],[Opp]],Table123[DEF],'2425'!$K$3:$K$34),"#N/A")</f>
        <v>#N/A</v>
      </c>
      <c r="J215" s="148" t="e" cm="1">
        <f t="array" ref="J21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5" s="148" t="e" cm="1">
        <f t="array" ref="K21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5" s="148" t="e" cm="1">
        <f t="array" ref="L21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5" s="148" t="e" cm="1">
        <f t="array" ref="M21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5" s="148" t="e" cm="1">
        <f t="array" ref="N21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5" s="149" t="str">
        <f>IF(Table117821341[[#This Row],[Pos.]]="QB1",_xlfn.XLOOKUP(Table117821341[[#This Row],[Opp]],Table123[DEF],Table123[P]),"#N/A")</f>
        <v>#N/A</v>
      </c>
      <c r="P215" s="149" t="str">
        <f>IF(Table117821341[[#This Row],[Pos.]]="QB1",_xlfn.XLOOKUP(Table117821341[[#This Row],[Opp]],Table123[DEF],Table123[P+R]),"#N/A")</f>
        <v>#N/A</v>
      </c>
      <c r="Q215" s="150" t="str">
        <f>IF(Table117821341[[#This Row],[Pos.]]="QB1",_xlfn.XLOOKUP(Table117821341[[#This Row],[Opp]],Table123[DEF],Table123[P TD]),"#N/A")</f>
        <v>#N/A</v>
      </c>
      <c r="R215" s="149" t="e" cm="1">
        <f t="array" ref="R21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5" s="150" t="e" cm="1">
        <f t="array" ref="S21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5" s="150" t="e" cm="1">
        <f t="array" ref="T21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5" s="150" t="e" cm="1">
        <f t="array" ref="U21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5" s="150" t="e" cm="1">
        <f t="array" ref="V21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5" s="148" t="e" cm="1">
        <f t="array" ref="W215">_xlfn.IFS(Table117821341[[#This Row],[Pos.]]="QB1",AVERAGE(G215,H215,I215,J215,N215),Table117821341[[#This Row],[Pos.]]="RB1",AVERAGE(J215,K215,N215),Table117821341[[#This Row],[Pos.]]="RB2",AVERAGE(J215,K215,N215),Table117821341[[#This Row],[Pos.]]="WR1",AVERAGE(L215,M215,N215),Table117821341[[#This Row],[Pos.]]="WR2",AVERAGE(L215,M215,N215),Table117821341[[#This Row],[Pos.]]="WR3",AVERAGE(L215,M215,N215),Table117821341[[#This Row],[Pos.]]="WR4",AVERAGE(L215,M215,N215),Table117821341[[#This Row],[Pos.]]="TE1",AVERAGE(L215,M215,N215),Table117821341[[#This Row],[Pos.]]="TE2",AVERAGE(L215,M215,N215),Table117821341[[#This Row],[Pos.]]="D/ST",AVERAGE(Table117821341[[#This Row],[*TD*]]))</f>
        <v>#N/A</v>
      </c>
      <c r="X215" s="94" t="e">
        <f t="shared" si="3"/>
        <v>#N/A</v>
      </c>
    </row>
    <row r="216" spans="2:24" hidden="1" x14ac:dyDescent="0.35">
      <c r="B216" s="6" t="s">
        <v>216</v>
      </c>
      <c r="C216" s="97" t="s">
        <v>37</v>
      </c>
      <c r="D216" s="97" t="s">
        <v>536</v>
      </c>
      <c r="E216" s="23" t="str" cm="1">
        <f t="array" ref="E216">_xlfn.XLOOKUP(Table117821341[[#This Row],[Team]],Table4334[Team],'2425'!$C$3:$C$34)</f>
        <v>n/a</v>
      </c>
      <c r="F216" s="97" t="str">
        <f>_xlfn.XLOOKUP(Table117821341[[#This Row],[Team]],Table4334[Team],Table4334[OPP])</f>
        <v>n/a</v>
      </c>
      <c r="G216" s="148" t="str" cm="1">
        <f t="array" ref="G216">IF(Table117821341[[#This Row],[Pos.]]="QB1",_xlfn.XLOOKUP(Table117821341[[#This Row],[Opp]],Table123[DEF],'2425'!$G$3:$G$34),"#N/A")</f>
        <v>#N/A</v>
      </c>
      <c r="H216" s="148" t="str" cm="1">
        <f t="array" ref="H216">IF(Table117821341[[#This Row],[Pos.]]="QB1",_xlfn.XLOOKUP(Table117821341[[#This Row],[Opp]],Table123[DEF],'2425'!$J$3:$J$34),"#N/A")</f>
        <v>#N/A</v>
      </c>
      <c r="I216" s="148" t="str" cm="1">
        <f t="array" ref="I216">IF(Table117821341[[#This Row],[Pos.]]="QB1",_xlfn.XLOOKUP(Table117821341[[#This Row],[Opp]],Table123[DEF],'2425'!$K$3:$K$34),"#N/A")</f>
        <v>#N/A</v>
      </c>
      <c r="J216" s="148" t="e" cm="1">
        <f t="array" ref="J21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6" s="148" t="e" cm="1">
        <f t="array" ref="K21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6" s="148" t="e" cm="1">
        <f t="array" ref="L21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6" s="148" t="e" cm="1">
        <f t="array" ref="M21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6" s="148" t="e" cm="1">
        <f t="array" ref="N21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6" s="149" t="str">
        <f>IF(Table117821341[[#This Row],[Pos.]]="QB1",_xlfn.XLOOKUP(Table117821341[[#This Row],[Opp]],Table123[DEF],Table123[P]),"#N/A")</f>
        <v>#N/A</v>
      </c>
      <c r="P216" s="149" t="str">
        <f>IF(Table117821341[[#This Row],[Pos.]]="QB1",_xlfn.XLOOKUP(Table117821341[[#This Row],[Opp]],Table123[DEF],Table123[P+R]),"#N/A")</f>
        <v>#N/A</v>
      </c>
      <c r="Q216" s="150" t="str">
        <f>IF(Table117821341[[#This Row],[Pos.]]="QB1",_xlfn.XLOOKUP(Table117821341[[#This Row],[Opp]],Table123[DEF],Table123[P TD]),"#N/A")</f>
        <v>#N/A</v>
      </c>
      <c r="R216" s="149" t="e" cm="1">
        <f t="array" ref="R21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6" s="150" t="e" cm="1">
        <f t="array" ref="S21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6" s="150" t="e" cm="1">
        <f t="array" ref="T21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6" s="150" t="e" cm="1">
        <f t="array" ref="U21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6" s="150" t="e" cm="1">
        <f t="array" ref="V21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6" s="148" t="e" cm="1">
        <f t="array" ref="W216">_xlfn.IFS(Table117821341[[#This Row],[Pos.]]="QB1",AVERAGE(G216,H216,I216,J216,N216),Table117821341[[#This Row],[Pos.]]="RB1",AVERAGE(J216,K216,N216),Table117821341[[#This Row],[Pos.]]="RB2",AVERAGE(J216,K216,N216),Table117821341[[#This Row],[Pos.]]="WR1",AVERAGE(L216,M216,N216),Table117821341[[#This Row],[Pos.]]="WR2",AVERAGE(L216,M216,N216),Table117821341[[#This Row],[Pos.]]="WR3",AVERAGE(L216,M216,N216),Table117821341[[#This Row],[Pos.]]="WR4",AVERAGE(L216,M216,N216),Table117821341[[#This Row],[Pos.]]="TE1",AVERAGE(L216,M216,N216),Table117821341[[#This Row],[Pos.]]="TE2",AVERAGE(L216,M216,N216),Table117821341[[#This Row],[Pos.]]="D/ST",AVERAGE(Table117821341[[#This Row],[*TD*]]))</f>
        <v>#N/A</v>
      </c>
      <c r="X216" s="94" t="e">
        <f t="shared" si="3"/>
        <v>#N/A</v>
      </c>
    </row>
    <row r="217" spans="2:24" hidden="1" x14ac:dyDescent="0.35">
      <c r="B217" s="6" t="s">
        <v>199</v>
      </c>
      <c r="C217" s="97" t="s">
        <v>35</v>
      </c>
      <c r="D217" s="97" t="s">
        <v>399</v>
      </c>
      <c r="E217" s="23" t="str" cm="1">
        <f t="array" ref="E217">_xlfn.XLOOKUP(Table117821341[[#This Row],[Team]],Table4334[Team],'2425'!$C$3:$C$34)</f>
        <v>n/a</v>
      </c>
      <c r="F217" s="97" t="str">
        <f>_xlfn.XLOOKUP(Table117821341[[#This Row],[Team]],Table4334[Team],Table4334[OPP])</f>
        <v>n/a</v>
      </c>
      <c r="G217" s="148" t="e" cm="1">
        <f t="array" ref="G217">IF(Table117821341[[#This Row],[Pos.]]="QB1",_xlfn.XLOOKUP(Table117821341[[#This Row],[Opp]],Table123[DEF],'2425'!$G$3:$G$34),"#N/A")</f>
        <v>#N/A</v>
      </c>
      <c r="H217" s="148" t="e" cm="1">
        <f t="array" ref="H217">IF(Table117821341[[#This Row],[Pos.]]="QB1",_xlfn.XLOOKUP(Table117821341[[#This Row],[Opp]],Table123[DEF],'2425'!$J$3:$J$34),"#N/A")</f>
        <v>#N/A</v>
      </c>
      <c r="I217" s="148" t="e" cm="1">
        <f t="array" ref="I217">IF(Table117821341[[#This Row],[Pos.]]="QB1",_xlfn.XLOOKUP(Table117821341[[#This Row],[Opp]],Table123[DEF],'2425'!$K$3:$K$34),"#N/A")</f>
        <v>#N/A</v>
      </c>
      <c r="J217" s="148" t="e" cm="1">
        <f t="array" ref="J21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7" s="148" t="e" cm="1">
        <f t="array" ref="K21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7" s="148" t="e" cm="1">
        <f t="array" ref="L21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7" s="148" t="e" cm="1">
        <f t="array" ref="M21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7" s="148" t="e" cm="1">
        <f t="array" ref="N21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7" s="149" t="e">
        <f>IF(Table117821341[[#This Row],[Pos.]]="QB1",_xlfn.XLOOKUP(Table117821341[[#This Row],[Opp]],Table123[DEF],Table123[P]),"#N/A")</f>
        <v>#N/A</v>
      </c>
      <c r="P217" s="149" t="e">
        <f>IF(Table117821341[[#This Row],[Pos.]]="QB1",_xlfn.XLOOKUP(Table117821341[[#This Row],[Opp]],Table123[DEF],Table123[P+R]),"#N/A")</f>
        <v>#N/A</v>
      </c>
      <c r="Q217" s="150" t="e">
        <f>IF(Table117821341[[#This Row],[Pos.]]="QB1",_xlfn.XLOOKUP(Table117821341[[#This Row],[Opp]],Table123[DEF],Table123[P TD]),"#N/A")</f>
        <v>#N/A</v>
      </c>
      <c r="R217" s="149" t="e" cm="1">
        <f t="array" ref="R21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7" s="150" t="e" cm="1">
        <f t="array" ref="S21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7" s="150" t="e" cm="1">
        <f t="array" ref="T21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7" s="150" t="e" cm="1">
        <f t="array" ref="U21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7" s="162" t="e" cm="1">
        <f t="array" ref="V21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7" s="148" t="e" cm="1">
        <f t="array" ref="W217">_xlfn.IFS(Table117821341[[#This Row],[Pos.]]="QB1",AVERAGE(G217,H217,I217,J217,N217),Table117821341[[#This Row],[Pos.]]="RB1",AVERAGE(J217,K217,N217),Table117821341[[#This Row],[Pos.]]="RB2",AVERAGE(J217,K217,N217),Table117821341[[#This Row],[Pos.]]="WR1",AVERAGE(L217,M217,N217),Table117821341[[#This Row],[Pos.]]="WR2",AVERAGE(L217,M217,N217),Table117821341[[#This Row],[Pos.]]="WR3",AVERAGE(L217,M217,N217),Table117821341[[#This Row],[Pos.]]="WR4",AVERAGE(L217,M217,N217),Table117821341[[#This Row],[Pos.]]="TE1",AVERAGE(L217,M217,N217),Table117821341[[#This Row],[Pos.]]="TE2",AVERAGE(L217,M217,N217),Table117821341[[#This Row],[Pos.]]="D/ST",AVERAGE(Table117821341[[#This Row],[*TD*]]))</f>
        <v>#N/A</v>
      </c>
      <c r="X217" s="94" t="e">
        <f t="shared" si="3"/>
        <v>#N/A</v>
      </c>
    </row>
    <row r="218" spans="2:24" hidden="1" x14ac:dyDescent="0.35">
      <c r="B218" s="6" t="s">
        <v>636</v>
      </c>
      <c r="C218" s="97" t="s">
        <v>37</v>
      </c>
      <c r="D218" s="97" t="s">
        <v>398</v>
      </c>
      <c r="E218" s="23" t="str" cm="1">
        <f t="array" ref="E218">_xlfn.XLOOKUP(Table117821341[[#This Row],[Team]],Table4334[Team],'2425'!$C$3:$C$34)</f>
        <v>n/a</v>
      </c>
      <c r="F218" s="97" t="str">
        <f>_xlfn.XLOOKUP(Table117821341[[#This Row],[Team]],Table4334[Team],Table4334[OPP])</f>
        <v>n/a</v>
      </c>
      <c r="G218" s="148" t="str" cm="1">
        <f t="array" ref="G218">IF(Table117821341[[#This Row],[Pos.]]="QB1",_xlfn.XLOOKUP(Table117821341[[#This Row],[Opp]],Table123[DEF],'2425'!$G$3:$G$34),"#N/A")</f>
        <v>#N/A</v>
      </c>
      <c r="H218" s="148" t="str" cm="1">
        <f t="array" ref="H218">IF(Table117821341[[#This Row],[Pos.]]="QB1",_xlfn.XLOOKUP(Table117821341[[#This Row],[Opp]],Table123[DEF],'2425'!$J$3:$J$34),"#N/A")</f>
        <v>#N/A</v>
      </c>
      <c r="I218" s="148" t="str" cm="1">
        <f t="array" ref="I218">IF(Table117821341[[#This Row],[Pos.]]="QB1",_xlfn.XLOOKUP(Table117821341[[#This Row],[Opp]],Table123[DEF],'2425'!$K$3:$K$34),"#N/A")</f>
        <v>#N/A</v>
      </c>
      <c r="J218" s="148" t="e" cm="1">
        <f t="array" ref="J21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8" s="148" t="e" cm="1">
        <f t="array" ref="K21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8" s="148" t="e" cm="1">
        <f t="array" ref="L21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8" s="148" t="e" cm="1">
        <f t="array" ref="M21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8" s="148" t="e" cm="1">
        <f t="array" ref="N21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8" s="149" t="str">
        <f>IF(Table117821341[[#This Row],[Pos.]]="QB1",_xlfn.XLOOKUP(Table117821341[[#This Row],[Opp]],Table123[DEF],Table123[P]),"#N/A")</f>
        <v>#N/A</v>
      </c>
      <c r="P218" s="149" t="str">
        <f>IF(Table117821341[[#This Row],[Pos.]]="QB1",_xlfn.XLOOKUP(Table117821341[[#This Row],[Opp]],Table123[DEF],Table123[P+R]),"#N/A")</f>
        <v>#N/A</v>
      </c>
      <c r="Q218" s="150" t="str">
        <f>IF(Table117821341[[#This Row],[Pos.]]="QB1",_xlfn.XLOOKUP(Table117821341[[#This Row],[Opp]],Table123[DEF],Table123[P TD]),"#N/A")</f>
        <v>#N/A</v>
      </c>
      <c r="R218" s="149" t="e" cm="1">
        <f t="array" ref="R21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8" s="150" t="e" cm="1">
        <f t="array" ref="S21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8" s="150" t="e" cm="1">
        <f t="array" ref="T21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8" s="150" t="e" cm="1">
        <f t="array" ref="U21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8" s="150" t="e" cm="1">
        <f t="array" ref="V21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8" s="148" t="e" cm="1">
        <f t="array" ref="W218">_xlfn.IFS(Table117821341[[#This Row],[Pos.]]="QB1",AVERAGE(G218,H218,I218,J218,N218),Table117821341[[#This Row],[Pos.]]="RB1",AVERAGE(J218,K218,N218),Table117821341[[#This Row],[Pos.]]="RB2",AVERAGE(J218,K218,N218),Table117821341[[#This Row],[Pos.]]="WR1",AVERAGE(L218,M218,N218),Table117821341[[#This Row],[Pos.]]="WR2",AVERAGE(L218,M218,N218),Table117821341[[#This Row],[Pos.]]="WR3",AVERAGE(L218,M218,N218),Table117821341[[#This Row],[Pos.]]="WR4",AVERAGE(L218,M218,N218),Table117821341[[#This Row],[Pos.]]="TE1",AVERAGE(L218,M218,N218),Table117821341[[#This Row],[Pos.]]="TE2",AVERAGE(L218,M218,N218),Table117821341[[#This Row],[Pos.]]="D/ST",AVERAGE(Table117821341[[#This Row],[*TD*]]))</f>
        <v>#N/A</v>
      </c>
      <c r="X218" s="94" t="e">
        <f t="shared" si="3"/>
        <v>#N/A</v>
      </c>
    </row>
    <row r="219" spans="2:24" hidden="1" x14ac:dyDescent="0.35">
      <c r="B219" s="6" t="s">
        <v>637</v>
      </c>
      <c r="C219" s="97" t="s">
        <v>37</v>
      </c>
      <c r="D219" s="97" t="s">
        <v>430</v>
      </c>
      <c r="E219" s="23" t="str" cm="1">
        <f t="array" ref="E219">_xlfn.XLOOKUP(Table117821341[[#This Row],[Team]],Table4334[Team],'2425'!$C$3:$C$34)</f>
        <v>n/a</v>
      </c>
      <c r="F219" s="97" t="str">
        <f>_xlfn.XLOOKUP(Table117821341[[#This Row],[Team]],Table4334[Team],Table4334[OPP])</f>
        <v>n/a</v>
      </c>
      <c r="G219" s="148" t="str" cm="1">
        <f t="array" ref="G219">IF(Table117821341[[#This Row],[Pos.]]="QB1",_xlfn.XLOOKUP(Table117821341[[#This Row],[Opp]],Table123[DEF],'2425'!$G$3:$G$34),"#N/A")</f>
        <v>#N/A</v>
      </c>
      <c r="H219" s="148" t="str" cm="1">
        <f t="array" ref="H219">IF(Table117821341[[#This Row],[Pos.]]="QB1",_xlfn.XLOOKUP(Table117821341[[#This Row],[Opp]],Table123[DEF],'2425'!$J$3:$J$34),"#N/A")</f>
        <v>#N/A</v>
      </c>
      <c r="I219" s="148" t="str" cm="1">
        <f t="array" ref="I219">IF(Table117821341[[#This Row],[Pos.]]="QB1",_xlfn.XLOOKUP(Table117821341[[#This Row],[Opp]],Table123[DEF],'2425'!$K$3:$K$34),"#N/A")</f>
        <v>#N/A</v>
      </c>
      <c r="J219" s="148" t="e" cm="1">
        <f t="array" ref="J21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19" s="148" t="e" cm="1">
        <f t="array" ref="K21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19" s="148" t="e" cm="1">
        <f t="array" ref="L21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19" s="148" t="e" cm="1">
        <f t="array" ref="M21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19" s="148" t="e" cm="1">
        <f t="array" ref="N21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19" s="149" t="str">
        <f>IF(Table117821341[[#This Row],[Pos.]]="QB1",_xlfn.XLOOKUP(Table117821341[[#This Row],[Opp]],Table123[DEF],Table123[P]),"#N/A")</f>
        <v>#N/A</v>
      </c>
      <c r="P219" s="149" t="str">
        <f>IF(Table117821341[[#This Row],[Pos.]]="QB1",_xlfn.XLOOKUP(Table117821341[[#This Row],[Opp]],Table123[DEF],Table123[P+R]),"#N/A")</f>
        <v>#N/A</v>
      </c>
      <c r="Q219" s="150" t="str">
        <f>IF(Table117821341[[#This Row],[Pos.]]="QB1",_xlfn.XLOOKUP(Table117821341[[#This Row],[Opp]],Table123[DEF],Table123[P TD]),"#N/A")</f>
        <v>#N/A</v>
      </c>
      <c r="R219" s="149" t="e" cm="1">
        <f t="array" ref="R21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19" s="150" t="e" cm="1">
        <f t="array" ref="S21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19" s="150" t="e" cm="1">
        <f t="array" ref="T21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19" s="150" t="e" cm="1">
        <f t="array" ref="U21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19" s="150" t="e" cm="1">
        <f t="array" ref="V21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19" s="148" t="e" cm="1">
        <f t="array" ref="W219">_xlfn.IFS(Table117821341[[#This Row],[Pos.]]="QB1",AVERAGE(G219,H219,I219,J219,N219),Table117821341[[#This Row],[Pos.]]="RB1",AVERAGE(J219,K219,N219),Table117821341[[#This Row],[Pos.]]="RB2",AVERAGE(J219,K219,N219),Table117821341[[#This Row],[Pos.]]="WR1",AVERAGE(L219,M219,N219),Table117821341[[#This Row],[Pos.]]="WR2",AVERAGE(L219,M219,N219),Table117821341[[#This Row],[Pos.]]="WR3",AVERAGE(L219,M219,N219),Table117821341[[#This Row],[Pos.]]="WR4",AVERAGE(L219,M219,N219),Table117821341[[#This Row],[Pos.]]="TE1",AVERAGE(L219,M219,N219),Table117821341[[#This Row],[Pos.]]="TE2",AVERAGE(L219,M219,N219),Table117821341[[#This Row],[Pos.]]="D/ST",AVERAGE(Table117821341[[#This Row],[*TD*]]))</f>
        <v>#N/A</v>
      </c>
      <c r="X219" s="94" t="e">
        <f t="shared" si="3"/>
        <v>#N/A</v>
      </c>
    </row>
    <row r="220" spans="2:24" hidden="1" x14ac:dyDescent="0.35">
      <c r="B220" s="6" t="s">
        <v>638</v>
      </c>
      <c r="C220" s="97" t="s">
        <v>37</v>
      </c>
      <c r="D220" s="97" t="s">
        <v>435</v>
      </c>
      <c r="E220" s="23" t="str" cm="1">
        <f t="array" ref="E220">_xlfn.XLOOKUP(Table117821341[[#This Row],[Team]],Table4334[Team],'2425'!$C$3:$C$34)</f>
        <v>n/a</v>
      </c>
      <c r="F220" s="97" t="str">
        <f>_xlfn.XLOOKUP(Table117821341[[#This Row],[Team]],Table4334[Team],Table4334[OPP])</f>
        <v>n/a</v>
      </c>
      <c r="G220" s="148" t="str" cm="1">
        <f t="array" ref="G220">IF(Table117821341[[#This Row],[Pos.]]="QB1",_xlfn.XLOOKUP(Table117821341[[#This Row],[Opp]],Table123[DEF],'2425'!$G$3:$G$34),"#N/A")</f>
        <v>#N/A</v>
      </c>
      <c r="H220" s="148" t="str" cm="1">
        <f t="array" ref="H220">IF(Table117821341[[#This Row],[Pos.]]="QB1",_xlfn.XLOOKUP(Table117821341[[#This Row],[Opp]],Table123[DEF],'2425'!$J$3:$J$34),"#N/A")</f>
        <v>#N/A</v>
      </c>
      <c r="I220" s="148" t="str" cm="1">
        <f t="array" ref="I220">IF(Table117821341[[#This Row],[Pos.]]="QB1",_xlfn.XLOOKUP(Table117821341[[#This Row],[Opp]],Table123[DEF],'2425'!$K$3:$K$34),"#N/A")</f>
        <v>#N/A</v>
      </c>
      <c r="J220" s="148" t="e" cm="1">
        <f t="array" ref="J22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0" s="148" t="e" cm="1">
        <f t="array" ref="K22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0" s="148" t="e" cm="1">
        <f t="array" ref="L22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0" s="148" t="e" cm="1">
        <f t="array" ref="M22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0" s="148" t="e" cm="1">
        <f t="array" ref="N22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0" s="149" t="str">
        <f>IF(Table117821341[[#This Row],[Pos.]]="QB1",_xlfn.XLOOKUP(Table117821341[[#This Row],[Opp]],Table123[DEF],Table123[P]),"#N/A")</f>
        <v>#N/A</v>
      </c>
      <c r="P220" s="149" t="str">
        <f>IF(Table117821341[[#This Row],[Pos.]]="QB1",_xlfn.XLOOKUP(Table117821341[[#This Row],[Opp]],Table123[DEF],Table123[P+R]),"#N/A")</f>
        <v>#N/A</v>
      </c>
      <c r="Q220" s="150" t="str">
        <f>IF(Table117821341[[#This Row],[Pos.]]="QB1",_xlfn.XLOOKUP(Table117821341[[#This Row],[Opp]],Table123[DEF],Table123[P TD]),"#N/A")</f>
        <v>#N/A</v>
      </c>
      <c r="R220" s="149" t="e" cm="1">
        <f t="array" ref="R22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0" s="150" t="e" cm="1">
        <f t="array" ref="S22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0" s="150" t="e" cm="1">
        <f t="array" ref="T22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0" s="150" t="e" cm="1">
        <f t="array" ref="U22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0" s="150" t="e" cm="1">
        <f t="array" ref="V22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0" s="148" t="e" cm="1">
        <f t="array" ref="W220">_xlfn.IFS(Table117821341[[#This Row],[Pos.]]="QB1",AVERAGE(G220,H220,I220,J220,N220),Table117821341[[#This Row],[Pos.]]="RB1",AVERAGE(J220,K220,N220),Table117821341[[#This Row],[Pos.]]="RB2",AVERAGE(J220,K220,N220),Table117821341[[#This Row],[Pos.]]="WR1",AVERAGE(L220,M220,N220),Table117821341[[#This Row],[Pos.]]="WR2",AVERAGE(L220,M220,N220),Table117821341[[#This Row],[Pos.]]="WR3",AVERAGE(L220,M220,N220),Table117821341[[#This Row],[Pos.]]="WR4",AVERAGE(L220,M220,N220),Table117821341[[#This Row],[Pos.]]="TE1",AVERAGE(L220,M220,N220),Table117821341[[#This Row],[Pos.]]="TE2",AVERAGE(L220,M220,N220),Table117821341[[#This Row],[Pos.]]="D/ST",AVERAGE(Table117821341[[#This Row],[*TD*]]))</f>
        <v>#N/A</v>
      </c>
      <c r="X220" s="94" t="e">
        <f t="shared" si="3"/>
        <v>#N/A</v>
      </c>
    </row>
    <row r="221" spans="2:24" hidden="1" x14ac:dyDescent="0.35">
      <c r="B221" s="6" t="s">
        <v>147</v>
      </c>
      <c r="C221" s="97" t="s">
        <v>16</v>
      </c>
      <c r="D221" s="97" t="s">
        <v>68</v>
      </c>
      <c r="E221" s="23" t="str" cm="1">
        <f t="array" ref="E221">_xlfn.XLOOKUP(Table117821341[[#This Row],[Team]],Table4334[Team],'2425'!$C$3:$C$34)</f>
        <v>n/a</v>
      </c>
      <c r="F221" s="97" t="str">
        <f>_xlfn.XLOOKUP(Table117821341[[#This Row],[Team]],Table4334[Team],Table4334[OPP])</f>
        <v>n/a</v>
      </c>
      <c r="G221" s="148" t="str" cm="1">
        <f t="array" ref="G221">IF(Table117821341[[#This Row],[Pos.]]="QB1",_xlfn.XLOOKUP(Table117821341[[#This Row],[Opp]],Table123[DEF],'2425'!$G$3:$G$34),"#N/A")</f>
        <v>#N/A</v>
      </c>
      <c r="H221" s="148" t="str" cm="1">
        <f t="array" ref="H221">IF(Table117821341[[#This Row],[Pos.]]="QB1",_xlfn.XLOOKUP(Table117821341[[#This Row],[Opp]],Table123[DEF],'2425'!$J$3:$J$34),"#N/A")</f>
        <v>#N/A</v>
      </c>
      <c r="I221" s="148" t="str" cm="1">
        <f t="array" ref="I221">IF(Table117821341[[#This Row],[Pos.]]="QB1",_xlfn.XLOOKUP(Table117821341[[#This Row],[Opp]],Table123[DEF],'2425'!$K$3:$K$34),"#N/A")</f>
        <v>#N/A</v>
      </c>
      <c r="J221" s="148" t="e" cm="1">
        <f t="array" ref="J22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1" s="148" t="e" cm="1">
        <f t="array" ref="K22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1" s="148" t="e" cm="1">
        <f t="array" ref="L22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1" s="148" t="e" cm="1">
        <f t="array" ref="M22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1" s="148" t="e" cm="1">
        <f t="array" ref="N22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1" s="149" t="str">
        <f>IF(Table117821341[[#This Row],[Pos.]]="QB1",_xlfn.XLOOKUP(Table117821341[[#This Row],[Opp]],Table123[DEF],Table123[P]),"#N/A")</f>
        <v>#N/A</v>
      </c>
      <c r="P221" s="149" t="str">
        <f>IF(Table117821341[[#This Row],[Pos.]]="QB1",_xlfn.XLOOKUP(Table117821341[[#This Row],[Opp]],Table123[DEF],Table123[P+R]),"#N/A")</f>
        <v>#N/A</v>
      </c>
      <c r="Q221" s="150" t="str">
        <f>IF(Table117821341[[#This Row],[Pos.]]="QB1",_xlfn.XLOOKUP(Table117821341[[#This Row],[Opp]],Table123[DEF],Table123[P TD]),"#N/A")</f>
        <v>#N/A</v>
      </c>
      <c r="R221" s="149" t="e" cm="1">
        <f t="array" ref="R22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1" s="150" t="e" cm="1">
        <f t="array" ref="S22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1" s="150" t="e" cm="1">
        <f t="array" ref="T22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1" s="150" t="e" cm="1">
        <f t="array" ref="U22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1" s="162" t="e" cm="1">
        <f t="array" ref="V22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1" s="148" t="e" cm="1">
        <f t="array" ref="W221">_xlfn.IFS(Table117821341[[#This Row],[Pos.]]="QB1",AVERAGE(G221,H221,I221,J221,N221),Table117821341[[#This Row],[Pos.]]="RB1",AVERAGE(J221,K221,N221),Table117821341[[#This Row],[Pos.]]="RB2",AVERAGE(J221,K221,N221),Table117821341[[#This Row],[Pos.]]="WR1",AVERAGE(L221,M221,N221),Table117821341[[#This Row],[Pos.]]="WR2",AVERAGE(L221,M221,N221),Table117821341[[#This Row],[Pos.]]="WR3",AVERAGE(L221,M221,N221),Table117821341[[#This Row],[Pos.]]="WR4",AVERAGE(L221,M221,N221),Table117821341[[#This Row],[Pos.]]="TE1",AVERAGE(L221,M221,N221),Table117821341[[#This Row],[Pos.]]="TE2",AVERAGE(L221,M221,N221),Table117821341[[#This Row],[Pos.]]="D/ST",AVERAGE(Table117821341[[#This Row],[*TD*]]))</f>
        <v>#N/A</v>
      </c>
      <c r="X221" s="94" t="e">
        <f t="shared" si="3"/>
        <v>#N/A</v>
      </c>
    </row>
    <row r="222" spans="2:24" hidden="1" x14ac:dyDescent="0.35">
      <c r="B222" s="6" t="s">
        <v>728</v>
      </c>
      <c r="C222" s="97" t="s">
        <v>47</v>
      </c>
      <c r="D222" s="97" t="s">
        <v>71</v>
      </c>
      <c r="E222" s="23" t="str" cm="1">
        <f t="array" ref="E222">_xlfn.XLOOKUP(Table117821341[[#This Row],[Team]],Table4334[Team],'2425'!$C$3:$C$34)</f>
        <v>n/a</v>
      </c>
      <c r="F222" s="97" t="str">
        <f>_xlfn.XLOOKUP(Table117821341[[#This Row],[Team]],Table4334[Team],Table4334[OPP])</f>
        <v>n/a</v>
      </c>
      <c r="G222" s="148" t="str" cm="1">
        <f t="array" ref="G222">IF(Table117821341[[#This Row],[Pos.]]="QB1",_xlfn.XLOOKUP(Table117821341[[#This Row],[Opp]],Table123[DEF],'2425'!$G$3:$G$34),"#N/A")</f>
        <v>#N/A</v>
      </c>
      <c r="H222" s="148" t="str" cm="1">
        <f t="array" ref="H222">IF(Table117821341[[#This Row],[Pos.]]="QB1",_xlfn.XLOOKUP(Table117821341[[#This Row],[Opp]],Table123[DEF],'2425'!$J$3:$J$34),"#N/A")</f>
        <v>#N/A</v>
      </c>
      <c r="I222" s="148" t="str" cm="1">
        <f t="array" ref="I222">IF(Table117821341[[#This Row],[Pos.]]="QB1",_xlfn.XLOOKUP(Table117821341[[#This Row],[Opp]],Table123[DEF],'2425'!$K$3:$K$34),"#N/A")</f>
        <v>#N/A</v>
      </c>
      <c r="J222" s="148" t="e" cm="1">
        <f t="array" ref="J22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2" s="148" t="e" cm="1">
        <f t="array" ref="K22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2" s="148" t="e" cm="1">
        <f t="array" ref="L22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2" s="148" t="e" cm="1">
        <f t="array" ref="M22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2" s="148" t="e" cm="1">
        <f t="array" ref="N22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2" s="149" t="str">
        <f>IF(Table117821341[[#This Row],[Pos.]]="QB1",_xlfn.XLOOKUP(Table117821341[[#This Row],[Opp]],Table123[DEF],Table123[P]),"#N/A")</f>
        <v>#N/A</v>
      </c>
      <c r="P222" s="149" t="str">
        <f>IF(Table117821341[[#This Row],[Pos.]]="QB1",_xlfn.XLOOKUP(Table117821341[[#This Row],[Opp]],Table123[DEF],Table123[P+R]),"#N/A")</f>
        <v>#N/A</v>
      </c>
      <c r="Q222" s="150" t="str">
        <f>IF(Table117821341[[#This Row],[Pos.]]="QB1",_xlfn.XLOOKUP(Table117821341[[#This Row],[Opp]],Table123[DEF],Table123[P TD]),"#N/A")</f>
        <v>#N/A</v>
      </c>
      <c r="R222" s="149" t="e" cm="1">
        <f t="array" ref="R22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2" s="150" t="e" cm="1">
        <f t="array" ref="S22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2" s="150" t="e" cm="1">
        <f t="array" ref="T22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2" s="150" t="e" cm="1">
        <f t="array" ref="U22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2" s="162" t="e" cm="1">
        <f t="array" ref="V22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2" s="148" t="e" cm="1">
        <f t="array" ref="W222">_xlfn.IFS(Table117821341[[#This Row],[Pos.]]="QB1",AVERAGE(G222,H222,I222,J222,N222),Table117821341[[#This Row],[Pos.]]="RB1",AVERAGE(J222,K222,N222),Table117821341[[#This Row],[Pos.]]="RB2",AVERAGE(J222,K222,N222),Table117821341[[#This Row],[Pos.]]="WR1",AVERAGE(L222,M222,N222),Table117821341[[#This Row],[Pos.]]="WR2",AVERAGE(L222,M222,N222),Table117821341[[#This Row],[Pos.]]="WR3",AVERAGE(L222,M222,N222),Table117821341[[#This Row],[Pos.]]="WR4",AVERAGE(L222,M222,N222),Table117821341[[#This Row],[Pos.]]="TE1",AVERAGE(L222,M222,N222),Table117821341[[#This Row],[Pos.]]="TE2",AVERAGE(L222,M222,N222),Table117821341[[#This Row],[Pos.]]="D/ST",AVERAGE(Table117821341[[#This Row],[*TD*]]))</f>
        <v>#N/A</v>
      </c>
      <c r="X222" s="94" t="e">
        <f t="shared" si="3"/>
        <v>#N/A</v>
      </c>
    </row>
    <row r="223" spans="2:24" hidden="1" x14ac:dyDescent="0.35">
      <c r="B223" s="6" t="s">
        <v>330</v>
      </c>
      <c r="C223" s="97" t="s">
        <v>49</v>
      </c>
      <c r="D223" s="97" t="s">
        <v>399</v>
      </c>
      <c r="E223" s="23" t="str" cm="1">
        <f t="array" ref="E223">_xlfn.XLOOKUP(Table117821341[[#This Row],[Team]],Table4334[Team],'2425'!$C$3:$C$34)</f>
        <v>n/a</v>
      </c>
      <c r="F223" s="97" t="str">
        <f>_xlfn.XLOOKUP(Table117821341[[#This Row],[Team]],Table4334[Team],Table4334[OPP])</f>
        <v>n/a</v>
      </c>
      <c r="G223" s="148" t="e" cm="1">
        <f t="array" ref="G223">IF(Table117821341[[#This Row],[Pos.]]="QB1",_xlfn.XLOOKUP(Table117821341[[#This Row],[Opp]],Table123[DEF],'2425'!$G$3:$G$34),"#N/A")</f>
        <v>#N/A</v>
      </c>
      <c r="H223" s="148" t="e" cm="1">
        <f t="array" ref="H223">IF(Table117821341[[#This Row],[Pos.]]="QB1",_xlfn.XLOOKUP(Table117821341[[#This Row],[Opp]],Table123[DEF],'2425'!$J$3:$J$34),"#N/A")</f>
        <v>#N/A</v>
      </c>
      <c r="I223" s="148" t="e" cm="1">
        <f t="array" ref="I223">IF(Table117821341[[#This Row],[Pos.]]="QB1",_xlfn.XLOOKUP(Table117821341[[#This Row],[Opp]],Table123[DEF],'2425'!$K$3:$K$34),"#N/A")</f>
        <v>#N/A</v>
      </c>
      <c r="J223" s="148" t="e" cm="1">
        <f t="array" ref="J22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3" s="148" t="e" cm="1">
        <f t="array" ref="K22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3" s="148" t="e" cm="1">
        <f t="array" ref="L22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3" s="148" t="e" cm="1">
        <f t="array" ref="M22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3" s="148" t="e" cm="1">
        <f t="array" ref="N22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3" s="149" t="e">
        <f>IF(Table117821341[[#This Row],[Pos.]]="QB1",_xlfn.XLOOKUP(Table117821341[[#This Row],[Opp]],Table123[DEF],Table123[P]),"#N/A")</f>
        <v>#N/A</v>
      </c>
      <c r="P223" s="149" t="e">
        <f>IF(Table117821341[[#This Row],[Pos.]]="QB1",_xlfn.XLOOKUP(Table117821341[[#This Row],[Opp]],Table123[DEF],Table123[P+R]),"#N/A")</f>
        <v>#N/A</v>
      </c>
      <c r="Q223" s="150" t="e">
        <f>IF(Table117821341[[#This Row],[Pos.]]="QB1",_xlfn.XLOOKUP(Table117821341[[#This Row],[Opp]],Table123[DEF],Table123[P TD]),"#N/A")</f>
        <v>#N/A</v>
      </c>
      <c r="R223" s="149" t="e" cm="1">
        <f t="array" ref="R22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3" s="150" t="e" cm="1">
        <f t="array" ref="S22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3" s="150" t="e" cm="1">
        <f t="array" ref="T22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3" s="150" t="e" cm="1">
        <f t="array" ref="U22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3" s="162" t="e" cm="1">
        <f t="array" ref="V22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3" s="148" t="e" cm="1">
        <f t="array" ref="W223">_xlfn.IFS(Table117821341[[#This Row],[Pos.]]="QB1",AVERAGE(G223,H223,I223,J223,N223),Table117821341[[#This Row],[Pos.]]="RB1",AVERAGE(J223,K223,N223),Table117821341[[#This Row],[Pos.]]="RB2",AVERAGE(J223,K223,N223),Table117821341[[#This Row],[Pos.]]="WR1",AVERAGE(L223,M223,N223),Table117821341[[#This Row],[Pos.]]="WR2",AVERAGE(L223,M223,N223),Table117821341[[#This Row],[Pos.]]="WR3",AVERAGE(L223,M223,N223),Table117821341[[#This Row],[Pos.]]="WR4",AVERAGE(L223,M223,N223),Table117821341[[#This Row],[Pos.]]="TE1",AVERAGE(L223,M223,N223),Table117821341[[#This Row],[Pos.]]="TE2",AVERAGE(L223,M223,N223),Table117821341[[#This Row],[Pos.]]="D/ST",AVERAGE(Table117821341[[#This Row],[*TD*]]))</f>
        <v>#N/A</v>
      </c>
      <c r="X223" s="94" t="e">
        <f t="shared" si="3"/>
        <v>#N/A</v>
      </c>
    </row>
    <row r="224" spans="2:24" hidden="1" x14ac:dyDescent="0.35">
      <c r="B224" s="6" t="s">
        <v>376</v>
      </c>
      <c r="C224" s="97" t="s">
        <v>55</v>
      </c>
      <c r="D224" s="97" t="s">
        <v>399</v>
      </c>
      <c r="E224" s="23" t="str" cm="1">
        <f t="array" ref="E224">_xlfn.XLOOKUP(Table117821341[[#This Row],[Team]],Table4334[Team],'2425'!$C$3:$C$34)</f>
        <v>n/a</v>
      </c>
      <c r="F224" s="97" t="str">
        <f>_xlfn.XLOOKUP(Table117821341[[#This Row],[Team]],Table4334[Team],Table4334[OPP])</f>
        <v>n/a</v>
      </c>
      <c r="G224" s="148" t="e" cm="1">
        <f t="array" ref="G224">IF(Table117821341[[#This Row],[Pos.]]="QB1",_xlfn.XLOOKUP(Table117821341[[#This Row],[Opp]],Table123[DEF],'2425'!$G$3:$G$34),"#N/A")</f>
        <v>#N/A</v>
      </c>
      <c r="H224" s="148" t="e" cm="1">
        <f t="array" ref="H224">IF(Table117821341[[#This Row],[Pos.]]="QB1",_xlfn.XLOOKUP(Table117821341[[#This Row],[Opp]],Table123[DEF],'2425'!$J$3:$J$34),"#N/A")</f>
        <v>#N/A</v>
      </c>
      <c r="I224" s="148" t="e" cm="1">
        <f t="array" ref="I224">IF(Table117821341[[#This Row],[Pos.]]="QB1",_xlfn.XLOOKUP(Table117821341[[#This Row],[Opp]],Table123[DEF],'2425'!$K$3:$K$34),"#N/A")</f>
        <v>#N/A</v>
      </c>
      <c r="J224" s="148" t="e" cm="1">
        <f t="array" ref="J22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4" s="148" t="e" cm="1">
        <f t="array" ref="K22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4" s="148" t="e" cm="1">
        <f t="array" ref="L22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4" s="148" t="e" cm="1">
        <f t="array" ref="M22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4" s="148" t="e" cm="1">
        <f t="array" ref="N22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4" s="149" t="e">
        <f>IF(Table117821341[[#This Row],[Pos.]]="QB1",_xlfn.XLOOKUP(Table117821341[[#This Row],[Opp]],Table123[DEF],Table123[P]),"#N/A")</f>
        <v>#N/A</v>
      </c>
      <c r="P224" s="149" t="e">
        <f>IF(Table117821341[[#This Row],[Pos.]]="QB1",_xlfn.XLOOKUP(Table117821341[[#This Row],[Opp]],Table123[DEF],Table123[P+R]),"#N/A")</f>
        <v>#N/A</v>
      </c>
      <c r="Q224" s="150" t="e">
        <f>IF(Table117821341[[#This Row],[Pos.]]="QB1",_xlfn.XLOOKUP(Table117821341[[#This Row],[Opp]],Table123[DEF],Table123[P TD]),"#N/A")</f>
        <v>#N/A</v>
      </c>
      <c r="R224" s="149" t="e" cm="1">
        <f t="array" ref="R22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4" s="150" t="e" cm="1">
        <f t="array" ref="S22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4" s="150" t="e" cm="1">
        <f t="array" ref="T22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4" s="150" t="e" cm="1">
        <f t="array" ref="U22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4" s="162" t="e" cm="1">
        <f t="array" ref="V22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4" s="148" t="e" cm="1">
        <f t="array" ref="W224">_xlfn.IFS(Table117821341[[#This Row],[Pos.]]="QB1",AVERAGE(G224,H224,I224,J224,N224),Table117821341[[#This Row],[Pos.]]="RB1",AVERAGE(J224,K224,N224),Table117821341[[#This Row],[Pos.]]="RB2",AVERAGE(J224,K224,N224),Table117821341[[#This Row],[Pos.]]="WR1",AVERAGE(L224,M224,N224),Table117821341[[#This Row],[Pos.]]="WR2",AVERAGE(L224,M224,N224),Table117821341[[#This Row],[Pos.]]="WR3",AVERAGE(L224,M224,N224),Table117821341[[#This Row],[Pos.]]="WR4",AVERAGE(L224,M224,N224),Table117821341[[#This Row],[Pos.]]="TE1",AVERAGE(L224,M224,N224),Table117821341[[#This Row],[Pos.]]="TE2",AVERAGE(L224,M224,N224),Table117821341[[#This Row],[Pos.]]="D/ST",AVERAGE(Table117821341[[#This Row],[*TD*]]))</f>
        <v>#N/A</v>
      </c>
      <c r="X224" s="94" t="e">
        <f t="shared" si="3"/>
        <v>#N/A</v>
      </c>
    </row>
    <row r="225" spans="2:24" hidden="1" x14ac:dyDescent="0.35">
      <c r="B225" s="6" t="s">
        <v>225</v>
      </c>
      <c r="C225" s="97" t="s">
        <v>37</v>
      </c>
      <c r="D225" s="97" t="s">
        <v>403</v>
      </c>
      <c r="E225" s="23" t="str" cm="1">
        <f t="array" ref="E225">_xlfn.XLOOKUP(Table117821341[[#This Row],[Team]],Table4334[Team],'2425'!$C$3:$C$34)</f>
        <v>n/a</v>
      </c>
      <c r="F225" s="97" t="str">
        <f>_xlfn.XLOOKUP(Table117821341[[#This Row],[Team]],Table4334[Team],Table4334[OPP])</f>
        <v>n/a</v>
      </c>
      <c r="G225" s="148" t="str" cm="1">
        <f t="array" ref="G225">IF(Table117821341[[#This Row],[Pos.]]="QB1",_xlfn.XLOOKUP(Table117821341[[#This Row],[Opp]],Table123[DEF],'2425'!$G$3:$G$34),"#N/A")</f>
        <v>#N/A</v>
      </c>
      <c r="H225" s="148" t="str" cm="1">
        <f t="array" ref="H225">IF(Table117821341[[#This Row],[Pos.]]="QB1",_xlfn.XLOOKUP(Table117821341[[#This Row],[Opp]],Table123[DEF],'2425'!$J$3:$J$34),"#N/A")</f>
        <v>#N/A</v>
      </c>
      <c r="I225" s="148" t="str" cm="1">
        <f t="array" ref="I225">IF(Table117821341[[#This Row],[Pos.]]="QB1",_xlfn.XLOOKUP(Table117821341[[#This Row],[Opp]],Table123[DEF],'2425'!$K$3:$K$34),"#N/A")</f>
        <v>#N/A</v>
      </c>
      <c r="J225" s="148" t="e" cm="1">
        <f t="array" ref="J22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5" s="148" t="e" cm="1">
        <f t="array" ref="K22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5" s="148" t="e" cm="1">
        <f t="array" ref="L22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5" s="148" t="e" cm="1">
        <f t="array" ref="M22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5" s="148" t="e" cm="1">
        <f t="array" ref="N22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5" s="149" t="str">
        <f>IF(Table117821341[[#This Row],[Pos.]]="QB1",_xlfn.XLOOKUP(Table117821341[[#This Row],[Opp]],Table123[DEF],Table123[P]),"#N/A")</f>
        <v>#N/A</v>
      </c>
      <c r="P225" s="149" t="str">
        <f>IF(Table117821341[[#This Row],[Pos.]]="QB1",_xlfn.XLOOKUP(Table117821341[[#This Row],[Opp]],Table123[DEF],Table123[P+R]),"#N/A")</f>
        <v>#N/A</v>
      </c>
      <c r="Q225" s="150" t="str">
        <f>IF(Table117821341[[#This Row],[Pos.]]="QB1",_xlfn.XLOOKUP(Table117821341[[#This Row],[Opp]],Table123[DEF],Table123[P TD]),"#N/A")</f>
        <v>#N/A</v>
      </c>
      <c r="R225" s="149" t="e" cm="1">
        <f t="array" ref="R22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5" s="150" t="e" cm="1">
        <f t="array" ref="S22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5" s="150" t="e" cm="1">
        <f t="array" ref="T22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5" s="150" t="e" cm="1">
        <f t="array" ref="U22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5" s="150" t="e" cm="1">
        <f t="array" ref="V22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5" s="148" t="e" cm="1">
        <f t="array" ref="W225">_xlfn.IFS(Table117821341[[#This Row],[Pos.]]="QB1",AVERAGE(G225,H225,I225,J225,N225),Table117821341[[#This Row],[Pos.]]="RB1",AVERAGE(J225,K225,N225),Table117821341[[#This Row],[Pos.]]="RB2",AVERAGE(J225,K225,N225),Table117821341[[#This Row],[Pos.]]="WR1",AVERAGE(L225,M225,N225),Table117821341[[#This Row],[Pos.]]="WR2",AVERAGE(L225,M225,N225),Table117821341[[#This Row],[Pos.]]="WR3",AVERAGE(L225,M225,N225),Table117821341[[#This Row],[Pos.]]="WR4",AVERAGE(L225,M225,N225),Table117821341[[#This Row],[Pos.]]="TE1",AVERAGE(L225,M225,N225),Table117821341[[#This Row],[Pos.]]="TE2",AVERAGE(L225,M225,N225),Table117821341[[#This Row],[Pos.]]="D/ST",AVERAGE(Table117821341[[#This Row],[*TD*]]))</f>
        <v>#N/A</v>
      </c>
      <c r="X225" s="94" t="e">
        <f t="shared" si="3"/>
        <v>#N/A</v>
      </c>
    </row>
    <row r="226" spans="2:24" hidden="1" x14ac:dyDescent="0.35">
      <c r="B226" s="6" t="s">
        <v>634</v>
      </c>
      <c r="C226" s="97" t="s">
        <v>37</v>
      </c>
      <c r="D226" s="97" t="s">
        <v>411</v>
      </c>
      <c r="E226" s="23" t="str" cm="1">
        <f t="array" ref="E226">_xlfn.XLOOKUP(Table117821341[[#This Row],[Team]],Table4334[Team],'2425'!$C$3:$C$34)</f>
        <v>n/a</v>
      </c>
      <c r="F226" s="97" t="str">
        <f>_xlfn.XLOOKUP(Table117821341[[#This Row],[Team]],Table4334[Team],Table4334[OPP])</f>
        <v>n/a</v>
      </c>
      <c r="G226" s="148" t="str" cm="1">
        <f t="array" ref="G226">IF(Table117821341[[#This Row],[Pos.]]="QB1",_xlfn.XLOOKUP(Table117821341[[#This Row],[Opp]],Table123[DEF],'2425'!$G$3:$G$34),"#N/A")</f>
        <v>#N/A</v>
      </c>
      <c r="H226" s="148" t="str" cm="1">
        <f t="array" ref="H226">IF(Table117821341[[#This Row],[Pos.]]="QB1",_xlfn.XLOOKUP(Table117821341[[#This Row],[Opp]],Table123[DEF],'2425'!$J$3:$J$34),"#N/A")</f>
        <v>#N/A</v>
      </c>
      <c r="I226" s="148" t="str" cm="1">
        <f t="array" ref="I226">IF(Table117821341[[#This Row],[Pos.]]="QB1",_xlfn.XLOOKUP(Table117821341[[#This Row],[Opp]],Table123[DEF],'2425'!$K$3:$K$34),"#N/A")</f>
        <v>#N/A</v>
      </c>
      <c r="J226" s="148" t="e" cm="1">
        <f t="array" ref="J22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6" s="148" t="e" cm="1">
        <f t="array" ref="K22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6" s="148" t="e" cm="1">
        <f t="array" ref="L22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6" s="148" t="e" cm="1">
        <f t="array" ref="M22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6" s="148" t="e" cm="1">
        <f t="array" ref="N22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6" s="149" t="str">
        <f>IF(Table117821341[[#This Row],[Pos.]]="QB1",_xlfn.XLOOKUP(Table117821341[[#This Row],[Opp]],Table123[DEF],Table123[P]),"#N/A")</f>
        <v>#N/A</v>
      </c>
      <c r="P226" s="149" t="str">
        <f>IF(Table117821341[[#This Row],[Pos.]]="QB1",_xlfn.XLOOKUP(Table117821341[[#This Row],[Opp]],Table123[DEF],Table123[P+R]),"#N/A")</f>
        <v>#N/A</v>
      </c>
      <c r="Q226" s="150" t="str">
        <f>IF(Table117821341[[#This Row],[Pos.]]="QB1",_xlfn.XLOOKUP(Table117821341[[#This Row],[Opp]],Table123[DEF],Table123[P TD]),"#N/A")</f>
        <v>#N/A</v>
      </c>
      <c r="R226" s="149" t="e" cm="1">
        <f t="array" ref="R22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6" s="150" t="e" cm="1">
        <f t="array" ref="S22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6" s="150" t="e" cm="1">
        <f t="array" ref="T22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6" s="150" t="e" cm="1">
        <f t="array" ref="U22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6" s="150" t="e" cm="1">
        <f t="array" ref="V22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6" s="148" t="e" cm="1">
        <f t="array" ref="W226">_xlfn.IFS(Table117821341[[#This Row],[Pos.]]="QB1",AVERAGE(G226,H226,I226,J226,N226),Table117821341[[#This Row],[Pos.]]="RB1",AVERAGE(J226,K226,N226),Table117821341[[#This Row],[Pos.]]="RB2",AVERAGE(J226,K226,N226),Table117821341[[#This Row],[Pos.]]="WR1",AVERAGE(L226,M226,N226),Table117821341[[#This Row],[Pos.]]="WR2",AVERAGE(L226,M226,N226),Table117821341[[#This Row],[Pos.]]="WR3",AVERAGE(L226,M226,N226),Table117821341[[#This Row],[Pos.]]="WR4",AVERAGE(L226,M226,N226),Table117821341[[#This Row],[Pos.]]="TE1",AVERAGE(L226,M226,N226),Table117821341[[#This Row],[Pos.]]="TE2",AVERAGE(L226,M226,N226),Table117821341[[#This Row],[Pos.]]="D/ST",AVERAGE(Table117821341[[#This Row],[*TD*]]))</f>
        <v>#N/A</v>
      </c>
      <c r="X226" s="94" t="e">
        <f t="shared" si="3"/>
        <v>#N/A</v>
      </c>
    </row>
    <row r="227" spans="2:24" hidden="1" x14ac:dyDescent="0.35">
      <c r="B227" s="6" t="s">
        <v>633</v>
      </c>
      <c r="C227" s="97" t="s">
        <v>37</v>
      </c>
      <c r="D227" s="97" t="s">
        <v>441</v>
      </c>
      <c r="E227" s="23" t="str" cm="1">
        <f t="array" ref="E227">_xlfn.XLOOKUP(Table117821341[[#This Row],[Team]],Table4334[Team],'2425'!$C$3:$C$34)</f>
        <v>n/a</v>
      </c>
      <c r="F227" s="97" t="str">
        <f>_xlfn.XLOOKUP(Table117821341[[#This Row],[Team]],Table4334[Team],Table4334[OPP])</f>
        <v>n/a</v>
      </c>
      <c r="G227" s="148" t="str" cm="1">
        <f t="array" ref="G227">IF(Table117821341[[#This Row],[Pos.]]="QB1",_xlfn.XLOOKUP(Table117821341[[#This Row],[Opp]],Table123[DEF],'2425'!$G$3:$G$34),"#N/A")</f>
        <v>#N/A</v>
      </c>
      <c r="H227" s="148" t="str" cm="1">
        <f t="array" ref="H227">IF(Table117821341[[#This Row],[Pos.]]="QB1",_xlfn.XLOOKUP(Table117821341[[#This Row],[Opp]],Table123[DEF],'2425'!$J$3:$J$34),"#N/A")</f>
        <v>#N/A</v>
      </c>
      <c r="I227" s="148" t="str" cm="1">
        <f t="array" ref="I227">IF(Table117821341[[#This Row],[Pos.]]="QB1",_xlfn.XLOOKUP(Table117821341[[#This Row],[Opp]],Table123[DEF],'2425'!$K$3:$K$34),"#N/A")</f>
        <v>#N/A</v>
      </c>
      <c r="J227" s="148" t="e" cm="1">
        <f t="array" ref="J22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7" s="148" t="e" cm="1">
        <f t="array" ref="K22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7" s="148" t="e" cm="1">
        <f t="array" ref="L22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7" s="148" t="e" cm="1">
        <f t="array" ref="M22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7" s="148" t="e" cm="1">
        <f t="array" ref="N22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7" s="149" t="str">
        <f>IF(Table117821341[[#This Row],[Pos.]]="QB1",_xlfn.XLOOKUP(Table117821341[[#This Row],[Opp]],Table123[DEF],Table123[P]),"#N/A")</f>
        <v>#N/A</v>
      </c>
      <c r="P227" s="149" t="str">
        <f>IF(Table117821341[[#This Row],[Pos.]]="QB1",_xlfn.XLOOKUP(Table117821341[[#This Row],[Opp]],Table123[DEF],Table123[P+R]),"#N/A")</f>
        <v>#N/A</v>
      </c>
      <c r="Q227" s="150" t="str">
        <f>IF(Table117821341[[#This Row],[Pos.]]="QB1",_xlfn.XLOOKUP(Table117821341[[#This Row],[Opp]],Table123[DEF],Table123[P TD]),"#N/A")</f>
        <v>#N/A</v>
      </c>
      <c r="R227" s="149" t="e" cm="1">
        <f t="array" ref="R22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7" s="150" t="e" cm="1">
        <f t="array" ref="S22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7" s="150" t="e" cm="1">
        <f t="array" ref="T22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7" s="150" t="e" cm="1">
        <f t="array" ref="U22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7" s="150" t="e" cm="1">
        <f t="array" ref="V22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7" s="148" t="e" cm="1">
        <f t="array" ref="W227">_xlfn.IFS(Table117821341[[#This Row],[Pos.]]="QB1",AVERAGE(G227,H227,I227,J227,N227),Table117821341[[#This Row],[Pos.]]="RB1",AVERAGE(J227,K227,N227),Table117821341[[#This Row],[Pos.]]="RB2",AVERAGE(J227,K227,N227),Table117821341[[#This Row],[Pos.]]="WR1",AVERAGE(L227,M227,N227),Table117821341[[#This Row],[Pos.]]="WR2",AVERAGE(L227,M227,N227),Table117821341[[#This Row],[Pos.]]="WR3",AVERAGE(L227,M227,N227),Table117821341[[#This Row],[Pos.]]="WR4",AVERAGE(L227,M227,N227),Table117821341[[#This Row],[Pos.]]="TE1",AVERAGE(L227,M227,N227),Table117821341[[#This Row],[Pos.]]="TE2",AVERAGE(L227,M227,N227),Table117821341[[#This Row],[Pos.]]="D/ST",AVERAGE(Table117821341[[#This Row],[*TD*]]))</f>
        <v>#N/A</v>
      </c>
      <c r="X227" s="94" t="e">
        <f t="shared" si="3"/>
        <v>#N/A</v>
      </c>
    </row>
    <row r="228" spans="2:24" hidden="1" x14ac:dyDescent="0.35">
      <c r="B228" s="6" t="s">
        <v>635</v>
      </c>
      <c r="C228" s="97" t="s">
        <v>37</v>
      </c>
      <c r="D228" s="97" t="s">
        <v>443</v>
      </c>
      <c r="E228" s="23" t="str" cm="1">
        <f t="array" ref="E228">_xlfn.XLOOKUP(Table117821341[[#This Row],[Team]],Table4334[Team],'2425'!$C$3:$C$34)</f>
        <v>n/a</v>
      </c>
      <c r="F228" s="97" t="str">
        <f>_xlfn.XLOOKUP(Table117821341[[#This Row],[Team]],Table4334[Team],Table4334[OPP])</f>
        <v>n/a</v>
      </c>
      <c r="G228" s="148" t="str" cm="1">
        <f t="array" ref="G228">IF(Table117821341[[#This Row],[Pos.]]="QB1",_xlfn.XLOOKUP(Table117821341[[#This Row],[Opp]],Table123[DEF],'2425'!$G$3:$G$34),"#N/A")</f>
        <v>#N/A</v>
      </c>
      <c r="H228" s="148" t="str" cm="1">
        <f t="array" ref="H228">IF(Table117821341[[#This Row],[Pos.]]="QB1",_xlfn.XLOOKUP(Table117821341[[#This Row],[Opp]],Table123[DEF],'2425'!$J$3:$J$34),"#N/A")</f>
        <v>#N/A</v>
      </c>
      <c r="I228" s="148" t="str" cm="1">
        <f t="array" ref="I228">IF(Table117821341[[#This Row],[Pos.]]="QB1",_xlfn.XLOOKUP(Table117821341[[#This Row],[Opp]],Table123[DEF],'2425'!$K$3:$K$34),"#N/A")</f>
        <v>#N/A</v>
      </c>
      <c r="J228" s="148" t="e" cm="1">
        <f t="array" ref="J22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8" s="148" t="e" cm="1">
        <f t="array" ref="K22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8" s="148" t="e" cm="1">
        <f t="array" ref="L22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8" s="148" t="e" cm="1">
        <f t="array" ref="M22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8" s="148" t="e" cm="1">
        <f t="array" ref="N22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8" s="149" t="str">
        <f>IF(Table117821341[[#This Row],[Pos.]]="QB1",_xlfn.XLOOKUP(Table117821341[[#This Row],[Opp]],Table123[DEF],Table123[P]),"#N/A")</f>
        <v>#N/A</v>
      </c>
      <c r="P228" s="149" t="str">
        <f>IF(Table117821341[[#This Row],[Pos.]]="QB1",_xlfn.XLOOKUP(Table117821341[[#This Row],[Opp]],Table123[DEF],Table123[P+R]),"#N/A")</f>
        <v>#N/A</v>
      </c>
      <c r="Q228" s="150" t="str">
        <f>IF(Table117821341[[#This Row],[Pos.]]="QB1",_xlfn.XLOOKUP(Table117821341[[#This Row],[Opp]],Table123[DEF],Table123[P TD]),"#N/A")</f>
        <v>#N/A</v>
      </c>
      <c r="R228" s="149" t="e" cm="1">
        <f t="array" ref="R22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8" s="150" t="e" cm="1">
        <f t="array" ref="S22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8" s="150" t="e" cm="1">
        <f t="array" ref="T22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8" s="150" t="e" cm="1">
        <f t="array" ref="U22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8" s="150" t="e" cm="1">
        <f t="array" ref="V22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8" s="148" t="e" cm="1">
        <f t="array" ref="W228">_xlfn.IFS(Table117821341[[#This Row],[Pos.]]="QB1",AVERAGE(G228,H228,I228,J228,N228),Table117821341[[#This Row],[Pos.]]="RB1",AVERAGE(J228,K228,N228),Table117821341[[#This Row],[Pos.]]="RB2",AVERAGE(J228,K228,N228),Table117821341[[#This Row],[Pos.]]="WR1",AVERAGE(L228,M228,N228),Table117821341[[#This Row],[Pos.]]="WR2",AVERAGE(L228,M228,N228),Table117821341[[#This Row],[Pos.]]="WR3",AVERAGE(L228,M228,N228),Table117821341[[#This Row],[Pos.]]="WR4",AVERAGE(L228,M228,N228),Table117821341[[#This Row],[Pos.]]="TE1",AVERAGE(L228,M228,N228),Table117821341[[#This Row],[Pos.]]="TE2",AVERAGE(L228,M228,N228),Table117821341[[#This Row],[Pos.]]="D/ST",AVERAGE(Table117821341[[#This Row],[*TD*]]))</f>
        <v>#N/A</v>
      </c>
      <c r="X228" s="94" t="e">
        <f t="shared" si="3"/>
        <v>#N/A</v>
      </c>
    </row>
    <row r="229" spans="2:24" hidden="1" x14ac:dyDescent="0.35">
      <c r="B229" s="6" t="s">
        <v>707</v>
      </c>
      <c r="C229" s="97" t="s">
        <v>15</v>
      </c>
      <c r="D229" s="97" t="s">
        <v>71</v>
      </c>
      <c r="E229" s="23" t="str" cm="1">
        <f t="array" ref="E229">_xlfn.XLOOKUP(Table117821341[[#This Row],[Team]],Table4334[Team],'2425'!$C$3:$C$34)</f>
        <v>n/a</v>
      </c>
      <c r="F229" s="97" t="str">
        <f>_xlfn.XLOOKUP(Table117821341[[#This Row],[Team]],Table4334[Team],Table4334[OPP])</f>
        <v>n/a</v>
      </c>
      <c r="G229" s="148" t="str" cm="1">
        <f t="array" ref="G229">IF(Table117821341[[#This Row],[Pos.]]="QB1",_xlfn.XLOOKUP(Table117821341[[#This Row],[Opp]],Table123[DEF],'2425'!$G$3:$G$34),"#N/A")</f>
        <v>#N/A</v>
      </c>
      <c r="H229" s="148" t="str" cm="1">
        <f t="array" ref="H229">IF(Table117821341[[#This Row],[Pos.]]="QB1",_xlfn.XLOOKUP(Table117821341[[#This Row],[Opp]],Table123[DEF],'2425'!$J$3:$J$34),"#N/A")</f>
        <v>#N/A</v>
      </c>
      <c r="I229" s="148" t="str" cm="1">
        <f t="array" ref="I229">IF(Table117821341[[#This Row],[Pos.]]="QB1",_xlfn.XLOOKUP(Table117821341[[#This Row],[Opp]],Table123[DEF],'2425'!$K$3:$K$34),"#N/A")</f>
        <v>#N/A</v>
      </c>
      <c r="J229" s="148" t="e" cm="1">
        <f t="array" ref="J22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29" s="148" t="e" cm="1">
        <f t="array" ref="K22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29" s="148" t="e" cm="1">
        <f t="array" ref="L22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29" s="148" t="e" cm="1">
        <f t="array" ref="M22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29" s="148" t="e" cm="1">
        <f t="array" ref="N22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29" s="149" t="str">
        <f>IF(Table117821341[[#This Row],[Pos.]]="QB1",_xlfn.XLOOKUP(Table117821341[[#This Row],[Opp]],Table123[DEF],Table123[P]),"#N/A")</f>
        <v>#N/A</v>
      </c>
      <c r="P229" s="149" t="str">
        <f>IF(Table117821341[[#This Row],[Pos.]]="QB1",_xlfn.XLOOKUP(Table117821341[[#This Row],[Opp]],Table123[DEF],Table123[P+R]),"#N/A")</f>
        <v>#N/A</v>
      </c>
      <c r="Q229" s="150" t="str">
        <f>IF(Table117821341[[#This Row],[Pos.]]="QB1",_xlfn.XLOOKUP(Table117821341[[#This Row],[Opp]],Table123[DEF],Table123[P TD]),"#N/A")</f>
        <v>#N/A</v>
      </c>
      <c r="R229" s="149" t="e" cm="1">
        <f t="array" ref="R22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29" s="150" t="e" cm="1">
        <f t="array" ref="S22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29" s="150" t="e" cm="1">
        <f t="array" ref="T22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29" s="150" t="e" cm="1">
        <f t="array" ref="U22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29" s="162" t="e" cm="1">
        <f t="array" ref="V22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29" s="148" t="e" cm="1">
        <f t="array" ref="W229">_xlfn.IFS(Table117821341[[#This Row],[Pos.]]="QB1",AVERAGE(G229,H229,I229,J229,N229),Table117821341[[#This Row],[Pos.]]="RB1",AVERAGE(J229,K229,N229),Table117821341[[#This Row],[Pos.]]="RB2",AVERAGE(J229,K229,N229),Table117821341[[#This Row],[Pos.]]="WR1",AVERAGE(L229,M229,N229),Table117821341[[#This Row],[Pos.]]="WR2",AVERAGE(L229,M229,N229),Table117821341[[#This Row],[Pos.]]="WR3",AVERAGE(L229,M229,N229),Table117821341[[#This Row],[Pos.]]="WR4",AVERAGE(L229,M229,N229),Table117821341[[#This Row],[Pos.]]="TE1",AVERAGE(L229,M229,N229),Table117821341[[#This Row],[Pos.]]="TE2",AVERAGE(L229,M229,N229),Table117821341[[#This Row],[Pos.]]="D/ST",AVERAGE(Table117821341[[#This Row],[*TD*]]))</f>
        <v>#N/A</v>
      </c>
      <c r="X229" s="94" t="e">
        <f t="shared" si="3"/>
        <v>#N/A</v>
      </c>
    </row>
    <row r="230" spans="2:24" hidden="1" x14ac:dyDescent="0.35">
      <c r="B230" s="6" t="s">
        <v>725</v>
      </c>
      <c r="C230" s="97" t="s">
        <v>44</v>
      </c>
      <c r="D230" s="97" t="s">
        <v>71</v>
      </c>
      <c r="E230" s="23" t="str" cm="1">
        <f t="array" ref="E230">_xlfn.XLOOKUP(Table117821341[[#This Row],[Team]],Table4334[Team],'2425'!$C$3:$C$34)</f>
        <v>n/a</v>
      </c>
      <c r="F230" s="97" t="str">
        <f>_xlfn.XLOOKUP(Table117821341[[#This Row],[Team]],Table4334[Team],Table4334[OPP])</f>
        <v>n/a</v>
      </c>
      <c r="G230" s="148" t="str" cm="1">
        <f t="array" ref="G230">IF(Table117821341[[#This Row],[Pos.]]="QB1",_xlfn.XLOOKUP(Table117821341[[#This Row],[Opp]],Table123[DEF],'2425'!$G$3:$G$34),"#N/A")</f>
        <v>#N/A</v>
      </c>
      <c r="H230" s="148" t="str" cm="1">
        <f t="array" ref="H230">IF(Table117821341[[#This Row],[Pos.]]="QB1",_xlfn.XLOOKUP(Table117821341[[#This Row],[Opp]],Table123[DEF],'2425'!$J$3:$J$34),"#N/A")</f>
        <v>#N/A</v>
      </c>
      <c r="I230" s="148" t="str" cm="1">
        <f t="array" ref="I230">IF(Table117821341[[#This Row],[Pos.]]="QB1",_xlfn.XLOOKUP(Table117821341[[#This Row],[Opp]],Table123[DEF],'2425'!$K$3:$K$34),"#N/A")</f>
        <v>#N/A</v>
      </c>
      <c r="J230" s="148" t="e" cm="1">
        <f t="array" ref="J23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0" s="148" t="e" cm="1">
        <f t="array" ref="K23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0" s="148" t="e" cm="1">
        <f t="array" ref="L23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0" s="148" t="e" cm="1">
        <f t="array" ref="M23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0" s="148" t="e" cm="1">
        <f t="array" ref="N23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0" s="149" t="str">
        <f>IF(Table117821341[[#This Row],[Pos.]]="QB1",_xlfn.XLOOKUP(Table117821341[[#This Row],[Opp]],Table123[DEF],Table123[P]),"#N/A")</f>
        <v>#N/A</v>
      </c>
      <c r="P230" s="149" t="str">
        <f>IF(Table117821341[[#This Row],[Pos.]]="QB1",_xlfn.XLOOKUP(Table117821341[[#This Row],[Opp]],Table123[DEF],Table123[P+R]),"#N/A")</f>
        <v>#N/A</v>
      </c>
      <c r="Q230" s="150" t="str">
        <f>IF(Table117821341[[#This Row],[Pos.]]="QB1",_xlfn.XLOOKUP(Table117821341[[#This Row],[Opp]],Table123[DEF],Table123[P TD]),"#N/A")</f>
        <v>#N/A</v>
      </c>
      <c r="R230" s="149" t="e" cm="1">
        <f t="array" ref="R23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0" s="150" t="e" cm="1">
        <f t="array" ref="S23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0" s="150" t="e" cm="1">
        <f t="array" ref="T23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0" s="150" t="e" cm="1">
        <f t="array" ref="U23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0" s="162" t="e" cm="1">
        <f t="array" ref="V23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0" s="148" t="e" cm="1">
        <f t="array" ref="W230">_xlfn.IFS(Table117821341[[#This Row],[Pos.]]="QB1",AVERAGE(G230,H230,I230,J230,N230),Table117821341[[#This Row],[Pos.]]="RB1",AVERAGE(J230,K230,N230),Table117821341[[#This Row],[Pos.]]="RB2",AVERAGE(J230,K230,N230),Table117821341[[#This Row],[Pos.]]="WR1",AVERAGE(L230,M230,N230),Table117821341[[#This Row],[Pos.]]="WR2",AVERAGE(L230,M230,N230),Table117821341[[#This Row],[Pos.]]="WR3",AVERAGE(L230,M230,N230),Table117821341[[#This Row],[Pos.]]="WR4",AVERAGE(L230,M230,N230),Table117821341[[#This Row],[Pos.]]="TE1",AVERAGE(L230,M230,N230),Table117821341[[#This Row],[Pos.]]="TE2",AVERAGE(L230,M230,N230),Table117821341[[#This Row],[Pos.]]="D/ST",AVERAGE(Table117821341[[#This Row],[*TD*]]))</f>
        <v>#N/A</v>
      </c>
      <c r="X230" s="94" t="e">
        <f t="shared" si="3"/>
        <v>#N/A</v>
      </c>
    </row>
    <row r="231" spans="2:24" hidden="1" x14ac:dyDescent="0.35">
      <c r="B231" s="6" t="s">
        <v>639</v>
      </c>
      <c r="C231" s="97" t="s">
        <v>38</v>
      </c>
      <c r="D231" s="97" t="s">
        <v>405</v>
      </c>
      <c r="E231" s="23" t="str" cm="1">
        <f t="array" ref="E231">_xlfn.XLOOKUP(Table117821341[[#This Row],[Team]],Table4334[Team],'2425'!$C$3:$C$34)</f>
        <v>n/a</v>
      </c>
      <c r="F231" s="97" t="str">
        <f>_xlfn.XLOOKUP(Table117821341[[#This Row],[Team]],Table4334[Team],Table4334[OPP])</f>
        <v>n/a</v>
      </c>
      <c r="G231" s="148" t="str" cm="1">
        <f t="array" ref="G231">IF(Table117821341[[#This Row],[Pos.]]="QB1",_xlfn.XLOOKUP(Table117821341[[#This Row],[Opp]],Table123[DEF],'2425'!$G$3:$G$34),"#N/A")</f>
        <v>#N/A</v>
      </c>
      <c r="H231" s="148" t="str" cm="1">
        <f t="array" ref="H231">IF(Table117821341[[#This Row],[Pos.]]="QB1",_xlfn.XLOOKUP(Table117821341[[#This Row],[Opp]],Table123[DEF],'2425'!$J$3:$J$34),"#N/A")</f>
        <v>#N/A</v>
      </c>
      <c r="I231" s="148" t="str" cm="1">
        <f t="array" ref="I231">IF(Table117821341[[#This Row],[Pos.]]="QB1",_xlfn.XLOOKUP(Table117821341[[#This Row],[Opp]],Table123[DEF],'2425'!$K$3:$K$34),"#N/A")</f>
        <v>#N/A</v>
      </c>
      <c r="J231" s="148" t="e" cm="1">
        <f t="array" ref="J23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1" s="148" t="e" cm="1">
        <f t="array" ref="K23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1" s="148" t="e" cm="1">
        <f t="array" ref="L23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1" s="148" t="e" cm="1">
        <f t="array" ref="M23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1" s="148" t="e" cm="1">
        <f t="array" ref="N23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1" s="149" t="str">
        <f>IF(Table117821341[[#This Row],[Pos.]]="QB1",_xlfn.XLOOKUP(Table117821341[[#This Row],[Opp]],Table123[DEF],Table123[P]),"#N/A")</f>
        <v>#N/A</v>
      </c>
      <c r="P231" s="149" t="str">
        <f>IF(Table117821341[[#This Row],[Pos.]]="QB1",_xlfn.XLOOKUP(Table117821341[[#This Row],[Opp]],Table123[DEF],Table123[P+R]),"#N/A")</f>
        <v>#N/A</v>
      </c>
      <c r="Q231" s="150" t="str">
        <f>IF(Table117821341[[#This Row],[Pos.]]="QB1",_xlfn.XLOOKUP(Table117821341[[#This Row],[Opp]],Table123[DEF],Table123[P TD]),"#N/A")</f>
        <v>#N/A</v>
      </c>
      <c r="R231" s="149" t="e" cm="1">
        <f t="array" ref="R23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1" s="150" t="e" cm="1">
        <f t="array" ref="S23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1" s="150" t="e" cm="1">
        <f t="array" ref="T23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1" s="150" t="e" cm="1">
        <f t="array" ref="U23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1" s="150" t="e" cm="1">
        <f t="array" ref="V23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1" s="148" t="e" cm="1">
        <f t="array" ref="W231">_xlfn.IFS(Table117821341[[#This Row],[Pos.]]="QB1",AVERAGE(G231,H231,I231,J231,N231),Table117821341[[#This Row],[Pos.]]="RB1",AVERAGE(J231,K231,N231),Table117821341[[#This Row],[Pos.]]="RB2",AVERAGE(J231,K231,N231),Table117821341[[#This Row],[Pos.]]="WR1",AVERAGE(L231,M231,N231),Table117821341[[#This Row],[Pos.]]="WR2",AVERAGE(L231,M231,N231),Table117821341[[#This Row],[Pos.]]="WR3",AVERAGE(L231,M231,N231),Table117821341[[#This Row],[Pos.]]="WR4",AVERAGE(L231,M231,N231),Table117821341[[#This Row],[Pos.]]="TE1",AVERAGE(L231,M231,N231),Table117821341[[#This Row],[Pos.]]="TE2",AVERAGE(L231,M231,N231),Table117821341[[#This Row],[Pos.]]="D/ST",AVERAGE(Table117821341[[#This Row],[*TD*]]))</f>
        <v>#N/A</v>
      </c>
      <c r="X231" s="94" t="e">
        <f t="shared" si="3"/>
        <v>#N/A</v>
      </c>
    </row>
    <row r="232" spans="2:24" hidden="1" x14ac:dyDescent="0.35">
      <c r="B232" s="6" t="s">
        <v>687</v>
      </c>
      <c r="C232" s="97" t="s">
        <v>38</v>
      </c>
      <c r="D232" s="97" t="s">
        <v>425</v>
      </c>
      <c r="E232" s="23" t="str" cm="1">
        <f t="array" ref="E232">_xlfn.XLOOKUP(Table117821341[[#This Row],[Team]],Table4334[Team],'2425'!$C$3:$C$34)</f>
        <v>n/a</v>
      </c>
      <c r="F232" s="97" t="str">
        <f>_xlfn.XLOOKUP(Table117821341[[#This Row],[Team]],Table4334[Team],Table4334[OPP])</f>
        <v>n/a</v>
      </c>
      <c r="G232" s="148" t="str" cm="1">
        <f t="array" ref="G232">IF(Table117821341[[#This Row],[Pos.]]="QB1",_xlfn.XLOOKUP(Table117821341[[#This Row],[Opp]],Table123[DEF],'2425'!$G$3:$G$34),"#N/A")</f>
        <v>#N/A</v>
      </c>
      <c r="H232" s="148" t="str" cm="1">
        <f t="array" ref="H232">IF(Table117821341[[#This Row],[Pos.]]="QB1",_xlfn.XLOOKUP(Table117821341[[#This Row],[Opp]],Table123[DEF],'2425'!$J$3:$J$34),"#N/A")</f>
        <v>#N/A</v>
      </c>
      <c r="I232" s="148" t="str" cm="1">
        <f t="array" ref="I232">IF(Table117821341[[#This Row],[Pos.]]="QB1",_xlfn.XLOOKUP(Table117821341[[#This Row],[Opp]],Table123[DEF],'2425'!$K$3:$K$34),"#N/A")</f>
        <v>#N/A</v>
      </c>
      <c r="J232" s="148" t="e" cm="1">
        <f t="array" ref="J23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2" s="148" t="e" cm="1">
        <f t="array" ref="K23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2" s="148" t="e" cm="1">
        <f t="array" ref="L23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2" s="148" t="e" cm="1">
        <f t="array" ref="M23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2" s="148" t="e" cm="1">
        <f t="array" ref="N23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2" s="149" t="str">
        <f>IF(Table117821341[[#This Row],[Pos.]]="QB1",_xlfn.XLOOKUP(Table117821341[[#This Row],[Opp]],Table123[DEF],Table123[P]),"#N/A")</f>
        <v>#N/A</v>
      </c>
      <c r="P232" s="149" t="str">
        <f>IF(Table117821341[[#This Row],[Pos.]]="QB1",_xlfn.XLOOKUP(Table117821341[[#This Row],[Opp]],Table123[DEF],Table123[P+R]),"#N/A")</f>
        <v>#N/A</v>
      </c>
      <c r="Q232" s="150" t="str">
        <f>IF(Table117821341[[#This Row],[Pos.]]="QB1",_xlfn.XLOOKUP(Table117821341[[#This Row],[Opp]],Table123[DEF],Table123[P TD]),"#N/A")</f>
        <v>#N/A</v>
      </c>
      <c r="R232" s="149" t="e" cm="1">
        <f t="array" ref="R23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2" s="150" t="e" cm="1">
        <f t="array" ref="S23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2" s="150" t="e" cm="1">
        <f t="array" ref="T23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2" s="150" t="e" cm="1">
        <f t="array" ref="U23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2" s="150" t="e" cm="1">
        <f t="array" ref="V23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2" s="148" t="e" cm="1">
        <f t="array" ref="W232">_xlfn.IFS(Table117821341[[#This Row],[Pos.]]="QB1",AVERAGE(G232,H232,I232,J232,N232),Table117821341[[#This Row],[Pos.]]="RB1",AVERAGE(J232,K232,N232),Table117821341[[#This Row],[Pos.]]="RB2",AVERAGE(J232,K232,N232),Table117821341[[#This Row],[Pos.]]="WR1",AVERAGE(L232,M232,N232),Table117821341[[#This Row],[Pos.]]="WR2",AVERAGE(L232,M232,N232),Table117821341[[#This Row],[Pos.]]="WR3",AVERAGE(L232,M232,N232),Table117821341[[#This Row],[Pos.]]="WR4",AVERAGE(L232,M232,N232),Table117821341[[#This Row],[Pos.]]="TE1",AVERAGE(L232,M232,N232),Table117821341[[#This Row],[Pos.]]="TE2",AVERAGE(L232,M232,N232),Table117821341[[#This Row],[Pos.]]="D/ST",AVERAGE(Table117821341[[#This Row],[*TD*]]))</f>
        <v>#N/A</v>
      </c>
      <c r="X232" s="94" t="e">
        <f t="shared" si="3"/>
        <v>#N/A</v>
      </c>
    </row>
    <row r="233" spans="2:24" hidden="1" x14ac:dyDescent="0.35">
      <c r="B233" s="6" t="s">
        <v>283</v>
      </c>
      <c r="C233" s="97" t="s">
        <v>43</v>
      </c>
      <c r="D233" s="97" t="s">
        <v>68</v>
      </c>
      <c r="E233" s="23" t="str" cm="1">
        <f t="array" ref="E233">_xlfn.XLOOKUP(Table117821341[[#This Row],[Team]],Table4334[Team],'2425'!$C$3:$C$34)</f>
        <v>n/a</v>
      </c>
      <c r="F233" s="97" t="str">
        <f>_xlfn.XLOOKUP(Table117821341[[#This Row],[Team]],Table4334[Team],Table4334[OPP])</f>
        <v>n/a</v>
      </c>
      <c r="G233" s="148" t="str" cm="1">
        <f t="array" ref="G233">IF(Table117821341[[#This Row],[Pos.]]="QB1",_xlfn.XLOOKUP(Table117821341[[#This Row],[Opp]],Table123[DEF],'2425'!$G$3:$G$34),"#N/A")</f>
        <v>#N/A</v>
      </c>
      <c r="H233" s="148" t="str" cm="1">
        <f t="array" ref="H233">IF(Table117821341[[#This Row],[Pos.]]="QB1",_xlfn.XLOOKUP(Table117821341[[#This Row],[Opp]],Table123[DEF],'2425'!$J$3:$J$34),"#N/A")</f>
        <v>#N/A</v>
      </c>
      <c r="I233" s="148" t="str" cm="1">
        <f t="array" ref="I233">IF(Table117821341[[#This Row],[Pos.]]="QB1",_xlfn.XLOOKUP(Table117821341[[#This Row],[Opp]],Table123[DEF],'2425'!$K$3:$K$34),"#N/A")</f>
        <v>#N/A</v>
      </c>
      <c r="J233" s="148" t="e" cm="1">
        <f t="array" ref="J23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3" s="148" t="e" cm="1">
        <f t="array" ref="K23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3" s="148" t="e" cm="1">
        <f t="array" ref="L23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3" s="148" t="e" cm="1">
        <f t="array" ref="M23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3" s="148" t="e" cm="1">
        <f t="array" ref="N23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3" s="149" t="str">
        <f>IF(Table117821341[[#This Row],[Pos.]]="QB1",_xlfn.XLOOKUP(Table117821341[[#This Row],[Opp]],Table123[DEF],Table123[P]),"#N/A")</f>
        <v>#N/A</v>
      </c>
      <c r="P233" s="149" t="str">
        <f>IF(Table117821341[[#This Row],[Pos.]]="QB1",_xlfn.XLOOKUP(Table117821341[[#This Row],[Opp]],Table123[DEF],Table123[P+R]),"#N/A")</f>
        <v>#N/A</v>
      </c>
      <c r="Q233" s="150" t="str">
        <f>IF(Table117821341[[#This Row],[Pos.]]="QB1",_xlfn.XLOOKUP(Table117821341[[#This Row],[Opp]],Table123[DEF],Table123[P TD]),"#N/A")</f>
        <v>#N/A</v>
      </c>
      <c r="R233" s="149" t="e" cm="1">
        <f t="array" ref="R23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3" s="150" t="e" cm="1">
        <f t="array" ref="S23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3" s="150" t="e" cm="1">
        <f t="array" ref="T23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3" s="150" t="e" cm="1">
        <f t="array" ref="U23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3" s="162" t="e" cm="1">
        <f t="array" ref="V23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3" s="148" t="e" cm="1">
        <f t="array" ref="W233">_xlfn.IFS(Table117821341[[#This Row],[Pos.]]="QB1",AVERAGE(G233,H233,I233,J233,N233),Table117821341[[#This Row],[Pos.]]="RB1",AVERAGE(J233,K233,N233),Table117821341[[#This Row],[Pos.]]="RB2",AVERAGE(J233,K233,N233),Table117821341[[#This Row],[Pos.]]="WR1",AVERAGE(L233,M233,N233),Table117821341[[#This Row],[Pos.]]="WR2",AVERAGE(L233,M233,N233),Table117821341[[#This Row],[Pos.]]="WR3",AVERAGE(L233,M233,N233),Table117821341[[#This Row],[Pos.]]="WR4",AVERAGE(L233,M233,N233),Table117821341[[#This Row],[Pos.]]="TE1",AVERAGE(L233,M233,N233),Table117821341[[#This Row],[Pos.]]="TE2",AVERAGE(L233,M233,N233),Table117821341[[#This Row],[Pos.]]="D/ST",AVERAGE(Table117821341[[#This Row],[*TD*]]))</f>
        <v>#N/A</v>
      </c>
      <c r="X233" s="94" t="e">
        <f t="shared" si="3"/>
        <v>#N/A</v>
      </c>
    </row>
    <row r="234" spans="2:24" hidden="1" x14ac:dyDescent="0.35">
      <c r="B234" s="6" t="s">
        <v>229</v>
      </c>
      <c r="C234" s="97" t="s">
        <v>38</v>
      </c>
      <c r="D234" s="97" t="s">
        <v>394</v>
      </c>
      <c r="E234" s="23" t="str" cm="1">
        <f t="array" ref="E234">_xlfn.XLOOKUP(Table117821341[[#This Row],[Team]],Table4334[Team],'2425'!$C$3:$C$34)</f>
        <v>n/a</v>
      </c>
      <c r="F234" s="97" t="str">
        <f>_xlfn.XLOOKUP(Table117821341[[#This Row],[Team]],Table4334[Team],Table4334[OPP])</f>
        <v>n/a</v>
      </c>
      <c r="G234" s="148" t="str" cm="1">
        <f t="array" ref="G234">IF(Table117821341[[#This Row],[Pos.]]="QB1",_xlfn.XLOOKUP(Table117821341[[#This Row],[Opp]],Table123[DEF],'2425'!$G$3:$G$34),"#N/A")</f>
        <v>#N/A</v>
      </c>
      <c r="H234" s="148" t="str" cm="1">
        <f t="array" ref="H234">IF(Table117821341[[#This Row],[Pos.]]="QB1",_xlfn.XLOOKUP(Table117821341[[#This Row],[Opp]],Table123[DEF],'2425'!$J$3:$J$34),"#N/A")</f>
        <v>#N/A</v>
      </c>
      <c r="I234" s="148" t="str" cm="1">
        <f t="array" ref="I234">IF(Table117821341[[#This Row],[Pos.]]="QB1",_xlfn.XLOOKUP(Table117821341[[#This Row],[Opp]],Table123[DEF],'2425'!$K$3:$K$34),"#N/A")</f>
        <v>#N/A</v>
      </c>
      <c r="J234" s="148" t="e" cm="1">
        <f t="array" ref="J23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4" s="148" t="e" cm="1">
        <f t="array" ref="K23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4" s="148" t="e" cm="1">
        <f t="array" ref="L23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4" s="148" t="e" cm="1">
        <f t="array" ref="M23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4" s="148" t="e" cm="1">
        <f t="array" ref="N23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4" s="149" t="str">
        <f>IF(Table117821341[[#This Row],[Pos.]]="QB1",_xlfn.XLOOKUP(Table117821341[[#This Row],[Opp]],Table123[DEF],Table123[P]),"#N/A")</f>
        <v>#N/A</v>
      </c>
      <c r="P234" s="149" t="str">
        <f>IF(Table117821341[[#This Row],[Pos.]]="QB1",_xlfn.XLOOKUP(Table117821341[[#This Row],[Opp]],Table123[DEF],Table123[P+R]),"#N/A")</f>
        <v>#N/A</v>
      </c>
      <c r="Q234" s="150" t="str">
        <f>IF(Table117821341[[#This Row],[Pos.]]="QB1",_xlfn.XLOOKUP(Table117821341[[#This Row],[Opp]],Table123[DEF],Table123[P TD]),"#N/A")</f>
        <v>#N/A</v>
      </c>
      <c r="R234" s="149" t="e" cm="1">
        <f t="array" ref="R23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4" s="150" t="e" cm="1">
        <f t="array" ref="S23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4" s="150" t="e" cm="1">
        <f t="array" ref="T23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4" s="150" t="e" cm="1">
        <f t="array" ref="U23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4" s="150" t="e" cm="1">
        <f t="array" ref="V23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4" s="148" t="e" cm="1">
        <f t="array" ref="W234">_xlfn.IFS(Table117821341[[#This Row],[Pos.]]="QB1",AVERAGE(G234,H234,I234,J234,N234),Table117821341[[#This Row],[Pos.]]="RB1",AVERAGE(J234,K234,N234),Table117821341[[#This Row],[Pos.]]="RB2",AVERAGE(J234,K234,N234),Table117821341[[#This Row],[Pos.]]="WR1",AVERAGE(L234,M234,N234),Table117821341[[#This Row],[Pos.]]="WR2",AVERAGE(L234,M234,N234),Table117821341[[#This Row],[Pos.]]="WR3",AVERAGE(L234,M234,N234),Table117821341[[#This Row],[Pos.]]="WR4",AVERAGE(L234,M234,N234),Table117821341[[#This Row],[Pos.]]="TE1",AVERAGE(L234,M234,N234),Table117821341[[#This Row],[Pos.]]="TE2",AVERAGE(L234,M234,N234),Table117821341[[#This Row],[Pos.]]="D/ST",AVERAGE(Table117821341[[#This Row],[*TD*]]))</f>
        <v>#N/A</v>
      </c>
      <c r="X234" s="94" t="e">
        <f t="shared" si="3"/>
        <v>#N/A</v>
      </c>
    </row>
    <row r="235" spans="2:24" hidden="1" x14ac:dyDescent="0.35">
      <c r="B235" s="6" t="s">
        <v>228</v>
      </c>
      <c r="C235" s="97" t="s">
        <v>38</v>
      </c>
      <c r="D235" s="97" t="s">
        <v>396</v>
      </c>
      <c r="E235" s="23" t="str" cm="1">
        <f t="array" ref="E235">_xlfn.XLOOKUP(Table117821341[[#This Row],[Team]],Table4334[Team],'2425'!$C$3:$C$34)</f>
        <v>n/a</v>
      </c>
      <c r="F235" s="97" t="str">
        <f>_xlfn.XLOOKUP(Table117821341[[#This Row],[Team]],Table4334[Team],Table4334[OPP])</f>
        <v>n/a</v>
      </c>
      <c r="G235" s="148" t="str" cm="1">
        <f t="array" ref="G235">IF(Table117821341[[#This Row],[Pos.]]="QB1",_xlfn.XLOOKUP(Table117821341[[#This Row],[Opp]],Table123[DEF],'2425'!$G$3:$G$34),"#N/A")</f>
        <v>#N/A</v>
      </c>
      <c r="H235" s="148" t="str" cm="1">
        <f t="array" ref="H235">IF(Table117821341[[#This Row],[Pos.]]="QB1",_xlfn.XLOOKUP(Table117821341[[#This Row],[Opp]],Table123[DEF],'2425'!$J$3:$J$34),"#N/A")</f>
        <v>#N/A</v>
      </c>
      <c r="I235" s="148" t="str" cm="1">
        <f t="array" ref="I235">IF(Table117821341[[#This Row],[Pos.]]="QB1",_xlfn.XLOOKUP(Table117821341[[#This Row],[Opp]],Table123[DEF],'2425'!$K$3:$K$34),"#N/A")</f>
        <v>#N/A</v>
      </c>
      <c r="J235" s="148" t="e" cm="1">
        <f t="array" ref="J23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5" s="148" t="e" cm="1">
        <f t="array" ref="K23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5" s="148" t="e" cm="1">
        <f t="array" ref="L23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5" s="148" t="e" cm="1">
        <f t="array" ref="M23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5" s="148" t="e" cm="1">
        <f t="array" ref="N23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5" s="149" t="str">
        <f>IF(Table117821341[[#This Row],[Pos.]]="QB1",_xlfn.XLOOKUP(Table117821341[[#This Row],[Opp]],Table123[DEF],Table123[P]),"#N/A")</f>
        <v>#N/A</v>
      </c>
      <c r="P235" s="149" t="str">
        <f>IF(Table117821341[[#This Row],[Pos.]]="QB1",_xlfn.XLOOKUP(Table117821341[[#This Row],[Opp]],Table123[DEF],Table123[P+R]),"#N/A")</f>
        <v>#N/A</v>
      </c>
      <c r="Q235" s="150" t="str">
        <f>IF(Table117821341[[#This Row],[Pos.]]="QB1",_xlfn.XLOOKUP(Table117821341[[#This Row],[Opp]],Table123[DEF],Table123[P TD]),"#N/A")</f>
        <v>#N/A</v>
      </c>
      <c r="R235" s="149" t="e" cm="1">
        <f t="array" ref="R23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5" s="150" t="e" cm="1">
        <f t="array" ref="S23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5" s="150" t="e" cm="1">
        <f t="array" ref="T23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5" s="150" t="e" cm="1">
        <f t="array" ref="U23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5" s="150" t="e" cm="1">
        <f t="array" ref="V23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5" s="148" t="e" cm="1">
        <f t="array" ref="W235">_xlfn.IFS(Table117821341[[#This Row],[Pos.]]="QB1",AVERAGE(G235,H235,I235,J235,N235),Table117821341[[#This Row],[Pos.]]="RB1",AVERAGE(J235,K235,N235),Table117821341[[#This Row],[Pos.]]="RB2",AVERAGE(J235,K235,N235),Table117821341[[#This Row],[Pos.]]="WR1",AVERAGE(L235,M235,N235),Table117821341[[#This Row],[Pos.]]="WR2",AVERAGE(L235,M235,N235),Table117821341[[#This Row],[Pos.]]="WR3",AVERAGE(L235,M235,N235),Table117821341[[#This Row],[Pos.]]="WR4",AVERAGE(L235,M235,N235),Table117821341[[#This Row],[Pos.]]="TE1",AVERAGE(L235,M235,N235),Table117821341[[#This Row],[Pos.]]="TE2",AVERAGE(L235,M235,N235),Table117821341[[#This Row],[Pos.]]="D/ST",AVERAGE(Table117821341[[#This Row],[*TD*]]))</f>
        <v>#N/A</v>
      </c>
      <c r="X235" s="94" t="e">
        <f t="shared" si="3"/>
        <v>#N/A</v>
      </c>
    </row>
    <row r="236" spans="2:24" hidden="1" x14ac:dyDescent="0.35">
      <c r="B236" s="6" t="s">
        <v>640</v>
      </c>
      <c r="C236" s="97" t="s">
        <v>38</v>
      </c>
      <c r="D236" s="97" t="s">
        <v>407</v>
      </c>
      <c r="E236" s="23" t="str" cm="1">
        <f t="array" ref="E236">_xlfn.XLOOKUP(Table117821341[[#This Row],[Team]],Table4334[Team],'2425'!$C$3:$C$34)</f>
        <v>n/a</v>
      </c>
      <c r="F236" s="97" t="str">
        <f>_xlfn.XLOOKUP(Table117821341[[#This Row],[Team]],Table4334[Team],Table4334[OPP])</f>
        <v>n/a</v>
      </c>
      <c r="G236" s="148" t="str" cm="1">
        <f t="array" ref="G236">IF(Table117821341[[#This Row],[Pos.]]="QB1",_xlfn.XLOOKUP(Table117821341[[#This Row],[Opp]],Table123[DEF],'2425'!$G$3:$G$34),"#N/A")</f>
        <v>#N/A</v>
      </c>
      <c r="H236" s="148" t="str" cm="1">
        <f t="array" ref="H236">IF(Table117821341[[#This Row],[Pos.]]="QB1",_xlfn.XLOOKUP(Table117821341[[#This Row],[Opp]],Table123[DEF],'2425'!$J$3:$J$34),"#N/A")</f>
        <v>#N/A</v>
      </c>
      <c r="I236" s="148" t="str" cm="1">
        <f t="array" ref="I236">IF(Table117821341[[#This Row],[Pos.]]="QB1",_xlfn.XLOOKUP(Table117821341[[#This Row],[Opp]],Table123[DEF],'2425'!$K$3:$K$34),"#N/A")</f>
        <v>#N/A</v>
      </c>
      <c r="J236" s="148" t="e" cm="1">
        <f t="array" ref="J23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6" s="148" t="e" cm="1">
        <f t="array" ref="K23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6" s="148" t="e" cm="1">
        <f t="array" ref="L23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6" s="148" t="e" cm="1">
        <f t="array" ref="M23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6" s="148" t="e" cm="1">
        <f t="array" ref="N23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6" s="149" t="str">
        <f>IF(Table117821341[[#This Row],[Pos.]]="QB1",_xlfn.XLOOKUP(Table117821341[[#This Row],[Opp]],Table123[DEF],Table123[P]),"#N/A")</f>
        <v>#N/A</v>
      </c>
      <c r="P236" s="149" t="str">
        <f>IF(Table117821341[[#This Row],[Pos.]]="QB1",_xlfn.XLOOKUP(Table117821341[[#This Row],[Opp]],Table123[DEF],Table123[P+R]),"#N/A")</f>
        <v>#N/A</v>
      </c>
      <c r="Q236" s="150" t="str">
        <f>IF(Table117821341[[#This Row],[Pos.]]="QB1",_xlfn.XLOOKUP(Table117821341[[#This Row],[Opp]],Table123[DEF],Table123[P TD]),"#N/A")</f>
        <v>#N/A</v>
      </c>
      <c r="R236" s="149" t="e" cm="1">
        <f t="array" ref="R23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6" s="150" t="e" cm="1">
        <f t="array" ref="S23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6" s="150" t="e" cm="1">
        <f t="array" ref="T23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6" s="150" t="e" cm="1">
        <f t="array" ref="U23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6" s="150" t="e" cm="1">
        <f t="array" ref="V23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6" s="148" t="e" cm="1">
        <f t="array" ref="W236">_xlfn.IFS(Table117821341[[#This Row],[Pos.]]="QB1",AVERAGE(G236,H236,I236,J236,N236),Table117821341[[#This Row],[Pos.]]="RB1",AVERAGE(J236,K236,N236),Table117821341[[#This Row],[Pos.]]="RB2",AVERAGE(J236,K236,N236),Table117821341[[#This Row],[Pos.]]="WR1",AVERAGE(L236,M236,N236),Table117821341[[#This Row],[Pos.]]="WR2",AVERAGE(L236,M236,N236),Table117821341[[#This Row],[Pos.]]="WR3",AVERAGE(L236,M236,N236),Table117821341[[#This Row],[Pos.]]="WR4",AVERAGE(L236,M236,N236),Table117821341[[#This Row],[Pos.]]="TE1",AVERAGE(L236,M236,N236),Table117821341[[#This Row],[Pos.]]="TE2",AVERAGE(L236,M236,N236),Table117821341[[#This Row],[Pos.]]="D/ST",AVERAGE(Table117821341[[#This Row],[*TD*]]))</f>
        <v>#N/A</v>
      </c>
      <c r="X236" s="94" t="e">
        <f t="shared" si="3"/>
        <v>#N/A</v>
      </c>
    </row>
    <row r="237" spans="2:24" hidden="1" x14ac:dyDescent="0.35">
      <c r="B237" s="6" t="s">
        <v>350</v>
      </c>
      <c r="C237" s="97" t="s">
        <v>52</v>
      </c>
      <c r="D237" s="97" t="s">
        <v>399</v>
      </c>
      <c r="E237" s="23" t="str" cm="1">
        <f t="array" ref="E237">_xlfn.XLOOKUP(Table117821341[[#This Row],[Team]],Table4334[Team],'2425'!$C$3:$C$34)</f>
        <v>SB LX</v>
      </c>
      <c r="F237" s="97" t="str">
        <f>_xlfn.XLOOKUP(Table117821341[[#This Row],[Team]],Table4334[Team],Table4334[OPP])</f>
        <v>NE</v>
      </c>
      <c r="G237" s="148" cm="1">
        <f t="array" ref="G237">IF(Table117821341[[#This Row],[Pos.]]="QB1",_xlfn.XLOOKUP(Table117821341[[#This Row],[Opp]],Table123[DEF],'2425'!$G$3:$G$34),"#N/A")</f>
        <v>25.9</v>
      </c>
      <c r="H237" s="148" cm="1">
        <f t="array" ref="H237">IF(Table117821341[[#This Row],[Pos.]]="QB1",_xlfn.XLOOKUP(Table117821341[[#This Row],[Opp]],Table123[DEF],'2425'!$J$3:$J$34),"#N/A")</f>
        <v>30</v>
      </c>
      <c r="I237" s="148" cm="1">
        <f t="array" ref="I237">IF(Table117821341[[#This Row],[Pos.]]="QB1",_xlfn.XLOOKUP(Table117821341[[#This Row],[Opp]],Table123[DEF],'2425'!$K$3:$K$34),"#N/A")</f>
        <v>13.5</v>
      </c>
      <c r="J237" s="148" cm="1">
        <f t="array" ref="J23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28</v>
      </c>
      <c r="K237" s="148" t="e" cm="1">
        <f t="array" ref="K23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7" s="148" t="e" cm="1">
        <f t="array" ref="L23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7" s="148" t="e" cm="1">
        <f t="array" ref="M23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7" s="148" cm="1">
        <f t="array" ref="N23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31</v>
      </c>
      <c r="O237" s="149">
        <f>IF(Table117821341[[#This Row],[Pos.]]="QB1",_xlfn.XLOOKUP(Table117821341[[#This Row],[Opp]],Table123[DEF],Table123[P]),"#N/A")</f>
        <v>213.55882352941177</v>
      </c>
      <c r="P237" s="149">
        <f>IF(Table117821341[[#This Row],[Pos.]]="QB1",_xlfn.XLOOKUP(Table117821341[[#This Row],[Opp]],Table123[DEF],Table123[P+R]),"#N/A")</f>
        <v>228.5</v>
      </c>
      <c r="Q237" s="150">
        <f>IF(Table117821341[[#This Row],[Pos.]]="QB1",_xlfn.XLOOKUP(Table117821341[[#This Row],[Opp]],Table123[DEF],Table123[P TD]),"#N/A")</f>
        <v>1.5294117647058822</v>
      </c>
      <c r="R237" s="149" cm="1">
        <f t="array" ref="R23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14.941176470588236</v>
      </c>
      <c r="S237" s="150" t="e" cm="1">
        <f t="array" ref="S23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7" s="150" t="e" cm="1">
        <f t="array" ref="T23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7" s="150" t="e" cm="1">
        <f t="array" ref="U23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7" s="162" cm="1">
        <f t="array" ref="V23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5.8823529411764705E-2</v>
      </c>
      <c r="W237" s="148" cm="1">
        <f t="array" ref="W237">_xlfn.IFS(Table117821341[[#This Row],[Pos.]]="QB1",AVERAGE(G237,H237,I237,J237,N237),Table117821341[[#This Row],[Pos.]]="RB1",AVERAGE(J237,K237,N237),Table117821341[[#This Row],[Pos.]]="RB2",AVERAGE(J237,K237,N237),Table117821341[[#This Row],[Pos.]]="WR1",AVERAGE(L237,M237,N237),Table117821341[[#This Row],[Pos.]]="WR2",AVERAGE(L237,M237,N237),Table117821341[[#This Row],[Pos.]]="WR3",AVERAGE(L237,M237,N237),Table117821341[[#This Row],[Pos.]]="WR4",AVERAGE(L237,M237,N237),Table117821341[[#This Row],[Pos.]]="TE1",AVERAGE(L237,M237,N237),Table117821341[[#This Row],[Pos.]]="TE2",AVERAGE(L237,M237,N237),Table117821341[[#This Row],[Pos.]]="D/ST",AVERAGE(Table117821341[[#This Row],[*TD*]]))</f>
        <v>25.68</v>
      </c>
      <c r="X237" s="94">
        <f t="shared" si="3"/>
        <v>28.34</v>
      </c>
    </row>
    <row r="238" spans="2:24" hidden="1" x14ac:dyDescent="0.35">
      <c r="B238" s="6" t="s">
        <v>646</v>
      </c>
      <c r="C238" s="97" t="s">
        <v>38</v>
      </c>
      <c r="D238" s="97" t="s">
        <v>398</v>
      </c>
      <c r="E238" s="23" t="str" cm="1">
        <f t="array" ref="E238">_xlfn.XLOOKUP(Table117821341[[#This Row],[Team]],Table4334[Team],'2425'!$C$3:$C$34)</f>
        <v>n/a</v>
      </c>
      <c r="F238" s="97" t="str">
        <f>_xlfn.XLOOKUP(Table117821341[[#This Row],[Team]],Table4334[Team],Table4334[OPP])</f>
        <v>n/a</v>
      </c>
      <c r="G238" s="148" t="str" cm="1">
        <f t="array" ref="G238">IF(Table117821341[[#This Row],[Pos.]]="QB1",_xlfn.XLOOKUP(Table117821341[[#This Row],[Opp]],Table123[DEF],'2425'!$G$3:$G$34),"#N/A")</f>
        <v>#N/A</v>
      </c>
      <c r="H238" s="148" t="str" cm="1">
        <f t="array" ref="H238">IF(Table117821341[[#This Row],[Pos.]]="QB1",_xlfn.XLOOKUP(Table117821341[[#This Row],[Opp]],Table123[DEF],'2425'!$J$3:$J$34),"#N/A")</f>
        <v>#N/A</v>
      </c>
      <c r="I238" s="148" t="str" cm="1">
        <f t="array" ref="I238">IF(Table117821341[[#This Row],[Pos.]]="QB1",_xlfn.XLOOKUP(Table117821341[[#This Row],[Opp]],Table123[DEF],'2425'!$K$3:$K$34),"#N/A")</f>
        <v>#N/A</v>
      </c>
      <c r="J238" s="148" t="e" cm="1">
        <f t="array" ref="J23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8" s="148" t="e" cm="1">
        <f t="array" ref="K23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8" s="148" t="e" cm="1">
        <f t="array" ref="L23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8" s="148" t="e" cm="1">
        <f t="array" ref="M23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8" s="148" t="e" cm="1">
        <f t="array" ref="N23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8" s="149" t="str">
        <f>IF(Table117821341[[#This Row],[Pos.]]="QB1",_xlfn.XLOOKUP(Table117821341[[#This Row],[Opp]],Table123[DEF],Table123[P]),"#N/A")</f>
        <v>#N/A</v>
      </c>
      <c r="P238" s="149" t="str">
        <f>IF(Table117821341[[#This Row],[Pos.]]="QB1",_xlfn.XLOOKUP(Table117821341[[#This Row],[Opp]],Table123[DEF],Table123[P+R]),"#N/A")</f>
        <v>#N/A</v>
      </c>
      <c r="Q238" s="150" t="str">
        <f>IF(Table117821341[[#This Row],[Pos.]]="QB1",_xlfn.XLOOKUP(Table117821341[[#This Row],[Opp]],Table123[DEF],Table123[P TD]),"#N/A")</f>
        <v>#N/A</v>
      </c>
      <c r="R238" s="149" t="e" cm="1">
        <f t="array" ref="R23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8" s="150" t="e" cm="1">
        <f t="array" ref="S23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8" s="150" t="e" cm="1">
        <f t="array" ref="T23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8" s="150" t="e" cm="1">
        <f t="array" ref="U23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8" s="150" t="e" cm="1">
        <f t="array" ref="V23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8" s="148" t="e" cm="1">
        <f t="array" ref="W238">_xlfn.IFS(Table117821341[[#This Row],[Pos.]]="QB1",AVERAGE(G238,H238,I238,J238,N238),Table117821341[[#This Row],[Pos.]]="RB1",AVERAGE(J238,K238,N238),Table117821341[[#This Row],[Pos.]]="RB2",AVERAGE(J238,K238,N238),Table117821341[[#This Row],[Pos.]]="WR1",AVERAGE(L238,M238,N238),Table117821341[[#This Row],[Pos.]]="WR2",AVERAGE(L238,M238,N238),Table117821341[[#This Row],[Pos.]]="WR3",AVERAGE(L238,M238,N238),Table117821341[[#This Row],[Pos.]]="WR4",AVERAGE(L238,M238,N238),Table117821341[[#This Row],[Pos.]]="TE1",AVERAGE(L238,M238,N238),Table117821341[[#This Row],[Pos.]]="TE2",AVERAGE(L238,M238,N238),Table117821341[[#This Row],[Pos.]]="D/ST",AVERAGE(Table117821341[[#This Row],[*TD*]]))</f>
        <v>#N/A</v>
      </c>
      <c r="X238" s="94" t="e">
        <f t="shared" si="3"/>
        <v>#N/A</v>
      </c>
    </row>
    <row r="239" spans="2:24" hidden="1" x14ac:dyDescent="0.35">
      <c r="B239" s="6" t="s">
        <v>647</v>
      </c>
      <c r="C239" s="97" t="s">
        <v>38</v>
      </c>
      <c r="D239" s="97" t="s">
        <v>430</v>
      </c>
      <c r="E239" s="23" t="str" cm="1">
        <f t="array" ref="E239">_xlfn.XLOOKUP(Table117821341[[#This Row],[Team]],Table4334[Team],'2425'!$C$3:$C$34)</f>
        <v>n/a</v>
      </c>
      <c r="F239" s="97" t="str">
        <f>_xlfn.XLOOKUP(Table117821341[[#This Row],[Team]],Table4334[Team],Table4334[OPP])</f>
        <v>n/a</v>
      </c>
      <c r="G239" s="148" t="str" cm="1">
        <f t="array" ref="G239">IF(Table117821341[[#This Row],[Pos.]]="QB1",_xlfn.XLOOKUP(Table117821341[[#This Row],[Opp]],Table123[DEF],'2425'!$G$3:$G$34),"#N/A")</f>
        <v>#N/A</v>
      </c>
      <c r="H239" s="148" t="str" cm="1">
        <f t="array" ref="H239">IF(Table117821341[[#This Row],[Pos.]]="QB1",_xlfn.XLOOKUP(Table117821341[[#This Row],[Opp]],Table123[DEF],'2425'!$J$3:$J$34),"#N/A")</f>
        <v>#N/A</v>
      </c>
      <c r="I239" s="148" t="str" cm="1">
        <f t="array" ref="I239">IF(Table117821341[[#This Row],[Pos.]]="QB1",_xlfn.XLOOKUP(Table117821341[[#This Row],[Opp]],Table123[DEF],'2425'!$K$3:$K$34),"#N/A")</f>
        <v>#N/A</v>
      </c>
      <c r="J239" s="148" t="e" cm="1">
        <f t="array" ref="J23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39" s="148" t="e" cm="1">
        <f t="array" ref="K23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39" s="148" t="e" cm="1">
        <f t="array" ref="L23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39" s="148" t="e" cm="1">
        <f t="array" ref="M23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39" s="148" t="e" cm="1">
        <f t="array" ref="N23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39" s="149" t="str">
        <f>IF(Table117821341[[#This Row],[Pos.]]="QB1",_xlfn.XLOOKUP(Table117821341[[#This Row],[Opp]],Table123[DEF],Table123[P]),"#N/A")</f>
        <v>#N/A</v>
      </c>
      <c r="P239" s="149" t="str">
        <f>IF(Table117821341[[#This Row],[Pos.]]="QB1",_xlfn.XLOOKUP(Table117821341[[#This Row],[Opp]],Table123[DEF],Table123[P+R]),"#N/A")</f>
        <v>#N/A</v>
      </c>
      <c r="Q239" s="150" t="str">
        <f>IF(Table117821341[[#This Row],[Pos.]]="QB1",_xlfn.XLOOKUP(Table117821341[[#This Row],[Opp]],Table123[DEF],Table123[P TD]),"#N/A")</f>
        <v>#N/A</v>
      </c>
      <c r="R239" s="149" t="e" cm="1">
        <f t="array" ref="R23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39" s="150" t="e" cm="1">
        <f t="array" ref="S23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39" s="150" t="e" cm="1">
        <f t="array" ref="T23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39" s="150" t="e" cm="1">
        <f t="array" ref="U23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39" s="150" t="e" cm="1">
        <f t="array" ref="V23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39" s="148" t="e" cm="1">
        <f t="array" ref="W239">_xlfn.IFS(Table117821341[[#This Row],[Pos.]]="QB1",AVERAGE(G239,H239,I239,J239,N239),Table117821341[[#This Row],[Pos.]]="RB1",AVERAGE(J239,K239,N239),Table117821341[[#This Row],[Pos.]]="RB2",AVERAGE(J239,K239,N239),Table117821341[[#This Row],[Pos.]]="WR1",AVERAGE(L239,M239,N239),Table117821341[[#This Row],[Pos.]]="WR2",AVERAGE(L239,M239,N239),Table117821341[[#This Row],[Pos.]]="WR3",AVERAGE(L239,M239,N239),Table117821341[[#This Row],[Pos.]]="WR4",AVERAGE(L239,M239,N239),Table117821341[[#This Row],[Pos.]]="TE1",AVERAGE(L239,M239,N239),Table117821341[[#This Row],[Pos.]]="TE2",AVERAGE(L239,M239,N239),Table117821341[[#This Row],[Pos.]]="D/ST",AVERAGE(Table117821341[[#This Row],[*TD*]]))</f>
        <v>#N/A</v>
      </c>
      <c r="X239" s="94" t="e">
        <f t="shared" si="3"/>
        <v>#N/A</v>
      </c>
    </row>
    <row r="240" spans="2:24" hidden="1" x14ac:dyDescent="0.35">
      <c r="B240" s="6" t="s">
        <v>648</v>
      </c>
      <c r="C240" s="97" t="s">
        <v>38</v>
      </c>
      <c r="D240" s="97" t="s">
        <v>435</v>
      </c>
      <c r="E240" s="23" t="str" cm="1">
        <f t="array" ref="E240">_xlfn.XLOOKUP(Table117821341[[#This Row],[Team]],Table4334[Team],'2425'!$C$3:$C$34)</f>
        <v>n/a</v>
      </c>
      <c r="F240" s="97" t="str">
        <f>_xlfn.XLOOKUP(Table117821341[[#This Row],[Team]],Table4334[Team],Table4334[OPP])</f>
        <v>n/a</v>
      </c>
      <c r="G240" s="148" t="str" cm="1">
        <f t="array" ref="G240">IF(Table117821341[[#This Row],[Pos.]]="QB1",_xlfn.XLOOKUP(Table117821341[[#This Row],[Opp]],Table123[DEF],'2425'!$G$3:$G$34),"#N/A")</f>
        <v>#N/A</v>
      </c>
      <c r="H240" s="148" t="str" cm="1">
        <f t="array" ref="H240">IF(Table117821341[[#This Row],[Pos.]]="QB1",_xlfn.XLOOKUP(Table117821341[[#This Row],[Opp]],Table123[DEF],'2425'!$J$3:$J$34),"#N/A")</f>
        <v>#N/A</v>
      </c>
      <c r="I240" s="148" t="str" cm="1">
        <f t="array" ref="I240">IF(Table117821341[[#This Row],[Pos.]]="QB1",_xlfn.XLOOKUP(Table117821341[[#This Row],[Opp]],Table123[DEF],'2425'!$K$3:$K$34),"#N/A")</f>
        <v>#N/A</v>
      </c>
      <c r="J240" s="148" t="e" cm="1">
        <f t="array" ref="J24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0" s="148" t="e" cm="1">
        <f t="array" ref="K24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0" s="148" t="e" cm="1">
        <f t="array" ref="L24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0" s="148" t="e" cm="1">
        <f t="array" ref="M24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0" s="148" t="e" cm="1">
        <f t="array" ref="N24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0" s="149" t="str">
        <f>IF(Table117821341[[#This Row],[Pos.]]="QB1",_xlfn.XLOOKUP(Table117821341[[#This Row],[Opp]],Table123[DEF],Table123[P]),"#N/A")</f>
        <v>#N/A</v>
      </c>
      <c r="P240" s="149" t="str">
        <f>IF(Table117821341[[#This Row],[Pos.]]="QB1",_xlfn.XLOOKUP(Table117821341[[#This Row],[Opp]],Table123[DEF],Table123[P+R]),"#N/A")</f>
        <v>#N/A</v>
      </c>
      <c r="Q240" s="150" t="str">
        <f>IF(Table117821341[[#This Row],[Pos.]]="QB1",_xlfn.XLOOKUP(Table117821341[[#This Row],[Opp]],Table123[DEF],Table123[P TD]),"#N/A")</f>
        <v>#N/A</v>
      </c>
      <c r="R240" s="149" t="e" cm="1">
        <f t="array" ref="R24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0" s="150" t="e" cm="1">
        <f t="array" ref="S24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0" s="150" t="e" cm="1">
        <f t="array" ref="T24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0" s="150" t="e" cm="1">
        <f t="array" ref="U24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0" s="150" t="e" cm="1">
        <f t="array" ref="V24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0" s="148" t="e" cm="1">
        <f t="array" ref="W240">_xlfn.IFS(Table117821341[[#This Row],[Pos.]]="QB1",AVERAGE(G240,H240,I240,J240,N240),Table117821341[[#This Row],[Pos.]]="RB1",AVERAGE(J240,K240,N240),Table117821341[[#This Row],[Pos.]]="RB2",AVERAGE(J240,K240,N240),Table117821341[[#This Row],[Pos.]]="WR1",AVERAGE(L240,M240,N240),Table117821341[[#This Row],[Pos.]]="WR2",AVERAGE(L240,M240,N240),Table117821341[[#This Row],[Pos.]]="WR3",AVERAGE(L240,M240,N240),Table117821341[[#This Row],[Pos.]]="WR4",AVERAGE(L240,M240,N240),Table117821341[[#This Row],[Pos.]]="TE1",AVERAGE(L240,M240,N240),Table117821341[[#This Row],[Pos.]]="TE2",AVERAGE(L240,M240,N240),Table117821341[[#This Row],[Pos.]]="D/ST",AVERAGE(Table117821341[[#This Row],[*TD*]]))</f>
        <v>#N/A</v>
      </c>
      <c r="X240" s="94" t="e">
        <f t="shared" si="3"/>
        <v>#N/A</v>
      </c>
    </row>
    <row r="241" spans="2:24" hidden="1" x14ac:dyDescent="0.35">
      <c r="B241" s="6" t="s">
        <v>600</v>
      </c>
      <c r="C241" s="97" t="s">
        <v>15</v>
      </c>
      <c r="D241" s="97" t="s">
        <v>68</v>
      </c>
      <c r="E241" s="23" t="str" cm="1">
        <f t="array" ref="E241">_xlfn.XLOOKUP(Table117821341[[#This Row],[Team]],Table4334[Team],'2425'!$C$3:$C$34)</f>
        <v>n/a</v>
      </c>
      <c r="F241" s="97" t="str">
        <f>_xlfn.XLOOKUP(Table117821341[[#This Row],[Team]],Table4334[Team],Table4334[OPP])</f>
        <v>n/a</v>
      </c>
      <c r="G241" s="148" t="str" cm="1">
        <f t="array" ref="G241">IF(Table117821341[[#This Row],[Pos.]]="QB1",_xlfn.XLOOKUP(Table117821341[[#This Row],[Opp]],Table123[DEF],'2425'!$G$3:$G$34),"#N/A")</f>
        <v>#N/A</v>
      </c>
      <c r="H241" s="148" t="str" cm="1">
        <f t="array" ref="H241">IF(Table117821341[[#This Row],[Pos.]]="QB1",_xlfn.XLOOKUP(Table117821341[[#This Row],[Opp]],Table123[DEF],'2425'!$J$3:$J$34),"#N/A")</f>
        <v>#N/A</v>
      </c>
      <c r="I241" s="148" t="str" cm="1">
        <f t="array" ref="I241">IF(Table117821341[[#This Row],[Pos.]]="QB1",_xlfn.XLOOKUP(Table117821341[[#This Row],[Opp]],Table123[DEF],'2425'!$K$3:$K$34),"#N/A")</f>
        <v>#N/A</v>
      </c>
      <c r="J241" s="148" t="e" cm="1">
        <f t="array" ref="J24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1" s="148" t="e" cm="1">
        <f t="array" ref="K24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1" s="148" t="e" cm="1">
        <f t="array" ref="L24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1" s="148" t="e" cm="1">
        <f t="array" ref="M24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1" s="148" t="e" cm="1">
        <f t="array" ref="N24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1" s="149" t="str">
        <f>IF(Table117821341[[#This Row],[Pos.]]="QB1",_xlfn.XLOOKUP(Table117821341[[#This Row],[Opp]],Table123[DEF],Table123[P]),"#N/A")</f>
        <v>#N/A</v>
      </c>
      <c r="P241" s="149" t="str">
        <f>IF(Table117821341[[#This Row],[Pos.]]="QB1",_xlfn.XLOOKUP(Table117821341[[#This Row],[Opp]],Table123[DEF],Table123[P+R]),"#N/A")</f>
        <v>#N/A</v>
      </c>
      <c r="Q241" s="150" t="str">
        <f>IF(Table117821341[[#This Row],[Pos.]]="QB1",_xlfn.XLOOKUP(Table117821341[[#This Row],[Opp]],Table123[DEF],Table123[P TD]),"#N/A")</f>
        <v>#N/A</v>
      </c>
      <c r="R241" s="149" t="e" cm="1">
        <f t="array" ref="R24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1" s="150" t="e" cm="1">
        <f t="array" ref="S24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1" s="150" t="e" cm="1">
        <f t="array" ref="T24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1" s="150" t="e" cm="1">
        <f t="array" ref="U24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1" s="162" t="e" cm="1">
        <f t="array" ref="V24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1" s="148" t="e" cm="1">
        <f t="array" ref="W241">_xlfn.IFS(Table117821341[[#This Row],[Pos.]]="QB1",AVERAGE(G241,H241,I241,J241,N241),Table117821341[[#This Row],[Pos.]]="RB1",AVERAGE(J241,K241,N241),Table117821341[[#This Row],[Pos.]]="RB2",AVERAGE(J241,K241,N241),Table117821341[[#This Row],[Pos.]]="WR1",AVERAGE(L241,M241,N241),Table117821341[[#This Row],[Pos.]]="WR2",AVERAGE(L241,M241,N241),Table117821341[[#This Row],[Pos.]]="WR3",AVERAGE(L241,M241,N241),Table117821341[[#This Row],[Pos.]]="WR4",AVERAGE(L241,M241,N241),Table117821341[[#This Row],[Pos.]]="TE1",AVERAGE(L241,M241,N241),Table117821341[[#This Row],[Pos.]]="TE2",AVERAGE(L241,M241,N241),Table117821341[[#This Row],[Pos.]]="D/ST",AVERAGE(Table117821341[[#This Row],[*TD*]]))</f>
        <v>#N/A</v>
      </c>
      <c r="X241" s="94" t="e">
        <f t="shared" si="3"/>
        <v>#N/A</v>
      </c>
    </row>
    <row r="242" spans="2:24" hidden="1" x14ac:dyDescent="0.35">
      <c r="B242" s="6" t="s">
        <v>735</v>
      </c>
      <c r="C242" s="97" t="s">
        <v>54</v>
      </c>
      <c r="D242" s="97" t="s">
        <v>71</v>
      </c>
      <c r="E242" s="23" t="str" cm="1">
        <f t="array" ref="E242">_xlfn.XLOOKUP(Table117821341[[#This Row],[Team]],Table4334[Team],'2425'!$C$3:$C$34)</f>
        <v>n/a</v>
      </c>
      <c r="F242" s="97" t="str">
        <f>_xlfn.XLOOKUP(Table117821341[[#This Row],[Team]],Table4334[Team],Table4334[OPP])</f>
        <v>n/a</v>
      </c>
      <c r="G242" s="148" t="str" cm="1">
        <f t="array" ref="G242">IF(Table117821341[[#This Row],[Pos.]]="QB1",_xlfn.XLOOKUP(Table117821341[[#This Row],[Opp]],Table123[DEF],'2425'!$G$3:$G$34),"#N/A")</f>
        <v>#N/A</v>
      </c>
      <c r="H242" s="148" t="str" cm="1">
        <f t="array" ref="H242">IF(Table117821341[[#This Row],[Pos.]]="QB1",_xlfn.XLOOKUP(Table117821341[[#This Row],[Opp]],Table123[DEF],'2425'!$J$3:$J$34),"#N/A")</f>
        <v>#N/A</v>
      </c>
      <c r="I242" s="148" t="str" cm="1">
        <f t="array" ref="I242">IF(Table117821341[[#This Row],[Pos.]]="QB1",_xlfn.XLOOKUP(Table117821341[[#This Row],[Opp]],Table123[DEF],'2425'!$K$3:$K$34),"#N/A")</f>
        <v>#N/A</v>
      </c>
      <c r="J242" s="148" t="e" cm="1">
        <f t="array" ref="J24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2" s="148" t="e" cm="1">
        <f t="array" ref="K24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2" s="148" t="e" cm="1">
        <f t="array" ref="L24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2" s="148" t="e" cm="1">
        <f t="array" ref="M24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2" s="148" t="e" cm="1">
        <f t="array" ref="N24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2" s="149" t="str">
        <f>IF(Table117821341[[#This Row],[Pos.]]="QB1",_xlfn.XLOOKUP(Table117821341[[#This Row],[Opp]],Table123[DEF],Table123[P]),"#N/A")</f>
        <v>#N/A</v>
      </c>
      <c r="P242" s="149" t="str">
        <f>IF(Table117821341[[#This Row],[Pos.]]="QB1",_xlfn.XLOOKUP(Table117821341[[#This Row],[Opp]],Table123[DEF],Table123[P+R]),"#N/A")</f>
        <v>#N/A</v>
      </c>
      <c r="Q242" s="150" t="str">
        <f>IF(Table117821341[[#This Row],[Pos.]]="QB1",_xlfn.XLOOKUP(Table117821341[[#This Row],[Opp]],Table123[DEF],Table123[P TD]),"#N/A")</f>
        <v>#N/A</v>
      </c>
      <c r="R242" s="149" t="e" cm="1">
        <f t="array" ref="R24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2" s="150" t="e" cm="1">
        <f t="array" ref="S24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2" s="150" t="e" cm="1">
        <f t="array" ref="T24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2" s="150" t="e" cm="1">
        <f t="array" ref="U24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2" s="162" t="e" cm="1">
        <f t="array" ref="V24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2" s="148" t="e" cm="1">
        <f t="array" ref="W242">_xlfn.IFS(Table117821341[[#This Row],[Pos.]]="QB1",AVERAGE(G242,H242,I242,J242,N242),Table117821341[[#This Row],[Pos.]]="RB1",AVERAGE(J242,K242,N242),Table117821341[[#This Row],[Pos.]]="RB2",AVERAGE(J242,K242,N242),Table117821341[[#This Row],[Pos.]]="WR1",AVERAGE(L242,M242,N242),Table117821341[[#This Row],[Pos.]]="WR2",AVERAGE(L242,M242,N242),Table117821341[[#This Row],[Pos.]]="WR3",AVERAGE(L242,M242,N242),Table117821341[[#This Row],[Pos.]]="WR4",AVERAGE(L242,M242,N242),Table117821341[[#This Row],[Pos.]]="TE1",AVERAGE(L242,M242,N242),Table117821341[[#This Row],[Pos.]]="TE2",AVERAGE(L242,M242,N242),Table117821341[[#This Row],[Pos.]]="D/ST",AVERAGE(Table117821341[[#This Row],[*TD*]]))</f>
        <v>#N/A</v>
      </c>
      <c r="X242" s="94" t="e">
        <f t="shared" si="3"/>
        <v>#N/A</v>
      </c>
    </row>
    <row r="243" spans="2:24" hidden="1" x14ac:dyDescent="0.35">
      <c r="B243" s="6" t="s">
        <v>505</v>
      </c>
      <c r="C243" s="97" t="s">
        <v>35</v>
      </c>
      <c r="D243" s="97" t="s">
        <v>68</v>
      </c>
      <c r="E243" s="23" t="str" cm="1">
        <f t="array" ref="E243">_xlfn.XLOOKUP(Table117821341[[#This Row],[Team]],Table4334[Team],'2425'!$C$3:$C$34)</f>
        <v>n/a</v>
      </c>
      <c r="F243" s="97" t="str">
        <f>_xlfn.XLOOKUP(Table117821341[[#This Row],[Team]],Table4334[Team],Table4334[OPP])</f>
        <v>n/a</v>
      </c>
      <c r="G243" s="148" t="str" cm="1">
        <f t="array" ref="G243">IF(Table117821341[[#This Row],[Pos.]]="QB1",_xlfn.XLOOKUP(Table117821341[[#This Row],[Opp]],Table123[DEF],'2425'!$G$3:$G$34),"#N/A")</f>
        <v>#N/A</v>
      </c>
      <c r="H243" s="148" t="str" cm="1">
        <f t="array" ref="H243">IF(Table117821341[[#This Row],[Pos.]]="QB1",_xlfn.XLOOKUP(Table117821341[[#This Row],[Opp]],Table123[DEF],'2425'!$J$3:$J$34),"#N/A")</f>
        <v>#N/A</v>
      </c>
      <c r="I243" s="148" t="str" cm="1">
        <f t="array" ref="I243">IF(Table117821341[[#This Row],[Pos.]]="QB1",_xlfn.XLOOKUP(Table117821341[[#This Row],[Opp]],Table123[DEF],'2425'!$K$3:$K$34),"#N/A")</f>
        <v>#N/A</v>
      </c>
      <c r="J243" s="148" t="e" cm="1">
        <f t="array" ref="J24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3" s="148" t="e" cm="1">
        <f t="array" ref="K24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3" s="148" t="e" cm="1">
        <f t="array" ref="L24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3" s="148" t="e" cm="1">
        <f t="array" ref="M24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3" s="148" t="e" cm="1">
        <f t="array" ref="N24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3" s="149" t="str">
        <f>IF(Table117821341[[#This Row],[Pos.]]="QB1",_xlfn.XLOOKUP(Table117821341[[#This Row],[Opp]],Table123[DEF],Table123[P]),"#N/A")</f>
        <v>#N/A</v>
      </c>
      <c r="P243" s="149" t="str">
        <f>IF(Table117821341[[#This Row],[Pos.]]="QB1",_xlfn.XLOOKUP(Table117821341[[#This Row],[Opp]],Table123[DEF],Table123[P+R]),"#N/A")</f>
        <v>#N/A</v>
      </c>
      <c r="Q243" s="150" t="str">
        <f>IF(Table117821341[[#This Row],[Pos.]]="QB1",_xlfn.XLOOKUP(Table117821341[[#This Row],[Opp]],Table123[DEF],Table123[P TD]),"#N/A")</f>
        <v>#N/A</v>
      </c>
      <c r="R243" s="149" t="e" cm="1">
        <f t="array" ref="R24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3" s="150" t="e" cm="1">
        <f t="array" ref="S24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3" s="150" t="e" cm="1">
        <f t="array" ref="T24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3" s="150" t="e" cm="1">
        <f t="array" ref="U24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3" s="162" t="e" cm="1">
        <f t="array" ref="V24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3" s="148" t="e" cm="1">
        <f t="array" ref="W243">_xlfn.IFS(Table117821341[[#This Row],[Pos.]]="QB1",AVERAGE(G243,H243,I243,J243,N243),Table117821341[[#This Row],[Pos.]]="RB1",AVERAGE(J243,K243,N243),Table117821341[[#This Row],[Pos.]]="RB2",AVERAGE(J243,K243,N243),Table117821341[[#This Row],[Pos.]]="WR1",AVERAGE(L243,M243,N243),Table117821341[[#This Row],[Pos.]]="WR2",AVERAGE(L243,M243,N243),Table117821341[[#This Row],[Pos.]]="WR3",AVERAGE(L243,M243,N243),Table117821341[[#This Row],[Pos.]]="WR4",AVERAGE(L243,M243,N243),Table117821341[[#This Row],[Pos.]]="TE1",AVERAGE(L243,M243,N243),Table117821341[[#This Row],[Pos.]]="TE2",AVERAGE(L243,M243,N243),Table117821341[[#This Row],[Pos.]]="D/ST",AVERAGE(Table117821341[[#This Row],[*TD*]]))</f>
        <v>#N/A</v>
      </c>
      <c r="X243" s="94" t="e">
        <f t="shared" si="3"/>
        <v>#N/A</v>
      </c>
    </row>
    <row r="244" spans="2:24" hidden="1" x14ac:dyDescent="0.35">
      <c r="B244" s="6" t="s">
        <v>232</v>
      </c>
      <c r="C244" s="97" t="s">
        <v>38</v>
      </c>
      <c r="D244" s="97" t="s">
        <v>68</v>
      </c>
      <c r="E244" s="23" t="str" cm="1">
        <f t="array" ref="E244">_xlfn.XLOOKUP(Table117821341[[#This Row],[Team]],Table4334[Team],'2425'!$C$3:$C$34)</f>
        <v>n/a</v>
      </c>
      <c r="F244" s="97" t="str">
        <f>_xlfn.XLOOKUP(Table117821341[[#This Row],[Team]],Table4334[Team],Table4334[OPP])</f>
        <v>n/a</v>
      </c>
      <c r="G244" s="148" t="str" cm="1">
        <f t="array" ref="G244">IF(Table117821341[[#This Row],[Pos.]]="QB1",_xlfn.XLOOKUP(Table117821341[[#This Row],[Opp]],Table123[DEF],'2425'!$G$3:$G$34),"#N/A")</f>
        <v>#N/A</v>
      </c>
      <c r="H244" s="148" t="str" cm="1">
        <f t="array" ref="H244">IF(Table117821341[[#This Row],[Pos.]]="QB1",_xlfn.XLOOKUP(Table117821341[[#This Row],[Opp]],Table123[DEF],'2425'!$J$3:$J$34),"#N/A")</f>
        <v>#N/A</v>
      </c>
      <c r="I244" s="148" t="str" cm="1">
        <f t="array" ref="I244">IF(Table117821341[[#This Row],[Pos.]]="QB1",_xlfn.XLOOKUP(Table117821341[[#This Row],[Opp]],Table123[DEF],'2425'!$K$3:$K$34),"#N/A")</f>
        <v>#N/A</v>
      </c>
      <c r="J244" s="148" t="e" cm="1">
        <f t="array" ref="J24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4" s="148" t="e" cm="1">
        <f t="array" ref="K24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4" s="148" t="e" cm="1">
        <f t="array" ref="L24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4" s="148" t="e" cm="1">
        <f t="array" ref="M24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4" s="148" t="e" cm="1">
        <f t="array" ref="N24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4" s="149" t="str">
        <f>IF(Table117821341[[#This Row],[Pos.]]="QB1",_xlfn.XLOOKUP(Table117821341[[#This Row],[Opp]],Table123[DEF],Table123[P]),"#N/A")</f>
        <v>#N/A</v>
      </c>
      <c r="P244" s="149" t="str">
        <f>IF(Table117821341[[#This Row],[Pos.]]="QB1",_xlfn.XLOOKUP(Table117821341[[#This Row],[Opp]],Table123[DEF],Table123[P+R]),"#N/A")</f>
        <v>#N/A</v>
      </c>
      <c r="Q244" s="150" t="str">
        <f>IF(Table117821341[[#This Row],[Pos.]]="QB1",_xlfn.XLOOKUP(Table117821341[[#This Row],[Opp]],Table123[DEF],Table123[P TD]),"#N/A")</f>
        <v>#N/A</v>
      </c>
      <c r="R244" s="149" t="e" cm="1">
        <f t="array" ref="R24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4" s="150" t="e" cm="1">
        <f t="array" ref="S24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4" s="150" t="e" cm="1">
        <f t="array" ref="T24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4" s="150" t="e" cm="1">
        <f t="array" ref="U24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4" s="162" t="e" cm="1">
        <f t="array" ref="V24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4" s="148" t="e" cm="1">
        <f t="array" ref="W244">_xlfn.IFS(Table117821341[[#This Row],[Pos.]]="QB1",AVERAGE(G244,H244,I244,J244,N244),Table117821341[[#This Row],[Pos.]]="RB1",AVERAGE(J244,K244,N244),Table117821341[[#This Row],[Pos.]]="RB2",AVERAGE(J244,K244,N244),Table117821341[[#This Row],[Pos.]]="WR1",AVERAGE(L244,M244,N244),Table117821341[[#This Row],[Pos.]]="WR2",AVERAGE(L244,M244,N244),Table117821341[[#This Row],[Pos.]]="WR3",AVERAGE(L244,M244,N244),Table117821341[[#This Row],[Pos.]]="WR4",AVERAGE(L244,M244,N244),Table117821341[[#This Row],[Pos.]]="TE1",AVERAGE(L244,M244,N244),Table117821341[[#This Row],[Pos.]]="TE2",AVERAGE(L244,M244,N244),Table117821341[[#This Row],[Pos.]]="D/ST",AVERAGE(Table117821341[[#This Row],[*TD*]]))</f>
        <v>#N/A</v>
      </c>
      <c r="X244" s="94" t="e">
        <f t="shared" si="3"/>
        <v>#N/A</v>
      </c>
    </row>
    <row r="245" spans="2:24" hidden="1" x14ac:dyDescent="0.35">
      <c r="B245" s="6" t="s">
        <v>643</v>
      </c>
      <c r="C245" s="97" t="s">
        <v>38</v>
      </c>
      <c r="D245" s="97" t="s">
        <v>403</v>
      </c>
      <c r="E245" s="23" t="str" cm="1">
        <f t="array" ref="E245">_xlfn.XLOOKUP(Table117821341[[#This Row],[Team]],Table4334[Team],'2425'!$C$3:$C$34)</f>
        <v>n/a</v>
      </c>
      <c r="F245" s="97" t="str">
        <f>_xlfn.XLOOKUP(Table117821341[[#This Row],[Team]],Table4334[Team],Table4334[OPP])</f>
        <v>n/a</v>
      </c>
      <c r="G245" s="148" t="str" cm="1">
        <f t="array" ref="G245">IF(Table117821341[[#This Row],[Pos.]]="QB1",_xlfn.XLOOKUP(Table117821341[[#This Row],[Opp]],Table123[DEF],'2425'!$G$3:$G$34),"#N/A")</f>
        <v>#N/A</v>
      </c>
      <c r="H245" s="148" t="str" cm="1">
        <f t="array" ref="H245">IF(Table117821341[[#This Row],[Pos.]]="QB1",_xlfn.XLOOKUP(Table117821341[[#This Row],[Opp]],Table123[DEF],'2425'!$J$3:$J$34),"#N/A")</f>
        <v>#N/A</v>
      </c>
      <c r="I245" s="148" t="str" cm="1">
        <f t="array" ref="I245">IF(Table117821341[[#This Row],[Pos.]]="QB1",_xlfn.XLOOKUP(Table117821341[[#This Row],[Opp]],Table123[DEF],'2425'!$K$3:$K$34),"#N/A")</f>
        <v>#N/A</v>
      </c>
      <c r="J245" s="148" t="e" cm="1">
        <f t="array" ref="J24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5" s="148" t="e" cm="1">
        <f t="array" ref="K24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5" s="148" t="e" cm="1">
        <f t="array" ref="L24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5" s="148" t="e" cm="1">
        <f t="array" ref="M24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5" s="148" t="e" cm="1">
        <f t="array" ref="N24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5" s="149" t="str">
        <f>IF(Table117821341[[#This Row],[Pos.]]="QB1",_xlfn.XLOOKUP(Table117821341[[#This Row],[Opp]],Table123[DEF],Table123[P]),"#N/A")</f>
        <v>#N/A</v>
      </c>
      <c r="P245" s="149" t="str">
        <f>IF(Table117821341[[#This Row],[Pos.]]="QB1",_xlfn.XLOOKUP(Table117821341[[#This Row],[Opp]],Table123[DEF],Table123[P+R]),"#N/A")</f>
        <v>#N/A</v>
      </c>
      <c r="Q245" s="150" t="str">
        <f>IF(Table117821341[[#This Row],[Pos.]]="QB1",_xlfn.XLOOKUP(Table117821341[[#This Row],[Opp]],Table123[DEF],Table123[P TD]),"#N/A")</f>
        <v>#N/A</v>
      </c>
      <c r="R245" s="149" t="e" cm="1">
        <f t="array" ref="R24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5" s="150" t="e" cm="1">
        <f t="array" ref="S24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5" s="150" t="e" cm="1">
        <f t="array" ref="T24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5" s="150" t="e" cm="1">
        <f t="array" ref="U24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5" s="150" t="e" cm="1">
        <f t="array" ref="V24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5" s="148" t="e" cm="1">
        <f t="array" ref="W245">_xlfn.IFS(Table117821341[[#This Row],[Pos.]]="QB1",AVERAGE(G245,H245,I245,J245,N245),Table117821341[[#This Row],[Pos.]]="RB1",AVERAGE(J245,K245,N245),Table117821341[[#This Row],[Pos.]]="RB2",AVERAGE(J245,K245,N245),Table117821341[[#This Row],[Pos.]]="WR1",AVERAGE(L245,M245,N245),Table117821341[[#This Row],[Pos.]]="WR2",AVERAGE(L245,M245,N245),Table117821341[[#This Row],[Pos.]]="WR3",AVERAGE(L245,M245,N245),Table117821341[[#This Row],[Pos.]]="WR4",AVERAGE(L245,M245,N245),Table117821341[[#This Row],[Pos.]]="TE1",AVERAGE(L245,M245,N245),Table117821341[[#This Row],[Pos.]]="TE2",AVERAGE(L245,M245,N245),Table117821341[[#This Row],[Pos.]]="D/ST",AVERAGE(Table117821341[[#This Row],[*TD*]]))</f>
        <v>#N/A</v>
      </c>
      <c r="X245" s="94" t="e">
        <f t="shared" si="3"/>
        <v>#N/A</v>
      </c>
    </row>
    <row r="246" spans="2:24" hidden="1" x14ac:dyDescent="0.35">
      <c r="B246" s="6" t="s">
        <v>644</v>
      </c>
      <c r="C246" s="97" t="s">
        <v>38</v>
      </c>
      <c r="D246" s="97" t="s">
        <v>411</v>
      </c>
      <c r="E246" s="23" t="str" cm="1">
        <f t="array" ref="E246">_xlfn.XLOOKUP(Table117821341[[#This Row],[Team]],Table4334[Team],'2425'!$C$3:$C$34)</f>
        <v>n/a</v>
      </c>
      <c r="F246" s="97" t="str">
        <f>_xlfn.XLOOKUP(Table117821341[[#This Row],[Team]],Table4334[Team],Table4334[OPP])</f>
        <v>n/a</v>
      </c>
      <c r="G246" s="148" t="str" cm="1">
        <f t="array" ref="G246">IF(Table117821341[[#This Row],[Pos.]]="QB1",_xlfn.XLOOKUP(Table117821341[[#This Row],[Opp]],Table123[DEF],'2425'!$G$3:$G$34),"#N/A")</f>
        <v>#N/A</v>
      </c>
      <c r="H246" s="148" t="str" cm="1">
        <f t="array" ref="H246">IF(Table117821341[[#This Row],[Pos.]]="QB1",_xlfn.XLOOKUP(Table117821341[[#This Row],[Opp]],Table123[DEF],'2425'!$J$3:$J$34),"#N/A")</f>
        <v>#N/A</v>
      </c>
      <c r="I246" s="148" t="str" cm="1">
        <f t="array" ref="I246">IF(Table117821341[[#This Row],[Pos.]]="QB1",_xlfn.XLOOKUP(Table117821341[[#This Row],[Opp]],Table123[DEF],'2425'!$K$3:$K$34),"#N/A")</f>
        <v>#N/A</v>
      </c>
      <c r="J246" s="148" t="e" cm="1">
        <f t="array" ref="J24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6" s="148" t="e" cm="1">
        <f t="array" ref="K24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6" s="148" t="e" cm="1">
        <f t="array" ref="L24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6" s="148" t="e" cm="1">
        <f t="array" ref="M24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6" s="148" t="e" cm="1">
        <f t="array" ref="N24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6" s="149" t="str">
        <f>IF(Table117821341[[#This Row],[Pos.]]="QB1",_xlfn.XLOOKUP(Table117821341[[#This Row],[Opp]],Table123[DEF],Table123[P]),"#N/A")</f>
        <v>#N/A</v>
      </c>
      <c r="P246" s="149" t="str">
        <f>IF(Table117821341[[#This Row],[Pos.]]="QB1",_xlfn.XLOOKUP(Table117821341[[#This Row],[Opp]],Table123[DEF],Table123[P+R]),"#N/A")</f>
        <v>#N/A</v>
      </c>
      <c r="Q246" s="150" t="str">
        <f>IF(Table117821341[[#This Row],[Pos.]]="QB1",_xlfn.XLOOKUP(Table117821341[[#This Row],[Opp]],Table123[DEF],Table123[P TD]),"#N/A")</f>
        <v>#N/A</v>
      </c>
      <c r="R246" s="149" t="e" cm="1">
        <f t="array" ref="R24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6" s="150" t="e" cm="1">
        <f t="array" ref="S24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6" s="150" t="e" cm="1">
        <f t="array" ref="T24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6" s="150" t="e" cm="1">
        <f t="array" ref="U24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6" s="150" t="e" cm="1">
        <f t="array" ref="V24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6" s="148" t="e" cm="1">
        <f t="array" ref="W246">_xlfn.IFS(Table117821341[[#This Row],[Pos.]]="QB1",AVERAGE(G246,H246,I246,J246,N246),Table117821341[[#This Row],[Pos.]]="RB1",AVERAGE(J246,K246,N246),Table117821341[[#This Row],[Pos.]]="RB2",AVERAGE(J246,K246,N246),Table117821341[[#This Row],[Pos.]]="WR1",AVERAGE(L246,M246,N246),Table117821341[[#This Row],[Pos.]]="WR2",AVERAGE(L246,M246,N246),Table117821341[[#This Row],[Pos.]]="WR3",AVERAGE(L246,M246,N246),Table117821341[[#This Row],[Pos.]]="WR4",AVERAGE(L246,M246,N246),Table117821341[[#This Row],[Pos.]]="TE1",AVERAGE(L246,M246,N246),Table117821341[[#This Row],[Pos.]]="TE2",AVERAGE(L246,M246,N246),Table117821341[[#This Row],[Pos.]]="D/ST",AVERAGE(Table117821341[[#This Row],[*TD*]]))</f>
        <v>#N/A</v>
      </c>
      <c r="X246" s="94" t="e">
        <f t="shared" si="3"/>
        <v>#N/A</v>
      </c>
    </row>
    <row r="247" spans="2:24" hidden="1" x14ac:dyDescent="0.35">
      <c r="B247" s="6" t="s">
        <v>645</v>
      </c>
      <c r="C247" s="97" t="s">
        <v>38</v>
      </c>
      <c r="D247" s="97" t="s">
        <v>441</v>
      </c>
      <c r="E247" s="23" t="str" cm="1">
        <f t="array" ref="E247">_xlfn.XLOOKUP(Table117821341[[#This Row],[Team]],Table4334[Team],'2425'!$C$3:$C$34)</f>
        <v>n/a</v>
      </c>
      <c r="F247" s="97" t="str">
        <f>_xlfn.XLOOKUP(Table117821341[[#This Row],[Team]],Table4334[Team],Table4334[OPP])</f>
        <v>n/a</v>
      </c>
      <c r="G247" s="148" t="str" cm="1">
        <f t="array" ref="G247">IF(Table117821341[[#This Row],[Pos.]]="QB1",_xlfn.XLOOKUP(Table117821341[[#This Row],[Opp]],Table123[DEF],'2425'!$G$3:$G$34),"#N/A")</f>
        <v>#N/A</v>
      </c>
      <c r="H247" s="148" t="str" cm="1">
        <f t="array" ref="H247">IF(Table117821341[[#This Row],[Pos.]]="QB1",_xlfn.XLOOKUP(Table117821341[[#This Row],[Opp]],Table123[DEF],'2425'!$J$3:$J$34),"#N/A")</f>
        <v>#N/A</v>
      </c>
      <c r="I247" s="148" t="str" cm="1">
        <f t="array" ref="I247">IF(Table117821341[[#This Row],[Pos.]]="QB1",_xlfn.XLOOKUP(Table117821341[[#This Row],[Opp]],Table123[DEF],'2425'!$K$3:$K$34),"#N/A")</f>
        <v>#N/A</v>
      </c>
      <c r="J247" s="148" t="e" cm="1">
        <f t="array" ref="J24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7" s="148" t="e" cm="1">
        <f t="array" ref="K24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7" s="148" t="e" cm="1">
        <f t="array" ref="L24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7" s="148" t="e" cm="1">
        <f t="array" ref="M24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7" s="148" t="e" cm="1">
        <f t="array" ref="N24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7" s="149" t="str">
        <f>IF(Table117821341[[#This Row],[Pos.]]="QB1",_xlfn.XLOOKUP(Table117821341[[#This Row],[Opp]],Table123[DEF],Table123[P]),"#N/A")</f>
        <v>#N/A</v>
      </c>
      <c r="P247" s="149" t="str">
        <f>IF(Table117821341[[#This Row],[Pos.]]="QB1",_xlfn.XLOOKUP(Table117821341[[#This Row],[Opp]],Table123[DEF],Table123[P+R]),"#N/A")</f>
        <v>#N/A</v>
      </c>
      <c r="Q247" s="150" t="str">
        <f>IF(Table117821341[[#This Row],[Pos.]]="QB1",_xlfn.XLOOKUP(Table117821341[[#This Row],[Opp]],Table123[DEF],Table123[P TD]),"#N/A")</f>
        <v>#N/A</v>
      </c>
      <c r="R247" s="149" t="e" cm="1">
        <f t="array" ref="R24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7" s="150" t="e" cm="1">
        <f t="array" ref="S24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7" s="150" t="e" cm="1">
        <f t="array" ref="T24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7" s="150" t="e" cm="1">
        <f t="array" ref="U24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7" s="150" t="e" cm="1">
        <f t="array" ref="V24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7" s="148" t="e" cm="1">
        <f t="array" ref="W247">_xlfn.IFS(Table117821341[[#This Row],[Pos.]]="QB1",AVERAGE(G247,H247,I247,J247,N247),Table117821341[[#This Row],[Pos.]]="RB1",AVERAGE(J247,K247,N247),Table117821341[[#This Row],[Pos.]]="RB2",AVERAGE(J247,K247,N247),Table117821341[[#This Row],[Pos.]]="WR1",AVERAGE(L247,M247,N247),Table117821341[[#This Row],[Pos.]]="WR2",AVERAGE(L247,M247,N247),Table117821341[[#This Row],[Pos.]]="WR3",AVERAGE(L247,M247,N247),Table117821341[[#This Row],[Pos.]]="WR4",AVERAGE(L247,M247,N247),Table117821341[[#This Row],[Pos.]]="TE1",AVERAGE(L247,M247,N247),Table117821341[[#This Row],[Pos.]]="TE2",AVERAGE(L247,M247,N247),Table117821341[[#This Row],[Pos.]]="D/ST",AVERAGE(Table117821341[[#This Row],[*TD*]]))</f>
        <v>#N/A</v>
      </c>
      <c r="X247" s="94" t="e">
        <f t="shared" si="3"/>
        <v>#N/A</v>
      </c>
    </row>
    <row r="248" spans="2:24" hidden="1" x14ac:dyDescent="0.35">
      <c r="B248" s="6" t="s">
        <v>706</v>
      </c>
      <c r="C248" s="97" t="s">
        <v>0</v>
      </c>
      <c r="D248" s="97" t="s">
        <v>71</v>
      </c>
      <c r="E248" s="23" t="str" cm="1">
        <f t="array" ref="E248">_xlfn.XLOOKUP(Table117821341[[#This Row],[Team]],Table4334[Team],'2425'!$C$3:$C$34)</f>
        <v>n/a</v>
      </c>
      <c r="F248" s="97" t="str">
        <f>_xlfn.XLOOKUP(Table117821341[[#This Row],[Team]],Table4334[Team],Table4334[OPP])</f>
        <v>n/a</v>
      </c>
      <c r="G248" s="148" t="str" cm="1">
        <f t="array" ref="G248">IF(Table117821341[[#This Row],[Pos.]]="QB1",_xlfn.XLOOKUP(Table117821341[[#This Row],[Opp]],Table123[DEF],'2425'!$G$3:$G$34),"#N/A")</f>
        <v>#N/A</v>
      </c>
      <c r="H248" s="148" t="str" cm="1">
        <f t="array" ref="H248">IF(Table117821341[[#This Row],[Pos.]]="QB1",_xlfn.XLOOKUP(Table117821341[[#This Row],[Opp]],Table123[DEF],'2425'!$J$3:$J$34),"#N/A")</f>
        <v>#N/A</v>
      </c>
      <c r="I248" s="148" t="str" cm="1">
        <f t="array" ref="I248">IF(Table117821341[[#This Row],[Pos.]]="QB1",_xlfn.XLOOKUP(Table117821341[[#This Row],[Opp]],Table123[DEF],'2425'!$K$3:$K$34),"#N/A")</f>
        <v>#N/A</v>
      </c>
      <c r="J248" s="148" t="e" cm="1">
        <f t="array" ref="J24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8" s="148" t="e" cm="1">
        <f t="array" ref="K24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8" s="148" t="e" cm="1">
        <f t="array" ref="L24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8" s="148" t="e" cm="1">
        <f t="array" ref="M24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8" s="148" t="e" cm="1">
        <f t="array" ref="N24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8" s="149" t="str">
        <f>IF(Table117821341[[#This Row],[Pos.]]="QB1",_xlfn.XLOOKUP(Table117821341[[#This Row],[Opp]],Table123[DEF],Table123[P]),"#N/A")</f>
        <v>#N/A</v>
      </c>
      <c r="P248" s="149" t="str">
        <f>IF(Table117821341[[#This Row],[Pos.]]="QB1",_xlfn.XLOOKUP(Table117821341[[#This Row],[Opp]],Table123[DEF],Table123[P+R]),"#N/A")</f>
        <v>#N/A</v>
      </c>
      <c r="Q248" s="150" t="str">
        <f>IF(Table117821341[[#This Row],[Pos.]]="QB1",_xlfn.XLOOKUP(Table117821341[[#This Row],[Opp]],Table123[DEF],Table123[P TD]),"#N/A")</f>
        <v>#N/A</v>
      </c>
      <c r="R248" s="149" t="e" cm="1">
        <f t="array" ref="R24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8" s="150" t="e" cm="1">
        <f t="array" ref="S24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8" s="150" t="e" cm="1">
        <f t="array" ref="T24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8" s="150" t="e" cm="1">
        <f t="array" ref="U24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8" s="162" t="e" cm="1">
        <f t="array" ref="V24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8" s="148" t="e" cm="1">
        <f t="array" ref="W248">_xlfn.IFS(Table117821341[[#This Row],[Pos.]]="QB1",AVERAGE(G248,H248,I248,J248,N248),Table117821341[[#This Row],[Pos.]]="RB1",AVERAGE(J248,K248,N248),Table117821341[[#This Row],[Pos.]]="RB2",AVERAGE(J248,K248,N248),Table117821341[[#This Row],[Pos.]]="WR1",AVERAGE(L248,M248,N248),Table117821341[[#This Row],[Pos.]]="WR2",AVERAGE(L248,M248,N248),Table117821341[[#This Row],[Pos.]]="WR3",AVERAGE(L248,M248,N248),Table117821341[[#This Row],[Pos.]]="WR4",AVERAGE(L248,M248,N248),Table117821341[[#This Row],[Pos.]]="TE1",AVERAGE(L248,M248,N248),Table117821341[[#This Row],[Pos.]]="TE2",AVERAGE(L248,M248,N248),Table117821341[[#This Row],[Pos.]]="D/ST",AVERAGE(Table117821341[[#This Row],[*TD*]]))</f>
        <v>#N/A</v>
      </c>
      <c r="X248" s="94" t="e">
        <f t="shared" si="3"/>
        <v>#N/A</v>
      </c>
    </row>
    <row r="249" spans="2:24" hidden="1" x14ac:dyDescent="0.35">
      <c r="B249" s="6" t="s">
        <v>477</v>
      </c>
      <c r="C249" s="97" t="s">
        <v>31</v>
      </c>
      <c r="D249" s="97" t="s">
        <v>401</v>
      </c>
      <c r="E249" s="23" t="str" cm="1">
        <f t="array" ref="E249">_xlfn.XLOOKUP(Table117821341[[#This Row],[Team]],Table4334[Team],'2425'!$C$3:$C$34)</f>
        <v>n/a</v>
      </c>
      <c r="F249" s="97" t="str">
        <f>_xlfn.XLOOKUP(Table117821341[[#This Row],[Team]],Table4334[Team],Table4334[OPP])</f>
        <v>n/a</v>
      </c>
      <c r="G249" s="148" t="str" cm="1">
        <f t="array" ref="G249">IF(Table117821341[[#This Row],[Pos.]]="QB1",_xlfn.XLOOKUP(Table117821341[[#This Row],[Opp]],Table123[DEF],'2425'!$G$3:$G$34),"#N/A")</f>
        <v>#N/A</v>
      </c>
      <c r="H249" s="148" t="str" cm="1">
        <f t="array" ref="H249">IF(Table117821341[[#This Row],[Pos.]]="QB1",_xlfn.XLOOKUP(Table117821341[[#This Row],[Opp]],Table123[DEF],'2425'!$J$3:$J$34),"#N/A")</f>
        <v>#N/A</v>
      </c>
      <c r="I249" s="148" t="str" cm="1">
        <f t="array" ref="I249">IF(Table117821341[[#This Row],[Pos.]]="QB1",_xlfn.XLOOKUP(Table117821341[[#This Row],[Opp]],Table123[DEF],'2425'!$K$3:$K$34),"#N/A")</f>
        <v>#N/A</v>
      </c>
      <c r="J249" s="148" t="e" cm="1">
        <f t="array" ref="J24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49" s="148" t="e" cm="1">
        <f t="array" ref="K24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49" s="148" t="e" cm="1">
        <f t="array" ref="L24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49" s="148" t="e" cm="1">
        <f t="array" ref="M24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49" s="148" t="e" cm="1">
        <f t="array" ref="N24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49" s="149" t="str">
        <f>IF(Table117821341[[#This Row],[Pos.]]="QB1",_xlfn.XLOOKUP(Table117821341[[#This Row],[Opp]],Table123[DEF],Table123[P]),"#N/A")</f>
        <v>#N/A</v>
      </c>
      <c r="P249" s="149" t="str">
        <f>IF(Table117821341[[#This Row],[Pos.]]="QB1",_xlfn.XLOOKUP(Table117821341[[#This Row],[Opp]],Table123[DEF],Table123[P+R]),"#N/A")</f>
        <v>#N/A</v>
      </c>
      <c r="Q249" s="150" t="str">
        <f>IF(Table117821341[[#This Row],[Pos.]]="QB1",_xlfn.XLOOKUP(Table117821341[[#This Row],[Opp]],Table123[DEF],Table123[P TD]),"#N/A")</f>
        <v>#N/A</v>
      </c>
      <c r="R249" s="149" t="e" cm="1">
        <f t="array" ref="R24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49" s="150" t="e" cm="1">
        <f t="array" ref="S24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49" s="150" t="e" cm="1">
        <f t="array" ref="T24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49" s="150" t="e" cm="1">
        <f t="array" ref="U24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49" s="162" t="e" cm="1">
        <f t="array" ref="V24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49" s="148" t="e" cm="1">
        <f t="array" ref="W249">_xlfn.IFS(Table117821341[[#This Row],[Pos.]]="QB1",AVERAGE(G249,H249,I249,J249,N249),Table117821341[[#This Row],[Pos.]]="RB1",AVERAGE(J249,K249,N249),Table117821341[[#This Row],[Pos.]]="RB2",AVERAGE(J249,K249,N249),Table117821341[[#This Row],[Pos.]]="WR1",AVERAGE(L249,M249,N249),Table117821341[[#This Row],[Pos.]]="WR2",AVERAGE(L249,M249,N249),Table117821341[[#This Row],[Pos.]]="WR3",AVERAGE(L249,M249,N249),Table117821341[[#This Row],[Pos.]]="WR4",AVERAGE(L249,M249,N249),Table117821341[[#This Row],[Pos.]]="TE1",AVERAGE(L249,M249,N249),Table117821341[[#This Row],[Pos.]]="TE2",AVERAGE(L249,M249,N249),Table117821341[[#This Row],[Pos.]]="D/ST",AVERAGE(Table117821341[[#This Row],[*TD*]]))</f>
        <v>#N/A</v>
      </c>
      <c r="X249" s="94" t="e">
        <f t="shared" si="3"/>
        <v>#N/A</v>
      </c>
    </row>
    <row r="250" spans="2:24" hidden="1" x14ac:dyDescent="0.35">
      <c r="B250" s="6" t="s">
        <v>235</v>
      </c>
      <c r="C250" s="97" t="s">
        <v>39</v>
      </c>
      <c r="D250" s="97" t="s">
        <v>405</v>
      </c>
      <c r="E250" s="23" t="str" cm="1">
        <f t="array" ref="E250">_xlfn.XLOOKUP(Table117821341[[#This Row],[Team]],Table4334[Team],'2425'!$C$3:$C$34)</f>
        <v>n/a</v>
      </c>
      <c r="F250" s="97" t="str">
        <f>_xlfn.XLOOKUP(Table117821341[[#This Row],[Team]],Table4334[Team],Table4334[OPP])</f>
        <v>n/a</v>
      </c>
      <c r="G250" s="148" t="str" cm="1">
        <f t="array" ref="G250">IF(Table117821341[[#This Row],[Pos.]]="QB1",_xlfn.XLOOKUP(Table117821341[[#This Row],[Opp]],Table123[DEF],'2425'!$G$3:$G$34),"#N/A")</f>
        <v>#N/A</v>
      </c>
      <c r="H250" s="148" t="str" cm="1">
        <f t="array" ref="H250">IF(Table117821341[[#This Row],[Pos.]]="QB1",_xlfn.XLOOKUP(Table117821341[[#This Row],[Opp]],Table123[DEF],'2425'!$J$3:$J$34),"#N/A")</f>
        <v>#N/A</v>
      </c>
      <c r="I250" s="148" t="str" cm="1">
        <f t="array" ref="I250">IF(Table117821341[[#This Row],[Pos.]]="QB1",_xlfn.XLOOKUP(Table117821341[[#This Row],[Opp]],Table123[DEF],'2425'!$K$3:$K$34),"#N/A")</f>
        <v>#N/A</v>
      </c>
      <c r="J250" s="148" t="e" cm="1">
        <f t="array" ref="J25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0" s="148" t="e" cm="1">
        <f t="array" ref="K25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0" s="148" t="e" cm="1">
        <f t="array" ref="L25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0" s="148" t="e" cm="1">
        <f t="array" ref="M25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0" s="148" t="e" cm="1">
        <f t="array" ref="N25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0" s="149" t="str">
        <f>IF(Table117821341[[#This Row],[Pos.]]="QB1",_xlfn.XLOOKUP(Table117821341[[#This Row],[Opp]],Table123[DEF],Table123[P]),"#N/A")</f>
        <v>#N/A</v>
      </c>
      <c r="P250" s="149" t="str">
        <f>IF(Table117821341[[#This Row],[Pos.]]="QB1",_xlfn.XLOOKUP(Table117821341[[#This Row],[Opp]],Table123[DEF],Table123[P+R]),"#N/A")</f>
        <v>#N/A</v>
      </c>
      <c r="Q250" s="150" t="str">
        <f>IF(Table117821341[[#This Row],[Pos.]]="QB1",_xlfn.XLOOKUP(Table117821341[[#This Row],[Opp]],Table123[DEF],Table123[P TD]),"#N/A")</f>
        <v>#N/A</v>
      </c>
      <c r="R250" s="149" t="e" cm="1">
        <f t="array" ref="R25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0" s="150" t="e" cm="1">
        <f t="array" ref="S25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0" s="150" t="e" cm="1">
        <f t="array" ref="T25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0" s="150" t="e" cm="1">
        <f t="array" ref="U25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0" s="150" t="e" cm="1">
        <f t="array" ref="V25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0" s="148" t="e" cm="1">
        <f t="array" ref="W250">_xlfn.IFS(Table117821341[[#This Row],[Pos.]]="QB1",AVERAGE(G250,H250,I250,J250,N250),Table117821341[[#This Row],[Pos.]]="RB1",AVERAGE(J250,K250,N250),Table117821341[[#This Row],[Pos.]]="RB2",AVERAGE(J250,K250,N250),Table117821341[[#This Row],[Pos.]]="WR1",AVERAGE(L250,M250,N250),Table117821341[[#This Row],[Pos.]]="WR2",AVERAGE(L250,M250,N250),Table117821341[[#This Row],[Pos.]]="WR3",AVERAGE(L250,M250,N250),Table117821341[[#This Row],[Pos.]]="WR4",AVERAGE(L250,M250,N250),Table117821341[[#This Row],[Pos.]]="TE1",AVERAGE(L250,M250,N250),Table117821341[[#This Row],[Pos.]]="TE2",AVERAGE(L250,M250,N250),Table117821341[[#This Row],[Pos.]]="D/ST",AVERAGE(Table117821341[[#This Row],[*TD*]]))</f>
        <v>#N/A</v>
      </c>
      <c r="X250" s="94" t="e">
        <f t="shared" si="3"/>
        <v>#N/A</v>
      </c>
    </row>
    <row r="251" spans="2:24" hidden="1" x14ac:dyDescent="0.35">
      <c r="B251" s="6" t="s">
        <v>197</v>
      </c>
      <c r="C251" s="97" t="s">
        <v>34</v>
      </c>
      <c r="D251" s="97" t="s">
        <v>68</v>
      </c>
      <c r="E251" s="23" t="str" cm="1">
        <f t="array" ref="E251">_xlfn.XLOOKUP(Table117821341[[#This Row],[Team]],Table4334[Team],'2425'!$C$3:$C$34)</f>
        <v>n/a</v>
      </c>
      <c r="F251" s="97" t="str">
        <f>_xlfn.XLOOKUP(Table117821341[[#This Row],[Team]],Table4334[Team],Table4334[OPP])</f>
        <v>n/a</v>
      </c>
      <c r="G251" s="148" t="str" cm="1">
        <f t="array" ref="G251">IF(Table117821341[[#This Row],[Pos.]]="QB1",_xlfn.XLOOKUP(Table117821341[[#This Row],[Opp]],Table123[DEF],'2425'!$G$3:$G$34),"#N/A")</f>
        <v>#N/A</v>
      </c>
      <c r="H251" s="148" t="str" cm="1">
        <f t="array" ref="H251">IF(Table117821341[[#This Row],[Pos.]]="QB1",_xlfn.XLOOKUP(Table117821341[[#This Row],[Opp]],Table123[DEF],'2425'!$J$3:$J$34),"#N/A")</f>
        <v>#N/A</v>
      </c>
      <c r="I251" s="148" t="str" cm="1">
        <f t="array" ref="I251">IF(Table117821341[[#This Row],[Pos.]]="QB1",_xlfn.XLOOKUP(Table117821341[[#This Row],[Opp]],Table123[DEF],'2425'!$K$3:$K$34),"#N/A")</f>
        <v>#N/A</v>
      </c>
      <c r="J251" s="148" t="e" cm="1">
        <f t="array" ref="J25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1" s="148" t="e" cm="1">
        <f t="array" ref="K25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1" s="148" t="e" cm="1">
        <f t="array" ref="L25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1" s="148" t="e" cm="1">
        <f t="array" ref="M25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1" s="148" t="e" cm="1">
        <f t="array" ref="N25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1" s="149" t="str">
        <f>IF(Table117821341[[#This Row],[Pos.]]="QB1",_xlfn.XLOOKUP(Table117821341[[#This Row],[Opp]],Table123[DEF],Table123[P]),"#N/A")</f>
        <v>#N/A</v>
      </c>
      <c r="P251" s="149" t="str">
        <f>IF(Table117821341[[#This Row],[Pos.]]="QB1",_xlfn.XLOOKUP(Table117821341[[#This Row],[Opp]],Table123[DEF],Table123[P+R]),"#N/A")</f>
        <v>#N/A</v>
      </c>
      <c r="Q251" s="150" t="str">
        <f>IF(Table117821341[[#This Row],[Pos.]]="QB1",_xlfn.XLOOKUP(Table117821341[[#This Row],[Opp]],Table123[DEF],Table123[P TD]),"#N/A")</f>
        <v>#N/A</v>
      </c>
      <c r="R251" s="149" t="e" cm="1">
        <f t="array" ref="R25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1" s="150" t="e" cm="1">
        <f t="array" ref="S25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1" s="150" t="e" cm="1">
        <f t="array" ref="T25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1" s="150" t="e" cm="1">
        <f t="array" ref="U25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1" s="162" t="e" cm="1">
        <f t="array" ref="V25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1" s="148" t="e" cm="1">
        <f t="array" ref="W251">_xlfn.IFS(Table117821341[[#This Row],[Pos.]]="QB1",AVERAGE(G251,H251,I251,J251,N251),Table117821341[[#This Row],[Pos.]]="RB1",AVERAGE(J251,K251,N251),Table117821341[[#This Row],[Pos.]]="RB2",AVERAGE(J251,K251,N251),Table117821341[[#This Row],[Pos.]]="WR1",AVERAGE(L251,M251,N251),Table117821341[[#This Row],[Pos.]]="WR2",AVERAGE(L251,M251,N251),Table117821341[[#This Row],[Pos.]]="WR3",AVERAGE(L251,M251,N251),Table117821341[[#This Row],[Pos.]]="WR4",AVERAGE(L251,M251,N251),Table117821341[[#This Row],[Pos.]]="TE1",AVERAGE(L251,M251,N251),Table117821341[[#This Row],[Pos.]]="TE2",AVERAGE(L251,M251,N251),Table117821341[[#This Row],[Pos.]]="D/ST",AVERAGE(Table117821341[[#This Row],[*TD*]]))</f>
        <v>#N/A</v>
      </c>
      <c r="X251" s="94" t="e">
        <f t="shared" si="3"/>
        <v>#N/A</v>
      </c>
    </row>
    <row r="252" spans="2:24" hidden="1" x14ac:dyDescent="0.35">
      <c r="B252" s="6" t="s">
        <v>237</v>
      </c>
      <c r="C252" s="97" t="s">
        <v>39</v>
      </c>
      <c r="D252" s="97" t="s">
        <v>394</v>
      </c>
      <c r="E252" s="23" t="str" cm="1">
        <f t="array" ref="E252">_xlfn.XLOOKUP(Table117821341[[#This Row],[Team]],Table4334[Team],'2425'!$C$3:$C$34)</f>
        <v>n/a</v>
      </c>
      <c r="F252" s="97" t="str">
        <f>_xlfn.XLOOKUP(Table117821341[[#This Row],[Team]],Table4334[Team],Table4334[OPP])</f>
        <v>n/a</v>
      </c>
      <c r="G252" s="148" t="str" cm="1">
        <f t="array" ref="G252">IF(Table117821341[[#This Row],[Pos.]]="QB1",_xlfn.XLOOKUP(Table117821341[[#This Row],[Opp]],Table123[DEF],'2425'!$G$3:$G$34),"#N/A")</f>
        <v>#N/A</v>
      </c>
      <c r="H252" s="148" t="str" cm="1">
        <f t="array" ref="H252">IF(Table117821341[[#This Row],[Pos.]]="QB1",_xlfn.XLOOKUP(Table117821341[[#This Row],[Opp]],Table123[DEF],'2425'!$J$3:$J$34),"#N/A")</f>
        <v>#N/A</v>
      </c>
      <c r="I252" s="148" t="str" cm="1">
        <f t="array" ref="I252">IF(Table117821341[[#This Row],[Pos.]]="QB1",_xlfn.XLOOKUP(Table117821341[[#This Row],[Opp]],Table123[DEF],'2425'!$K$3:$K$34),"#N/A")</f>
        <v>#N/A</v>
      </c>
      <c r="J252" s="148" t="e" cm="1">
        <f t="array" ref="J25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2" s="148" t="e" cm="1">
        <f t="array" ref="K25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2" s="148" t="e" cm="1">
        <f t="array" ref="L25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2" s="148" t="e" cm="1">
        <f t="array" ref="M25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2" s="148" t="e" cm="1">
        <f t="array" ref="N25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2" s="149" t="str">
        <f>IF(Table117821341[[#This Row],[Pos.]]="QB1",_xlfn.XLOOKUP(Table117821341[[#This Row],[Opp]],Table123[DEF],Table123[P]),"#N/A")</f>
        <v>#N/A</v>
      </c>
      <c r="P252" s="149" t="str">
        <f>IF(Table117821341[[#This Row],[Pos.]]="QB1",_xlfn.XLOOKUP(Table117821341[[#This Row],[Opp]],Table123[DEF],Table123[P+R]),"#N/A")</f>
        <v>#N/A</v>
      </c>
      <c r="Q252" s="150" t="str">
        <f>IF(Table117821341[[#This Row],[Pos.]]="QB1",_xlfn.XLOOKUP(Table117821341[[#This Row],[Opp]],Table123[DEF],Table123[P TD]),"#N/A")</f>
        <v>#N/A</v>
      </c>
      <c r="R252" s="149" t="e" cm="1">
        <f t="array" ref="R25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2" s="150" t="e" cm="1">
        <f t="array" ref="S25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2" s="150" t="e" cm="1">
        <f t="array" ref="T25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2" s="150" t="e" cm="1">
        <f t="array" ref="U25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2" s="150" t="e" cm="1">
        <f t="array" ref="V25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2" s="148" t="e" cm="1">
        <f t="array" ref="W252">_xlfn.IFS(Table117821341[[#This Row],[Pos.]]="QB1",AVERAGE(G252,H252,I252,J252,N252),Table117821341[[#This Row],[Pos.]]="RB1",AVERAGE(J252,K252,N252),Table117821341[[#This Row],[Pos.]]="RB2",AVERAGE(J252,K252,N252),Table117821341[[#This Row],[Pos.]]="WR1",AVERAGE(L252,M252,N252),Table117821341[[#This Row],[Pos.]]="WR2",AVERAGE(L252,M252,N252),Table117821341[[#This Row],[Pos.]]="WR3",AVERAGE(L252,M252,N252),Table117821341[[#This Row],[Pos.]]="WR4",AVERAGE(L252,M252,N252),Table117821341[[#This Row],[Pos.]]="TE1",AVERAGE(L252,M252,N252),Table117821341[[#This Row],[Pos.]]="TE2",AVERAGE(L252,M252,N252),Table117821341[[#This Row],[Pos.]]="D/ST",AVERAGE(Table117821341[[#This Row],[*TD*]]))</f>
        <v>#N/A</v>
      </c>
      <c r="X252" s="94" t="e">
        <f t="shared" si="3"/>
        <v>#N/A</v>
      </c>
    </row>
    <row r="253" spans="2:24" hidden="1" x14ac:dyDescent="0.35">
      <c r="B253" s="6" t="s">
        <v>624</v>
      </c>
      <c r="C253" s="97" t="s">
        <v>39</v>
      </c>
      <c r="D253" s="97" t="s">
        <v>396</v>
      </c>
      <c r="E253" s="23" t="str" cm="1">
        <f t="array" ref="E253">_xlfn.XLOOKUP(Table117821341[[#This Row],[Team]],Table4334[Team],'2425'!$C$3:$C$34)</f>
        <v>n/a</v>
      </c>
      <c r="F253" s="97" t="str">
        <f>_xlfn.XLOOKUP(Table117821341[[#This Row],[Team]],Table4334[Team],Table4334[OPP])</f>
        <v>n/a</v>
      </c>
      <c r="G253" s="148" t="str" cm="1">
        <f t="array" ref="G253">IF(Table117821341[[#This Row],[Pos.]]="QB1",_xlfn.XLOOKUP(Table117821341[[#This Row],[Opp]],Table123[DEF],'2425'!$G$3:$G$34),"#N/A")</f>
        <v>#N/A</v>
      </c>
      <c r="H253" s="148" t="str" cm="1">
        <f t="array" ref="H253">IF(Table117821341[[#This Row],[Pos.]]="QB1",_xlfn.XLOOKUP(Table117821341[[#This Row],[Opp]],Table123[DEF],'2425'!$J$3:$J$34),"#N/A")</f>
        <v>#N/A</v>
      </c>
      <c r="I253" s="148" t="str" cm="1">
        <f t="array" ref="I253">IF(Table117821341[[#This Row],[Pos.]]="QB1",_xlfn.XLOOKUP(Table117821341[[#This Row],[Opp]],Table123[DEF],'2425'!$K$3:$K$34),"#N/A")</f>
        <v>#N/A</v>
      </c>
      <c r="J253" s="148" t="e" cm="1">
        <f t="array" ref="J25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3" s="148" t="e" cm="1">
        <f t="array" ref="K25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3" s="148" t="e" cm="1">
        <f t="array" ref="L25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3" s="148" t="e" cm="1">
        <f t="array" ref="M25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3" s="148" t="e" cm="1">
        <f t="array" ref="N25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3" s="149" t="str">
        <f>IF(Table117821341[[#This Row],[Pos.]]="QB1",_xlfn.XLOOKUP(Table117821341[[#This Row],[Opp]],Table123[DEF],Table123[P]),"#N/A")</f>
        <v>#N/A</v>
      </c>
      <c r="P253" s="149" t="str">
        <f>IF(Table117821341[[#This Row],[Pos.]]="QB1",_xlfn.XLOOKUP(Table117821341[[#This Row],[Opp]],Table123[DEF],Table123[P+R]),"#N/A")</f>
        <v>#N/A</v>
      </c>
      <c r="Q253" s="150" t="str">
        <f>IF(Table117821341[[#This Row],[Pos.]]="QB1",_xlfn.XLOOKUP(Table117821341[[#This Row],[Opp]],Table123[DEF],Table123[P TD]),"#N/A")</f>
        <v>#N/A</v>
      </c>
      <c r="R253" s="149" t="e" cm="1">
        <f t="array" ref="R25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3" s="150" t="e" cm="1">
        <f t="array" ref="S25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3" s="150" t="e" cm="1">
        <f t="array" ref="T25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3" s="150" t="e" cm="1">
        <f t="array" ref="U25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3" s="150" t="e" cm="1">
        <f t="array" ref="V25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3" s="148" t="e" cm="1">
        <f t="array" ref="W253">_xlfn.IFS(Table117821341[[#This Row],[Pos.]]="QB1",AVERAGE(G253,H253,I253,J253,N253),Table117821341[[#This Row],[Pos.]]="RB1",AVERAGE(J253,K253,N253),Table117821341[[#This Row],[Pos.]]="RB2",AVERAGE(J253,K253,N253),Table117821341[[#This Row],[Pos.]]="WR1",AVERAGE(L253,M253,N253),Table117821341[[#This Row],[Pos.]]="WR2",AVERAGE(L253,M253,N253),Table117821341[[#This Row],[Pos.]]="WR3",AVERAGE(L253,M253,N253),Table117821341[[#This Row],[Pos.]]="WR4",AVERAGE(L253,M253,N253),Table117821341[[#This Row],[Pos.]]="TE1",AVERAGE(L253,M253,N253),Table117821341[[#This Row],[Pos.]]="TE2",AVERAGE(L253,M253,N253),Table117821341[[#This Row],[Pos.]]="D/ST",AVERAGE(Table117821341[[#This Row],[*TD*]]))</f>
        <v>#N/A</v>
      </c>
      <c r="X253" s="94" t="e">
        <f t="shared" si="3"/>
        <v>#N/A</v>
      </c>
    </row>
    <row r="254" spans="2:24" hidden="1" x14ac:dyDescent="0.35">
      <c r="B254" s="6" t="s">
        <v>708</v>
      </c>
      <c r="C254" s="97" t="s">
        <v>16</v>
      </c>
      <c r="D254" s="97" t="s">
        <v>71</v>
      </c>
      <c r="E254" s="23" t="str" cm="1">
        <f t="array" ref="E254">_xlfn.XLOOKUP(Table117821341[[#This Row],[Team]],Table4334[Team],'2425'!$C$3:$C$34)</f>
        <v>n/a</v>
      </c>
      <c r="F254" s="97" t="str">
        <f>_xlfn.XLOOKUP(Table117821341[[#This Row],[Team]],Table4334[Team],Table4334[OPP])</f>
        <v>n/a</v>
      </c>
      <c r="G254" s="148" t="str" cm="1">
        <f t="array" ref="G254">IF(Table117821341[[#This Row],[Pos.]]="QB1",_xlfn.XLOOKUP(Table117821341[[#This Row],[Opp]],Table123[DEF],'2425'!$G$3:$G$34),"#N/A")</f>
        <v>#N/A</v>
      </c>
      <c r="H254" s="148" t="str" cm="1">
        <f t="array" ref="H254">IF(Table117821341[[#This Row],[Pos.]]="QB1",_xlfn.XLOOKUP(Table117821341[[#This Row],[Opp]],Table123[DEF],'2425'!$J$3:$J$34),"#N/A")</f>
        <v>#N/A</v>
      </c>
      <c r="I254" s="148" t="str" cm="1">
        <f t="array" ref="I254">IF(Table117821341[[#This Row],[Pos.]]="QB1",_xlfn.XLOOKUP(Table117821341[[#This Row],[Opp]],Table123[DEF],'2425'!$K$3:$K$34),"#N/A")</f>
        <v>#N/A</v>
      </c>
      <c r="J254" s="148" t="e" cm="1">
        <f t="array" ref="J25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4" s="148" t="e" cm="1">
        <f t="array" ref="K25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4" s="148" t="e" cm="1">
        <f t="array" ref="L25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4" s="148" t="e" cm="1">
        <f t="array" ref="M25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4" s="148" t="e" cm="1">
        <f t="array" ref="N25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4" s="149" t="str">
        <f>IF(Table117821341[[#This Row],[Pos.]]="QB1",_xlfn.XLOOKUP(Table117821341[[#This Row],[Opp]],Table123[DEF],Table123[P]),"#N/A")</f>
        <v>#N/A</v>
      </c>
      <c r="P254" s="149" t="str">
        <f>IF(Table117821341[[#This Row],[Pos.]]="QB1",_xlfn.XLOOKUP(Table117821341[[#This Row],[Opp]],Table123[DEF],Table123[P+R]),"#N/A")</f>
        <v>#N/A</v>
      </c>
      <c r="Q254" s="150" t="str">
        <f>IF(Table117821341[[#This Row],[Pos.]]="QB1",_xlfn.XLOOKUP(Table117821341[[#This Row],[Opp]],Table123[DEF],Table123[P TD]),"#N/A")</f>
        <v>#N/A</v>
      </c>
      <c r="R254" s="149" t="e" cm="1">
        <f t="array" ref="R25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4" s="150" t="e" cm="1">
        <f t="array" ref="S25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4" s="150" t="e" cm="1">
        <f t="array" ref="T25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4" s="150" t="e" cm="1">
        <f t="array" ref="U25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4" s="162" t="e" cm="1">
        <f t="array" ref="V25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4" s="148" t="e" cm="1">
        <f t="array" ref="W254">_xlfn.IFS(Table117821341[[#This Row],[Pos.]]="QB1",AVERAGE(G254,H254,I254,J254,N254),Table117821341[[#This Row],[Pos.]]="RB1",AVERAGE(J254,K254,N254),Table117821341[[#This Row],[Pos.]]="RB2",AVERAGE(J254,K254,N254),Table117821341[[#This Row],[Pos.]]="WR1",AVERAGE(L254,M254,N254),Table117821341[[#This Row],[Pos.]]="WR2",AVERAGE(L254,M254,N254),Table117821341[[#This Row],[Pos.]]="WR3",AVERAGE(L254,M254,N254),Table117821341[[#This Row],[Pos.]]="WR4",AVERAGE(L254,M254,N254),Table117821341[[#This Row],[Pos.]]="TE1",AVERAGE(L254,M254,N254),Table117821341[[#This Row],[Pos.]]="TE2",AVERAGE(L254,M254,N254),Table117821341[[#This Row],[Pos.]]="D/ST",AVERAGE(Table117821341[[#This Row],[*TD*]]))</f>
        <v>#N/A</v>
      </c>
      <c r="X254" s="94" t="e">
        <f t="shared" si="3"/>
        <v>#N/A</v>
      </c>
    </row>
    <row r="255" spans="2:24" hidden="1" x14ac:dyDescent="0.35">
      <c r="B255" s="6" t="s">
        <v>628</v>
      </c>
      <c r="C255" s="97" t="s">
        <v>39</v>
      </c>
      <c r="D255" s="97" t="s">
        <v>398</v>
      </c>
      <c r="E255" s="23" t="str" cm="1">
        <f t="array" ref="E255">_xlfn.XLOOKUP(Table117821341[[#This Row],[Team]],Table4334[Team],'2425'!$C$3:$C$34)</f>
        <v>n/a</v>
      </c>
      <c r="F255" s="97" t="str">
        <f>_xlfn.XLOOKUP(Table117821341[[#This Row],[Team]],Table4334[Team],Table4334[OPP])</f>
        <v>n/a</v>
      </c>
      <c r="G255" s="148" t="str" cm="1">
        <f t="array" ref="G255">IF(Table117821341[[#This Row],[Pos.]]="QB1",_xlfn.XLOOKUP(Table117821341[[#This Row],[Opp]],Table123[DEF],'2425'!$G$3:$G$34),"#N/A")</f>
        <v>#N/A</v>
      </c>
      <c r="H255" s="148" t="str" cm="1">
        <f t="array" ref="H255">IF(Table117821341[[#This Row],[Pos.]]="QB1",_xlfn.XLOOKUP(Table117821341[[#This Row],[Opp]],Table123[DEF],'2425'!$J$3:$J$34),"#N/A")</f>
        <v>#N/A</v>
      </c>
      <c r="I255" s="148" t="str" cm="1">
        <f t="array" ref="I255">IF(Table117821341[[#This Row],[Pos.]]="QB1",_xlfn.XLOOKUP(Table117821341[[#This Row],[Opp]],Table123[DEF],'2425'!$K$3:$K$34),"#N/A")</f>
        <v>#N/A</v>
      </c>
      <c r="J255" s="148" t="e" cm="1">
        <f t="array" ref="J25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5" s="148" t="e" cm="1">
        <f t="array" ref="K25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5" s="148" t="e" cm="1">
        <f t="array" ref="L25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5" s="148" t="e" cm="1">
        <f t="array" ref="M25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5" s="148" t="e" cm="1">
        <f t="array" ref="N25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5" s="149" t="str">
        <f>IF(Table117821341[[#This Row],[Pos.]]="QB1",_xlfn.XLOOKUP(Table117821341[[#This Row],[Opp]],Table123[DEF],Table123[P]),"#N/A")</f>
        <v>#N/A</v>
      </c>
      <c r="P255" s="149" t="str">
        <f>IF(Table117821341[[#This Row],[Pos.]]="QB1",_xlfn.XLOOKUP(Table117821341[[#This Row],[Opp]],Table123[DEF],Table123[P+R]),"#N/A")</f>
        <v>#N/A</v>
      </c>
      <c r="Q255" s="150" t="str">
        <f>IF(Table117821341[[#This Row],[Pos.]]="QB1",_xlfn.XLOOKUP(Table117821341[[#This Row],[Opp]],Table123[DEF],Table123[P TD]),"#N/A")</f>
        <v>#N/A</v>
      </c>
      <c r="R255" s="149" t="e" cm="1">
        <f t="array" ref="R25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5" s="150" t="e" cm="1">
        <f t="array" ref="S25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5" s="150" t="e" cm="1">
        <f t="array" ref="T25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5" s="150" t="e" cm="1">
        <f t="array" ref="U25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5" s="150" t="e" cm="1">
        <f t="array" ref="V25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5" s="148" t="e" cm="1">
        <f t="array" ref="W255">_xlfn.IFS(Table117821341[[#This Row],[Pos.]]="QB1",AVERAGE(G255,H255,I255,J255,N255),Table117821341[[#This Row],[Pos.]]="RB1",AVERAGE(J255,K255,N255),Table117821341[[#This Row],[Pos.]]="RB2",AVERAGE(J255,K255,N255),Table117821341[[#This Row],[Pos.]]="WR1",AVERAGE(L255,M255,N255),Table117821341[[#This Row],[Pos.]]="WR2",AVERAGE(L255,M255,N255),Table117821341[[#This Row],[Pos.]]="WR3",AVERAGE(L255,M255,N255),Table117821341[[#This Row],[Pos.]]="WR4",AVERAGE(L255,M255,N255),Table117821341[[#This Row],[Pos.]]="TE1",AVERAGE(L255,M255,N255),Table117821341[[#This Row],[Pos.]]="TE2",AVERAGE(L255,M255,N255),Table117821341[[#This Row],[Pos.]]="D/ST",AVERAGE(Table117821341[[#This Row],[*TD*]]))</f>
        <v>#N/A</v>
      </c>
      <c r="X255" s="94" t="e">
        <f t="shared" si="3"/>
        <v>#N/A</v>
      </c>
    </row>
    <row r="256" spans="2:24" hidden="1" x14ac:dyDescent="0.35">
      <c r="B256" s="6" t="s">
        <v>629</v>
      </c>
      <c r="C256" s="97" t="s">
        <v>39</v>
      </c>
      <c r="D256" s="97" t="s">
        <v>430</v>
      </c>
      <c r="E256" s="23" t="str" cm="1">
        <f t="array" ref="E256">_xlfn.XLOOKUP(Table117821341[[#This Row],[Team]],Table4334[Team],'2425'!$C$3:$C$34)</f>
        <v>n/a</v>
      </c>
      <c r="F256" s="97" t="str">
        <f>_xlfn.XLOOKUP(Table117821341[[#This Row],[Team]],Table4334[Team],Table4334[OPP])</f>
        <v>n/a</v>
      </c>
      <c r="G256" s="148" t="str" cm="1">
        <f t="array" ref="G256">IF(Table117821341[[#This Row],[Pos.]]="QB1",_xlfn.XLOOKUP(Table117821341[[#This Row],[Opp]],Table123[DEF],'2425'!$G$3:$G$34),"#N/A")</f>
        <v>#N/A</v>
      </c>
      <c r="H256" s="148" t="str" cm="1">
        <f t="array" ref="H256">IF(Table117821341[[#This Row],[Pos.]]="QB1",_xlfn.XLOOKUP(Table117821341[[#This Row],[Opp]],Table123[DEF],'2425'!$J$3:$J$34),"#N/A")</f>
        <v>#N/A</v>
      </c>
      <c r="I256" s="148" t="str" cm="1">
        <f t="array" ref="I256">IF(Table117821341[[#This Row],[Pos.]]="QB1",_xlfn.XLOOKUP(Table117821341[[#This Row],[Opp]],Table123[DEF],'2425'!$K$3:$K$34),"#N/A")</f>
        <v>#N/A</v>
      </c>
      <c r="J256" s="148" t="e" cm="1">
        <f t="array" ref="J25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6" s="148" t="e" cm="1">
        <f t="array" ref="K25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6" s="148" t="e" cm="1">
        <f t="array" ref="L25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6" s="148" t="e" cm="1">
        <f t="array" ref="M25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6" s="148" t="e" cm="1">
        <f t="array" ref="N25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6" s="149" t="str">
        <f>IF(Table117821341[[#This Row],[Pos.]]="QB1",_xlfn.XLOOKUP(Table117821341[[#This Row],[Opp]],Table123[DEF],Table123[P]),"#N/A")</f>
        <v>#N/A</v>
      </c>
      <c r="P256" s="149" t="str">
        <f>IF(Table117821341[[#This Row],[Pos.]]="QB1",_xlfn.XLOOKUP(Table117821341[[#This Row],[Opp]],Table123[DEF],Table123[P+R]),"#N/A")</f>
        <v>#N/A</v>
      </c>
      <c r="Q256" s="150" t="str">
        <f>IF(Table117821341[[#This Row],[Pos.]]="QB1",_xlfn.XLOOKUP(Table117821341[[#This Row],[Opp]],Table123[DEF],Table123[P TD]),"#N/A")</f>
        <v>#N/A</v>
      </c>
      <c r="R256" s="149" t="e" cm="1">
        <f t="array" ref="R25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6" s="150" t="e" cm="1">
        <f t="array" ref="S25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6" s="150" t="e" cm="1">
        <f t="array" ref="T25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6" s="150" t="e" cm="1">
        <f t="array" ref="U25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6" s="150" t="e" cm="1">
        <f t="array" ref="V25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6" s="148" t="e" cm="1">
        <f t="array" ref="W256">_xlfn.IFS(Table117821341[[#This Row],[Pos.]]="QB1",AVERAGE(G256,H256,I256,J256,N256),Table117821341[[#This Row],[Pos.]]="RB1",AVERAGE(J256,K256,N256),Table117821341[[#This Row],[Pos.]]="RB2",AVERAGE(J256,K256,N256),Table117821341[[#This Row],[Pos.]]="WR1",AVERAGE(L256,M256,N256),Table117821341[[#This Row],[Pos.]]="WR2",AVERAGE(L256,M256,N256),Table117821341[[#This Row],[Pos.]]="WR3",AVERAGE(L256,M256,N256),Table117821341[[#This Row],[Pos.]]="WR4",AVERAGE(L256,M256,N256),Table117821341[[#This Row],[Pos.]]="TE1",AVERAGE(L256,M256,N256),Table117821341[[#This Row],[Pos.]]="TE2",AVERAGE(L256,M256,N256),Table117821341[[#This Row],[Pos.]]="D/ST",AVERAGE(Table117821341[[#This Row],[*TD*]]))</f>
        <v>#N/A</v>
      </c>
      <c r="X256" s="94" t="e">
        <f t="shared" si="3"/>
        <v>#N/A</v>
      </c>
    </row>
    <row r="257" spans="2:24" hidden="1" x14ac:dyDescent="0.35">
      <c r="B257" s="6" t="s">
        <v>528</v>
      </c>
      <c r="C257" s="97" t="s">
        <v>52</v>
      </c>
      <c r="D257" s="97" t="s">
        <v>68</v>
      </c>
      <c r="E257" s="23" t="str" cm="1">
        <f t="array" ref="E257">_xlfn.XLOOKUP(Table117821341[[#This Row],[Team]],Table4334[Team],'2425'!$C$3:$C$34)</f>
        <v>SB LX</v>
      </c>
      <c r="F257" s="97" t="str">
        <f>_xlfn.XLOOKUP(Table117821341[[#This Row],[Team]],Table4334[Team],Table4334[OPP])</f>
        <v>NE</v>
      </c>
      <c r="G257" s="148" t="str" cm="1">
        <f t="array" ref="G257">IF(Table117821341[[#This Row],[Pos.]]="QB1",_xlfn.XLOOKUP(Table117821341[[#This Row],[Opp]],Table123[DEF],'2425'!$G$3:$G$34),"#N/A")</f>
        <v>#N/A</v>
      </c>
      <c r="H257" s="148" t="str" cm="1">
        <f t="array" ref="H257">IF(Table117821341[[#This Row],[Pos.]]="QB1",_xlfn.XLOOKUP(Table117821341[[#This Row],[Opp]],Table123[DEF],'2425'!$J$3:$J$34),"#N/A")</f>
        <v>#N/A</v>
      </c>
      <c r="I257" s="148" t="str" cm="1">
        <f t="array" ref="I257">IF(Table117821341[[#This Row],[Pos.]]="QB1",_xlfn.XLOOKUP(Table117821341[[#This Row],[Opp]],Table123[DEF],'2425'!$K$3:$K$34),"#N/A")</f>
        <v>#N/A</v>
      </c>
      <c r="J257" s="148" t="e" cm="1">
        <f t="array" ref="J25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7" s="148" t="e" cm="1">
        <f t="array" ref="K25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7" s="148" cm="1">
        <f t="array" ref="L25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23.5</v>
      </c>
      <c r="M257" s="148" cm="1">
        <f t="array" ref="M25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25</v>
      </c>
      <c r="N257" s="148" cm="1">
        <f t="array" ref="N25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27.5</v>
      </c>
      <c r="O257" s="149" t="str">
        <f>IF(Table117821341[[#This Row],[Pos.]]="QB1",_xlfn.XLOOKUP(Table117821341[[#This Row],[Opp]],Table123[DEF],Table123[P]),"#N/A")</f>
        <v>#N/A</v>
      </c>
      <c r="P257" s="149" t="str">
        <f>IF(Table117821341[[#This Row],[Pos.]]="QB1",_xlfn.XLOOKUP(Table117821341[[#This Row],[Opp]],Table123[DEF],Table123[P+R]),"#N/A")</f>
        <v>#N/A</v>
      </c>
      <c r="Q257" s="150" t="str">
        <f>IF(Table117821341[[#This Row],[Pos.]]="QB1",_xlfn.XLOOKUP(Table117821341[[#This Row],[Opp]],Table123[DEF],Table123[P TD]),"#N/A")</f>
        <v>#N/A</v>
      </c>
      <c r="R257" s="149" t="e" cm="1">
        <f t="array" ref="R25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7" s="150" t="e" cm="1">
        <f t="array" ref="S25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7" s="150" cm="1">
        <f t="array" ref="T25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1.8529411764705883</v>
      </c>
      <c r="U257" s="150" cm="1">
        <f t="array" ref="U25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22.558823529411764</v>
      </c>
      <c r="V257" s="162" cm="1">
        <f t="array" ref="V25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8.8235294117647051E-2</v>
      </c>
      <c r="W257" s="148" cm="1">
        <f t="array" ref="W257">_xlfn.IFS(Table117821341[[#This Row],[Pos.]]="QB1",AVERAGE(G257,H257,I257,J257,N257),Table117821341[[#This Row],[Pos.]]="RB1",AVERAGE(J257,K257,N257),Table117821341[[#This Row],[Pos.]]="RB2",AVERAGE(J257,K257,N257),Table117821341[[#This Row],[Pos.]]="WR1",AVERAGE(L257,M257,N257),Table117821341[[#This Row],[Pos.]]="WR2",AVERAGE(L257,M257,N257),Table117821341[[#This Row],[Pos.]]="WR3",AVERAGE(L257,M257,N257),Table117821341[[#This Row],[Pos.]]="WR4",AVERAGE(L257,M257,N257),Table117821341[[#This Row],[Pos.]]="TE1",AVERAGE(L257,M257,N257),Table117821341[[#This Row],[Pos.]]="TE2",AVERAGE(L257,M257,N257),Table117821341[[#This Row],[Pos.]]="D/ST",AVERAGE(Table117821341[[#This Row],[*TD*]]))</f>
        <v>25.333333333333332</v>
      </c>
      <c r="X257" s="94">
        <f t="shared" si="3"/>
        <v>26.416666666666664</v>
      </c>
    </row>
    <row r="258" spans="2:24" hidden="1" x14ac:dyDescent="0.35">
      <c r="B258" s="6" t="s">
        <v>241</v>
      </c>
      <c r="C258" s="97" t="s">
        <v>39</v>
      </c>
      <c r="D258" s="97" t="s">
        <v>411</v>
      </c>
      <c r="E258" s="23" t="str" cm="1">
        <f t="array" ref="E258">_xlfn.XLOOKUP(Table117821341[[#This Row],[Team]],Table4334[Team],'2425'!$C$3:$C$34)</f>
        <v>n/a</v>
      </c>
      <c r="F258" s="97" t="str">
        <f>_xlfn.XLOOKUP(Table117821341[[#This Row],[Team]],Table4334[Team],Table4334[OPP])</f>
        <v>n/a</v>
      </c>
      <c r="G258" s="148" t="str" cm="1">
        <f t="array" ref="G258">IF(Table117821341[[#This Row],[Pos.]]="QB1",_xlfn.XLOOKUP(Table117821341[[#This Row],[Opp]],Table123[DEF],'2425'!$G$3:$G$34),"#N/A")</f>
        <v>#N/A</v>
      </c>
      <c r="H258" s="148" t="str" cm="1">
        <f t="array" ref="H258">IF(Table117821341[[#This Row],[Pos.]]="QB1",_xlfn.XLOOKUP(Table117821341[[#This Row],[Opp]],Table123[DEF],'2425'!$J$3:$J$34),"#N/A")</f>
        <v>#N/A</v>
      </c>
      <c r="I258" s="148" t="str" cm="1">
        <f t="array" ref="I258">IF(Table117821341[[#This Row],[Pos.]]="QB1",_xlfn.XLOOKUP(Table117821341[[#This Row],[Opp]],Table123[DEF],'2425'!$K$3:$K$34),"#N/A")</f>
        <v>#N/A</v>
      </c>
      <c r="J258" s="148" t="e" cm="1">
        <f t="array" ref="J25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8" s="148" t="e" cm="1">
        <f t="array" ref="K25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8" s="148" t="e" cm="1">
        <f t="array" ref="L25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8" s="148" t="e" cm="1">
        <f t="array" ref="M25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8" s="148" t="e" cm="1">
        <f t="array" ref="N25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8" s="149" t="str">
        <f>IF(Table117821341[[#This Row],[Pos.]]="QB1",_xlfn.XLOOKUP(Table117821341[[#This Row],[Opp]],Table123[DEF],Table123[P]),"#N/A")</f>
        <v>#N/A</v>
      </c>
      <c r="P258" s="149" t="str">
        <f>IF(Table117821341[[#This Row],[Pos.]]="QB1",_xlfn.XLOOKUP(Table117821341[[#This Row],[Opp]],Table123[DEF],Table123[P+R]),"#N/A")</f>
        <v>#N/A</v>
      </c>
      <c r="Q258" s="150" t="str">
        <f>IF(Table117821341[[#This Row],[Pos.]]="QB1",_xlfn.XLOOKUP(Table117821341[[#This Row],[Opp]],Table123[DEF],Table123[P TD]),"#N/A")</f>
        <v>#N/A</v>
      </c>
      <c r="R258" s="149" t="e" cm="1">
        <f t="array" ref="R25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8" s="150" t="e" cm="1">
        <f t="array" ref="S25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8" s="150" t="e" cm="1">
        <f t="array" ref="T25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8" s="150" t="e" cm="1">
        <f t="array" ref="U25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8" s="150" t="e" cm="1">
        <f t="array" ref="V25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8" s="148" t="e" cm="1">
        <f t="array" ref="W258">_xlfn.IFS(Table117821341[[#This Row],[Pos.]]="QB1",AVERAGE(G258,H258,I258,J258,N258),Table117821341[[#This Row],[Pos.]]="RB1",AVERAGE(J258,K258,N258),Table117821341[[#This Row],[Pos.]]="RB2",AVERAGE(J258,K258,N258),Table117821341[[#This Row],[Pos.]]="WR1",AVERAGE(L258,M258,N258),Table117821341[[#This Row],[Pos.]]="WR2",AVERAGE(L258,M258,N258),Table117821341[[#This Row],[Pos.]]="WR3",AVERAGE(L258,M258,N258),Table117821341[[#This Row],[Pos.]]="WR4",AVERAGE(L258,M258,N258),Table117821341[[#This Row],[Pos.]]="TE1",AVERAGE(L258,M258,N258),Table117821341[[#This Row],[Pos.]]="TE2",AVERAGE(L258,M258,N258),Table117821341[[#This Row],[Pos.]]="D/ST",AVERAGE(Table117821341[[#This Row],[*TD*]]))</f>
        <v>#N/A</v>
      </c>
      <c r="X258" s="94" t="e">
        <f t="shared" si="3"/>
        <v>#N/A</v>
      </c>
    </row>
    <row r="259" spans="2:24" hidden="1" x14ac:dyDescent="0.35">
      <c r="B259" s="6" t="s">
        <v>108</v>
      </c>
      <c r="C259" s="97" t="s">
        <v>0</v>
      </c>
      <c r="D259" s="97" t="s">
        <v>399</v>
      </c>
      <c r="E259" s="23" t="str" cm="1">
        <f t="array" ref="E259">_xlfn.XLOOKUP(Table117821341[[#This Row],[Team]],Table4334[Team],'2425'!$C$3:$C$34)</f>
        <v>n/a</v>
      </c>
      <c r="F259" s="97" t="str">
        <f>_xlfn.XLOOKUP(Table117821341[[#This Row],[Team]],Table4334[Team],Table4334[OPP])</f>
        <v>n/a</v>
      </c>
      <c r="G259" s="148" t="e" cm="1">
        <f t="array" ref="G259">IF(Table117821341[[#This Row],[Pos.]]="QB1",_xlfn.XLOOKUP(Table117821341[[#This Row],[Opp]],Table123[DEF],'2425'!$G$3:$G$34),"#N/A")</f>
        <v>#N/A</v>
      </c>
      <c r="H259" s="148" t="e" cm="1">
        <f t="array" ref="H259">IF(Table117821341[[#This Row],[Pos.]]="QB1",_xlfn.XLOOKUP(Table117821341[[#This Row],[Opp]],Table123[DEF],'2425'!$J$3:$J$34),"#N/A")</f>
        <v>#N/A</v>
      </c>
      <c r="I259" s="148" t="e" cm="1">
        <f t="array" ref="I259">IF(Table117821341[[#This Row],[Pos.]]="QB1",_xlfn.XLOOKUP(Table117821341[[#This Row],[Opp]],Table123[DEF],'2425'!$K$3:$K$34),"#N/A")</f>
        <v>#N/A</v>
      </c>
      <c r="J259" s="148" t="e" cm="1">
        <f t="array" ref="J25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59" s="148" t="e" cm="1">
        <f t="array" ref="K25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59" s="148" t="e" cm="1">
        <f t="array" ref="L25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59" s="148" t="e" cm="1">
        <f t="array" ref="M25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59" s="148" t="e" cm="1">
        <f t="array" ref="N25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59" s="149" t="e">
        <f>IF(Table117821341[[#This Row],[Pos.]]="QB1",_xlfn.XLOOKUP(Table117821341[[#This Row],[Opp]],Table123[DEF],Table123[P]),"#N/A")</f>
        <v>#N/A</v>
      </c>
      <c r="P259" s="149" t="e">
        <f>IF(Table117821341[[#This Row],[Pos.]]="QB1",_xlfn.XLOOKUP(Table117821341[[#This Row],[Opp]],Table123[DEF],Table123[P+R]),"#N/A")</f>
        <v>#N/A</v>
      </c>
      <c r="Q259" s="150" t="e">
        <f>IF(Table117821341[[#This Row],[Pos.]]="QB1",_xlfn.XLOOKUP(Table117821341[[#This Row],[Opp]],Table123[DEF],Table123[P TD]),"#N/A")</f>
        <v>#N/A</v>
      </c>
      <c r="R259" s="149" t="e" cm="1">
        <f t="array" ref="R25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59" s="150" t="e" cm="1">
        <f t="array" ref="S25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59" s="150" t="e" cm="1">
        <f t="array" ref="T25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59" s="150" t="e" cm="1">
        <f t="array" ref="U25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59" s="162" t="e" cm="1">
        <f t="array" ref="V25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59" s="148" t="e" cm="1">
        <f t="array" ref="W259">_xlfn.IFS(Table117821341[[#This Row],[Pos.]]="QB1",AVERAGE(G259,H259,I259,J259,N259),Table117821341[[#This Row],[Pos.]]="RB1",AVERAGE(J259,K259,N259),Table117821341[[#This Row],[Pos.]]="RB2",AVERAGE(J259,K259,N259),Table117821341[[#This Row],[Pos.]]="WR1",AVERAGE(L259,M259,N259),Table117821341[[#This Row],[Pos.]]="WR2",AVERAGE(L259,M259,N259),Table117821341[[#This Row],[Pos.]]="WR3",AVERAGE(L259,M259,N259),Table117821341[[#This Row],[Pos.]]="WR4",AVERAGE(L259,M259,N259),Table117821341[[#This Row],[Pos.]]="TE1",AVERAGE(L259,M259,N259),Table117821341[[#This Row],[Pos.]]="TE2",AVERAGE(L259,M259,N259),Table117821341[[#This Row],[Pos.]]="D/ST",AVERAGE(Table117821341[[#This Row],[*TD*]]))</f>
        <v>#N/A</v>
      </c>
      <c r="X259" s="94" t="e">
        <f t="shared" ref="X259:X322" si="4">AVERAGE(N259,W259)</f>
        <v>#N/A</v>
      </c>
    </row>
    <row r="260" spans="2:24" hidden="1" x14ac:dyDescent="0.35">
      <c r="B260" s="6" t="s">
        <v>320</v>
      </c>
      <c r="C260" s="97" t="s">
        <v>47</v>
      </c>
      <c r="D260" s="97" t="s">
        <v>68</v>
      </c>
      <c r="E260" s="23" t="str" cm="1">
        <f t="array" ref="E260">_xlfn.XLOOKUP(Table117821341[[#This Row],[Team]],Table4334[Team],'2425'!$C$3:$C$34)</f>
        <v>n/a</v>
      </c>
      <c r="F260" s="97" t="str">
        <f>_xlfn.XLOOKUP(Table117821341[[#This Row],[Team]],Table4334[Team],Table4334[OPP])</f>
        <v>n/a</v>
      </c>
      <c r="G260" s="148" t="str" cm="1">
        <f t="array" ref="G260">IF(Table117821341[[#This Row],[Pos.]]="QB1",_xlfn.XLOOKUP(Table117821341[[#This Row],[Opp]],Table123[DEF],'2425'!$G$3:$G$34),"#N/A")</f>
        <v>#N/A</v>
      </c>
      <c r="H260" s="148" t="str" cm="1">
        <f t="array" ref="H260">IF(Table117821341[[#This Row],[Pos.]]="QB1",_xlfn.XLOOKUP(Table117821341[[#This Row],[Opp]],Table123[DEF],'2425'!$J$3:$J$34),"#N/A")</f>
        <v>#N/A</v>
      </c>
      <c r="I260" s="148" t="str" cm="1">
        <f t="array" ref="I260">IF(Table117821341[[#This Row],[Pos.]]="QB1",_xlfn.XLOOKUP(Table117821341[[#This Row],[Opp]],Table123[DEF],'2425'!$K$3:$K$34),"#N/A")</f>
        <v>#N/A</v>
      </c>
      <c r="J260" s="148" t="e" cm="1">
        <f t="array" ref="J26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0" s="148" t="e" cm="1">
        <f t="array" ref="K26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0" s="148" t="e" cm="1">
        <f t="array" ref="L26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0" s="148" t="e" cm="1">
        <f t="array" ref="M26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0" s="148" t="e" cm="1">
        <f t="array" ref="N26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0" s="149" t="str">
        <f>IF(Table117821341[[#This Row],[Pos.]]="QB1",_xlfn.XLOOKUP(Table117821341[[#This Row],[Opp]],Table123[DEF],Table123[P]),"#N/A")</f>
        <v>#N/A</v>
      </c>
      <c r="P260" s="149" t="str">
        <f>IF(Table117821341[[#This Row],[Pos.]]="QB1",_xlfn.XLOOKUP(Table117821341[[#This Row],[Opp]],Table123[DEF],Table123[P+R]),"#N/A")</f>
        <v>#N/A</v>
      </c>
      <c r="Q260" s="150" t="str">
        <f>IF(Table117821341[[#This Row],[Pos.]]="QB1",_xlfn.XLOOKUP(Table117821341[[#This Row],[Opp]],Table123[DEF],Table123[P TD]),"#N/A")</f>
        <v>#N/A</v>
      </c>
      <c r="R260" s="149" t="e" cm="1">
        <f t="array" ref="R26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0" s="150" t="e" cm="1">
        <f t="array" ref="S26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0" s="150" t="e" cm="1">
        <f t="array" ref="T26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0" s="150" t="e" cm="1">
        <f t="array" ref="U26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0" s="162" t="e" cm="1">
        <f t="array" ref="V26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0" s="148" t="e" cm="1">
        <f t="array" ref="W260">_xlfn.IFS(Table117821341[[#This Row],[Pos.]]="QB1",AVERAGE(G260,H260,I260,J260,N260),Table117821341[[#This Row],[Pos.]]="RB1",AVERAGE(J260,K260,N260),Table117821341[[#This Row],[Pos.]]="RB2",AVERAGE(J260,K260,N260),Table117821341[[#This Row],[Pos.]]="WR1",AVERAGE(L260,M260,N260),Table117821341[[#This Row],[Pos.]]="WR2",AVERAGE(L260,M260,N260),Table117821341[[#This Row],[Pos.]]="WR3",AVERAGE(L260,M260,N260),Table117821341[[#This Row],[Pos.]]="WR4",AVERAGE(L260,M260,N260),Table117821341[[#This Row],[Pos.]]="TE1",AVERAGE(L260,M260,N260),Table117821341[[#This Row],[Pos.]]="TE2",AVERAGE(L260,M260,N260),Table117821341[[#This Row],[Pos.]]="D/ST",AVERAGE(Table117821341[[#This Row],[*TD*]]))</f>
        <v>#N/A</v>
      </c>
      <c r="X260" s="94" t="e">
        <f t="shared" si="4"/>
        <v>#N/A</v>
      </c>
    </row>
    <row r="261" spans="2:24" hidden="1" x14ac:dyDescent="0.35">
      <c r="B261" s="6" t="s">
        <v>626</v>
      </c>
      <c r="C261" s="97" t="s">
        <v>39</v>
      </c>
      <c r="D261" s="97" t="s">
        <v>403</v>
      </c>
      <c r="E261" s="23" t="str" cm="1">
        <f t="array" ref="E261">_xlfn.XLOOKUP(Table117821341[[#This Row],[Team]],Table4334[Team],'2425'!$C$3:$C$34)</f>
        <v>n/a</v>
      </c>
      <c r="F261" s="97" t="str">
        <f>_xlfn.XLOOKUP(Table117821341[[#This Row],[Team]],Table4334[Team],Table4334[OPP])</f>
        <v>n/a</v>
      </c>
      <c r="G261" s="148" t="str" cm="1">
        <f t="array" ref="G261">IF(Table117821341[[#This Row],[Pos.]]="QB1",_xlfn.XLOOKUP(Table117821341[[#This Row],[Opp]],Table123[DEF],'2425'!$G$3:$G$34),"#N/A")</f>
        <v>#N/A</v>
      </c>
      <c r="H261" s="148" t="str" cm="1">
        <f t="array" ref="H261">IF(Table117821341[[#This Row],[Pos.]]="QB1",_xlfn.XLOOKUP(Table117821341[[#This Row],[Opp]],Table123[DEF],'2425'!$J$3:$J$34),"#N/A")</f>
        <v>#N/A</v>
      </c>
      <c r="I261" s="148" t="str" cm="1">
        <f t="array" ref="I261">IF(Table117821341[[#This Row],[Pos.]]="QB1",_xlfn.XLOOKUP(Table117821341[[#This Row],[Opp]],Table123[DEF],'2425'!$K$3:$K$34),"#N/A")</f>
        <v>#N/A</v>
      </c>
      <c r="J261" s="148" t="e" cm="1">
        <f t="array" ref="J26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1" s="148" t="e" cm="1">
        <f t="array" ref="K26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1" s="148" t="e" cm="1">
        <f t="array" ref="L26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1" s="148" t="e" cm="1">
        <f t="array" ref="M26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1" s="148" t="e" cm="1">
        <f t="array" ref="N26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1" s="149" t="str">
        <f>IF(Table117821341[[#This Row],[Pos.]]="QB1",_xlfn.XLOOKUP(Table117821341[[#This Row],[Opp]],Table123[DEF],Table123[P]),"#N/A")</f>
        <v>#N/A</v>
      </c>
      <c r="P261" s="149" t="str">
        <f>IF(Table117821341[[#This Row],[Pos.]]="QB1",_xlfn.XLOOKUP(Table117821341[[#This Row],[Opp]],Table123[DEF],Table123[P+R]),"#N/A")</f>
        <v>#N/A</v>
      </c>
      <c r="Q261" s="150" t="str">
        <f>IF(Table117821341[[#This Row],[Pos.]]="QB1",_xlfn.XLOOKUP(Table117821341[[#This Row],[Opp]],Table123[DEF],Table123[P TD]),"#N/A")</f>
        <v>#N/A</v>
      </c>
      <c r="R261" s="149" t="e" cm="1">
        <f t="array" ref="R26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1" s="150" t="e" cm="1">
        <f t="array" ref="S26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1" s="150" t="e" cm="1">
        <f t="array" ref="T26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1" s="150" t="e" cm="1">
        <f t="array" ref="U26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1" s="150" t="e" cm="1">
        <f t="array" ref="V26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1" s="148" t="e" cm="1">
        <f t="array" ref="W261">_xlfn.IFS(Table117821341[[#This Row],[Pos.]]="QB1",AVERAGE(G261,H261,I261,J261,N261),Table117821341[[#This Row],[Pos.]]="RB1",AVERAGE(J261,K261,N261),Table117821341[[#This Row],[Pos.]]="RB2",AVERAGE(J261,K261,N261),Table117821341[[#This Row],[Pos.]]="WR1",AVERAGE(L261,M261,N261),Table117821341[[#This Row],[Pos.]]="WR2",AVERAGE(L261,M261,N261),Table117821341[[#This Row],[Pos.]]="WR3",AVERAGE(L261,M261,N261),Table117821341[[#This Row],[Pos.]]="WR4",AVERAGE(L261,M261,N261),Table117821341[[#This Row],[Pos.]]="TE1",AVERAGE(L261,M261,N261),Table117821341[[#This Row],[Pos.]]="TE2",AVERAGE(L261,M261,N261),Table117821341[[#This Row],[Pos.]]="D/ST",AVERAGE(Table117821341[[#This Row],[*TD*]]))</f>
        <v>#N/A</v>
      </c>
      <c r="X261" s="94" t="e">
        <f t="shared" si="4"/>
        <v>#N/A</v>
      </c>
    </row>
    <row r="262" spans="2:24" hidden="1" x14ac:dyDescent="0.35">
      <c r="B262" s="6" t="s">
        <v>301</v>
      </c>
      <c r="C262" s="97" t="s">
        <v>45</v>
      </c>
      <c r="D262" s="97" t="s">
        <v>401</v>
      </c>
      <c r="E262" s="23" t="str" cm="1">
        <f t="array" ref="E262">_xlfn.XLOOKUP(Table117821341[[#This Row],[Team]],Table4334[Team],'2425'!$C$3:$C$34)</f>
        <v>n/a</v>
      </c>
      <c r="F262" s="97" t="str">
        <f>_xlfn.XLOOKUP(Table117821341[[#This Row],[Team]],Table4334[Team],Table4334[OPP])</f>
        <v>n/a</v>
      </c>
      <c r="G262" s="148" t="str" cm="1">
        <f t="array" ref="G262">IF(Table117821341[[#This Row],[Pos.]]="QB1",_xlfn.XLOOKUP(Table117821341[[#This Row],[Opp]],Table123[DEF],'2425'!$G$3:$G$34),"#N/A")</f>
        <v>#N/A</v>
      </c>
      <c r="H262" s="148" t="str" cm="1">
        <f t="array" ref="H262">IF(Table117821341[[#This Row],[Pos.]]="QB1",_xlfn.XLOOKUP(Table117821341[[#This Row],[Opp]],Table123[DEF],'2425'!$J$3:$J$34),"#N/A")</f>
        <v>#N/A</v>
      </c>
      <c r="I262" s="148" t="str" cm="1">
        <f t="array" ref="I262">IF(Table117821341[[#This Row],[Pos.]]="QB1",_xlfn.XLOOKUP(Table117821341[[#This Row],[Opp]],Table123[DEF],'2425'!$K$3:$K$34),"#N/A")</f>
        <v>#N/A</v>
      </c>
      <c r="J262" s="148" t="e" cm="1">
        <f t="array" ref="J26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2" s="148" t="e" cm="1">
        <f t="array" ref="K26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2" s="148" t="e" cm="1">
        <f t="array" ref="L26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2" s="148" t="e" cm="1">
        <f t="array" ref="M26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2" s="148" t="e" cm="1">
        <f t="array" ref="N26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2" s="149" t="str">
        <f>IF(Table117821341[[#This Row],[Pos.]]="QB1",_xlfn.XLOOKUP(Table117821341[[#This Row],[Opp]],Table123[DEF],Table123[P]),"#N/A")</f>
        <v>#N/A</v>
      </c>
      <c r="P262" s="149" t="str">
        <f>IF(Table117821341[[#This Row],[Pos.]]="QB1",_xlfn.XLOOKUP(Table117821341[[#This Row],[Opp]],Table123[DEF],Table123[P+R]),"#N/A")</f>
        <v>#N/A</v>
      </c>
      <c r="Q262" s="150" t="str">
        <f>IF(Table117821341[[#This Row],[Pos.]]="QB1",_xlfn.XLOOKUP(Table117821341[[#This Row],[Opp]],Table123[DEF],Table123[P TD]),"#N/A")</f>
        <v>#N/A</v>
      </c>
      <c r="R262" s="149" t="e" cm="1">
        <f t="array" ref="R26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2" s="150" t="e" cm="1">
        <f t="array" ref="S26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2" s="150" t="e" cm="1">
        <f t="array" ref="T26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2" s="150" t="e" cm="1">
        <f t="array" ref="U26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2" s="162" t="e" cm="1">
        <f t="array" ref="V26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2" s="148" t="e" cm="1">
        <f t="array" ref="W262">_xlfn.IFS(Table117821341[[#This Row],[Pos.]]="QB1",AVERAGE(G262,H262,I262,J262,N262),Table117821341[[#This Row],[Pos.]]="RB1",AVERAGE(J262,K262,N262),Table117821341[[#This Row],[Pos.]]="RB2",AVERAGE(J262,K262,N262),Table117821341[[#This Row],[Pos.]]="WR1",AVERAGE(L262,M262,N262),Table117821341[[#This Row],[Pos.]]="WR2",AVERAGE(L262,M262,N262),Table117821341[[#This Row],[Pos.]]="WR3",AVERAGE(L262,M262,N262),Table117821341[[#This Row],[Pos.]]="WR4",AVERAGE(L262,M262,N262),Table117821341[[#This Row],[Pos.]]="TE1",AVERAGE(L262,M262,N262),Table117821341[[#This Row],[Pos.]]="TE2",AVERAGE(L262,M262,N262),Table117821341[[#This Row],[Pos.]]="D/ST",AVERAGE(Table117821341[[#This Row],[*TD*]]))</f>
        <v>#N/A</v>
      </c>
      <c r="X262" s="94" t="e">
        <f t="shared" si="4"/>
        <v>#N/A</v>
      </c>
    </row>
    <row r="263" spans="2:24" hidden="1" x14ac:dyDescent="0.35">
      <c r="B263" s="6" t="s">
        <v>555</v>
      </c>
      <c r="C263" s="97" t="s">
        <v>0</v>
      </c>
      <c r="D263" s="97" t="s">
        <v>68</v>
      </c>
      <c r="E263" s="23" t="str" cm="1">
        <f t="array" ref="E263">_xlfn.XLOOKUP(Table117821341[[#This Row],[Team]],Table4334[Team],'2425'!$C$3:$C$34)</f>
        <v>n/a</v>
      </c>
      <c r="F263" s="97" t="str">
        <f>_xlfn.XLOOKUP(Table117821341[[#This Row],[Team]],Table4334[Team],Table4334[OPP])</f>
        <v>n/a</v>
      </c>
      <c r="G263" s="148" t="str" cm="1">
        <f t="array" ref="G263">IF(Table117821341[[#This Row],[Pos.]]="QB1",_xlfn.XLOOKUP(Table117821341[[#This Row],[Opp]],Table123[DEF],'2425'!$G$3:$G$34),"#N/A")</f>
        <v>#N/A</v>
      </c>
      <c r="H263" s="148" t="str" cm="1">
        <f t="array" ref="H263">IF(Table117821341[[#This Row],[Pos.]]="QB1",_xlfn.XLOOKUP(Table117821341[[#This Row],[Opp]],Table123[DEF],'2425'!$J$3:$J$34),"#N/A")</f>
        <v>#N/A</v>
      </c>
      <c r="I263" s="148" t="str" cm="1">
        <f t="array" ref="I263">IF(Table117821341[[#This Row],[Pos.]]="QB1",_xlfn.XLOOKUP(Table117821341[[#This Row],[Opp]],Table123[DEF],'2425'!$K$3:$K$34),"#N/A")</f>
        <v>#N/A</v>
      </c>
      <c r="J263" s="148" t="e" cm="1">
        <f t="array" ref="J26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3" s="148" t="e" cm="1">
        <f t="array" ref="K26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3" s="148" t="e" cm="1">
        <f t="array" ref="L26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3" s="148" t="e" cm="1">
        <f t="array" ref="M26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3" s="148" t="e" cm="1">
        <f t="array" ref="N26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3" s="149" t="str">
        <f>IF(Table117821341[[#This Row],[Pos.]]="QB1",_xlfn.XLOOKUP(Table117821341[[#This Row],[Opp]],Table123[DEF],Table123[P]),"#N/A")</f>
        <v>#N/A</v>
      </c>
      <c r="P263" s="149" t="str">
        <f>IF(Table117821341[[#This Row],[Pos.]]="QB1",_xlfn.XLOOKUP(Table117821341[[#This Row],[Opp]],Table123[DEF],Table123[P+R]),"#N/A")</f>
        <v>#N/A</v>
      </c>
      <c r="Q263" s="150" t="str">
        <f>IF(Table117821341[[#This Row],[Pos.]]="QB1",_xlfn.XLOOKUP(Table117821341[[#This Row],[Opp]],Table123[DEF],Table123[P TD]),"#N/A")</f>
        <v>#N/A</v>
      </c>
      <c r="R263" s="149" t="e" cm="1">
        <f t="array" ref="R26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3" s="150" t="e" cm="1">
        <f t="array" ref="S26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3" s="150" t="e" cm="1">
        <f t="array" ref="T26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3" s="150" t="e" cm="1">
        <f t="array" ref="U26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3" s="162" t="e" cm="1">
        <f t="array" ref="V26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3" s="148" t="e" cm="1">
        <f t="array" ref="W263">_xlfn.IFS(Table117821341[[#This Row],[Pos.]]="QB1",AVERAGE(G263,H263,I263,J263,N263),Table117821341[[#This Row],[Pos.]]="RB1",AVERAGE(J263,K263,N263),Table117821341[[#This Row],[Pos.]]="RB2",AVERAGE(J263,K263,N263),Table117821341[[#This Row],[Pos.]]="WR1",AVERAGE(L263,M263,N263),Table117821341[[#This Row],[Pos.]]="WR2",AVERAGE(L263,M263,N263),Table117821341[[#This Row],[Pos.]]="WR3",AVERAGE(L263,M263,N263),Table117821341[[#This Row],[Pos.]]="WR4",AVERAGE(L263,M263,N263),Table117821341[[#This Row],[Pos.]]="TE1",AVERAGE(L263,M263,N263),Table117821341[[#This Row],[Pos.]]="TE2",AVERAGE(L263,M263,N263),Table117821341[[#This Row],[Pos.]]="D/ST",AVERAGE(Table117821341[[#This Row],[*TD*]]))</f>
        <v>#N/A</v>
      </c>
      <c r="X263" s="94" t="e">
        <f t="shared" si="4"/>
        <v>#N/A</v>
      </c>
    </row>
    <row r="264" spans="2:24" hidden="1" x14ac:dyDescent="0.35">
      <c r="B264" s="6" t="s">
        <v>470</v>
      </c>
      <c r="C264" s="97" t="s">
        <v>16</v>
      </c>
      <c r="D264" s="97" t="s">
        <v>401</v>
      </c>
      <c r="E264" s="23" t="str" cm="1">
        <f t="array" ref="E264">_xlfn.XLOOKUP(Table117821341[[#This Row],[Team]],Table4334[Team],'2425'!$C$3:$C$34)</f>
        <v>n/a</v>
      </c>
      <c r="F264" s="97" t="str">
        <f>_xlfn.XLOOKUP(Table117821341[[#This Row],[Team]],Table4334[Team],Table4334[OPP])</f>
        <v>n/a</v>
      </c>
      <c r="G264" s="148" t="str" cm="1">
        <f t="array" ref="G264">IF(Table117821341[[#This Row],[Pos.]]="QB1",_xlfn.XLOOKUP(Table117821341[[#This Row],[Opp]],Table123[DEF],'2425'!$G$3:$G$34),"#N/A")</f>
        <v>#N/A</v>
      </c>
      <c r="H264" s="148" t="str" cm="1">
        <f t="array" ref="H264">IF(Table117821341[[#This Row],[Pos.]]="QB1",_xlfn.XLOOKUP(Table117821341[[#This Row],[Opp]],Table123[DEF],'2425'!$J$3:$J$34),"#N/A")</f>
        <v>#N/A</v>
      </c>
      <c r="I264" s="148" t="str" cm="1">
        <f t="array" ref="I264">IF(Table117821341[[#This Row],[Pos.]]="QB1",_xlfn.XLOOKUP(Table117821341[[#This Row],[Opp]],Table123[DEF],'2425'!$K$3:$K$34),"#N/A")</f>
        <v>#N/A</v>
      </c>
      <c r="J264" s="148" t="e" cm="1">
        <f t="array" ref="J26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4" s="148" t="e" cm="1">
        <f t="array" ref="K26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4" s="148" t="e" cm="1">
        <f t="array" ref="L26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4" s="148" t="e" cm="1">
        <f t="array" ref="M26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4" s="148" t="e" cm="1">
        <f t="array" ref="N26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4" s="149" t="str">
        <f>IF(Table117821341[[#This Row],[Pos.]]="QB1",_xlfn.XLOOKUP(Table117821341[[#This Row],[Opp]],Table123[DEF],Table123[P]),"#N/A")</f>
        <v>#N/A</v>
      </c>
      <c r="P264" s="149" t="str">
        <f>IF(Table117821341[[#This Row],[Pos.]]="QB1",_xlfn.XLOOKUP(Table117821341[[#This Row],[Opp]],Table123[DEF],Table123[P+R]),"#N/A")</f>
        <v>#N/A</v>
      </c>
      <c r="Q264" s="150" t="str">
        <f>IF(Table117821341[[#This Row],[Pos.]]="QB1",_xlfn.XLOOKUP(Table117821341[[#This Row],[Opp]],Table123[DEF],Table123[P TD]),"#N/A")</f>
        <v>#N/A</v>
      </c>
      <c r="R264" s="149" t="e" cm="1">
        <f t="array" ref="R26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4" s="150" t="e" cm="1">
        <f t="array" ref="S26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4" s="150" t="e" cm="1">
        <f t="array" ref="T26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4" s="150" t="e" cm="1">
        <f t="array" ref="U26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4" s="162" t="e" cm="1">
        <f t="array" ref="V26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4" s="148" t="e" cm="1">
        <f t="array" ref="W264">_xlfn.IFS(Table117821341[[#This Row],[Pos.]]="QB1",AVERAGE(G264,H264,I264,J264,N264),Table117821341[[#This Row],[Pos.]]="RB1",AVERAGE(J264,K264,N264),Table117821341[[#This Row],[Pos.]]="RB2",AVERAGE(J264,K264,N264),Table117821341[[#This Row],[Pos.]]="WR1",AVERAGE(L264,M264,N264),Table117821341[[#This Row],[Pos.]]="WR2",AVERAGE(L264,M264,N264),Table117821341[[#This Row],[Pos.]]="WR3",AVERAGE(L264,M264,N264),Table117821341[[#This Row],[Pos.]]="WR4",AVERAGE(L264,M264,N264),Table117821341[[#This Row],[Pos.]]="TE1",AVERAGE(L264,M264,N264),Table117821341[[#This Row],[Pos.]]="TE2",AVERAGE(L264,M264,N264),Table117821341[[#This Row],[Pos.]]="D/ST",AVERAGE(Table117821341[[#This Row],[*TD*]]))</f>
        <v>#N/A</v>
      </c>
      <c r="X264" s="94" t="e">
        <f t="shared" si="4"/>
        <v>#N/A</v>
      </c>
    </row>
    <row r="265" spans="2:24" hidden="1" x14ac:dyDescent="0.35">
      <c r="B265" s="6" t="s">
        <v>244</v>
      </c>
      <c r="C265" s="97" t="s">
        <v>40</v>
      </c>
      <c r="D265" s="97" t="s">
        <v>405</v>
      </c>
      <c r="E265" s="23" t="str" cm="1">
        <f t="array" ref="E265">_xlfn.XLOOKUP(Table117821341[[#This Row],[Team]],Table4334[Team],'2425'!$C$3:$C$34)</f>
        <v>n/a</v>
      </c>
      <c r="F265" s="97" t="str">
        <f>_xlfn.XLOOKUP(Table117821341[[#This Row],[Team]],Table4334[Team],Table4334[OPP])</f>
        <v>n/a</v>
      </c>
      <c r="G265" s="148" t="str" cm="1">
        <f t="array" ref="G265">IF(Table117821341[[#This Row],[Pos.]]="QB1",_xlfn.XLOOKUP(Table117821341[[#This Row],[Opp]],Table123[DEF],'2425'!$G$3:$G$34),"#N/A")</f>
        <v>#N/A</v>
      </c>
      <c r="H265" s="148" t="str" cm="1">
        <f t="array" ref="H265">IF(Table117821341[[#This Row],[Pos.]]="QB1",_xlfn.XLOOKUP(Table117821341[[#This Row],[Opp]],Table123[DEF],'2425'!$J$3:$J$34),"#N/A")</f>
        <v>#N/A</v>
      </c>
      <c r="I265" s="148" t="str" cm="1">
        <f t="array" ref="I265">IF(Table117821341[[#This Row],[Pos.]]="QB1",_xlfn.XLOOKUP(Table117821341[[#This Row],[Opp]],Table123[DEF],'2425'!$K$3:$K$34),"#N/A")</f>
        <v>#N/A</v>
      </c>
      <c r="J265" s="148" t="e" cm="1">
        <f t="array" ref="J26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5" s="148" t="e" cm="1">
        <f t="array" ref="K26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5" s="148" t="e" cm="1">
        <f t="array" ref="L26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5" s="148" t="e" cm="1">
        <f t="array" ref="M26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5" s="148" t="e" cm="1">
        <f t="array" ref="N26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5" s="149" t="str">
        <f>IF(Table117821341[[#This Row],[Pos.]]="QB1",_xlfn.XLOOKUP(Table117821341[[#This Row],[Opp]],Table123[DEF],Table123[P]),"#N/A")</f>
        <v>#N/A</v>
      </c>
      <c r="P265" s="149" t="str">
        <f>IF(Table117821341[[#This Row],[Pos.]]="QB1",_xlfn.XLOOKUP(Table117821341[[#This Row],[Opp]],Table123[DEF],Table123[P+R]),"#N/A")</f>
        <v>#N/A</v>
      </c>
      <c r="Q265" s="150" t="str">
        <f>IF(Table117821341[[#This Row],[Pos.]]="QB1",_xlfn.XLOOKUP(Table117821341[[#This Row],[Opp]],Table123[DEF],Table123[P TD]),"#N/A")</f>
        <v>#N/A</v>
      </c>
      <c r="R265" s="149" t="e" cm="1">
        <f t="array" ref="R26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5" s="150" t="e" cm="1">
        <f t="array" ref="S26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5" s="150" t="e" cm="1">
        <f t="array" ref="T26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5" s="150" t="e" cm="1">
        <f t="array" ref="U26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5" s="150" t="e" cm="1">
        <f t="array" ref="V26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5" s="148" t="e" cm="1">
        <f t="array" ref="W265">_xlfn.IFS(Table117821341[[#This Row],[Pos.]]="QB1",AVERAGE(G265,H265,I265,J265,N265),Table117821341[[#This Row],[Pos.]]="RB1",AVERAGE(J265,K265,N265),Table117821341[[#This Row],[Pos.]]="RB2",AVERAGE(J265,K265,N265),Table117821341[[#This Row],[Pos.]]="WR1",AVERAGE(L265,M265,N265),Table117821341[[#This Row],[Pos.]]="WR2",AVERAGE(L265,M265,N265),Table117821341[[#This Row],[Pos.]]="WR3",AVERAGE(L265,M265,N265),Table117821341[[#This Row],[Pos.]]="WR4",AVERAGE(L265,M265,N265),Table117821341[[#This Row],[Pos.]]="TE1",AVERAGE(L265,M265,N265),Table117821341[[#This Row],[Pos.]]="TE2",AVERAGE(L265,M265,N265),Table117821341[[#This Row],[Pos.]]="D/ST",AVERAGE(Table117821341[[#This Row],[*TD*]]))</f>
        <v>#N/A</v>
      </c>
      <c r="X265" s="94" t="e">
        <f t="shared" si="4"/>
        <v>#N/A</v>
      </c>
    </row>
    <row r="266" spans="2:24" hidden="1" x14ac:dyDescent="0.35">
      <c r="B266" s="6" t="s">
        <v>190</v>
      </c>
      <c r="C266" s="97" t="s">
        <v>33</v>
      </c>
      <c r="D266" s="97" t="s">
        <v>401</v>
      </c>
      <c r="E266" s="23" t="str" cm="1">
        <f t="array" ref="E266">_xlfn.XLOOKUP(Table117821341[[#This Row],[Team]],Table4334[Team],'2425'!$C$3:$C$34)</f>
        <v>n/a</v>
      </c>
      <c r="F266" s="97" t="str">
        <f>_xlfn.XLOOKUP(Table117821341[[#This Row],[Team]],Table4334[Team],Table4334[OPP])</f>
        <v>n/a</v>
      </c>
      <c r="G266" s="148" t="str" cm="1">
        <f t="array" ref="G266">IF(Table117821341[[#This Row],[Pos.]]="QB1",_xlfn.XLOOKUP(Table117821341[[#This Row],[Opp]],Table123[DEF],'2425'!$G$3:$G$34),"#N/A")</f>
        <v>#N/A</v>
      </c>
      <c r="H266" s="148" t="str" cm="1">
        <f t="array" ref="H266">IF(Table117821341[[#This Row],[Pos.]]="QB1",_xlfn.XLOOKUP(Table117821341[[#This Row],[Opp]],Table123[DEF],'2425'!$J$3:$J$34),"#N/A")</f>
        <v>#N/A</v>
      </c>
      <c r="I266" s="148" t="str" cm="1">
        <f t="array" ref="I266">IF(Table117821341[[#This Row],[Pos.]]="QB1",_xlfn.XLOOKUP(Table117821341[[#This Row],[Opp]],Table123[DEF],'2425'!$K$3:$K$34),"#N/A")</f>
        <v>#N/A</v>
      </c>
      <c r="J266" s="148" t="e" cm="1">
        <f t="array" ref="J26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6" s="148" t="e" cm="1">
        <f t="array" ref="K26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6" s="148" t="e" cm="1">
        <f t="array" ref="L26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6" s="148" t="e" cm="1">
        <f t="array" ref="M26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6" s="148" t="e" cm="1">
        <f t="array" ref="N26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6" s="149" t="str">
        <f>IF(Table117821341[[#This Row],[Pos.]]="QB1",_xlfn.XLOOKUP(Table117821341[[#This Row],[Opp]],Table123[DEF],Table123[P]),"#N/A")</f>
        <v>#N/A</v>
      </c>
      <c r="P266" s="149" t="str">
        <f>IF(Table117821341[[#This Row],[Pos.]]="QB1",_xlfn.XLOOKUP(Table117821341[[#This Row],[Opp]],Table123[DEF],Table123[P+R]),"#N/A")</f>
        <v>#N/A</v>
      </c>
      <c r="Q266" s="150" t="str">
        <f>IF(Table117821341[[#This Row],[Pos.]]="QB1",_xlfn.XLOOKUP(Table117821341[[#This Row],[Opp]],Table123[DEF],Table123[P TD]),"#N/A")</f>
        <v>#N/A</v>
      </c>
      <c r="R266" s="149" t="e" cm="1">
        <f t="array" ref="R26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6" s="150" t="e" cm="1">
        <f t="array" ref="S26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6" s="150" t="e" cm="1">
        <f t="array" ref="T26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6" s="150" t="e" cm="1">
        <f t="array" ref="U26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6" s="162" t="e" cm="1">
        <f t="array" ref="V26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6" s="148" t="e" cm="1">
        <f t="array" ref="W266">_xlfn.IFS(Table117821341[[#This Row],[Pos.]]="QB1",AVERAGE(G266,H266,I266,J266,N266),Table117821341[[#This Row],[Pos.]]="RB1",AVERAGE(J266,K266,N266),Table117821341[[#This Row],[Pos.]]="RB2",AVERAGE(J266,K266,N266),Table117821341[[#This Row],[Pos.]]="WR1",AVERAGE(L266,M266,N266),Table117821341[[#This Row],[Pos.]]="WR2",AVERAGE(L266,M266,N266),Table117821341[[#This Row],[Pos.]]="WR3",AVERAGE(L266,M266,N266),Table117821341[[#This Row],[Pos.]]="WR4",AVERAGE(L266,M266,N266),Table117821341[[#This Row],[Pos.]]="TE1",AVERAGE(L266,M266,N266),Table117821341[[#This Row],[Pos.]]="TE2",AVERAGE(L266,M266,N266),Table117821341[[#This Row],[Pos.]]="D/ST",AVERAGE(Table117821341[[#This Row],[*TD*]]))</f>
        <v>#N/A</v>
      </c>
      <c r="X266" s="94" t="e">
        <f t="shared" si="4"/>
        <v>#N/A</v>
      </c>
    </row>
    <row r="267" spans="2:24" hidden="1" x14ac:dyDescent="0.35">
      <c r="B267" s="6" t="s">
        <v>246</v>
      </c>
      <c r="C267" s="97" t="s">
        <v>40</v>
      </c>
      <c r="D267" s="97" t="s">
        <v>394</v>
      </c>
      <c r="E267" s="23" t="str" cm="1">
        <f t="array" ref="E267">_xlfn.XLOOKUP(Table117821341[[#This Row],[Team]],Table4334[Team],'2425'!$C$3:$C$34)</f>
        <v>n/a</v>
      </c>
      <c r="F267" s="97" t="str">
        <f>_xlfn.XLOOKUP(Table117821341[[#This Row],[Team]],Table4334[Team],Table4334[OPP])</f>
        <v>n/a</v>
      </c>
      <c r="G267" s="148" t="str" cm="1">
        <f t="array" ref="G267">IF(Table117821341[[#This Row],[Pos.]]="QB1",_xlfn.XLOOKUP(Table117821341[[#This Row],[Opp]],Table123[DEF],'2425'!$G$3:$G$34),"#N/A")</f>
        <v>#N/A</v>
      </c>
      <c r="H267" s="148" t="str" cm="1">
        <f t="array" ref="H267">IF(Table117821341[[#This Row],[Pos.]]="QB1",_xlfn.XLOOKUP(Table117821341[[#This Row],[Opp]],Table123[DEF],'2425'!$J$3:$J$34),"#N/A")</f>
        <v>#N/A</v>
      </c>
      <c r="I267" s="148" t="str" cm="1">
        <f t="array" ref="I267">IF(Table117821341[[#This Row],[Pos.]]="QB1",_xlfn.XLOOKUP(Table117821341[[#This Row],[Opp]],Table123[DEF],'2425'!$K$3:$K$34),"#N/A")</f>
        <v>#N/A</v>
      </c>
      <c r="J267" s="148" t="e" cm="1">
        <f t="array" ref="J26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7" s="148" t="e" cm="1">
        <f t="array" ref="K26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7" s="148" t="e" cm="1">
        <f t="array" ref="L26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7" s="148" t="e" cm="1">
        <f t="array" ref="M26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7" s="148" t="e" cm="1">
        <f t="array" ref="N26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7" s="149" t="str">
        <f>IF(Table117821341[[#This Row],[Pos.]]="QB1",_xlfn.XLOOKUP(Table117821341[[#This Row],[Opp]],Table123[DEF],Table123[P]),"#N/A")</f>
        <v>#N/A</v>
      </c>
      <c r="P267" s="149" t="str">
        <f>IF(Table117821341[[#This Row],[Pos.]]="QB1",_xlfn.XLOOKUP(Table117821341[[#This Row],[Opp]],Table123[DEF],Table123[P+R]),"#N/A")</f>
        <v>#N/A</v>
      </c>
      <c r="Q267" s="150" t="str">
        <f>IF(Table117821341[[#This Row],[Pos.]]="QB1",_xlfn.XLOOKUP(Table117821341[[#This Row],[Opp]],Table123[DEF],Table123[P TD]),"#N/A")</f>
        <v>#N/A</v>
      </c>
      <c r="R267" s="149" t="e" cm="1">
        <f t="array" ref="R26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7" s="150" t="e" cm="1">
        <f t="array" ref="S26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7" s="150" t="e" cm="1">
        <f t="array" ref="T26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7" s="150" t="e" cm="1">
        <f t="array" ref="U26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7" s="150" t="e" cm="1">
        <f t="array" ref="V26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7" s="148" t="e" cm="1">
        <f t="array" ref="W267">_xlfn.IFS(Table117821341[[#This Row],[Pos.]]="QB1",AVERAGE(G267,H267,I267,J267,N267),Table117821341[[#This Row],[Pos.]]="RB1",AVERAGE(J267,K267,N267),Table117821341[[#This Row],[Pos.]]="RB2",AVERAGE(J267,K267,N267),Table117821341[[#This Row],[Pos.]]="WR1",AVERAGE(L267,M267,N267),Table117821341[[#This Row],[Pos.]]="WR2",AVERAGE(L267,M267,N267),Table117821341[[#This Row],[Pos.]]="WR3",AVERAGE(L267,M267,N267),Table117821341[[#This Row],[Pos.]]="WR4",AVERAGE(L267,M267,N267),Table117821341[[#This Row],[Pos.]]="TE1",AVERAGE(L267,M267,N267),Table117821341[[#This Row],[Pos.]]="TE2",AVERAGE(L267,M267,N267),Table117821341[[#This Row],[Pos.]]="D/ST",AVERAGE(Table117821341[[#This Row],[*TD*]]))</f>
        <v>#N/A</v>
      </c>
      <c r="X267" s="94" t="e">
        <f t="shared" si="4"/>
        <v>#N/A</v>
      </c>
    </row>
    <row r="268" spans="2:24" hidden="1" x14ac:dyDescent="0.35">
      <c r="B268" s="6" t="s">
        <v>247</v>
      </c>
      <c r="C268" s="97" t="s">
        <v>40</v>
      </c>
      <c r="D268" s="97" t="s">
        <v>396</v>
      </c>
      <c r="E268" s="23" t="str" cm="1">
        <f t="array" ref="E268">_xlfn.XLOOKUP(Table117821341[[#This Row],[Team]],Table4334[Team],'2425'!$C$3:$C$34)</f>
        <v>n/a</v>
      </c>
      <c r="F268" s="97" t="str">
        <f>_xlfn.XLOOKUP(Table117821341[[#This Row],[Team]],Table4334[Team],Table4334[OPP])</f>
        <v>n/a</v>
      </c>
      <c r="G268" s="148" t="str" cm="1">
        <f t="array" ref="G268">IF(Table117821341[[#This Row],[Pos.]]="QB1",_xlfn.XLOOKUP(Table117821341[[#This Row],[Opp]],Table123[DEF],'2425'!$G$3:$G$34),"#N/A")</f>
        <v>#N/A</v>
      </c>
      <c r="H268" s="148" t="str" cm="1">
        <f t="array" ref="H268">IF(Table117821341[[#This Row],[Pos.]]="QB1",_xlfn.XLOOKUP(Table117821341[[#This Row],[Opp]],Table123[DEF],'2425'!$J$3:$J$34),"#N/A")</f>
        <v>#N/A</v>
      </c>
      <c r="I268" s="148" t="str" cm="1">
        <f t="array" ref="I268">IF(Table117821341[[#This Row],[Pos.]]="QB1",_xlfn.XLOOKUP(Table117821341[[#This Row],[Opp]],Table123[DEF],'2425'!$K$3:$K$34),"#N/A")</f>
        <v>#N/A</v>
      </c>
      <c r="J268" s="148" t="e" cm="1">
        <f t="array" ref="J26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8" s="148" t="e" cm="1">
        <f t="array" ref="K26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8" s="148" t="e" cm="1">
        <f t="array" ref="L26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8" s="148" t="e" cm="1">
        <f t="array" ref="M26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8" s="148" t="e" cm="1">
        <f t="array" ref="N26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8" s="149" t="str">
        <f>IF(Table117821341[[#This Row],[Pos.]]="QB1",_xlfn.XLOOKUP(Table117821341[[#This Row],[Opp]],Table123[DEF],Table123[P]),"#N/A")</f>
        <v>#N/A</v>
      </c>
      <c r="P268" s="149" t="str">
        <f>IF(Table117821341[[#This Row],[Pos.]]="QB1",_xlfn.XLOOKUP(Table117821341[[#This Row],[Opp]],Table123[DEF],Table123[P+R]),"#N/A")</f>
        <v>#N/A</v>
      </c>
      <c r="Q268" s="150" t="str">
        <f>IF(Table117821341[[#This Row],[Pos.]]="QB1",_xlfn.XLOOKUP(Table117821341[[#This Row],[Opp]],Table123[DEF],Table123[P TD]),"#N/A")</f>
        <v>#N/A</v>
      </c>
      <c r="R268" s="149" t="e" cm="1">
        <f t="array" ref="R26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8" s="150" t="e" cm="1">
        <f t="array" ref="S26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8" s="150" t="e" cm="1">
        <f t="array" ref="T26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8" s="150" t="e" cm="1">
        <f t="array" ref="U26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8" s="150" t="e" cm="1">
        <f t="array" ref="V26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8" s="148" t="e" cm="1">
        <f t="array" ref="W268">_xlfn.IFS(Table117821341[[#This Row],[Pos.]]="QB1",AVERAGE(G268,H268,I268,J268,N268),Table117821341[[#This Row],[Pos.]]="RB1",AVERAGE(J268,K268,N268),Table117821341[[#This Row],[Pos.]]="RB2",AVERAGE(J268,K268,N268),Table117821341[[#This Row],[Pos.]]="WR1",AVERAGE(L268,M268,N268),Table117821341[[#This Row],[Pos.]]="WR2",AVERAGE(L268,M268,N268),Table117821341[[#This Row],[Pos.]]="WR3",AVERAGE(L268,M268,N268),Table117821341[[#This Row],[Pos.]]="WR4",AVERAGE(L268,M268,N268),Table117821341[[#This Row],[Pos.]]="TE1",AVERAGE(L268,M268,N268),Table117821341[[#This Row],[Pos.]]="TE2",AVERAGE(L268,M268,N268),Table117821341[[#This Row],[Pos.]]="D/ST",AVERAGE(Table117821341[[#This Row],[*TD*]]))</f>
        <v>#N/A</v>
      </c>
      <c r="X268" s="94" t="e">
        <f t="shared" si="4"/>
        <v>#N/A</v>
      </c>
    </row>
    <row r="269" spans="2:24" hidden="1" x14ac:dyDescent="0.35">
      <c r="B269" s="6" t="s">
        <v>248</v>
      </c>
      <c r="C269" s="97" t="s">
        <v>40</v>
      </c>
      <c r="D269" s="97" t="s">
        <v>407</v>
      </c>
      <c r="E269" s="23" t="str" cm="1">
        <f t="array" ref="E269">_xlfn.XLOOKUP(Table117821341[[#This Row],[Team]],Table4334[Team],'2425'!$C$3:$C$34)</f>
        <v>n/a</v>
      </c>
      <c r="F269" s="97" t="str">
        <f>_xlfn.XLOOKUP(Table117821341[[#This Row],[Team]],Table4334[Team],Table4334[OPP])</f>
        <v>n/a</v>
      </c>
      <c r="G269" s="148" t="str" cm="1">
        <f t="array" ref="G269">IF(Table117821341[[#This Row],[Pos.]]="QB1",_xlfn.XLOOKUP(Table117821341[[#This Row],[Opp]],Table123[DEF],'2425'!$G$3:$G$34),"#N/A")</f>
        <v>#N/A</v>
      </c>
      <c r="H269" s="148" t="str" cm="1">
        <f t="array" ref="H269">IF(Table117821341[[#This Row],[Pos.]]="QB1",_xlfn.XLOOKUP(Table117821341[[#This Row],[Opp]],Table123[DEF],'2425'!$J$3:$J$34),"#N/A")</f>
        <v>#N/A</v>
      </c>
      <c r="I269" s="148" t="str" cm="1">
        <f t="array" ref="I269">IF(Table117821341[[#This Row],[Pos.]]="QB1",_xlfn.XLOOKUP(Table117821341[[#This Row],[Opp]],Table123[DEF],'2425'!$K$3:$K$34),"#N/A")</f>
        <v>#N/A</v>
      </c>
      <c r="J269" s="148" t="e" cm="1">
        <f t="array" ref="J26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69" s="148" t="e" cm="1">
        <f t="array" ref="K26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69" s="148" t="e" cm="1">
        <f t="array" ref="L26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69" s="148" t="e" cm="1">
        <f t="array" ref="M26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69" s="148" t="e" cm="1">
        <f t="array" ref="N26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69" s="149" t="str">
        <f>IF(Table117821341[[#This Row],[Pos.]]="QB1",_xlfn.XLOOKUP(Table117821341[[#This Row],[Opp]],Table123[DEF],Table123[P]),"#N/A")</f>
        <v>#N/A</v>
      </c>
      <c r="P269" s="149" t="str">
        <f>IF(Table117821341[[#This Row],[Pos.]]="QB1",_xlfn.XLOOKUP(Table117821341[[#This Row],[Opp]],Table123[DEF],Table123[P+R]),"#N/A")</f>
        <v>#N/A</v>
      </c>
      <c r="Q269" s="150" t="str">
        <f>IF(Table117821341[[#This Row],[Pos.]]="QB1",_xlfn.XLOOKUP(Table117821341[[#This Row],[Opp]],Table123[DEF],Table123[P TD]),"#N/A")</f>
        <v>#N/A</v>
      </c>
      <c r="R269" s="149" t="e" cm="1">
        <f t="array" ref="R26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69" s="150" t="e" cm="1">
        <f t="array" ref="S26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69" s="150" t="e" cm="1">
        <f t="array" ref="T26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69" s="150" t="e" cm="1">
        <f t="array" ref="U26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69" s="150" t="e" cm="1">
        <f t="array" ref="V26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69" s="148" t="e" cm="1">
        <f t="array" ref="W269">_xlfn.IFS(Table117821341[[#This Row],[Pos.]]="QB1",AVERAGE(G269,H269,I269,J269,N269),Table117821341[[#This Row],[Pos.]]="RB1",AVERAGE(J269,K269,N269),Table117821341[[#This Row],[Pos.]]="RB2",AVERAGE(J269,K269,N269),Table117821341[[#This Row],[Pos.]]="WR1",AVERAGE(L269,M269,N269),Table117821341[[#This Row],[Pos.]]="WR2",AVERAGE(L269,M269,N269),Table117821341[[#This Row],[Pos.]]="WR3",AVERAGE(L269,M269,N269),Table117821341[[#This Row],[Pos.]]="WR4",AVERAGE(L269,M269,N269),Table117821341[[#This Row],[Pos.]]="TE1",AVERAGE(L269,M269,N269),Table117821341[[#This Row],[Pos.]]="TE2",AVERAGE(L269,M269,N269),Table117821341[[#This Row],[Pos.]]="D/ST",AVERAGE(Table117821341[[#This Row],[*TD*]]))</f>
        <v>#N/A</v>
      </c>
      <c r="X269" s="94" t="e">
        <f t="shared" si="4"/>
        <v>#N/A</v>
      </c>
    </row>
    <row r="270" spans="2:24" hidden="1" x14ac:dyDescent="0.35">
      <c r="B270" s="6" t="s">
        <v>292</v>
      </c>
      <c r="C270" s="97" t="s">
        <v>44</v>
      </c>
      <c r="D270" s="97" t="s">
        <v>68</v>
      </c>
      <c r="E270" s="23" t="str" cm="1">
        <f t="array" ref="E270">_xlfn.XLOOKUP(Table117821341[[#This Row],[Team]],Table4334[Team],'2425'!$C$3:$C$34)</f>
        <v>n/a</v>
      </c>
      <c r="F270" s="97" t="str">
        <f>_xlfn.XLOOKUP(Table117821341[[#This Row],[Team]],Table4334[Team],Table4334[OPP])</f>
        <v>n/a</v>
      </c>
      <c r="G270" s="148" t="str" cm="1">
        <f t="array" ref="G270">IF(Table117821341[[#This Row],[Pos.]]="QB1",_xlfn.XLOOKUP(Table117821341[[#This Row],[Opp]],Table123[DEF],'2425'!$G$3:$G$34),"#N/A")</f>
        <v>#N/A</v>
      </c>
      <c r="H270" s="148" t="str" cm="1">
        <f t="array" ref="H270">IF(Table117821341[[#This Row],[Pos.]]="QB1",_xlfn.XLOOKUP(Table117821341[[#This Row],[Opp]],Table123[DEF],'2425'!$J$3:$J$34),"#N/A")</f>
        <v>#N/A</v>
      </c>
      <c r="I270" s="148" t="str" cm="1">
        <f t="array" ref="I270">IF(Table117821341[[#This Row],[Pos.]]="QB1",_xlfn.XLOOKUP(Table117821341[[#This Row],[Opp]],Table123[DEF],'2425'!$K$3:$K$34),"#N/A")</f>
        <v>#N/A</v>
      </c>
      <c r="J270" s="148" t="e" cm="1">
        <f t="array" ref="J27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0" s="148" t="e" cm="1">
        <f t="array" ref="K27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0" s="148" t="e" cm="1">
        <f t="array" ref="L27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0" s="148" t="e" cm="1">
        <f t="array" ref="M27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0" s="148" t="e" cm="1">
        <f t="array" ref="N27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0" s="149" t="str">
        <f>IF(Table117821341[[#This Row],[Pos.]]="QB1",_xlfn.XLOOKUP(Table117821341[[#This Row],[Opp]],Table123[DEF],Table123[P]),"#N/A")</f>
        <v>#N/A</v>
      </c>
      <c r="P270" s="149" t="str">
        <f>IF(Table117821341[[#This Row],[Pos.]]="QB1",_xlfn.XLOOKUP(Table117821341[[#This Row],[Opp]],Table123[DEF],Table123[P+R]),"#N/A")</f>
        <v>#N/A</v>
      </c>
      <c r="Q270" s="150" t="str">
        <f>IF(Table117821341[[#This Row],[Pos.]]="QB1",_xlfn.XLOOKUP(Table117821341[[#This Row],[Opp]],Table123[DEF],Table123[P TD]),"#N/A")</f>
        <v>#N/A</v>
      </c>
      <c r="R270" s="149" t="e" cm="1">
        <f t="array" ref="R27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0" s="150" t="e" cm="1">
        <f t="array" ref="S27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0" s="150" t="e" cm="1">
        <f t="array" ref="T27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0" s="150" t="e" cm="1">
        <f t="array" ref="U27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0" s="162" t="e" cm="1">
        <f t="array" ref="V27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0" s="148" t="e" cm="1">
        <f t="array" ref="W270">_xlfn.IFS(Table117821341[[#This Row],[Pos.]]="QB1",AVERAGE(G270,H270,I270,J270,N270),Table117821341[[#This Row],[Pos.]]="RB1",AVERAGE(J270,K270,N270),Table117821341[[#This Row],[Pos.]]="RB2",AVERAGE(J270,K270,N270),Table117821341[[#This Row],[Pos.]]="WR1",AVERAGE(L270,M270,N270),Table117821341[[#This Row],[Pos.]]="WR2",AVERAGE(L270,M270,N270),Table117821341[[#This Row],[Pos.]]="WR3",AVERAGE(L270,M270,N270),Table117821341[[#This Row],[Pos.]]="WR4",AVERAGE(L270,M270,N270),Table117821341[[#This Row],[Pos.]]="TE1",AVERAGE(L270,M270,N270),Table117821341[[#This Row],[Pos.]]="TE2",AVERAGE(L270,M270,N270),Table117821341[[#This Row],[Pos.]]="D/ST",AVERAGE(Table117821341[[#This Row],[*TD*]]))</f>
        <v>#N/A</v>
      </c>
      <c r="X270" s="94" t="e">
        <f t="shared" si="4"/>
        <v>#N/A</v>
      </c>
    </row>
    <row r="271" spans="2:24" hidden="1" x14ac:dyDescent="0.35">
      <c r="B271" s="6" t="s">
        <v>250</v>
      </c>
      <c r="C271" s="97" t="s">
        <v>40</v>
      </c>
      <c r="D271" s="97" t="s">
        <v>398</v>
      </c>
      <c r="E271" s="23" t="str" cm="1">
        <f t="array" ref="E271">_xlfn.XLOOKUP(Table117821341[[#This Row],[Team]],Table4334[Team],'2425'!$C$3:$C$34)</f>
        <v>n/a</v>
      </c>
      <c r="F271" s="97" t="str">
        <f>_xlfn.XLOOKUP(Table117821341[[#This Row],[Team]],Table4334[Team],Table4334[OPP])</f>
        <v>n/a</v>
      </c>
      <c r="G271" s="148" t="str" cm="1">
        <f t="array" ref="G271">IF(Table117821341[[#This Row],[Pos.]]="QB1",_xlfn.XLOOKUP(Table117821341[[#This Row],[Opp]],Table123[DEF],'2425'!$G$3:$G$34),"#N/A")</f>
        <v>#N/A</v>
      </c>
      <c r="H271" s="148" t="str" cm="1">
        <f t="array" ref="H271">IF(Table117821341[[#This Row],[Pos.]]="QB1",_xlfn.XLOOKUP(Table117821341[[#This Row],[Opp]],Table123[DEF],'2425'!$J$3:$J$34),"#N/A")</f>
        <v>#N/A</v>
      </c>
      <c r="I271" s="148" t="str" cm="1">
        <f t="array" ref="I271">IF(Table117821341[[#This Row],[Pos.]]="QB1",_xlfn.XLOOKUP(Table117821341[[#This Row],[Opp]],Table123[DEF],'2425'!$K$3:$K$34),"#N/A")</f>
        <v>#N/A</v>
      </c>
      <c r="J271" s="148" t="e" cm="1">
        <f t="array" ref="J27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1" s="148" t="e" cm="1">
        <f t="array" ref="K27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1" s="148" t="e" cm="1">
        <f t="array" ref="L27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1" s="148" t="e" cm="1">
        <f t="array" ref="M27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1" s="148" t="e" cm="1">
        <f t="array" ref="N27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1" s="149" t="str">
        <f>IF(Table117821341[[#This Row],[Pos.]]="QB1",_xlfn.XLOOKUP(Table117821341[[#This Row],[Opp]],Table123[DEF],Table123[P]),"#N/A")</f>
        <v>#N/A</v>
      </c>
      <c r="P271" s="149" t="str">
        <f>IF(Table117821341[[#This Row],[Pos.]]="QB1",_xlfn.XLOOKUP(Table117821341[[#This Row],[Opp]],Table123[DEF],Table123[P+R]),"#N/A")</f>
        <v>#N/A</v>
      </c>
      <c r="Q271" s="150" t="str">
        <f>IF(Table117821341[[#This Row],[Pos.]]="QB1",_xlfn.XLOOKUP(Table117821341[[#This Row],[Opp]],Table123[DEF],Table123[P TD]),"#N/A")</f>
        <v>#N/A</v>
      </c>
      <c r="R271" s="149" t="e" cm="1">
        <f t="array" ref="R27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1" s="150" t="e" cm="1">
        <f t="array" ref="S27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1" s="150" t="e" cm="1">
        <f t="array" ref="T27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1" s="150" t="e" cm="1">
        <f t="array" ref="U27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1" s="150" t="e" cm="1">
        <f t="array" ref="V27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1" s="148" t="e" cm="1">
        <f t="array" ref="W271">_xlfn.IFS(Table117821341[[#This Row],[Pos.]]="QB1",AVERAGE(G271,H271,I271,J271,N271),Table117821341[[#This Row],[Pos.]]="RB1",AVERAGE(J271,K271,N271),Table117821341[[#This Row],[Pos.]]="RB2",AVERAGE(J271,K271,N271),Table117821341[[#This Row],[Pos.]]="WR1",AVERAGE(L271,M271,N271),Table117821341[[#This Row],[Pos.]]="WR2",AVERAGE(L271,M271,N271),Table117821341[[#This Row],[Pos.]]="WR3",AVERAGE(L271,M271,N271),Table117821341[[#This Row],[Pos.]]="WR4",AVERAGE(L271,M271,N271),Table117821341[[#This Row],[Pos.]]="TE1",AVERAGE(L271,M271,N271),Table117821341[[#This Row],[Pos.]]="TE2",AVERAGE(L271,M271,N271),Table117821341[[#This Row],[Pos.]]="D/ST",AVERAGE(Table117821341[[#This Row],[*TD*]]))</f>
        <v>#N/A</v>
      </c>
      <c r="X271" s="94" t="e">
        <f t="shared" si="4"/>
        <v>#N/A</v>
      </c>
    </row>
    <row r="272" spans="2:24" hidden="1" x14ac:dyDescent="0.35">
      <c r="B272" s="6" t="s">
        <v>574</v>
      </c>
      <c r="C272" s="97" t="s">
        <v>40</v>
      </c>
      <c r="D272" s="97" t="s">
        <v>430</v>
      </c>
      <c r="E272" s="23" t="str" cm="1">
        <f t="array" ref="E272">_xlfn.XLOOKUP(Table117821341[[#This Row],[Team]],Table4334[Team],'2425'!$C$3:$C$34)</f>
        <v>n/a</v>
      </c>
      <c r="F272" s="97" t="str">
        <f>_xlfn.XLOOKUP(Table117821341[[#This Row],[Team]],Table4334[Team],Table4334[OPP])</f>
        <v>n/a</v>
      </c>
      <c r="G272" s="148" t="str" cm="1">
        <f t="array" ref="G272">IF(Table117821341[[#This Row],[Pos.]]="QB1",_xlfn.XLOOKUP(Table117821341[[#This Row],[Opp]],Table123[DEF],'2425'!$G$3:$G$34),"#N/A")</f>
        <v>#N/A</v>
      </c>
      <c r="H272" s="148" t="str" cm="1">
        <f t="array" ref="H272">IF(Table117821341[[#This Row],[Pos.]]="QB1",_xlfn.XLOOKUP(Table117821341[[#This Row],[Opp]],Table123[DEF],'2425'!$J$3:$J$34),"#N/A")</f>
        <v>#N/A</v>
      </c>
      <c r="I272" s="148" t="str" cm="1">
        <f t="array" ref="I272">IF(Table117821341[[#This Row],[Pos.]]="QB1",_xlfn.XLOOKUP(Table117821341[[#This Row],[Opp]],Table123[DEF],'2425'!$K$3:$K$34),"#N/A")</f>
        <v>#N/A</v>
      </c>
      <c r="J272" s="148" t="e" cm="1">
        <f t="array" ref="J27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2" s="148" t="e" cm="1">
        <f t="array" ref="K27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2" s="148" t="e" cm="1">
        <f t="array" ref="L27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2" s="148" t="e" cm="1">
        <f t="array" ref="M27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2" s="148" t="e" cm="1">
        <f t="array" ref="N27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2" s="149" t="str">
        <f>IF(Table117821341[[#This Row],[Pos.]]="QB1",_xlfn.XLOOKUP(Table117821341[[#This Row],[Opp]],Table123[DEF],Table123[P]),"#N/A")</f>
        <v>#N/A</v>
      </c>
      <c r="P272" s="149" t="str">
        <f>IF(Table117821341[[#This Row],[Pos.]]="QB1",_xlfn.XLOOKUP(Table117821341[[#This Row],[Opp]],Table123[DEF],Table123[P+R]),"#N/A")</f>
        <v>#N/A</v>
      </c>
      <c r="Q272" s="150" t="str">
        <f>IF(Table117821341[[#This Row],[Pos.]]="QB1",_xlfn.XLOOKUP(Table117821341[[#This Row],[Opp]],Table123[DEF],Table123[P TD]),"#N/A")</f>
        <v>#N/A</v>
      </c>
      <c r="R272" s="149" t="e" cm="1">
        <f t="array" ref="R27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2" s="150" t="e" cm="1">
        <f t="array" ref="S27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2" s="150" t="e" cm="1">
        <f t="array" ref="T27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2" s="150" t="e" cm="1">
        <f t="array" ref="U27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2" s="150" t="e" cm="1">
        <f t="array" ref="V27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2" s="148" t="e" cm="1">
        <f t="array" ref="W272">_xlfn.IFS(Table117821341[[#This Row],[Pos.]]="QB1",AVERAGE(G272,H272,I272,J272,N272),Table117821341[[#This Row],[Pos.]]="RB1",AVERAGE(J272,K272,N272),Table117821341[[#This Row],[Pos.]]="RB2",AVERAGE(J272,K272,N272),Table117821341[[#This Row],[Pos.]]="WR1",AVERAGE(L272,M272,N272),Table117821341[[#This Row],[Pos.]]="WR2",AVERAGE(L272,M272,N272),Table117821341[[#This Row],[Pos.]]="WR3",AVERAGE(L272,M272,N272),Table117821341[[#This Row],[Pos.]]="WR4",AVERAGE(L272,M272,N272),Table117821341[[#This Row],[Pos.]]="TE1",AVERAGE(L272,M272,N272),Table117821341[[#This Row],[Pos.]]="TE2",AVERAGE(L272,M272,N272),Table117821341[[#This Row],[Pos.]]="D/ST",AVERAGE(Table117821341[[#This Row],[*TD*]]))</f>
        <v>#N/A</v>
      </c>
      <c r="X272" s="94" t="e">
        <f t="shared" si="4"/>
        <v>#N/A</v>
      </c>
    </row>
    <row r="273" spans="2:24" hidden="1" x14ac:dyDescent="0.35">
      <c r="B273" s="6" t="s">
        <v>575</v>
      </c>
      <c r="C273" s="97" t="s">
        <v>40</v>
      </c>
      <c r="D273" s="97" t="s">
        <v>435</v>
      </c>
      <c r="E273" s="23" t="str" cm="1">
        <f t="array" ref="E273">_xlfn.XLOOKUP(Table117821341[[#This Row],[Team]],Table4334[Team],'2425'!$C$3:$C$34)</f>
        <v>n/a</v>
      </c>
      <c r="F273" s="97" t="str">
        <f>_xlfn.XLOOKUP(Table117821341[[#This Row],[Team]],Table4334[Team],Table4334[OPP])</f>
        <v>n/a</v>
      </c>
      <c r="G273" s="148" t="str" cm="1">
        <f t="array" ref="G273">IF(Table117821341[[#This Row],[Pos.]]="QB1",_xlfn.XLOOKUP(Table117821341[[#This Row],[Opp]],Table123[DEF],'2425'!$G$3:$G$34),"#N/A")</f>
        <v>#N/A</v>
      </c>
      <c r="H273" s="148" t="str" cm="1">
        <f t="array" ref="H273">IF(Table117821341[[#This Row],[Pos.]]="QB1",_xlfn.XLOOKUP(Table117821341[[#This Row],[Opp]],Table123[DEF],'2425'!$J$3:$J$34),"#N/A")</f>
        <v>#N/A</v>
      </c>
      <c r="I273" s="148" t="str" cm="1">
        <f t="array" ref="I273">IF(Table117821341[[#This Row],[Pos.]]="QB1",_xlfn.XLOOKUP(Table117821341[[#This Row],[Opp]],Table123[DEF],'2425'!$K$3:$K$34),"#N/A")</f>
        <v>#N/A</v>
      </c>
      <c r="J273" s="148" t="e" cm="1">
        <f t="array" ref="J27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3" s="148" t="e" cm="1">
        <f t="array" ref="K27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3" s="148" t="e" cm="1">
        <f t="array" ref="L27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3" s="148" t="e" cm="1">
        <f t="array" ref="M27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3" s="148" t="e" cm="1">
        <f t="array" ref="N27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3" s="149" t="str">
        <f>IF(Table117821341[[#This Row],[Pos.]]="QB1",_xlfn.XLOOKUP(Table117821341[[#This Row],[Opp]],Table123[DEF],Table123[P]),"#N/A")</f>
        <v>#N/A</v>
      </c>
      <c r="P273" s="149" t="str">
        <f>IF(Table117821341[[#This Row],[Pos.]]="QB1",_xlfn.XLOOKUP(Table117821341[[#This Row],[Opp]],Table123[DEF],Table123[P+R]),"#N/A")</f>
        <v>#N/A</v>
      </c>
      <c r="Q273" s="150" t="str">
        <f>IF(Table117821341[[#This Row],[Pos.]]="QB1",_xlfn.XLOOKUP(Table117821341[[#This Row],[Opp]],Table123[DEF],Table123[P TD]),"#N/A")</f>
        <v>#N/A</v>
      </c>
      <c r="R273" s="149" t="e" cm="1">
        <f t="array" ref="R27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3" s="150" t="e" cm="1">
        <f t="array" ref="S27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3" s="150" t="e" cm="1">
        <f t="array" ref="T27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3" s="150" t="e" cm="1">
        <f t="array" ref="U27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3" s="150" t="e" cm="1">
        <f t="array" ref="V27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3" s="148" t="e" cm="1">
        <f t="array" ref="W273">_xlfn.IFS(Table117821341[[#This Row],[Pos.]]="QB1",AVERAGE(G273,H273,I273,J273,N273),Table117821341[[#This Row],[Pos.]]="RB1",AVERAGE(J273,K273,N273),Table117821341[[#This Row],[Pos.]]="RB2",AVERAGE(J273,K273,N273),Table117821341[[#This Row],[Pos.]]="WR1",AVERAGE(L273,M273,N273),Table117821341[[#This Row],[Pos.]]="WR2",AVERAGE(L273,M273,N273),Table117821341[[#This Row],[Pos.]]="WR3",AVERAGE(L273,M273,N273),Table117821341[[#This Row],[Pos.]]="WR4",AVERAGE(L273,M273,N273),Table117821341[[#This Row],[Pos.]]="TE1",AVERAGE(L273,M273,N273),Table117821341[[#This Row],[Pos.]]="TE2",AVERAGE(L273,M273,N273),Table117821341[[#This Row],[Pos.]]="D/ST",AVERAGE(Table117821341[[#This Row],[*TD*]]))</f>
        <v>#N/A</v>
      </c>
      <c r="X273" s="94" t="e">
        <f t="shared" si="4"/>
        <v>#N/A</v>
      </c>
    </row>
    <row r="274" spans="2:24" hidden="1" x14ac:dyDescent="0.35">
      <c r="B274" s="6" t="s">
        <v>517</v>
      </c>
      <c r="C274" s="97" t="s">
        <v>45</v>
      </c>
      <c r="D274" s="97" t="s">
        <v>399</v>
      </c>
      <c r="E274" s="23" t="str" cm="1">
        <f t="array" ref="E274">_xlfn.XLOOKUP(Table117821341[[#This Row],[Team]],Table4334[Team],'2425'!$C$3:$C$34)</f>
        <v>n/a</v>
      </c>
      <c r="F274" s="97" t="str">
        <f>_xlfn.XLOOKUP(Table117821341[[#This Row],[Team]],Table4334[Team],Table4334[OPP])</f>
        <v>n/a</v>
      </c>
      <c r="G274" s="148" t="e" cm="1">
        <f t="array" ref="G274">IF(Table117821341[[#This Row],[Pos.]]="QB1",_xlfn.XLOOKUP(Table117821341[[#This Row],[Opp]],Table123[DEF],'2425'!$G$3:$G$34),"#N/A")</f>
        <v>#N/A</v>
      </c>
      <c r="H274" s="148" t="e" cm="1">
        <f t="array" ref="H274">IF(Table117821341[[#This Row],[Pos.]]="QB1",_xlfn.XLOOKUP(Table117821341[[#This Row],[Opp]],Table123[DEF],'2425'!$J$3:$J$34),"#N/A")</f>
        <v>#N/A</v>
      </c>
      <c r="I274" s="148" t="e" cm="1">
        <f t="array" ref="I274">IF(Table117821341[[#This Row],[Pos.]]="QB1",_xlfn.XLOOKUP(Table117821341[[#This Row],[Opp]],Table123[DEF],'2425'!$K$3:$K$34),"#N/A")</f>
        <v>#N/A</v>
      </c>
      <c r="J274" s="148" t="e" cm="1">
        <f t="array" ref="J27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4" s="148" t="e" cm="1">
        <f t="array" ref="K27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4" s="148" t="e" cm="1">
        <f t="array" ref="L27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4" s="148" t="e" cm="1">
        <f t="array" ref="M27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4" s="148" t="e" cm="1">
        <f t="array" ref="N27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4" s="149" t="e">
        <f>IF(Table117821341[[#This Row],[Pos.]]="QB1",_xlfn.XLOOKUP(Table117821341[[#This Row],[Opp]],Table123[DEF],Table123[P]),"#N/A")</f>
        <v>#N/A</v>
      </c>
      <c r="P274" s="149" t="e">
        <f>IF(Table117821341[[#This Row],[Pos.]]="QB1",_xlfn.XLOOKUP(Table117821341[[#This Row],[Opp]],Table123[DEF],Table123[P+R]),"#N/A")</f>
        <v>#N/A</v>
      </c>
      <c r="Q274" s="150" t="e">
        <f>IF(Table117821341[[#This Row],[Pos.]]="QB1",_xlfn.XLOOKUP(Table117821341[[#This Row],[Opp]],Table123[DEF],Table123[P TD]),"#N/A")</f>
        <v>#N/A</v>
      </c>
      <c r="R274" s="149" t="e" cm="1">
        <f t="array" ref="R27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4" s="150" t="e" cm="1">
        <f t="array" ref="S27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4" s="150" t="e" cm="1">
        <f t="array" ref="T27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4" s="150" t="e" cm="1">
        <f t="array" ref="U27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4" s="162" t="e" cm="1">
        <f t="array" ref="V27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4" s="148" t="e" cm="1">
        <f t="array" ref="W274">_xlfn.IFS(Table117821341[[#This Row],[Pos.]]="QB1",AVERAGE(G274,H274,I274,J274,N274),Table117821341[[#This Row],[Pos.]]="RB1",AVERAGE(J274,K274,N274),Table117821341[[#This Row],[Pos.]]="RB2",AVERAGE(J274,K274,N274),Table117821341[[#This Row],[Pos.]]="WR1",AVERAGE(L274,M274,N274),Table117821341[[#This Row],[Pos.]]="WR2",AVERAGE(L274,M274,N274),Table117821341[[#This Row],[Pos.]]="WR3",AVERAGE(L274,M274,N274),Table117821341[[#This Row],[Pos.]]="WR4",AVERAGE(L274,M274,N274),Table117821341[[#This Row],[Pos.]]="TE1",AVERAGE(L274,M274,N274),Table117821341[[#This Row],[Pos.]]="TE2",AVERAGE(L274,M274,N274),Table117821341[[#This Row],[Pos.]]="D/ST",AVERAGE(Table117821341[[#This Row],[*TD*]]))</f>
        <v>#N/A</v>
      </c>
      <c r="X274" s="94" t="e">
        <f t="shared" si="4"/>
        <v>#N/A</v>
      </c>
    </row>
    <row r="275" spans="2:24" hidden="1" x14ac:dyDescent="0.35">
      <c r="B275" s="6" t="s">
        <v>417</v>
      </c>
      <c r="C275" s="97" t="s">
        <v>49</v>
      </c>
      <c r="D275" s="97" t="s">
        <v>68</v>
      </c>
      <c r="E275" s="23" t="str" cm="1">
        <f t="array" ref="E275">_xlfn.XLOOKUP(Table117821341[[#This Row],[Team]],Table4334[Team],'2425'!$C$3:$C$34)</f>
        <v>n/a</v>
      </c>
      <c r="F275" s="97" t="str">
        <f>_xlfn.XLOOKUP(Table117821341[[#This Row],[Team]],Table4334[Team],Table4334[OPP])</f>
        <v>n/a</v>
      </c>
      <c r="G275" s="148" t="str" cm="1">
        <f t="array" ref="G275">IF(Table117821341[[#This Row],[Pos.]]="QB1",_xlfn.XLOOKUP(Table117821341[[#This Row],[Opp]],Table123[DEF],'2425'!$G$3:$G$34),"#N/A")</f>
        <v>#N/A</v>
      </c>
      <c r="H275" s="148" t="str" cm="1">
        <f t="array" ref="H275">IF(Table117821341[[#This Row],[Pos.]]="QB1",_xlfn.XLOOKUP(Table117821341[[#This Row],[Opp]],Table123[DEF],'2425'!$J$3:$J$34),"#N/A")</f>
        <v>#N/A</v>
      </c>
      <c r="I275" s="148" t="str" cm="1">
        <f t="array" ref="I275">IF(Table117821341[[#This Row],[Pos.]]="QB1",_xlfn.XLOOKUP(Table117821341[[#This Row],[Opp]],Table123[DEF],'2425'!$K$3:$K$34),"#N/A")</f>
        <v>#N/A</v>
      </c>
      <c r="J275" s="148" t="e" cm="1">
        <f t="array" ref="J27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5" s="148" t="e" cm="1">
        <f t="array" ref="K27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5" s="148" t="e" cm="1">
        <f t="array" ref="L27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5" s="148" t="e" cm="1">
        <f t="array" ref="M27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5" s="148" t="e" cm="1">
        <f t="array" ref="N27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5" s="149" t="str">
        <f>IF(Table117821341[[#This Row],[Pos.]]="QB1",_xlfn.XLOOKUP(Table117821341[[#This Row],[Opp]],Table123[DEF],Table123[P]),"#N/A")</f>
        <v>#N/A</v>
      </c>
      <c r="P275" s="149" t="str">
        <f>IF(Table117821341[[#This Row],[Pos.]]="QB1",_xlfn.XLOOKUP(Table117821341[[#This Row],[Opp]],Table123[DEF],Table123[P+R]),"#N/A")</f>
        <v>#N/A</v>
      </c>
      <c r="Q275" s="150" t="str">
        <f>IF(Table117821341[[#This Row],[Pos.]]="QB1",_xlfn.XLOOKUP(Table117821341[[#This Row],[Opp]],Table123[DEF],Table123[P TD]),"#N/A")</f>
        <v>#N/A</v>
      </c>
      <c r="R275" s="149" t="e" cm="1">
        <f t="array" ref="R27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5" s="150" t="e" cm="1">
        <f t="array" ref="S27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5" s="150" t="e" cm="1">
        <f t="array" ref="T27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5" s="150" t="e" cm="1">
        <f t="array" ref="U27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5" s="162" t="e" cm="1">
        <f t="array" ref="V27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5" s="148" t="e" cm="1">
        <f t="array" ref="W275">_xlfn.IFS(Table117821341[[#This Row],[Pos.]]="QB1",AVERAGE(G275,H275,I275,J275,N275),Table117821341[[#This Row],[Pos.]]="RB1",AVERAGE(J275,K275,N275),Table117821341[[#This Row],[Pos.]]="RB2",AVERAGE(J275,K275,N275),Table117821341[[#This Row],[Pos.]]="WR1",AVERAGE(L275,M275,N275),Table117821341[[#This Row],[Pos.]]="WR2",AVERAGE(L275,M275,N275),Table117821341[[#This Row],[Pos.]]="WR3",AVERAGE(L275,M275,N275),Table117821341[[#This Row],[Pos.]]="WR4",AVERAGE(L275,M275,N275),Table117821341[[#This Row],[Pos.]]="TE1",AVERAGE(L275,M275,N275),Table117821341[[#This Row],[Pos.]]="TE2",AVERAGE(L275,M275,N275),Table117821341[[#This Row],[Pos.]]="D/ST",AVERAGE(Table117821341[[#This Row],[*TD*]]))</f>
        <v>#N/A</v>
      </c>
      <c r="X275" s="94" t="e">
        <f t="shared" si="4"/>
        <v>#N/A</v>
      </c>
    </row>
    <row r="276" spans="2:24" hidden="1" x14ac:dyDescent="0.35">
      <c r="B276" s="6" t="s">
        <v>733</v>
      </c>
      <c r="C276" s="97" t="s">
        <v>52</v>
      </c>
      <c r="D276" s="97" t="s">
        <v>71</v>
      </c>
      <c r="E276" s="23" t="str" cm="1">
        <f t="array" ref="E276">_xlfn.XLOOKUP(Table117821341[[#This Row],[Team]],Table4334[Team],'2425'!$C$3:$C$34)</f>
        <v>SB LX</v>
      </c>
      <c r="F276" s="97" t="str">
        <f>_xlfn.XLOOKUP(Table117821341[[#This Row],[Team]],Table4334[Team],Table4334[OPP])</f>
        <v>NE</v>
      </c>
      <c r="G276" s="148" t="str" cm="1">
        <f t="array" ref="G276">IF(Table117821341[[#This Row],[Pos.]]="QB1",_xlfn.XLOOKUP(Table117821341[[#This Row],[Opp]],Table123[DEF],'2425'!$G$3:$G$34),"#N/A")</f>
        <v>#N/A</v>
      </c>
      <c r="H276" s="148" t="str" cm="1">
        <f t="array" ref="H276">IF(Table117821341[[#This Row],[Pos.]]="QB1",_xlfn.XLOOKUP(Table117821341[[#This Row],[Opp]],Table123[DEF],'2425'!$J$3:$J$34),"#N/A")</f>
        <v>#N/A</v>
      </c>
      <c r="I276" s="148" t="str" cm="1">
        <f t="array" ref="I276">IF(Table117821341[[#This Row],[Pos.]]="QB1",_xlfn.XLOOKUP(Table117821341[[#This Row],[Opp]],Table123[DEF],'2425'!$K$3:$K$34),"#N/A")</f>
        <v>#N/A</v>
      </c>
      <c r="J276" s="148" t="e" cm="1">
        <f t="array" ref="J27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6" s="148" t="e" cm="1">
        <f t="array" ref="K27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6" s="148" t="e" cm="1">
        <f t="array" ref="L27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6" s="148" t="e" cm="1">
        <f t="array" ref="M27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6" s="148" cm="1">
        <f t="array" ref="N27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7</v>
      </c>
      <c r="O276" s="149" t="str">
        <f>IF(Table117821341[[#This Row],[Pos.]]="QB1",_xlfn.XLOOKUP(Table117821341[[#This Row],[Opp]],Table123[DEF],Table123[P]),"#N/A")</f>
        <v>#N/A</v>
      </c>
      <c r="P276" s="149" t="str">
        <f>IF(Table117821341[[#This Row],[Pos.]]="QB1",_xlfn.XLOOKUP(Table117821341[[#This Row],[Opp]],Table123[DEF],Table123[P+R]),"#N/A")</f>
        <v>#N/A</v>
      </c>
      <c r="Q276" s="150" t="str">
        <f>IF(Table117821341[[#This Row],[Pos.]]="QB1",_xlfn.XLOOKUP(Table117821341[[#This Row],[Opp]],Table123[DEF],Table123[P TD]),"#N/A")</f>
        <v>#N/A</v>
      </c>
      <c r="R276" s="149" t="e" cm="1">
        <f t="array" ref="R27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6" s="150" t="e" cm="1">
        <f t="array" ref="S27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6" s="150" t="e" cm="1">
        <f t="array" ref="T27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6" s="150" t="e" cm="1">
        <f t="array" ref="U27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6" s="162" cm="1">
        <f t="array" ref="V27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0.1764705882352941</v>
      </c>
      <c r="W276" s="148" cm="1">
        <f t="array" ref="W276">_xlfn.IFS(Table117821341[[#This Row],[Pos.]]="QB1",AVERAGE(G276,H276,I276,J276,N276),Table117821341[[#This Row],[Pos.]]="RB1",AVERAGE(J276,K276,N276),Table117821341[[#This Row],[Pos.]]="RB2",AVERAGE(J276,K276,N276),Table117821341[[#This Row],[Pos.]]="WR1",AVERAGE(L276,M276,N276),Table117821341[[#This Row],[Pos.]]="WR2",AVERAGE(L276,M276,N276),Table117821341[[#This Row],[Pos.]]="WR3",AVERAGE(L276,M276,N276),Table117821341[[#This Row],[Pos.]]="WR4",AVERAGE(L276,M276,N276),Table117821341[[#This Row],[Pos.]]="TE1",AVERAGE(L276,M276,N276),Table117821341[[#This Row],[Pos.]]="TE2",AVERAGE(L276,M276,N276),Table117821341[[#This Row],[Pos.]]="D/ST",AVERAGE(Table117821341[[#This Row],[*TD*]]))</f>
        <v>7</v>
      </c>
      <c r="X276" s="94">
        <f t="shared" si="4"/>
        <v>7</v>
      </c>
    </row>
    <row r="277" spans="2:24" hidden="1" x14ac:dyDescent="0.35">
      <c r="B277" s="6" t="s">
        <v>529</v>
      </c>
      <c r="C277" s="97" t="s">
        <v>52</v>
      </c>
      <c r="D277" s="97" t="s">
        <v>401</v>
      </c>
      <c r="E277" s="23" t="str" cm="1">
        <f t="array" ref="E277">_xlfn.XLOOKUP(Table117821341[[#This Row],[Team]],Table4334[Team],'2425'!$C$3:$C$34)</f>
        <v>SB LX</v>
      </c>
      <c r="F277" s="97" t="str">
        <f>_xlfn.XLOOKUP(Table117821341[[#This Row],[Team]],Table4334[Team],Table4334[OPP])</f>
        <v>NE</v>
      </c>
      <c r="G277" s="148" t="str" cm="1">
        <f t="array" ref="G277">IF(Table117821341[[#This Row],[Pos.]]="QB1",_xlfn.XLOOKUP(Table117821341[[#This Row],[Opp]],Table123[DEF],'2425'!$G$3:$G$34),"#N/A")</f>
        <v>#N/A</v>
      </c>
      <c r="H277" s="148" t="str" cm="1">
        <f t="array" ref="H277">IF(Table117821341[[#This Row],[Pos.]]="QB1",_xlfn.XLOOKUP(Table117821341[[#This Row],[Opp]],Table123[DEF],'2425'!$J$3:$J$34),"#N/A")</f>
        <v>#N/A</v>
      </c>
      <c r="I277" s="148" t="str" cm="1">
        <f t="array" ref="I277">IF(Table117821341[[#This Row],[Pos.]]="QB1",_xlfn.XLOOKUP(Table117821341[[#This Row],[Opp]],Table123[DEF],'2425'!$K$3:$K$34),"#N/A")</f>
        <v>#N/A</v>
      </c>
      <c r="J277" s="148" t="e" cm="1">
        <f t="array" ref="J27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7" s="148" t="e" cm="1">
        <f t="array" ref="K27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7" s="148" cm="1">
        <f t="array" ref="L27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28</v>
      </c>
      <c r="M277" s="148" cm="1">
        <f t="array" ref="M27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30</v>
      </c>
      <c r="N277" s="148" cm="1">
        <f t="array" ref="N27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17</v>
      </c>
      <c r="O277" s="149" t="str">
        <f>IF(Table117821341[[#This Row],[Pos.]]="QB1",_xlfn.XLOOKUP(Table117821341[[#This Row],[Opp]],Table123[DEF],Table123[P]),"#N/A")</f>
        <v>#N/A</v>
      </c>
      <c r="P277" s="149" t="str">
        <f>IF(Table117821341[[#This Row],[Pos.]]="QB1",_xlfn.XLOOKUP(Table117821341[[#This Row],[Opp]],Table123[DEF],Table123[P+R]),"#N/A")</f>
        <v>#N/A</v>
      </c>
      <c r="Q277" s="150" t="str">
        <f>IF(Table117821341[[#This Row],[Pos.]]="QB1",_xlfn.XLOOKUP(Table117821341[[#This Row],[Opp]],Table123[DEF],Table123[P TD]),"#N/A")</f>
        <v>#N/A</v>
      </c>
      <c r="R277" s="149" t="e" cm="1">
        <f t="array" ref="R27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7" s="150" t="e" cm="1">
        <f t="array" ref="S27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7" s="150" cm="1">
        <f t="array" ref="T27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0.64705882352941169</v>
      </c>
      <c r="U277" s="150" cm="1">
        <f t="array" ref="U27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6.1764705882352935</v>
      </c>
      <c r="V277" s="162" cm="1">
        <f t="array" ref="V27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5.8823529411764705E-2</v>
      </c>
      <c r="W277" s="148" cm="1">
        <f t="array" ref="W277">_xlfn.IFS(Table117821341[[#This Row],[Pos.]]="QB1",AVERAGE(G277,H277,I277,J277,N277),Table117821341[[#This Row],[Pos.]]="RB1",AVERAGE(J277,K277,N277),Table117821341[[#This Row],[Pos.]]="RB2",AVERAGE(J277,K277,N277),Table117821341[[#This Row],[Pos.]]="WR1",AVERAGE(L277,M277,N277),Table117821341[[#This Row],[Pos.]]="WR2",AVERAGE(L277,M277,N277),Table117821341[[#This Row],[Pos.]]="WR3",AVERAGE(L277,M277,N277),Table117821341[[#This Row],[Pos.]]="WR4",AVERAGE(L277,M277,N277),Table117821341[[#This Row],[Pos.]]="TE1",AVERAGE(L277,M277,N277),Table117821341[[#This Row],[Pos.]]="TE2",AVERAGE(L277,M277,N277),Table117821341[[#This Row],[Pos.]]="D/ST",AVERAGE(Table117821341[[#This Row],[*TD*]]))</f>
        <v>25</v>
      </c>
      <c r="X277" s="94">
        <f t="shared" si="4"/>
        <v>21</v>
      </c>
    </row>
    <row r="278" spans="2:24" hidden="1" x14ac:dyDescent="0.35">
      <c r="B278" s="6" t="s">
        <v>571</v>
      </c>
      <c r="C278" s="97" t="s">
        <v>40</v>
      </c>
      <c r="D278" s="97" t="s">
        <v>403</v>
      </c>
      <c r="E278" s="23" t="str" cm="1">
        <f t="array" ref="E278">_xlfn.XLOOKUP(Table117821341[[#This Row],[Team]],Table4334[Team],'2425'!$C$3:$C$34)</f>
        <v>n/a</v>
      </c>
      <c r="F278" s="97" t="str">
        <f>_xlfn.XLOOKUP(Table117821341[[#This Row],[Team]],Table4334[Team],Table4334[OPP])</f>
        <v>n/a</v>
      </c>
      <c r="G278" s="148" t="str" cm="1">
        <f t="array" ref="G278">IF(Table117821341[[#This Row],[Pos.]]="QB1",_xlfn.XLOOKUP(Table117821341[[#This Row],[Opp]],Table123[DEF],'2425'!$G$3:$G$34),"#N/A")</f>
        <v>#N/A</v>
      </c>
      <c r="H278" s="148" t="str" cm="1">
        <f t="array" ref="H278">IF(Table117821341[[#This Row],[Pos.]]="QB1",_xlfn.XLOOKUP(Table117821341[[#This Row],[Opp]],Table123[DEF],'2425'!$J$3:$J$34),"#N/A")</f>
        <v>#N/A</v>
      </c>
      <c r="I278" s="148" t="str" cm="1">
        <f t="array" ref="I278">IF(Table117821341[[#This Row],[Pos.]]="QB1",_xlfn.XLOOKUP(Table117821341[[#This Row],[Opp]],Table123[DEF],'2425'!$K$3:$K$34),"#N/A")</f>
        <v>#N/A</v>
      </c>
      <c r="J278" s="148" t="e" cm="1">
        <f t="array" ref="J27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8" s="148" t="e" cm="1">
        <f t="array" ref="K27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8" s="148" t="e" cm="1">
        <f t="array" ref="L27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8" s="148" t="e" cm="1">
        <f t="array" ref="M27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8" s="148" t="e" cm="1">
        <f t="array" ref="N27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8" s="149" t="str">
        <f>IF(Table117821341[[#This Row],[Pos.]]="QB1",_xlfn.XLOOKUP(Table117821341[[#This Row],[Opp]],Table123[DEF],Table123[P]),"#N/A")</f>
        <v>#N/A</v>
      </c>
      <c r="P278" s="149" t="str">
        <f>IF(Table117821341[[#This Row],[Pos.]]="QB1",_xlfn.XLOOKUP(Table117821341[[#This Row],[Opp]],Table123[DEF],Table123[P+R]),"#N/A")</f>
        <v>#N/A</v>
      </c>
      <c r="Q278" s="150" t="str">
        <f>IF(Table117821341[[#This Row],[Pos.]]="QB1",_xlfn.XLOOKUP(Table117821341[[#This Row],[Opp]],Table123[DEF],Table123[P TD]),"#N/A")</f>
        <v>#N/A</v>
      </c>
      <c r="R278" s="149" t="e" cm="1">
        <f t="array" ref="R27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8" s="150" t="e" cm="1">
        <f t="array" ref="S27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8" s="150" t="e" cm="1">
        <f t="array" ref="T27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8" s="150" t="e" cm="1">
        <f t="array" ref="U27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8" s="150" t="e" cm="1">
        <f t="array" ref="V27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8" s="148" t="e" cm="1">
        <f t="array" ref="W278">_xlfn.IFS(Table117821341[[#This Row],[Pos.]]="QB1",AVERAGE(G278,H278,I278,J278,N278),Table117821341[[#This Row],[Pos.]]="RB1",AVERAGE(J278,K278,N278),Table117821341[[#This Row],[Pos.]]="RB2",AVERAGE(J278,K278,N278),Table117821341[[#This Row],[Pos.]]="WR1",AVERAGE(L278,M278,N278),Table117821341[[#This Row],[Pos.]]="WR2",AVERAGE(L278,M278,N278),Table117821341[[#This Row],[Pos.]]="WR3",AVERAGE(L278,M278,N278),Table117821341[[#This Row],[Pos.]]="WR4",AVERAGE(L278,M278,N278),Table117821341[[#This Row],[Pos.]]="TE1",AVERAGE(L278,M278,N278),Table117821341[[#This Row],[Pos.]]="TE2",AVERAGE(L278,M278,N278),Table117821341[[#This Row],[Pos.]]="D/ST",AVERAGE(Table117821341[[#This Row],[*TD*]]))</f>
        <v>#N/A</v>
      </c>
      <c r="X278" s="94" t="e">
        <f t="shared" si="4"/>
        <v>#N/A</v>
      </c>
    </row>
    <row r="279" spans="2:24" hidden="1" x14ac:dyDescent="0.35">
      <c r="B279" s="6" t="s">
        <v>254</v>
      </c>
      <c r="C279" s="97" t="s">
        <v>40</v>
      </c>
      <c r="D279" s="97" t="s">
        <v>411</v>
      </c>
      <c r="E279" s="23" t="str" cm="1">
        <f t="array" ref="E279">_xlfn.XLOOKUP(Table117821341[[#This Row],[Team]],Table4334[Team],'2425'!$C$3:$C$34)</f>
        <v>n/a</v>
      </c>
      <c r="F279" s="97" t="str">
        <f>_xlfn.XLOOKUP(Table117821341[[#This Row],[Team]],Table4334[Team],Table4334[OPP])</f>
        <v>n/a</v>
      </c>
      <c r="G279" s="148" t="str" cm="1">
        <f t="array" ref="G279">IF(Table117821341[[#This Row],[Pos.]]="QB1",_xlfn.XLOOKUP(Table117821341[[#This Row],[Opp]],Table123[DEF],'2425'!$G$3:$G$34),"#N/A")</f>
        <v>#N/A</v>
      </c>
      <c r="H279" s="148" t="str" cm="1">
        <f t="array" ref="H279">IF(Table117821341[[#This Row],[Pos.]]="QB1",_xlfn.XLOOKUP(Table117821341[[#This Row],[Opp]],Table123[DEF],'2425'!$J$3:$J$34),"#N/A")</f>
        <v>#N/A</v>
      </c>
      <c r="I279" s="148" t="str" cm="1">
        <f t="array" ref="I279">IF(Table117821341[[#This Row],[Pos.]]="QB1",_xlfn.XLOOKUP(Table117821341[[#This Row],[Opp]],Table123[DEF],'2425'!$K$3:$K$34),"#N/A")</f>
        <v>#N/A</v>
      </c>
      <c r="J279" s="148" t="e" cm="1">
        <f t="array" ref="J27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79" s="148" t="e" cm="1">
        <f t="array" ref="K27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79" s="148" t="e" cm="1">
        <f t="array" ref="L27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79" s="148" t="e" cm="1">
        <f t="array" ref="M27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79" s="148" t="e" cm="1">
        <f t="array" ref="N27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79" s="149" t="str">
        <f>IF(Table117821341[[#This Row],[Pos.]]="QB1",_xlfn.XLOOKUP(Table117821341[[#This Row],[Opp]],Table123[DEF],Table123[P]),"#N/A")</f>
        <v>#N/A</v>
      </c>
      <c r="P279" s="149" t="str">
        <f>IF(Table117821341[[#This Row],[Pos.]]="QB1",_xlfn.XLOOKUP(Table117821341[[#This Row],[Opp]],Table123[DEF],Table123[P+R]),"#N/A")</f>
        <v>#N/A</v>
      </c>
      <c r="Q279" s="150" t="str">
        <f>IF(Table117821341[[#This Row],[Pos.]]="QB1",_xlfn.XLOOKUP(Table117821341[[#This Row],[Opp]],Table123[DEF],Table123[P TD]),"#N/A")</f>
        <v>#N/A</v>
      </c>
      <c r="R279" s="149" t="e" cm="1">
        <f t="array" ref="R27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79" s="150" t="e" cm="1">
        <f t="array" ref="S27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79" s="150" t="e" cm="1">
        <f t="array" ref="T27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79" s="150" t="e" cm="1">
        <f t="array" ref="U27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79" s="150" t="e" cm="1">
        <f t="array" ref="V27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79" s="148" t="e" cm="1">
        <f t="array" ref="W279">_xlfn.IFS(Table117821341[[#This Row],[Pos.]]="QB1",AVERAGE(G279,H279,I279,J279,N279),Table117821341[[#This Row],[Pos.]]="RB1",AVERAGE(J279,K279,N279),Table117821341[[#This Row],[Pos.]]="RB2",AVERAGE(J279,K279,N279),Table117821341[[#This Row],[Pos.]]="WR1",AVERAGE(L279,M279,N279),Table117821341[[#This Row],[Pos.]]="WR2",AVERAGE(L279,M279,N279),Table117821341[[#This Row],[Pos.]]="WR3",AVERAGE(L279,M279,N279),Table117821341[[#This Row],[Pos.]]="WR4",AVERAGE(L279,M279,N279),Table117821341[[#This Row],[Pos.]]="TE1",AVERAGE(L279,M279,N279),Table117821341[[#This Row],[Pos.]]="TE2",AVERAGE(L279,M279,N279),Table117821341[[#This Row],[Pos.]]="D/ST",AVERAGE(Table117821341[[#This Row],[*TD*]]))</f>
        <v>#N/A</v>
      </c>
      <c r="X279" s="94" t="e">
        <f t="shared" si="4"/>
        <v>#N/A</v>
      </c>
    </row>
    <row r="280" spans="2:24" hidden="1" x14ac:dyDescent="0.35">
      <c r="B280" s="6" t="s">
        <v>572</v>
      </c>
      <c r="C280" s="97" t="s">
        <v>40</v>
      </c>
      <c r="D280" s="97" t="s">
        <v>441</v>
      </c>
      <c r="E280" s="23" t="str" cm="1">
        <f t="array" ref="E280">_xlfn.XLOOKUP(Table117821341[[#This Row],[Team]],Table4334[Team],'2425'!$C$3:$C$34)</f>
        <v>n/a</v>
      </c>
      <c r="F280" s="97" t="str">
        <f>_xlfn.XLOOKUP(Table117821341[[#This Row],[Team]],Table4334[Team],Table4334[OPP])</f>
        <v>n/a</v>
      </c>
      <c r="G280" s="148" t="str" cm="1">
        <f t="array" ref="G280">IF(Table117821341[[#This Row],[Pos.]]="QB1",_xlfn.XLOOKUP(Table117821341[[#This Row],[Opp]],Table123[DEF],'2425'!$G$3:$G$34),"#N/A")</f>
        <v>#N/A</v>
      </c>
      <c r="H280" s="148" t="str" cm="1">
        <f t="array" ref="H280">IF(Table117821341[[#This Row],[Pos.]]="QB1",_xlfn.XLOOKUP(Table117821341[[#This Row],[Opp]],Table123[DEF],'2425'!$J$3:$J$34),"#N/A")</f>
        <v>#N/A</v>
      </c>
      <c r="I280" s="148" t="str" cm="1">
        <f t="array" ref="I280">IF(Table117821341[[#This Row],[Pos.]]="QB1",_xlfn.XLOOKUP(Table117821341[[#This Row],[Opp]],Table123[DEF],'2425'!$K$3:$K$34),"#N/A")</f>
        <v>#N/A</v>
      </c>
      <c r="J280" s="148" t="e" cm="1">
        <f t="array" ref="J28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0" s="148" t="e" cm="1">
        <f t="array" ref="K28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0" s="148" t="e" cm="1">
        <f t="array" ref="L28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0" s="148" t="e" cm="1">
        <f t="array" ref="M28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0" s="148" t="e" cm="1">
        <f t="array" ref="N28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0" s="149" t="str">
        <f>IF(Table117821341[[#This Row],[Pos.]]="QB1",_xlfn.XLOOKUP(Table117821341[[#This Row],[Opp]],Table123[DEF],Table123[P]),"#N/A")</f>
        <v>#N/A</v>
      </c>
      <c r="P280" s="149" t="str">
        <f>IF(Table117821341[[#This Row],[Pos.]]="QB1",_xlfn.XLOOKUP(Table117821341[[#This Row],[Opp]],Table123[DEF],Table123[P+R]),"#N/A")</f>
        <v>#N/A</v>
      </c>
      <c r="Q280" s="150" t="str">
        <f>IF(Table117821341[[#This Row],[Pos.]]="QB1",_xlfn.XLOOKUP(Table117821341[[#This Row],[Opp]],Table123[DEF],Table123[P TD]),"#N/A")</f>
        <v>#N/A</v>
      </c>
      <c r="R280" s="149" t="e" cm="1">
        <f t="array" ref="R28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0" s="150" t="e" cm="1">
        <f t="array" ref="S28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0" s="150" t="e" cm="1">
        <f t="array" ref="T28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0" s="150" t="e" cm="1">
        <f t="array" ref="U28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0" s="150" t="e" cm="1">
        <f t="array" ref="V28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0" s="148" t="e" cm="1">
        <f t="array" ref="W280">_xlfn.IFS(Table117821341[[#This Row],[Pos.]]="QB1",AVERAGE(G280,H280,I280,J280,N280),Table117821341[[#This Row],[Pos.]]="RB1",AVERAGE(J280,K280,N280),Table117821341[[#This Row],[Pos.]]="RB2",AVERAGE(J280,K280,N280),Table117821341[[#This Row],[Pos.]]="WR1",AVERAGE(L280,M280,N280),Table117821341[[#This Row],[Pos.]]="WR2",AVERAGE(L280,M280,N280),Table117821341[[#This Row],[Pos.]]="WR3",AVERAGE(L280,M280,N280),Table117821341[[#This Row],[Pos.]]="WR4",AVERAGE(L280,M280,N280),Table117821341[[#This Row],[Pos.]]="TE1",AVERAGE(L280,M280,N280),Table117821341[[#This Row],[Pos.]]="TE2",AVERAGE(L280,M280,N280),Table117821341[[#This Row],[Pos.]]="D/ST",AVERAGE(Table117821341[[#This Row],[*TD*]]))</f>
        <v>#N/A</v>
      </c>
      <c r="X280" s="94" t="e">
        <f t="shared" si="4"/>
        <v>#N/A</v>
      </c>
    </row>
    <row r="281" spans="2:24" hidden="1" x14ac:dyDescent="0.35">
      <c r="B281" s="6" t="s">
        <v>573</v>
      </c>
      <c r="C281" s="97" t="s">
        <v>40</v>
      </c>
      <c r="D281" s="97" t="s">
        <v>443</v>
      </c>
      <c r="E281" s="23" t="str" cm="1">
        <f t="array" ref="E281">_xlfn.XLOOKUP(Table117821341[[#This Row],[Team]],Table4334[Team],'2425'!$C$3:$C$34)</f>
        <v>n/a</v>
      </c>
      <c r="F281" s="97" t="str">
        <f>_xlfn.XLOOKUP(Table117821341[[#This Row],[Team]],Table4334[Team],Table4334[OPP])</f>
        <v>n/a</v>
      </c>
      <c r="G281" s="148" t="str" cm="1">
        <f t="array" ref="G281">IF(Table117821341[[#This Row],[Pos.]]="QB1",_xlfn.XLOOKUP(Table117821341[[#This Row],[Opp]],Table123[DEF],'2425'!$G$3:$G$34),"#N/A")</f>
        <v>#N/A</v>
      </c>
      <c r="H281" s="148" t="str" cm="1">
        <f t="array" ref="H281">IF(Table117821341[[#This Row],[Pos.]]="QB1",_xlfn.XLOOKUP(Table117821341[[#This Row],[Opp]],Table123[DEF],'2425'!$J$3:$J$34),"#N/A")</f>
        <v>#N/A</v>
      </c>
      <c r="I281" s="148" t="str" cm="1">
        <f t="array" ref="I281">IF(Table117821341[[#This Row],[Pos.]]="QB1",_xlfn.XLOOKUP(Table117821341[[#This Row],[Opp]],Table123[DEF],'2425'!$K$3:$K$34),"#N/A")</f>
        <v>#N/A</v>
      </c>
      <c r="J281" s="148" t="e" cm="1">
        <f t="array" ref="J28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1" s="148" t="e" cm="1">
        <f t="array" ref="K28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1" s="148" t="e" cm="1">
        <f t="array" ref="L28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1" s="148" t="e" cm="1">
        <f t="array" ref="M28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1" s="148" t="e" cm="1">
        <f t="array" ref="N28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1" s="149" t="str">
        <f>IF(Table117821341[[#This Row],[Pos.]]="QB1",_xlfn.XLOOKUP(Table117821341[[#This Row],[Opp]],Table123[DEF],Table123[P]),"#N/A")</f>
        <v>#N/A</v>
      </c>
      <c r="P281" s="149" t="str">
        <f>IF(Table117821341[[#This Row],[Pos.]]="QB1",_xlfn.XLOOKUP(Table117821341[[#This Row],[Opp]],Table123[DEF],Table123[P+R]),"#N/A")</f>
        <v>#N/A</v>
      </c>
      <c r="Q281" s="150" t="str">
        <f>IF(Table117821341[[#This Row],[Pos.]]="QB1",_xlfn.XLOOKUP(Table117821341[[#This Row],[Opp]],Table123[DEF],Table123[P TD]),"#N/A")</f>
        <v>#N/A</v>
      </c>
      <c r="R281" s="149" t="e" cm="1">
        <f t="array" ref="R28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1" s="150" t="e" cm="1">
        <f t="array" ref="S28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1" s="150" t="e" cm="1">
        <f t="array" ref="T28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1" s="150" t="e" cm="1">
        <f t="array" ref="U28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1" s="150" t="e" cm="1">
        <f t="array" ref="V28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1" s="148" t="e" cm="1">
        <f t="array" ref="W281">_xlfn.IFS(Table117821341[[#This Row],[Pos.]]="QB1",AVERAGE(G281,H281,I281,J281,N281),Table117821341[[#This Row],[Pos.]]="RB1",AVERAGE(J281,K281,N281),Table117821341[[#This Row],[Pos.]]="RB2",AVERAGE(J281,K281,N281),Table117821341[[#This Row],[Pos.]]="WR1",AVERAGE(L281,M281,N281),Table117821341[[#This Row],[Pos.]]="WR2",AVERAGE(L281,M281,N281),Table117821341[[#This Row],[Pos.]]="WR3",AVERAGE(L281,M281,N281),Table117821341[[#This Row],[Pos.]]="WR4",AVERAGE(L281,M281,N281),Table117821341[[#This Row],[Pos.]]="TE1",AVERAGE(L281,M281,N281),Table117821341[[#This Row],[Pos.]]="TE2",AVERAGE(L281,M281,N281),Table117821341[[#This Row],[Pos.]]="D/ST",AVERAGE(Table117821341[[#This Row],[*TD*]]))</f>
        <v>#N/A</v>
      </c>
      <c r="X281" s="94" t="e">
        <f t="shared" si="4"/>
        <v>#N/A</v>
      </c>
    </row>
    <row r="282" spans="2:24" hidden="1" x14ac:dyDescent="0.35">
      <c r="B282" s="6" t="s">
        <v>170</v>
      </c>
      <c r="C282" s="97" t="s">
        <v>31</v>
      </c>
      <c r="D282" s="97" t="s">
        <v>399</v>
      </c>
      <c r="E282" s="23" t="str" cm="1">
        <f t="array" ref="E282">_xlfn.XLOOKUP(Table117821341[[#This Row],[Team]],Table4334[Team],'2425'!$C$3:$C$34)</f>
        <v>n/a</v>
      </c>
      <c r="F282" s="97" t="str">
        <f>_xlfn.XLOOKUP(Table117821341[[#This Row],[Team]],Table4334[Team],Table4334[OPP])</f>
        <v>n/a</v>
      </c>
      <c r="G282" s="148" t="e" cm="1">
        <f t="array" ref="G282">IF(Table117821341[[#This Row],[Pos.]]="QB1",_xlfn.XLOOKUP(Table117821341[[#This Row],[Opp]],Table123[DEF],'2425'!$G$3:$G$34),"#N/A")</f>
        <v>#N/A</v>
      </c>
      <c r="H282" s="148" t="e" cm="1">
        <f t="array" ref="H282">IF(Table117821341[[#This Row],[Pos.]]="QB1",_xlfn.XLOOKUP(Table117821341[[#This Row],[Opp]],Table123[DEF],'2425'!$J$3:$J$34),"#N/A")</f>
        <v>#N/A</v>
      </c>
      <c r="I282" s="148" t="e" cm="1">
        <f t="array" ref="I282">IF(Table117821341[[#This Row],[Pos.]]="QB1",_xlfn.XLOOKUP(Table117821341[[#This Row],[Opp]],Table123[DEF],'2425'!$K$3:$K$34),"#N/A")</f>
        <v>#N/A</v>
      </c>
      <c r="J282" s="148" t="e" cm="1">
        <f t="array" ref="J28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2" s="148" t="e" cm="1">
        <f t="array" ref="K28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2" s="148" t="e" cm="1">
        <f t="array" ref="L28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2" s="148" t="e" cm="1">
        <f t="array" ref="M28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2" s="148" t="e" cm="1">
        <f t="array" ref="N28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2" s="149" t="e">
        <f>IF(Table117821341[[#This Row],[Pos.]]="QB1",_xlfn.XLOOKUP(Table117821341[[#This Row],[Opp]],Table123[DEF],Table123[P]),"#N/A")</f>
        <v>#N/A</v>
      </c>
      <c r="P282" s="149" t="e">
        <f>IF(Table117821341[[#This Row],[Pos.]]="QB1",_xlfn.XLOOKUP(Table117821341[[#This Row],[Opp]],Table123[DEF],Table123[P+R]),"#N/A")</f>
        <v>#N/A</v>
      </c>
      <c r="Q282" s="150" t="e">
        <f>IF(Table117821341[[#This Row],[Pos.]]="QB1",_xlfn.XLOOKUP(Table117821341[[#This Row],[Opp]],Table123[DEF],Table123[P TD]),"#N/A")</f>
        <v>#N/A</v>
      </c>
      <c r="R282" s="149" t="e" cm="1">
        <f t="array" ref="R28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2" s="150" t="e" cm="1">
        <f t="array" ref="S28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2" s="150" t="e" cm="1">
        <f t="array" ref="T28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2" s="150" t="e" cm="1">
        <f t="array" ref="U28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2" s="162" t="e" cm="1">
        <f t="array" ref="V28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2" s="148" t="e" cm="1">
        <f t="array" ref="W282">_xlfn.IFS(Table117821341[[#This Row],[Pos.]]="QB1",AVERAGE(G282,H282,I282,J282,N282),Table117821341[[#This Row],[Pos.]]="RB1",AVERAGE(J282,K282,N282),Table117821341[[#This Row],[Pos.]]="RB2",AVERAGE(J282,K282,N282),Table117821341[[#This Row],[Pos.]]="WR1",AVERAGE(L282,M282,N282),Table117821341[[#This Row],[Pos.]]="WR2",AVERAGE(L282,M282,N282),Table117821341[[#This Row],[Pos.]]="WR3",AVERAGE(L282,M282,N282),Table117821341[[#This Row],[Pos.]]="WR4",AVERAGE(L282,M282,N282),Table117821341[[#This Row],[Pos.]]="TE1",AVERAGE(L282,M282,N282),Table117821341[[#This Row],[Pos.]]="TE2",AVERAGE(L282,M282,N282),Table117821341[[#This Row],[Pos.]]="D/ST",AVERAGE(Table117821341[[#This Row],[*TD*]]))</f>
        <v>#N/A</v>
      </c>
      <c r="X282" s="94" t="e">
        <f t="shared" si="4"/>
        <v>#N/A</v>
      </c>
    </row>
    <row r="283" spans="2:24" hidden="1" x14ac:dyDescent="0.35">
      <c r="B283" s="6" t="s">
        <v>426</v>
      </c>
      <c r="C283" s="97" t="s">
        <v>48</v>
      </c>
      <c r="D283" s="97" t="s">
        <v>401</v>
      </c>
      <c r="E283" s="23" t="str" cm="1">
        <f t="array" ref="E283">_xlfn.XLOOKUP(Table117821341[[#This Row],[Team]],Table4334[Team],'2425'!$C$3:$C$34)</f>
        <v>n/a</v>
      </c>
      <c r="F283" s="97" t="str">
        <f>_xlfn.XLOOKUP(Table117821341[[#This Row],[Team]],Table4334[Team],Table4334[OPP])</f>
        <v>n/a</v>
      </c>
      <c r="G283" s="148" t="str" cm="1">
        <f t="array" ref="G283">IF(Table117821341[[#This Row],[Pos.]]="QB1",_xlfn.XLOOKUP(Table117821341[[#This Row],[Opp]],Table123[DEF],'2425'!$G$3:$G$34),"#N/A")</f>
        <v>#N/A</v>
      </c>
      <c r="H283" s="148" t="str" cm="1">
        <f t="array" ref="H283">IF(Table117821341[[#This Row],[Pos.]]="QB1",_xlfn.XLOOKUP(Table117821341[[#This Row],[Opp]],Table123[DEF],'2425'!$J$3:$J$34),"#N/A")</f>
        <v>#N/A</v>
      </c>
      <c r="I283" s="148" t="str" cm="1">
        <f t="array" ref="I283">IF(Table117821341[[#This Row],[Pos.]]="QB1",_xlfn.XLOOKUP(Table117821341[[#This Row],[Opp]],Table123[DEF],'2425'!$K$3:$K$34),"#N/A")</f>
        <v>#N/A</v>
      </c>
      <c r="J283" s="148" t="e" cm="1">
        <f t="array" ref="J28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3" s="148" t="e" cm="1">
        <f t="array" ref="K28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3" s="148" t="e" cm="1">
        <f t="array" ref="L28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3" s="148" t="e" cm="1">
        <f t="array" ref="M28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3" s="148" t="e" cm="1">
        <f t="array" ref="N28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3" s="149" t="str">
        <f>IF(Table117821341[[#This Row],[Pos.]]="QB1",_xlfn.XLOOKUP(Table117821341[[#This Row],[Opp]],Table123[DEF],Table123[P]),"#N/A")</f>
        <v>#N/A</v>
      </c>
      <c r="P283" s="149" t="str">
        <f>IF(Table117821341[[#This Row],[Pos.]]="QB1",_xlfn.XLOOKUP(Table117821341[[#This Row],[Opp]],Table123[DEF],Table123[P+R]),"#N/A")</f>
        <v>#N/A</v>
      </c>
      <c r="Q283" s="150" t="str">
        <f>IF(Table117821341[[#This Row],[Pos.]]="QB1",_xlfn.XLOOKUP(Table117821341[[#This Row],[Opp]],Table123[DEF],Table123[P TD]),"#N/A")</f>
        <v>#N/A</v>
      </c>
      <c r="R283" s="149" t="e" cm="1">
        <f t="array" ref="R28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3" s="150" t="e" cm="1">
        <f t="array" ref="S28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3" s="150" t="e" cm="1">
        <f t="array" ref="T28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3" s="150" t="e" cm="1">
        <f t="array" ref="U28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3" s="162" t="e" cm="1">
        <f t="array" ref="V28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3" s="148" t="e" cm="1">
        <f t="array" ref="W283">_xlfn.IFS(Table117821341[[#This Row],[Pos.]]="QB1",AVERAGE(G283,H283,I283,J283,N283),Table117821341[[#This Row],[Pos.]]="RB1",AVERAGE(J283,K283,N283),Table117821341[[#This Row],[Pos.]]="RB2",AVERAGE(J283,K283,N283),Table117821341[[#This Row],[Pos.]]="WR1",AVERAGE(L283,M283,N283),Table117821341[[#This Row],[Pos.]]="WR2",AVERAGE(L283,M283,N283),Table117821341[[#This Row],[Pos.]]="WR3",AVERAGE(L283,M283,N283),Table117821341[[#This Row],[Pos.]]="WR4",AVERAGE(L283,M283,N283),Table117821341[[#This Row],[Pos.]]="TE1",AVERAGE(L283,M283,N283),Table117821341[[#This Row],[Pos.]]="TE2",AVERAGE(L283,M283,N283),Table117821341[[#This Row],[Pos.]]="D/ST",AVERAGE(Table117821341[[#This Row],[*TD*]]))</f>
        <v>#N/A</v>
      </c>
      <c r="X283" s="94" t="e">
        <f t="shared" si="4"/>
        <v>#N/A</v>
      </c>
    </row>
    <row r="284" spans="2:24" hidden="1" x14ac:dyDescent="0.35">
      <c r="B284" s="6" t="s">
        <v>256</v>
      </c>
      <c r="C284" s="97" t="s">
        <v>41</v>
      </c>
      <c r="D284" s="97" t="s">
        <v>405</v>
      </c>
      <c r="E284" s="23" t="str" cm="1">
        <f t="array" ref="E284">_xlfn.XLOOKUP(Table117821341[[#This Row],[Team]],Table4334[Team],'2425'!$C$3:$C$34)</f>
        <v>n/a</v>
      </c>
      <c r="F284" s="97" t="str">
        <f>_xlfn.XLOOKUP(Table117821341[[#This Row],[Team]],Table4334[Team],Table4334[OPP])</f>
        <v>n/a</v>
      </c>
      <c r="G284" s="148" t="str" cm="1">
        <f t="array" ref="G284">IF(Table117821341[[#This Row],[Pos.]]="QB1",_xlfn.XLOOKUP(Table117821341[[#This Row],[Opp]],Table123[DEF],'2425'!$G$3:$G$34),"#N/A")</f>
        <v>#N/A</v>
      </c>
      <c r="H284" s="148" t="str" cm="1">
        <f t="array" ref="H284">IF(Table117821341[[#This Row],[Pos.]]="QB1",_xlfn.XLOOKUP(Table117821341[[#This Row],[Opp]],Table123[DEF],'2425'!$J$3:$J$34),"#N/A")</f>
        <v>#N/A</v>
      </c>
      <c r="I284" s="148" t="str" cm="1">
        <f t="array" ref="I284">IF(Table117821341[[#This Row],[Pos.]]="QB1",_xlfn.XLOOKUP(Table117821341[[#This Row],[Opp]],Table123[DEF],'2425'!$K$3:$K$34),"#N/A")</f>
        <v>#N/A</v>
      </c>
      <c r="J284" s="148" t="e" cm="1">
        <f t="array" ref="J28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4" s="148" t="e" cm="1">
        <f t="array" ref="K28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4" s="148" t="e" cm="1">
        <f t="array" ref="L28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4" s="148" t="e" cm="1">
        <f t="array" ref="M28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4" s="148" t="e" cm="1">
        <f t="array" ref="N28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4" s="149" t="str">
        <f>IF(Table117821341[[#This Row],[Pos.]]="QB1",_xlfn.XLOOKUP(Table117821341[[#This Row],[Opp]],Table123[DEF],Table123[P]),"#N/A")</f>
        <v>#N/A</v>
      </c>
      <c r="P284" s="149" t="str">
        <f>IF(Table117821341[[#This Row],[Pos.]]="QB1",_xlfn.XLOOKUP(Table117821341[[#This Row],[Opp]],Table123[DEF],Table123[P+R]),"#N/A")</f>
        <v>#N/A</v>
      </c>
      <c r="Q284" s="150" t="str">
        <f>IF(Table117821341[[#This Row],[Pos.]]="QB1",_xlfn.XLOOKUP(Table117821341[[#This Row],[Opp]],Table123[DEF],Table123[P TD]),"#N/A")</f>
        <v>#N/A</v>
      </c>
      <c r="R284" s="149" t="e" cm="1">
        <f t="array" ref="R28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4" s="150" t="e" cm="1">
        <f t="array" ref="S28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4" s="150" t="e" cm="1">
        <f t="array" ref="T28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4" s="150" t="e" cm="1">
        <f t="array" ref="U28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4" s="150" t="e" cm="1">
        <f t="array" ref="V28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4" s="148" t="e" cm="1">
        <f t="array" ref="W284">_xlfn.IFS(Table117821341[[#This Row],[Pos.]]="QB1",AVERAGE(G284,H284,I284,J284,N284),Table117821341[[#This Row],[Pos.]]="RB1",AVERAGE(J284,K284,N284),Table117821341[[#This Row],[Pos.]]="RB2",AVERAGE(J284,K284,N284),Table117821341[[#This Row],[Pos.]]="WR1",AVERAGE(L284,M284,N284),Table117821341[[#This Row],[Pos.]]="WR2",AVERAGE(L284,M284,N284),Table117821341[[#This Row],[Pos.]]="WR3",AVERAGE(L284,M284,N284),Table117821341[[#This Row],[Pos.]]="WR4",AVERAGE(L284,M284,N284),Table117821341[[#This Row],[Pos.]]="TE1",AVERAGE(L284,M284,N284),Table117821341[[#This Row],[Pos.]]="TE2",AVERAGE(L284,M284,N284),Table117821341[[#This Row],[Pos.]]="D/ST",AVERAGE(Table117821341[[#This Row],[*TD*]]))</f>
        <v>#N/A</v>
      </c>
      <c r="X284" s="94" t="e">
        <f t="shared" si="4"/>
        <v>#N/A</v>
      </c>
    </row>
    <row r="285" spans="2:24" hidden="1" x14ac:dyDescent="0.35">
      <c r="B285" s="6" t="s">
        <v>374</v>
      </c>
      <c r="C285" s="97" t="s">
        <v>54</v>
      </c>
      <c r="D285" s="97" t="s">
        <v>68</v>
      </c>
      <c r="E285" s="23" t="str" cm="1">
        <f t="array" ref="E285">_xlfn.XLOOKUP(Table117821341[[#This Row],[Team]],Table4334[Team],'2425'!$C$3:$C$34)</f>
        <v>n/a</v>
      </c>
      <c r="F285" s="97" t="str">
        <f>_xlfn.XLOOKUP(Table117821341[[#This Row],[Team]],Table4334[Team],Table4334[OPP])</f>
        <v>n/a</v>
      </c>
      <c r="G285" s="148" t="str" cm="1">
        <f t="array" ref="G285">IF(Table117821341[[#This Row],[Pos.]]="QB1",_xlfn.XLOOKUP(Table117821341[[#This Row],[Opp]],Table123[DEF],'2425'!$G$3:$G$34),"#N/A")</f>
        <v>#N/A</v>
      </c>
      <c r="H285" s="148" t="str" cm="1">
        <f t="array" ref="H285">IF(Table117821341[[#This Row],[Pos.]]="QB1",_xlfn.XLOOKUP(Table117821341[[#This Row],[Opp]],Table123[DEF],'2425'!$J$3:$J$34),"#N/A")</f>
        <v>#N/A</v>
      </c>
      <c r="I285" s="148" t="str" cm="1">
        <f t="array" ref="I285">IF(Table117821341[[#This Row],[Pos.]]="QB1",_xlfn.XLOOKUP(Table117821341[[#This Row],[Opp]],Table123[DEF],'2425'!$K$3:$K$34),"#N/A")</f>
        <v>#N/A</v>
      </c>
      <c r="J285" s="148" t="e" cm="1">
        <f t="array" ref="J28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5" s="148" t="e" cm="1">
        <f t="array" ref="K28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5" s="148" t="e" cm="1">
        <f t="array" ref="L28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5" s="148" t="e" cm="1">
        <f t="array" ref="M28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5" s="148" t="e" cm="1">
        <f t="array" ref="N28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5" s="149" t="str">
        <f>IF(Table117821341[[#This Row],[Pos.]]="QB1",_xlfn.XLOOKUP(Table117821341[[#This Row],[Opp]],Table123[DEF],Table123[P]),"#N/A")</f>
        <v>#N/A</v>
      </c>
      <c r="P285" s="149" t="str">
        <f>IF(Table117821341[[#This Row],[Pos.]]="QB1",_xlfn.XLOOKUP(Table117821341[[#This Row],[Opp]],Table123[DEF],Table123[P+R]),"#N/A")</f>
        <v>#N/A</v>
      </c>
      <c r="Q285" s="150" t="str">
        <f>IF(Table117821341[[#This Row],[Pos.]]="QB1",_xlfn.XLOOKUP(Table117821341[[#This Row],[Opp]],Table123[DEF],Table123[P TD]),"#N/A")</f>
        <v>#N/A</v>
      </c>
      <c r="R285" s="149" t="e" cm="1">
        <f t="array" ref="R28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5" s="150" t="e" cm="1">
        <f t="array" ref="S28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5" s="150" t="e" cm="1">
        <f t="array" ref="T28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5" s="150" t="e" cm="1">
        <f t="array" ref="U28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5" s="162" t="e" cm="1">
        <f t="array" ref="V28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5" s="148" t="e" cm="1">
        <f t="array" ref="W285">_xlfn.IFS(Table117821341[[#This Row],[Pos.]]="QB1",AVERAGE(G285,H285,I285,J285,N285),Table117821341[[#This Row],[Pos.]]="RB1",AVERAGE(J285,K285,N285),Table117821341[[#This Row],[Pos.]]="RB2",AVERAGE(J285,K285,N285),Table117821341[[#This Row],[Pos.]]="WR1",AVERAGE(L285,M285,N285),Table117821341[[#This Row],[Pos.]]="WR2",AVERAGE(L285,M285,N285),Table117821341[[#This Row],[Pos.]]="WR3",AVERAGE(L285,M285,N285),Table117821341[[#This Row],[Pos.]]="WR4",AVERAGE(L285,M285,N285),Table117821341[[#This Row],[Pos.]]="TE1",AVERAGE(L285,M285,N285),Table117821341[[#This Row],[Pos.]]="TE2",AVERAGE(L285,M285,N285),Table117821341[[#This Row],[Pos.]]="D/ST",AVERAGE(Table117821341[[#This Row],[*TD*]]))</f>
        <v>#N/A</v>
      </c>
      <c r="X285" s="94" t="e">
        <f t="shared" si="4"/>
        <v>#N/A</v>
      </c>
    </row>
    <row r="286" spans="2:24" hidden="1" x14ac:dyDescent="0.35">
      <c r="B286" s="6" t="s">
        <v>561</v>
      </c>
      <c r="C286" s="97" t="s">
        <v>41</v>
      </c>
      <c r="D286" s="97" t="s">
        <v>394</v>
      </c>
      <c r="E286" s="23" t="str" cm="1">
        <f t="array" ref="E286">_xlfn.XLOOKUP(Table117821341[[#This Row],[Team]],Table4334[Team],'2425'!$C$3:$C$34)</f>
        <v>n/a</v>
      </c>
      <c r="F286" s="97" t="str">
        <f>_xlfn.XLOOKUP(Table117821341[[#This Row],[Team]],Table4334[Team],Table4334[OPP])</f>
        <v>n/a</v>
      </c>
      <c r="G286" s="148" t="str" cm="1">
        <f t="array" ref="G286">IF(Table117821341[[#This Row],[Pos.]]="QB1",_xlfn.XLOOKUP(Table117821341[[#This Row],[Opp]],Table123[DEF],'2425'!$G$3:$G$34),"#N/A")</f>
        <v>#N/A</v>
      </c>
      <c r="H286" s="148" t="str" cm="1">
        <f t="array" ref="H286">IF(Table117821341[[#This Row],[Pos.]]="QB1",_xlfn.XLOOKUP(Table117821341[[#This Row],[Opp]],Table123[DEF],'2425'!$J$3:$J$34),"#N/A")</f>
        <v>#N/A</v>
      </c>
      <c r="I286" s="148" t="str" cm="1">
        <f t="array" ref="I286">IF(Table117821341[[#This Row],[Pos.]]="QB1",_xlfn.XLOOKUP(Table117821341[[#This Row],[Opp]],Table123[DEF],'2425'!$K$3:$K$34),"#N/A")</f>
        <v>#N/A</v>
      </c>
      <c r="J286" s="148" t="e" cm="1">
        <f t="array" ref="J28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6" s="148" t="e" cm="1">
        <f t="array" ref="K28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6" s="148" t="e" cm="1">
        <f t="array" ref="L28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6" s="148" t="e" cm="1">
        <f t="array" ref="M28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6" s="148" t="e" cm="1">
        <f t="array" ref="N28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6" s="149" t="str">
        <f>IF(Table117821341[[#This Row],[Pos.]]="QB1",_xlfn.XLOOKUP(Table117821341[[#This Row],[Opp]],Table123[DEF],Table123[P]),"#N/A")</f>
        <v>#N/A</v>
      </c>
      <c r="P286" s="149" t="str">
        <f>IF(Table117821341[[#This Row],[Pos.]]="QB1",_xlfn.XLOOKUP(Table117821341[[#This Row],[Opp]],Table123[DEF],Table123[P+R]),"#N/A")</f>
        <v>#N/A</v>
      </c>
      <c r="Q286" s="150" t="str">
        <f>IF(Table117821341[[#This Row],[Pos.]]="QB1",_xlfn.XLOOKUP(Table117821341[[#This Row],[Opp]],Table123[DEF],Table123[P TD]),"#N/A")</f>
        <v>#N/A</v>
      </c>
      <c r="R286" s="149" t="e" cm="1">
        <f t="array" ref="R28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6" s="150" t="e" cm="1">
        <f t="array" ref="S28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6" s="150" t="e" cm="1">
        <f t="array" ref="T28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6" s="150" t="e" cm="1">
        <f t="array" ref="U28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6" s="150" t="e" cm="1">
        <f t="array" ref="V28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6" s="148" t="e" cm="1">
        <f t="array" ref="W286">_xlfn.IFS(Table117821341[[#This Row],[Pos.]]="QB1",AVERAGE(G286,H286,I286,J286,N286),Table117821341[[#This Row],[Pos.]]="RB1",AVERAGE(J286,K286,N286),Table117821341[[#This Row],[Pos.]]="RB2",AVERAGE(J286,K286,N286),Table117821341[[#This Row],[Pos.]]="WR1",AVERAGE(L286,M286,N286),Table117821341[[#This Row],[Pos.]]="WR2",AVERAGE(L286,M286,N286),Table117821341[[#This Row],[Pos.]]="WR3",AVERAGE(L286,M286,N286),Table117821341[[#This Row],[Pos.]]="WR4",AVERAGE(L286,M286,N286),Table117821341[[#This Row],[Pos.]]="TE1",AVERAGE(L286,M286,N286),Table117821341[[#This Row],[Pos.]]="TE2",AVERAGE(L286,M286,N286),Table117821341[[#This Row],[Pos.]]="D/ST",AVERAGE(Table117821341[[#This Row],[*TD*]]))</f>
        <v>#N/A</v>
      </c>
      <c r="X286" s="94" t="e">
        <f t="shared" si="4"/>
        <v>#N/A</v>
      </c>
    </row>
    <row r="287" spans="2:24" hidden="1" x14ac:dyDescent="0.35">
      <c r="B287" s="6" t="s">
        <v>258</v>
      </c>
      <c r="C287" s="97" t="s">
        <v>41</v>
      </c>
      <c r="D287" s="97" t="s">
        <v>396</v>
      </c>
      <c r="E287" s="23" t="str" cm="1">
        <f t="array" ref="E287">_xlfn.XLOOKUP(Table117821341[[#This Row],[Team]],Table4334[Team],'2425'!$C$3:$C$34)</f>
        <v>n/a</v>
      </c>
      <c r="F287" s="97" t="str">
        <f>_xlfn.XLOOKUP(Table117821341[[#This Row],[Team]],Table4334[Team],Table4334[OPP])</f>
        <v>n/a</v>
      </c>
      <c r="G287" s="148" t="str" cm="1">
        <f t="array" ref="G287">IF(Table117821341[[#This Row],[Pos.]]="QB1",_xlfn.XLOOKUP(Table117821341[[#This Row],[Opp]],Table123[DEF],'2425'!$G$3:$G$34),"#N/A")</f>
        <v>#N/A</v>
      </c>
      <c r="H287" s="148" t="str" cm="1">
        <f t="array" ref="H287">IF(Table117821341[[#This Row],[Pos.]]="QB1",_xlfn.XLOOKUP(Table117821341[[#This Row],[Opp]],Table123[DEF],'2425'!$J$3:$J$34),"#N/A")</f>
        <v>#N/A</v>
      </c>
      <c r="I287" s="148" t="str" cm="1">
        <f t="array" ref="I287">IF(Table117821341[[#This Row],[Pos.]]="QB1",_xlfn.XLOOKUP(Table117821341[[#This Row],[Opp]],Table123[DEF],'2425'!$K$3:$K$34),"#N/A")</f>
        <v>#N/A</v>
      </c>
      <c r="J287" s="148" t="e" cm="1">
        <f t="array" ref="J28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7" s="148" t="e" cm="1">
        <f t="array" ref="K28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7" s="148" t="e" cm="1">
        <f t="array" ref="L28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7" s="148" t="e" cm="1">
        <f t="array" ref="M28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7" s="148" t="e" cm="1">
        <f t="array" ref="N28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7" s="149" t="str">
        <f>IF(Table117821341[[#This Row],[Pos.]]="QB1",_xlfn.XLOOKUP(Table117821341[[#This Row],[Opp]],Table123[DEF],Table123[P]),"#N/A")</f>
        <v>#N/A</v>
      </c>
      <c r="P287" s="149" t="str">
        <f>IF(Table117821341[[#This Row],[Pos.]]="QB1",_xlfn.XLOOKUP(Table117821341[[#This Row],[Opp]],Table123[DEF],Table123[P+R]),"#N/A")</f>
        <v>#N/A</v>
      </c>
      <c r="Q287" s="150" t="str">
        <f>IF(Table117821341[[#This Row],[Pos.]]="QB1",_xlfn.XLOOKUP(Table117821341[[#This Row],[Opp]],Table123[DEF],Table123[P TD]),"#N/A")</f>
        <v>#N/A</v>
      </c>
      <c r="R287" s="149" t="e" cm="1">
        <f t="array" ref="R28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7" s="150" t="e" cm="1">
        <f t="array" ref="S28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7" s="150" t="e" cm="1">
        <f t="array" ref="T28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7" s="150" t="e" cm="1">
        <f t="array" ref="U28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7" s="150" t="e" cm="1">
        <f t="array" ref="V28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7" s="148" t="e" cm="1">
        <f t="array" ref="W287">_xlfn.IFS(Table117821341[[#This Row],[Pos.]]="QB1",AVERAGE(G287,H287,I287,J287,N287),Table117821341[[#This Row],[Pos.]]="RB1",AVERAGE(J287,K287,N287),Table117821341[[#This Row],[Pos.]]="RB2",AVERAGE(J287,K287,N287),Table117821341[[#This Row],[Pos.]]="WR1",AVERAGE(L287,M287,N287),Table117821341[[#This Row],[Pos.]]="WR2",AVERAGE(L287,M287,N287),Table117821341[[#This Row],[Pos.]]="WR3",AVERAGE(L287,M287,N287),Table117821341[[#This Row],[Pos.]]="WR4",AVERAGE(L287,M287,N287),Table117821341[[#This Row],[Pos.]]="TE1",AVERAGE(L287,M287,N287),Table117821341[[#This Row],[Pos.]]="TE2",AVERAGE(L287,M287,N287),Table117821341[[#This Row],[Pos.]]="D/ST",AVERAGE(Table117821341[[#This Row],[*TD*]]))</f>
        <v>#N/A</v>
      </c>
      <c r="X287" s="94" t="e">
        <f t="shared" si="4"/>
        <v>#N/A</v>
      </c>
    </row>
    <row r="288" spans="2:24" hidden="1" x14ac:dyDescent="0.35">
      <c r="B288" s="6" t="s">
        <v>257</v>
      </c>
      <c r="C288" s="97" t="s">
        <v>41</v>
      </c>
      <c r="D288" s="97" t="s">
        <v>407</v>
      </c>
      <c r="E288" s="97" t="str" cm="1">
        <f t="array" ref="E288">_xlfn.XLOOKUP(Table117821341[[#This Row],[Team]],Table4334[Team],'2425'!$C$3:$C$34)</f>
        <v>n/a</v>
      </c>
      <c r="F288" s="97" t="str">
        <f>_xlfn.XLOOKUP(Table117821341[[#This Row],[Team]],Table4334[Team],Table4334[OPP])</f>
        <v>n/a</v>
      </c>
      <c r="G288" s="159" t="str" cm="1">
        <f t="array" ref="G288">IF(Table117821341[[#This Row],[Pos.]]="QB1",_xlfn.XLOOKUP(Table117821341[[#This Row],[Opp]],Table123[DEF],'2425'!$G$3:$G$34),"#N/A")</f>
        <v>#N/A</v>
      </c>
      <c r="H288" s="159" t="str" cm="1">
        <f t="array" ref="H288">IF(Table117821341[[#This Row],[Pos.]]="QB1",_xlfn.XLOOKUP(Table117821341[[#This Row],[Opp]],Table123[DEF],'2425'!$J$3:$J$34),"#N/A")</f>
        <v>#N/A</v>
      </c>
      <c r="I288" s="148" t="str" cm="1">
        <f t="array" ref="I288">IF(Table117821341[[#This Row],[Pos.]]="QB1",_xlfn.XLOOKUP(Table117821341[[#This Row],[Opp]],Table123[DEF],'2425'!$K$3:$K$34),"#N/A")</f>
        <v>#N/A</v>
      </c>
      <c r="J288" s="148" t="e" cm="1">
        <f t="array" ref="J28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8" s="148" t="e" cm="1">
        <f t="array" ref="K28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8" s="148" t="e" cm="1">
        <f t="array" ref="L28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8" s="148" t="e" cm="1">
        <f t="array" ref="M28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8" s="148" t="e" cm="1">
        <f t="array" ref="N28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8" s="149" t="str">
        <f>IF(Table117821341[[#This Row],[Pos.]]="QB1",_xlfn.XLOOKUP(Table117821341[[#This Row],[Opp]],Table123[DEF],Table123[P]),"#N/A")</f>
        <v>#N/A</v>
      </c>
      <c r="P288" s="149" t="str">
        <f>IF(Table117821341[[#This Row],[Pos.]]="QB1",_xlfn.XLOOKUP(Table117821341[[#This Row],[Opp]],Table123[DEF],Table123[P+R]),"#N/A")</f>
        <v>#N/A</v>
      </c>
      <c r="Q288" s="150" t="str">
        <f>IF(Table117821341[[#This Row],[Pos.]]="QB1",_xlfn.XLOOKUP(Table117821341[[#This Row],[Opp]],Table123[DEF],Table123[P TD]),"#N/A")</f>
        <v>#N/A</v>
      </c>
      <c r="R288" s="149" t="e" cm="1">
        <f t="array" ref="R28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8" s="150" t="e" cm="1">
        <f t="array" ref="S28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8" s="150" t="e" cm="1">
        <f t="array" ref="T28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8" s="150" t="e" cm="1">
        <f t="array" ref="U28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8" s="150" t="e" cm="1">
        <f t="array" ref="V28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8" s="148" t="e" cm="1">
        <f t="array" ref="W288">_xlfn.IFS(Table117821341[[#This Row],[Pos.]]="QB1",AVERAGE(G288,H288,I288,J288,N288),Table117821341[[#This Row],[Pos.]]="RB1",AVERAGE(J288,K288,N288),Table117821341[[#This Row],[Pos.]]="RB2",AVERAGE(J288,K288,N288),Table117821341[[#This Row],[Pos.]]="WR1",AVERAGE(L288,M288,N288),Table117821341[[#This Row],[Pos.]]="WR2",AVERAGE(L288,M288,N288),Table117821341[[#This Row],[Pos.]]="WR3",AVERAGE(L288,M288,N288),Table117821341[[#This Row],[Pos.]]="WR4",AVERAGE(L288,M288,N288),Table117821341[[#This Row],[Pos.]]="TE1",AVERAGE(L288,M288,N288),Table117821341[[#This Row],[Pos.]]="TE2",AVERAGE(L288,M288,N288),Table117821341[[#This Row],[Pos.]]="D/ST",AVERAGE(Table117821341[[#This Row],[*TD*]]))</f>
        <v>#N/A</v>
      </c>
      <c r="X288" s="94" t="e">
        <f t="shared" si="4"/>
        <v>#N/A</v>
      </c>
    </row>
    <row r="289" spans="2:24" hidden="1" x14ac:dyDescent="0.35">
      <c r="B289" s="6" t="s">
        <v>146</v>
      </c>
      <c r="C289" s="161" t="s">
        <v>0</v>
      </c>
      <c r="D289" s="97" t="s">
        <v>401</v>
      </c>
      <c r="E289" s="23" t="str" cm="1">
        <f t="array" ref="E289">_xlfn.XLOOKUP(Table117821341[[#This Row],[Team]],Table4334[Team],'2425'!$C$3:$C$34)</f>
        <v>n/a</v>
      </c>
      <c r="F289" s="97" t="str">
        <f>_xlfn.XLOOKUP(Table117821341[[#This Row],[Team]],Table4334[Team],Table4334[OPP])</f>
        <v>n/a</v>
      </c>
      <c r="G289" s="148" t="str" cm="1">
        <f t="array" ref="G289">IF(Table117821341[[#This Row],[Pos.]]="QB1",_xlfn.XLOOKUP(Table117821341[[#This Row],[Opp]],Table123[DEF],'2425'!$G$3:$G$34),"#N/A")</f>
        <v>#N/A</v>
      </c>
      <c r="H289" s="148" t="str" cm="1">
        <f t="array" ref="H289">IF(Table117821341[[#This Row],[Pos.]]="QB1",_xlfn.XLOOKUP(Table117821341[[#This Row],[Opp]],Table123[DEF],'2425'!$J$3:$J$34),"#N/A")</f>
        <v>#N/A</v>
      </c>
      <c r="I289" s="153" t="str" cm="1">
        <f t="array" ref="I289">IF(Table117821341[[#This Row],[Pos.]]="QB1",_xlfn.XLOOKUP(Table117821341[[#This Row],[Opp]],Table123[DEF],'2425'!$K$3:$K$34),"#N/A")</f>
        <v>#N/A</v>
      </c>
      <c r="J289" s="148" t="e" cm="1">
        <f t="array" ref="J28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89" s="148" t="e" cm="1">
        <f t="array" ref="K28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89" s="148" t="e" cm="1">
        <f t="array" ref="L28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89" s="148" t="e" cm="1">
        <f t="array" ref="M28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89" s="148" t="e" cm="1">
        <f t="array" ref="N28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89" s="149" t="str">
        <f>IF(Table117821341[[#This Row],[Pos.]]="QB1",_xlfn.XLOOKUP(Table117821341[[#This Row],[Opp]],Table123[DEF],Table123[P]),"#N/A")</f>
        <v>#N/A</v>
      </c>
      <c r="P289" s="149" t="str">
        <f>IF(Table117821341[[#This Row],[Pos.]]="QB1",_xlfn.XLOOKUP(Table117821341[[#This Row],[Opp]],Table123[DEF],Table123[P+R]),"#N/A")</f>
        <v>#N/A</v>
      </c>
      <c r="Q289" s="150" t="str">
        <f>IF(Table117821341[[#This Row],[Pos.]]="QB1",_xlfn.XLOOKUP(Table117821341[[#This Row],[Opp]],Table123[DEF],Table123[P TD]),"#N/A")</f>
        <v>#N/A</v>
      </c>
      <c r="R289" s="149" t="e" cm="1">
        <f t="array" ref="R28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89" s="150" t="e" cm="1">
        <f t="array" ref="S28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89" s="150" t="e" cm="1">
        <f t="array" ref="T28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89" s="150" t="e" cm="1">
        <f t="array" ref="U28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89" s="163" t="e" cm="1">
        <f t="array" ref="V28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89" s="148" t="e" cm="1">
        <f t="array" ref="W289">_xlfn.IFS(Table117821341[[#This Row],[Pos.]]="QB1",AVERAGE(G289,H289,I289,J289,N289),Table117821341[[#This Row],[Pos.]]="RB1",AVERAGE(J289,K289,N289),Table117821341[[#This Row],[Pos.]]="RB2",AVERAGE(J289,K289,N289),Table117821341[[#This Row],[Pos.]]="WR1",AVERAGE(L289,M289,N289),Table117821341[[#This Row],[Pos.]]="WR2",AVERAGE(L289,M289,N289),Table117821341[[#This Row],[Pos.]]="WR3",AVERAGE(L289,M289,N289),Table117821341[[#This Row],[Pos.]]="WR4",AVERAGE(L289,M289,N289),Table117821341[[#This Row],[Pos.]]="TE1",AVERAGE(L289,M289,N289),Table117821341[[#This Row],[Pos.]]="TE2",AVERAGE(L289,M289,N289),Table117821341[[#This Row],[Pos.]]="D/ST",AVERAGE(Table117821341[[#This Row],[*TD*]]))</f>
        <v>#N/A</v>
      </c>
      <c r="X289" s="94" t="e">
        <f t="shared" si="4"/>
        <v>#N/A</v>
      </c>
    </row>
    <row r="290" spans="2:24" hidden="1" x14ac:dyDescent="0.35">
      <c r="B290" s="6" t="s">
        <v>259</v>
      </c>
      <c r="C290" s="97" t="s">
        <v>41</v>
      </c>
      <c r="D290" s="97" t="s">
        <v>398</v>
      </c>
      <c r="E290" s="23" t="str" cm="1">
        <f t="array" ref="E290">_xlfn.XLOOKUP(Table117821341[[#This Row],[Team]],Table4334[Team],'2425'!$C$3:$C$34)</f>
        <v>n/a</v>
      </c>
      <c r="F290" s="97" t="str">
        <f>_xlfn.XLOOKUP(Table117821341[[#This Row],[Team]],Table4334[Team],Table4334[OPP])</f>
        <v>n/a</v>
      </c>
      <c r="G290" s="148" t="str" cm="1">
        <f t="array" ref="G290">IF(Table117821341[[#This Row],[Pos.]]="QB1",_xlfn.XLOOKUP(Table117821341[[#This Row],[Opp]],Table123[DEF],'2425'!$G$3:$G$34),"#N/A")</f>
        <v>#N/A</v>
      </c>
      <c r="H290" s="148" t="str" cm="1">
        <f t="array" ref="H290">IF(Table117821341[[#This Row],[Pos.]]="QB1",_xlfn.XLOOKUP(Table117821341[[#This Row],[Opp]],Table123[DEF],'2425'!$J$3:$J$34),"#N/A")</f>
        <v>#N/A</v>
      </c>
      <c r="I290" s="148" t="str" cm="1">
        <f t="array" ref="I290">IF(Table117821341[[#This Row],[Pos.]]="QB1",_xlfn.XLOOKUP(Table117821341[[#This Row],[Opp]],Table123[DEF],'2425'!$K$3:$K$34),"#N/A")</f>
        <v>#N/A</v>
      </c>
      <c r="J290" s="148" t="e" cm="1">
        <f t="array" ref="J29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0" s="148" t="e" cm="1">
        <f t="array" ref="K29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0" s="148" t="e" cm="1">
        <f t="array" ref="L29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0" s="148" t="e" cm="1">
        <f t="array" ref="M29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0" s="148" t="e" cm="1">
        <f t="array" ref="N29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0" s="149" t="str">
        <f>IF(Table117821341[[#This Row],[Pos.]]="QB1",_xlfn.XLOOKUP(Table117821341[[#This Row],[Opp]],Table123[DEF],Table123[P]),"#N/A")</f>
        <v>#N/A</v>
      </c>
      <c r="P290" s="149" t="str">
        <f>IF(Table117821341[[#This Row],[Pos.]]="QB1",_xlfn.XLOOKUP(Table117821341[[#This Row],[Opp]],Table123[DEF],Table123[P+R]),"#N/A")</f>
        <v>#N/A</v>
      </c>
      <c r="Q290" s="150" t="str">
        <f>IF(Table117821341[[#This Row],[Pos.]]="QB1",_xlfn.XLOOKUP(Table117821341[[#This Row],[Opp]],Table123[DEF],Table123[P TD]),"#N/A")</f>
        <v>#N/A</v>
      </c>
      <c r="R290" s="149" t="e" cm="1">
        <f t="array" ref="R29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0" s="150" t="e" cm="1">
        <f t="array" ref="S29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0" s="150" t="e" cm="1">
        <f t="array" ref="T29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0" s="150" t="e" cm="1">
        <f t="array" ref="U29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0" s="150" t="e" cm="1">
        <f t="array" ref="V29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0" s="148" t="e" cm="1">
        <f t="array" ref="W290">_xlfn.IFS(Table117821341[[#This Row],[Pos.]]="QB1",AVERAGE(G290,H290,I290,J290,N290),Table117821341[[#This Row],[Pos.]]="RB1",AVERAGE(J290,K290,N290),Table117821341[[#This Row],[Pos.]]="RB2",AVERAGE(J290,K290,N290),Table117821341[[#This Row],[Pos.]]="WR1",AVERAGE(L290,M290,N290),Table117821341[[#This Row],[Pos.]]="WR2",AVERAGE(L290,M290,N290),Table117821341[[#This Row],[Pos.]]="WR3",AVERAGE(L290,M290,N290),Table117821341[[#This Row],[Pos.]]="WR4",AVERAGE(L290,M290,N290),Table117821341[[#This Row],[Pos.]]="TE1",AVERAGE(L290,M290,N290),Table117821341[[#This Row],[Pos.]]="TE2",AVERAGE(L290,M290,N290),Table117821341[[#This Row],[Pos.]]="D/ST",AVERAGE(Table117821341[[#This Row],[*TD*]]))</f>
        <v>#N/A</v>
      </c>
      <c r="X290" s="94" t="e">
        <f t="shared" si="4"/>
        <v>#N/A</v>
      </c>
    </row>
    <row r="291" spans="2:24" hidden="1" x14ac:dyDescent="0.35">
      <c r="B291" s="6" t="s">
        <v>560</v>
      </c>
      <c r="C291" s="97" t="s">
        <v>41</v>
      </c>
      <c r="D291" s="97" t="s">
        <v>430</v>
      </c>
      <c r="E291" s="23" t="str" cm="1">
        <f t="array" ref="E291">_xlfn.XLOOKUP(Table117821341[[#This Row],[Team]],Table4334[Team],'2425'!$C$3:$C$34)</f>
        <v>n/a</v>
      </c>
      <c r="F291" s="97" t="str">
        <f>_xlfn.XLOOKUP(Table117821341[[#This Row],[Team]],Table4334[Team],Table4334[OPP])</f>
        <v>n/a</v>
      </c>
      <c r="G291" s="148" t="str" cm="1">
        <f t="array" ref="G291">IF(Table117821341[[#This Row],[Pos.]]="QB1",_xlfn.XLOOKUP(Table117821341[[#This Row],[Opp]],Table123[DEF],'2425'!$G$3:$G$34),"#N/A")</f>
        <v>#N/A</v>
      </c>
      <c r="H291" s="148" t="str" cm="1">
        <f t="array" ref="H291">IF(Table117821341[[#This Row],[Pos.]]="QB1",_xlfn.XLOOKUP(Table117821341[[#This Row],[Opp]],Table123[DEF],'2425'!$J$3:$J$34),"#N/A")</f>
        <v>#N/A</v>
      </c>
      <c r="I291" s="148" t="str" cm="1">
        <f t="array" ref="I291">IF(Table117821341[[#This Row],[Pos.]]="QB1",_xlfn.XLOOKUP(Table117821341[[#This Row],[Opp]],Table123[DEF],'2425'!$K$3:$K$34),"#N/A")</f>
        <v>#N/A</v>
      </c>
      <c r="J291" s="148" t="e" cm="1">
        <f t="array" ref="J29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1" s="148" t="e" cm="1">
        <f t="array" ref="K29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1" s="148" t="e" cm="1">
        <f t="array" ref="L29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1" s="148" t="e" cm="1">
        <f t="array" ref="M29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1" s="148" t="e" cm="1">
        <f t="array" ref="N29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1" s="149" t="str">
        <f>IF(Table117821341[[#This Row],[Pos.]]="QB1",_xlfn.XLOOKUP(Table117821341[[#This Row],[Opp]],Table123[DEF],Table123[P]),"#N/A")</f>
        <v>#N/A</v>
      </c>
      <c r="P291" s="149" t="str">
        <f>IF(Table117821341[[#This Row],[Pos.]]="QB1",_xlfn.XLOOKUP(Table117821341[[#This Row],[Opp]],Table123[DEF],Table123[P+R]),"#N/A")</f>
        <v>#N/A</v>
      </c>
      <c r="Q291" s="150" t="str">
        <f>IF(Table117821341[[#This Row],[Pos.]]="QB1",_xlfn.XLOOKUP(Table117821341[[#This Row],[Opp]],Table123[DEF],Table123[P TD]),"#N/A")</f>
        <v>#N/A</v>
      </c>
      <c r="R291" s="149" t="e" cm="1">
        <f t="array" ref="R29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1" s="150" t="e" cm="1">
        <f t="array" ref="S29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1" s="150" t="e" cm="1">
        <f t="array" ref="T29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1" s="150" t="e" cm="1">
        <f t="array" ref="U29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1" s="150" t="e" cm="1">
        <f t="array" ref="V29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1" s="148" t="e" cm="1">
        <f t="array" ref="W291">_xlfn.IFS(Table117821341[[#This Row],[Pos.]]="QB1",AVERAGE(G291,H291,I291,J291,N291),Table117821341[[#This Row],[Pos.]]="RB1",AVERAGE(J291,K291,N291),Table117821341[[#This Row],[Pos.]]="RB2",AVERAGE(J291,K291,N291),Table117821341[[#This Row],[Pos.]]="WR1",AVERAGE(L291,M291,N291),Table117821341[[#This Row],[Pos.]]="WR2",AVERAGE(L291,M291,N291),Table117821341[[#This Row],[Pos.]]="WR3",AVERAGE(L291,M291,N291),Table117821341[[#This Row],[Pos.]]="WR4",AVERAGE(L291,M291,N291),Table117821341[[#This Row],[Pos.]]="TE1",AVERAGE(L291,M291,N291),Table117821341[[#This Row],[Pos.]]="TE2",AVERAGE(L291,M291,N291),Table117821341[[#This Row],[Pos.]]="D/ST",AVERAGE(Table117821341[[#This Row],[*TD*]]))</f>
        <v>#N/A</v>
      </c>
      <c r="X291" s="94" t="e">
        <f t="shared" si="4"/>
        <v>#N/A</v>
      </c>
    </row>
    <row r="292" spans="2:24" hidden="1" x14ac:dyDescent="0.35">
      <c r="B292" s="6" t="s">
        <v>564</v>
      </c>
      <c r="C292" s="97" t="s">
        <v>41</v>
      </c>
      <c r="D292" s="97" t="s">
        <v>435</v>
      </c>
      <c r="E292" s="23" t="str" cm="1">
        <f t="array" ref="E292">_xlfn.XLOOKUP(Table117821341[[#This Row],[Team]],Table4334[Team],'2425'!$C$3:$C$34)</f>
        <v>n/a</v>
      </c>
      <c r="F292" s="97" t="str">
        <f>_xlfn.XLOOKUP(Table117821341[[#This Row],[Team]],Table4334[Team],Table4334[OPP])</f>
        <v>n/a</v>
      </c>
      <c r="G292" s="148" t="str" cm="1">
        <f t="array" ref="G292">IF(Table117821341[[#This Row],[Pos.]]="QB1",_xlfn.XLOOKUP(Table117821341[[#This Row],[Opp]],Table123[DEF],'2425'!$G$3:$G$34),"#N/A")</f>
        <v>#N/A</v>
      </c>
      <c r="H292" s="148" t="str" cm="1">
        <f t="array" ref="H292">IF(Table117821341[[#This Row],[Pos.]]="QB1",_xlfn.XLOOKUP(Table117821341[[#This Row],[Opp]],Table123[DEF],'2425'!$J$3:$J$34),"#N/A")</f>
        <v>#N/A</v>
      </c>
      <c r="I292" s="148" t="str" cm="1">
        <f t="array" ref="I292">IF(Table117821341[[#This Row],[Pos.]]="QB1",_xlfn.XLOOKUP(Table117821341[[#This Row],[Opp]],Table123[DEF],'2425'!$K$3:$K$34),"#N/A")</f>
        <v>#N/A</v>
      </c>
      <c r="J292" s="148" t="e" cm="1">
        <f t="array" ref="J29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2" s="148" t="e" cm="1">
        <f t="array" ref="K29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2" s="148" t="e" cm="1">
        <f t="array" ref="L29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2" s="148" t="e" cm="1">
        <f t="array" ref="M29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2" s="148" t="e" cm="1">
        <f t="array" ref="N29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2" s="149" t="str">
        <f>IF(Table117821341[[#This Row],[Pos.]]="QB1",_xlfn.XLOOKUP(Table117821341[[#This Row],[Opp]],Table123[DEF],Table123[P]),"#N/A")</f>
        <v>#N/A</v>
      </c>
      <c r="P292" s="149" t="str">
        <f>IF(Table117821341[[#This Row],[Pos.]]="QB1",_xlfn.XLOOKUP(Table117821341[[#This Row],[Opp]],Table123[DEF],Table123[P+R]),"#N/A")</f>
        <v>#N/A</v>
      </c>
      <c r="Q292" s="150" t="str">
        <f>IF(Table117821341[[#This Row],[Pos.]]="QB1",_xlfn.XLOOKUP(Table117821341[[#This Row],[Opp]],Table123[DEF],Table123[P TD]),"#N/A")</f>
        <v>#N/A</v>
      </c>
      <c r="R292" s="149" t="e" cm="1">
        <f t="array" ref="R29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2" s="150" t="e" cm="1">
        <f t="array" ref="S29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2" s="150" t="e" cm="1">
        <f t="array" ref="T29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2" s="150" t="e" cm="1">
        <f t="array" ref="U29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2" s="150" t="e" cm="1">
        <f t="array" ref="V29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2" s="148" t="e" cm="1">
        <f t="array" ref="W292">_xlfn.IFS(Table117821341[[#This Row],[Pos.]]="QB1",AVERAGE(G292,H292,I292,J292,N292),Table117821341[[#This Row],[Pos.]]="RB1",AVERAGE(J292,K292,N292),Table117821341[[#This Row],[Pos.]]="RB2",AVERAGE(J292,K292,N292),Table117821341[[#This Row],[Pos.]]="WR1",AVERAGE(L292,M292,N292),Table117821341[[#This Row],[Pos.]]="WR2",AVERAGE(L292,M292,N292),Table117821341[[#This Row],[Pos.]]="WR3",AVERAGE(L292,M292,N292),Table117821341[[#This Row],[Pos.]]="WR4",AVERAGE(L292,M292,N292),Table117821341[[#This Row],[Pos.]]="TE1",AVERAGE(L292,M292,N292),Table117821341[[#This Row],[Pos.]]="TE2",AVERAGE(L292,M292,N292),Table117821341[[#This Row],[Pos.]]="D/ST",AVERAGE(Table117821341[[#This Row],[*TD*]]))</f>
        <v>#N/A</v>
      </c>
      <c r="X292" s="94" t="e">
        <f t="shared" si="4"/>
        <v>#N/A</v>
      </c>
    </row>
    <row r="293" spans="2:24" hidden="1" x14ac:dyDescent="0.35">
      <c r="B293" s="6" t="s">
        <v>189</v>
      </c>
      <c r="C293" s="97" t="s">
        <v>33</v>
      </c>
      <c r="D293" s="97" t="s">
        <v>68</v>
      </c>
      <c r="E293" s="23" t="str" cm="1">
        <f t="array" ref="E293">_xlfn.XLOOKUP(Table117821341[[#This Row],[Team]],Table4334[Team],'2425'!$C$3:$C$34)</f>
        <v>n/a</v>
      </c>
      <c r="F293" s="97" t="str">
        <f>_xlfn.XLOOKUP(Table117821341[[#This Row],[Team]],Table4334[Team],Table4334[OPP])</f>
        <v>n/a</v>
      </c>
      <c r="G293" s="148" t="str" cm="1">
        <f t="array" ref="G293">IF(Table117821341[[#This Row],[Pos.]]="QB1",_xlfn.XLOOKUP(Table117821341[[#This Row],[Opp]],Table123[DEF],'2425'!$G$3:$G$34),"#N/A")</f>
        <v>#N/A</v>
      </c>
      <c r="H293" s="148" t="str" cm="1">
        <f t="array" ref="H293">IF(Table117821341[[#This Row],[Pos.]]="QB1",_xlfn.XLOOKUP(Table117821341[[#This Row],[Opp]],Table123[DEF],'2425'!$J$3:$J$34),"#N/A")</f>
        <v>#N/A</v>
      </c>
      <c r="I293" s="148" t="str" cm="1">
        <f t="array" ref="I293">IF(Table117821341[[#This Row],[Pos.]]="QB1",_xlfn.XLOOKUP(Table117821341[[#This Row],[Opp]],Table123[DEF],'2425'!$K$3:$K$34),"#N/A")</f>
        <v>#N/A</v>
      </c>
      <c r="J293" s="148" t="e" cm="1">
        <f t="array" ref="J29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3" s="148" t="e" cm="1">
        <f t="array" ref="K29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3" s="148" t="e" cm="1">
        <f t="array" ref="L29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3" s="148" t="e" cm="1">
        <f t="array" ref="M29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3" s="148" t="e" cm="1">
        <f t="array" ref="N29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3" s="149" t="str">
        <f>IF(Table117821341[[#This Row],[Pos.]]="QB1",_xlfn.XLOOKUP(Table117821341[[#This Row],[Opp]],Table123[DEF],Table123[P]),"#N/A")</f>
        <v>#N/A</v>
      </c>
      <c r="P293" s="149" t="str">
        <f>IF(Table117821341[[#This Row],[Pos.]]="QB1",_xlfn.XLOOKUP(Table117821341[[#This Row],[Opp]],Table123[DEF],Table123[P+R]),"#N/A")</f>
        <v>#N/A</v>
      </c>
      <c r="Q293" s="150" t="str">
        <f>IF(Table117821341[[#This Row],[Pos.]]="QB1",_xlfn.XLOOKUP(Table117821341[[#This Row],[Opp]],Table123[DEF],Table123[P TD]),"#N/A")</f>
        <v>#N/A</v>
      </c>
      <c r="R293" s="149" t="e" cm="1">
        <f t="array" ref="R29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3" s="150" t="e" cm="1">
        <f t="array" ref="S29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3" s="150" t="e" cm="1">
        <f t="array" ref="T29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3" s="150" t="e" cm="1">
        <f t="array" ref="U29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3" s="162" t="e" cm="1">
        <f t="array" ref="V29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3" s="148" t="e" cm="1">
        <f t="array" ref="W293">_xlfn.IFS(Table117821341[[#This Row],[Pos.]]="QB1",AVERAGE(G293,H293,I293,J293,N293),Table117821341[[#This Row],[Pos.]]="RB1",AVERAGE(J293,K293,N293),Table117821341[[#This Row],[Pos.]]="RB2",AVERAGE(J293,K293,N293),Table117821341[[#This Row],[Pos.]]="WR1",AVERAGE(L293,M293,N293),Table117821341[[#This Row],[Pos.]]="WR2",AVERAGE(L293,M293,N293),Table117821341[[#This Row],[Pos.]]="WR3",AVERAGE(L293,M293,N293),Table117821341[[#This Row],[Pos.]]="WR4",AVERAGE(L293,M293,N293),Table117821341[[#This Row],[Pos.]]="TE1",AVERAGE(L293,M293,N293),Table117821341[[#This Row],[Pos.]]="TE2",AVERAGE(L293,M293,N293),Table117821341[[#This Row],[Pos.]]="D/ST",AVERAGE(Table117821341[[#This Row],[*TD*]]))</f>
        <v>#N/A</v>
      </c>
      <c r="X293" s="94" t="e">
        <f t="shared" si="4"/>
        <v>#N/A</v>
      </c>
    </row>
    <row r="294" spans="2:24" hidden="1" x14ac:dyDescent="0.35">
      <c r="B294" s="6" t="s">
        <v>226</v>
      </c>
      <c r="C294" s="97" t="s">
        <v>38</v>
      </c>
      <c r="D294" s="97" t="s">
        <v>399</v>
      </c>
      <c r="E294" s="23" t="str" cm="1">
        <f t="array" ref="E294">_xlfn.XLOOKUP(Table117821341[[#This Row],[Team]],Table4334[Team],'2425'!$C$3:$C$34)</f>
        <v>n/a</v>
      </c>
      <c r="F294" s="97" t="str">
        <f>_xlfn.XLOOKUP(Table117821341[[#This Row],[Team]],Table4334[Team],Table4334[OPP])</f>
        <v>n/a</v>
      </c>
      <c r="G294" s="148" t="e" cm="1">
        <f t="array" ref="G294">IF(Table117821341[[#This Row],[Pos.]]="QB1",_xlfn.XLOOKUP(Table117821341[[#This Row],[Opp]],Table123[DEF],'2425'!$G$3:$G$34),"#N/A")</f>
        <v>#N/A</v>
      </c>
      <c r="H294" s="148" t="e" cm="1">
        <f t="array" ref="H294">IF(Table117821341[[#This Row],[Pos.]]="QB1",_xlfn.XLOOKUP(Table117821341[[#This Row],[Opp]],Table123[DEF],'2425'!$J$3:$J$34),"#N/A")</f>
        <v>#N/A</v>
      </c>
      <c r="I294" s="148" t="e" cm="1">
        <f t="array" ref="I294">IF(Table117821341[[#This Row],[Pos.]]="QB1",_xlfn.XLOOKUP(Table117821341[[#This Row],[Opp]],Table123[DEF],'2425'!$K$3:$K$34),"#N/A")</f>
        <v>#N/A</v>
      </c>
      <c r="J294" s="148" t="e" cm="1">
        <f t="array" ref="J29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4" s="148" t="e" cm="1">
        <f t="array" ref="K29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4" s="148" t="e" cm="1">
        <f t="array" ref="L29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4" s="148" t="e" cm="1">
        <f t="array" ref="M29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4" s="148" t="e" cm="1">
        <f t="array" ref="N29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4" s="149" t="e">
        <f>IF(Table117821341[[#This Row],[Pos.]]="QB1",_xlfn.XLOOKUP(Table117821341[[#This Row],[Opp]],Table123[DEF],Table123[P]),"#N/A")</f>
        <v>#N/A</v>
      </c>
      <c r="P294" s="149" t="e">
        <f>IF(Table117821341[[#This Row],[Pos.]]="QB1",_xlfn.XLOOKUP(Table117821341[[#This Row],[Opp]],Table123[DEF],Table123[P+R]),"#N/A")</f>
        <v>#N/A</v>
      </c>
      <c r="Q294" s="150" t="e">
        <f>IF(Table117821341[[#This Row],[Pos.]]="QB1",_xlfn.XLOOKUP(Table117821341[[#This Row],[Opp]],Table123[DEF],Table123[P TD]),"#N/A")</f>
        <v>#N/A</v>
      </c>
      <c r="R294" s="149" t="e" cm="1">
        <f t="array" ref="R29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4" s="150" t="e" cm="1">
        <f t="array" ref="S29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4" s="150" t="e" cm="1">
        <f t="array" ref="T29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4" s="150" t="e" cm="1">
        <f t="array" ref="U29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4" s="162" t="e" cm="1">
        <f t="array" ref="V29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4" s="148" t="e" cm="1">
        <f t="array" ref="W294">_xlfn.IFS(Table117821341[[#This Row],[Pos.]]="QB1",AVERAGE(G294,H294,I294,J294,N294),Table117821341[[#This Row],[Pos.]]="RB1",AVERAGE(J294,K294,N294),Table117821341[[#This Row],[Pos.]]="RB2",AVERAGE(J294,K294,N294),Table117821341[[#This Row],[Pos.]]="WR1",AVERAGE(L294,M294,N294),Table117821341[[#This Row],[Pos.]]="WR2",AVERAGE(L294,M294,N294),Table117821341[[#This Row],[Pos.]]="WR3",AVERAGE(L294,M294,N294),Table117821341[[#This Row],[Pos.]]="WR4",AVERAGE(L294,M294,N294),Table117821341[[#This Row],[Pos.]]="TE1",AVERAGE(L294,M294,N294),Table117821341[[#This Row],[Pos.]]="TE2",AVERAGE(L294,M294,N294),Table117821341[[#This Row],[Pos.]]="D/ST",AVERAGE(Table117821341[[#This Row],[*TD*]]))</f>
        <v>#N/A</v>
      </c>
      <c r="X294" s="94" t="e">
        <f t="shared" si="4"/>
        <v>#N/A</v>
      </c>
    </row>
    <row r="295" spans="2:24" hidden="1" x14ac:dyDescent="0.35">
      <c r="B295" s="6" t="s">
        <v>726</v>
      </c>
      <c r="C295" s="97" t="s">
        <v>45</v>
      </c>
      <c r="D295" s="97" t="s">
        <v>71</v>
      </c>
      <c r="E295" s="23" t="str" cm="1">
        <f t="array" ref="E295">_xlfn.XLOOKUP(Table117821341[[#This Row],[Team]],Table4334[Team],'2425'!$C$3:$C$34)</f>
        <v>n/a</v>
      </c>
      <c r="F295" s="97" t="str">
        <f>_xlfn.XLOOKUP(Table117821341[[#This Row],[Team]],Table4334[Team],Table4334[OPP])</f>
        <v>n/a</v>
      </c>
      <c r="G295" s="148" t="str" cm="1">
        <f t="array" ref="G295">IF(Table117821341[[#This Row],[Pos.]]="QB1",_xlfn.XLOOKUP(Table117821341[[#This Row],[Opp]],Table123[DEF],'2425'!$G$3:$G$34),"#N/A")</f>
        <v>#N/A</v>
      </c>
      <c r="H295" s="148" t="str" cm="1">
        <f t="array" ref="H295">IF(Table117821341[[#This Row],[Pos.]]="QB1",_xlfn.XLOOKUP(Table117821341[[#This Row],[Opp]],Table123[DEF],'2425'!$J$3:$J$34),"#N/A")</f>
        <v>#N/A</v>
      </c>
      <c r="I295" s="148" t="str" cm="1">
        <f t="array" ref="I295">IF(Table117821341[[#This Row],[Pos.]]="QB1",_xlfn.XLOOKUP(Table117821341[[#This Row],[Opp]],Table123[DEF],'2425'!$K$3:$K$34),"#N/A")</f>
        <v>#N/A</v>
      </c>
      <c r="J295" s="148" t="e" cm="1">
        <f t="array" ref="J29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5" s="148" t="e" cm="1">
        <f t="array" ref="K29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5" s="148" t="e" cm="1">
        <f t="array" ref="L29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5" s="148" t="e" cm="1">
        <f t="array" ref="M29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5" s="148" t="e" cm="1">
        <f t="array" ref="N29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5" s="149" t="str">
        <f>IF(Table117821341[[#This Row],[Pos.]]="QB1",_xlfn.XLOOKUP(Table117821341[[#This Row],[Opp]],Table123[DEF],Table123[P]),"#N/A")</f>
        <v>#N/A</v>
      </c>
      <c r="P295" s="149" t="str">
        <f>IF(Table117821341[[#This Row],[Pos.]]="QB1",_xlfn.XLOOKUP(Table117821341[[#This Row],[Opp]],Table123[DEF],Table123[P+R]),"#N/A")</f>
        <v>#N/A</v>
      </c>
      <c r="Q295" s="150" t="str">
        <f>IF(Table117821341[[#This Row],[Pos.]]="QB1",_xlfn.XLOOKUP(Table117821341[[#This Row],[Opp]],Table123[DEF],Table123[P TD]),"#N/A")</f>
        <v>#N/A</v>
      </c>
      <c r="R295" s="149" t="e" cm="1">
        <f t="array" ref="R29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5" s="150" t="e" cm="1">
        <f t="array" ref="S29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5" s="150" t="e" cm="1">
        <f t="array" ref="T29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5" s="150" t="e" cm="1">
        <f t="array" ref="U29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5" s="162" t="e" cm="1">
        <f t="array" ref="V29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5" s="148" t="e" cm="1">
        <f t="array" ref="W295">_xlfn.IFS(Table117821341[[#This Row],[Pos.]]="QB1",AVERAGE(G295,H295,I295,J295,N295),Table117821341[[#This Row],[Pos.]]="RB1",AVERAGE(J295,K295,N295),Table117821341[[#This Row],[Pos.]]="RB2",AVERAGE(J295,K295,N295),Table117821341[[#This Row],[Pos.]]="WR1",AVERAGE(L295,M295,N295),Table117821341[[#This Row],[Pos.]]="WR2",AVERAGE(L295,M295,N295),Table117821341[[#This Row],[Pos.]]="WR3",AVERAGE(L295,M295,N295),Table117821341[[#This Row],[Pos.]]="WR4",AVERAGE(L295,M295,N295),Table117821341[[#This Row],[Pos.]]="TE1",AVERAGE(L295,M295,N295),Table117821341[[#This Row],[Pos.]]="TE2",AVERAGE(L295,M295,N295),Table117821341[[#This Row],[Pos.]]="D/ST",AVERAGE(Table117821341[[#This Row],[*TD*]]))</f>
        <v>#N/A</v>
      </c>
      <c r="X295" s="94" t="e">
        <f t="shared" si="4"/>
        <v>#N/A</v>
      </c>
    </row>
    <row r="296" spans="2:24" hidden="1" x14ac:dyDescent="0.35">
      <c r="B296" s="6" t="s">
        <v>620</v>
      </c>
      <c r="C296" s="97" t="s">
        <v>47</v>
      </c>
      <c r="D296" s="97" t="s">
        <v>401</v>
      </c>
      <c r="E296" s="23" t="str" cm="1">
        <f t="array" ref="E296">_xlfn.XLOOKUP(Table117821341[[#This Row],[Team]],Table4334[Team],'2425'!$C$3:$C$34)</f>
        <v>n/a</v>
      </c>
      <c r="F296" s="97" t="str">
        <f>_xlfn.XLOOKUP(Table117821341[[#This Row],[Team]],Table4334[Team],Table4334[OPP])</f>
        <v>n/a</v>
      </c>
      <c r="G296" s="148" t="str" cm="1">
        <f t="array" ref="G296">IF(Table117821341[[#This Row],[Pos.]]="QB1",_xlfn.XLOOKUP(Table117821341[[#This Row],[Opp]],Table123[DEF],'2425'!$G$3:$G$34),"#N/A")</f>
        <v>#N/A</v>
      </c>
      <c r="H296" s="148" t="str" cm="1">
        <f t="array" ref="H296">IF(Table117821341[[#This Row],[Pos.]]="QB1",_xlfn.XLOOKUP(Table117821341[[#This Row],[Opp]],Table123[DEF],'2425'!$J$3:$J$34),"#N/A")</f>
        <v>#N/A</v>
      </c>
      <c r="I296" s="148" t="str" cm="1">
        <f t="array" ref="I296">IF(Table117821341[[#This Row],[Pos.]]="QB1",_xlfn.XLOOKUP(Table117821341[[#This Row],[Opp]],Table123[DEF],'2425'!$K$3:$K$34),"#N/A")</f>
        <v>#N/A</v>
      </c>
      <c r="J296" s="148" t="e" cm="1">
        <f t="array" ref="J29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6" s="148" t="e" cm="1">
        <f t="array" ref="K29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6" s="148" t="e" cm="1">
        <f t="array" ref="L29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6" s="148" t="e" cm="1">
        <f t="array" ref="M29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6" s="148" t="e" cm="1">
        <f t="array" ref="N29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6" s="149" t="str">
        <f>IF(Table117821341[[#This Row],[Pos.]]="QB1",_xlfn.XLOOKUP(Table117821341[[#This Row],[Opp]],Table123[DEF],Table123[P]),"#N/A")</f>
        <v>#N/A</v>
      </c>
      <c r="P296" s="149" t="str">
        <f>IF(Table117821341[[#This Row],[Pos.]]="QB1",_xlfn.XLOOKUP(Table117821341[[#This Row],[Opp]],Table123[DEF],Table123[P+R]),"#N/A")</f>
        <v>#N/A</v>
      </c>
      <c r="Q296" s="150" t="str">
        <f>IF(Table117821341[[#This Row],[Pos.]]="QB1",_xlfn.XLOOKUP(Table117821341[[#This Row],[Opp]],Table123[DEF],Table123[P TD]),"#N/A")</f>
        <v>#N/A</v>
      </c>
      <c r="R296" s="149" t="e" cm="1">
        <f t="array" ref="R29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6" s="150" t="e" cm="1">
        <f t="array" ref="S29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6" s="150" t="e" cm="1">
        <f t="array" ref="T29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6" s="150" t="e" cm="1">
        <f t="array" ref="U29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6" s="162" t="e" cm="1">
        <f t="array" ref="V29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6" s="148" t="e" cm="1">
        <f t="array" ref="W296">_xlfn.IFS(Table117821341[[#This Row],[Pos.]]="QB1",AVERAGE(G296,H296,I296,J296,N296),Table117821341[[#This Row],[Pos.]]="RB1",AVERAGE(J296,K296,N296),Table117821341[[#This Row],[Pos.]]="RB2",AVERAGE(J296,K296,N296),Table117821341[[#This Row],[Pos.]]="WR1",AVERAGE(L296,M296,N296),Table117821341[[#This Row],[Pos.]]="WR2",AVERAGE(L296,M296,N296),Table117821341[[#This Row],[Pos.]]="WR3",AVERAGE(L296,M296,N296),Table117821341[[#This Row],[Pos.]]="WR4",AVERAGE(L296,M296,N296),Table117821341[[#This Row],[Pos.]]="TE1",AVERAGE(L296,M296,N296),Table117821341[[#This Row],[Pos.]]="TE2",AVERAGE(L296,M296,N296),Table117821341[[#This Row],[Pos.]]="D/ST",AVERAGE(Table117821341[[#This Row],[*TD*]]))</f>
        <v>#N/A</v>
      </c>
      <c r="X296" s="94" t="e">
        <f t="shared" si="4"/>
        <v>#N/A</v>
      </c>
    </row>
    <row r="297" spans="2:24" hidden="1" x14ac:dyDescent="0.35">
      <c r="B297" s="6" t="s">
        <v>562</v>
      </c>
      <c r="C297" s="97" t="s">
        <v>41</v>
      </c>
      <c r="D297" s="97" t="s">
        <v>403</v>
      </c>
      <c r="E297" s="23" t="str" cm="1">
        <f t="array" ref="E297">_xlfn.XLOOKUP(Table117821341[[#This Row],[Team]],Table4334[Team],'2425'!$C$3:$C$34)</f>
        <v>n/a</v>
      </c>
      <c r="F297" s="97" t="str">
        <f>_xlfn.XLOOKUP(Table117821341[[#This Row],[Team]],Table4334[Team],Table4334[OPP])</f>
        <v>n/a</v>
      </c>
      <c r="G297" s="148" t="str" cm="1">
        <f t="array" ref="G297">IF(Table117821341[[#This Row],[Pos.]]="QB1",_xlfn.XLOOKUP(Table117821341[[#This Row],[Opp]],Table123[DEF],'2425'!$G$3:$G$34),"#N/A")</f>
        <v>#N/A</v>
      </c>
      <c r="H297" s="148" t="str" cm="1">
        <f t="array" ref="H297">IF(Table117821341[[#This Row],[Pos.]]="QB1",_xlfn.XLOOKUP(Table117821341[[#This Row],[Opp]],Table123[DEF],'2425'!$J$3:$J$34),"#N/A")</f>
        <v>#N/A</v>
      </c>
      <c r="I297" s="148" t="str" cm="1">
        <f t="array" ref="I297">IF(Table117821341[[#This Row],[Pos.]]="QB1",_xlfn.XLOOKUP(Table117821341[[#This Row],[Opp]],Table123[DEF],'2425'!$K$3:$K$34),"#N/A")</f>
        <v>#N/A</v>
      </c>
      <c r="J297" s="148" t="e" cm="1">
        <f t="array" ref="J29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7" s="148" t="e" cm="1">
        <f t="array" ref="K29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7" s="148" t="e" cm="1">
        <f t="array" ref="L29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7" s="148" t="e" cm="1">
        <f t="array" ref="M29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7" s="148" t="e" cm="1">
        <f t="array" ref="N29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7" s="149" t="str">
        <f>IF(Table117821341[[#This Row],[Pos.]]="QB1",_xlfn.XLOOKUP(Table117821341[[#This Row],[Opp]],Table123[DEF],Table123[P]),"#N/A")</f>
        <v>#N/A</v>
      </c>
      <c r="P297" s="149" t="str">
        <f>IF(Table117821341[[#This Row],[Pos.]]="QB1",_xlfn.XLOOKUP(Table117821341[[#This Row],[Opp]],Table123[DEF],Table123[P+R]),"#N/A")</f>
        <v>#N/A</v>
      </c>
      <c r="Q297" s="150" t="str">
        <f>IF(Table117821341[[#This Row],[Pos.]]="QB1",_xlfn.XLOOKUP(Table117821341[[#This Row],[Opp]],Table123[DEF],Table123[P TD]),"#N/A")</f>
        <v>#N/A</v>
      </c>
      <c r="R297" s="149" t="e" cm="1">
        <f t="array" ref="R29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7" s="150" t="e" cm="1">
        <f t="array" ref="S29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7" s="150" t="e" cm="1">
        <f t="array" ref="T29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7" s="150" t="e" cm="1">
        <f t="array" ref="U29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7" s="150" t="e" cm="1">
        <f t="array" ref="V29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7" s="148" t="e" cm="1">
        <f t="array" ref="W297">_xlfn.IFS(Table117821341[[#This Row],[Pos.]]="QB1",AVERAGE(G297,H297,I297,J297,N297),Table117821341[[#This Row],[Pos.]]="RB1",AVERAGE(J297,K297,N297),Table117821341[[#This Row],[Pos.]]="RB2",AVERAGE(J297,K297,N297),Table117821341[[#This Row],[Pos.]]="WR1",AVERAGE(L297,M297,N297),Table117821341[[#This Row],[Pos.]]="WR2",AVERAGE(L297,M297,N297),Table117821341[[#This Row],[Pos.]]="WR3",AVERAGE(L297,M297,N297),Table117821341[[#This Row],[Pos.]]="WR4",AVERAGE(L297,M297,N297),Table117821341[[#This Row],[Pos.]]="TE1",AVERAGE(L297,M297,N297),Table117821341[[#This Row],[Pos.]]="TE2",AVERAGE(L297,M297,N297),Table117821341[[#This Row],[Pos.]]="D/ST",AVERAGE(Table117821341[[#This Row],[*TD*]]))</f>
        <v>#N/A</v>
      </c>
      <c r="X297" s="94" t="e">
        <f t="shared" si="4"/>
        <v>#N/A</v>
      </c>
    </row>
    <row r="298" spans="2:24" hidden="1" x14ac:dyDescent="0.35">
      <c r="B298" s="6" t="s">
        <v>563</v>
      </c>
      <c r="C298" s="97" t="s">
        <v>41</v>
      </c>
      <c r="D298" s="97" t="s">
        <v>411</v>
      </c>
      <c r="E298" s="23" t="str" cm="1">
        <f t="array" ref="E298">_xlfn.XLOOKUP(Table117821341[[#This Row],[Team]],Table4334[Team],'2425'!$C$3:$C$34)</f>
        <v>n/a</v>
      </c>
      <c r="F298" s="97" t="str">
        <f>_xlfn.XLOOKUP(Table117821341[[#This Row],[Team]],Table4334[Team],Table4334[OPP])</f>
        <v>n/a</v>
      </c>
      <c r="G298" s="148" t="str" cm="1">
        <f t="array" ref="G298">IF(Table117821341[[#This Row],[Pos.]]="QB1",_xlfn.XLOOKUP(Table117821341[[#This Row],[Opp]],Table123[DEF],'2425'!$G$3:$G$34),"#N/A")</f>
        <v>#N/A</v>
      </c>
      <c r="H298" s="148" t="str" cm="1">
        <f t="array" ref="H298">IF(Table117821341[[#This Row],[Pos.]]="QB1",_xlfn.XLOOKUP(Table117821341[[#This Row],[Opp]],Table123[DEF],'2425'!$J$3:$J$34),"#N/A")</f>
        <v>#N/A</v>
      </c>
      <c r="I298" s="148" t="str" cm="1">
        <f t="array" ref="I298">IF(Table117821341[[#This Row],[Pos.]]="QB1",_xlfn.XLOOKUP(Table117821341[[#This Row],[Opp]],Table123[DEF],'2425'!$K$3:$K$34),"#N/A")</f>
        <v>#N/A</v>
      </c>
      <c r="J298" s="148" t="e" cm="1">
        <f t="array" ref="J29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8" s="148" t="e" cm="1">
        <f t="array" ref="K29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8" s="148" t="e" cm="1">
        <f t="array" ref="L29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8" s="148" t="e" cm="1">
        <f t="array" ref="M29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8" s="148" t="e" cm="1">
        <f t="array" ref="N29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8" s="149" t="str">
        <f>IF(Table117821341[[#This Row],[Pos.]]="QB1",_xlfn.XLOOKUP(Table117821341[[#This Row],[Opp]],Table123[DEF],Table123[P]),"#N/A")</f>
        <v>#N/A</v>
      </c>
      <c r="P298" s="149" t="str">
        <f>IF(Table117821341[[#This Row],[Pos.]]="QB1",_xlfn.XLOOKUP(Table117821341[[#This Row],[Opp]],Table123[DEF],Table123[P+R]),"#N/A")</f>
        <v>#N/A</v>
      </c>
      <c r="Q298" s="150" t="str">
        <f>IF(Table117821341[[#This Row],[Pos.]]="QB1",_xlfn.XLOOKUP(Table117821341[[#This Row],[Opp]],Table123[DEF],Table123[P TD]),"#N/A")</f>
        <v>#N/A</v>
      </c>
      <c r="R298" s="149" t="e" cm="1">
        <f t="array" ref="R29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8" s="150" t="e" cm="1">
        <f t="array" ref="S29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8" s="150" t="e" cm="1">
        <f t="array" ref="T29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8" s="150" t="e" cm="1">
        <f t="array" ref="U29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8" s="150" t="e" cm="1">
        <f t="array" ref="V29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8" s="148" t="e" cm="1">
        <f t="array" ref="W298">_xlfn.IFS(Table117821341[[#This Row],[Pos.]]="QB1",AVERAGE(G298,H298,I298,J298,N298),Table117821341[[#This Row],[Pos.]]="RB1",AVERAGE(J298,K298,N298),Table117821341[[#This Row],[Pos.]]="RB2",AVERAGE(J298,K298,N298),Table117821341[[#This Row],[Pos.]]="WR1",AVERAGE(L298,M298,N298),Table117821341[[#This Row],[Pos.]]="WR2",AVERAGE(L298,M298,N298),Table117821341[[#This Row],[Pos.]]="WR3",AVERAGE(L298,M298,N298),Table117821341[[#This Row],[Pos.]]="WR4",AVERAGE(L298,M298,N298),Table117821341[[#This Row],[Pos.]]="TE1",AVERAGE(L298,M298,N298),Table117821341[[#This Row],[Pos.]]="TE2",AVERAGE(L298,M298,N298),Table117821341[[#This Row],[Pos.]]="D/ST",AVERAGE(Table117821341[[#This Row],[*TD*]]))</f>
        <v>#N/A</v>
      </c>
      <c r="X298" s="94" t="e">
        <f t="shared" si="4"/>
        <v>#N/A</v>
      </c>
    </row>
    <row r="299" spans="2:24" hidden="1" x14ac:dyDescent="0.35">
      <c r="B299" s="6" t="s">
        <v>715</v>
      </c>
      <c r="C299" s="97" t="s">
        <v>34</v>
      </c>
      <c r="D299" s="97" t="s">
        <v>71</v>
      </c>
      <c r="E299" s="23" t="str" cm="1">
        <f t="array" ref="E299">_xlfn.XLOOKUP(Table117821341[[#This Row],[Team]],Table4334[Team],'2425'!$C$3:$C$34)</f>
        <v>n/a</v>
      </c>
      <c r="F299" s="97" t="str">
        <f>_xlfn.XLOOKUP(Table117821341[[#This Row],[Team]],Table4334[Team],Table4334[OPP])</f>
        <v>n/a</v>
      </c>
      <c r="G299" s="148" t="str" cm="1">
        <f t="array" ref="G299">IF(Table117821341[[#This Row],[Pos.]]="QB1",_xlfn.XLOOKUP(Table117821341[[#This Row],[Opp]],Table123[DEF],'2425'!$G$3:$G$34),"#N/A")</f>
        <v>#N/A</v>
      </c>
      <c r="H299" s="148" t="str" cm="1">
        <f t="array" ref="H299">IF(Table117821341[[#This Row],[Pos.]]="QB1",_xlfn.XLOOKUP(Table117821341[[#This Row],[Opp]],Table123[DEF],'2425'!$J$3:$J$34),"#N/A")</f>
        <v>#N/A</v>
      </c>
      <c r="I299" s="148" t="str" cm="1">
        <f t="array" ref="I299">IF(Table117821341[[#This Row],[Pos.]]="QB1",_xlfn.XLOOKUP(Table117821341[[#This Row],[Opp]],Table123[DEF],'2425'!$K$3:$K$34),"#N/A")</f>
        <v>#N/A</v>
      </c>
      <c r="J299" s="148" t="e" cm="1">
        <f t="array" ref="J29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299" s="148" t="e" cm="1">
        <f t="array" ref="K29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299" s="148" t="e" cm="1">
        <f t="array" ref="L29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299" s="148" t="e" cm="1">
        <f t="array" ref="M29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299" s="148" t="e" cm="1">
        <f t="array" ref="N29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299" s="149" t="str">
        <f>IF(Table117821341[[#This Row],[Pos.]]="QB1",_xlfn.XLOOKUP(Table117821341[[#This Row],[Opp]],Table123[DEF],Table123[P]),"#N/A")</f>
        <v>#N/A</v>
      </c>
      <c r="P299" s="149" t="str">
        <f>IF(Table117821341[[#This Row],[Pos.]]="QB1",_xlfn.XLOOKUP(Table117821341[[#This Row],[Opp]],Table123[DEF],Table123[P+R]),"#N/A")</f>
        <v>#N/A</v>
      </c>
      <c r="Q299" s="150" t="str">
        <f>IF(Table117821341[[#This Row],[Pos.]]="QB1",_xlfn.XLOOKUP(Table117821341[[#This Row],[Opp]],Table123[DEF],Table123[P TD]),"#N/A")</f>
        <v>#N/A</v>
      </c>
      <c r="R299" s="149" t="e" cm="1">
        <f t="array" ref="R29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299" s="150" t="e" cm="1">
        <f t="array" ref="S29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299" s="150" t="e" cm="1">
        <f t="array" ref="T29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299" s="150" t="e" cm="1">
        <f t="array" ref="U29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299" s="162" t="e" cm="1">
        <f t="array" ref="V29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299" s="148" t="e" cm="1">
        <f t="array" ref="W299">_xlfn.IFS(Table117821341[[#This Row],[Pos.]]="QB1",AVERAGE(G299,H299,I299,J299,N299),Table117821341[[#This Row],[Pos.]]="RB1",AVERAGE(J299,K299,N299),Table117821341[[#This Row],[Pos.]]="RB2",AVERAGE(J299,K299,N299),Table117821341[[#This Row],[Pos.]]="WR1",AVERAGE(L299,M299,N299),Table117821341[[#This Row],[Pos.]]="WR2",AVERAGE(L299,M299,N299),Table117821341[[#This Row],[Pos.]]="WR3",AVERAGE(L299,M299,N299),Table117821341[[#This Row],[Pos.]]="WR4",AVERAGE(L299,M299,N299),Table117821341[[#This Row],[Pos.]]="TE1",AVERAGE(L299,M299,N299),Table117821341[[#This Row],[Pos.]]="TE2",AVERAGE(L299,M299,N299),Table117821341[[#This Row],[Pos.]]="D/ST",AVERAGE(Table117821341[[#This Row],[*TD*]]))</f>
        <v>#N/A</v>
      </c>
      <c r="X299" s="94" t="e">
        <f t="shared" si="4"/>
        <v>#N/A</v>
      </c>
    </row>
    <row r="300" spans="2:24" hidden="1" x14ac:dyDescent="0.35">
      <c r="B300" s="6" t="s">
        <v>716</v>
      </c>
      <c r="C300" s="97" t="s">
        <v>35</v>
      </c>
      <c r="D300" s="97" t="s">
        <v>71</v>
      </c>
      <c r="E300" s="23" t="str" cm="1">
        <f t="array" ref="E300">_xlfn.XLOOKUP(Table117821341[[#This Row],[Team]],Table4334[Team],'2425'!$C$3:$C$34)</f>
        <v>n/a</v>
      </c>
      <c r="F300" s="97" t="str">
        <f>_xlfn.XLOOKUP(Table117821341[[#This Row],[Team]],Table4334[Team],Table4334[OPP])</f>
        <v>n/a</v>
      </c>
      <c r="G300" s="148" t="str" cm="1">
        <f t="array" ref="G300">IF(Table117821341[[#This Row],[Pos.]]="QB1",_xlfn.XLOOKUP(Table117821341[[#This Row],[Opp]],Table123[DEF],'2425'!$G$3:$G$34),"#N/A")</f>
        <v>#N/A</v>
      </c>
      <c r="H300" s="148" t="str" cm="1">
        <f t="array" ref="H300">IF(Table117821341[[#This Row],[Pos.]]="QB1",_xlfn.XLOOKUP(Table117821341[[#This Row],[Opp]],Table123[DEF],'2425'!$J$3:$J$34),"#N/A")</f>
        <v>#N/A</v>
      </c>
      <c r="I300" s="148" t="str" cm="1">
        <f t="array" ref="I300">IF(Table117821341[[#This Row],[Pos.]]="QB1",_xlfn.XLOOKUP(Table117821341[[#This Row],[Opp]],Table123[DEF],'2425'!$K$3:$K$34),"#N/A")</f>
        <v>#N/A</v>
      </c>
      <c r="J300" s="148" t="e" cm="1">
        <f t="array" ref="J30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0" s="148" t="e" cm="1">
        <f t="array" ref="K30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0" s="148" t="e" cm="1">
        <f t="array" ref="L30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0" s="148" t="e" cm="1">
        <f t="array" ref="M30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0" s="148" t="e" cm="1">
        <f t="array" ref="N30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0" s="149" t="str">
        <f>IF(Table117821341[[#This Row],[Pos.]]="QB1",_xlfn.XLOOKUP(Table117821341[[#This Row],[Opp]],Table123[DEF],Table123[P]),"#N/A")</f>
        <v>#N/A</v>
      </c>
      <c r="P300" s="149" t="str">
        <f>IF(Table117821341[[#This Row],[Pos.]]="QB1",_xlfn.XLOOKUP(Table117821341[[#This Row],[Opp]],Table123[DEF],Table123[P+R]),"#N/A")</f>
        <v>#N/A</v>
      </c>
      <c r="Q300" s="150" t="str">
        <f>IF(Table117821341[[#This Row],[Pos.]]="QB1",_xlfn.XLOOKUP(Table117821341[[#This Row],[Opp]],Table123[DEF],Table123[P TD]),"#N/A")</f>
        <v>#N/A</v>
      </c>
      <c r="R300" s="149" t="e" cm="1">
        <f t="array" ref="R30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0" s="150" t="e" cm="1">
        <f t="array" ref="S30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0" s="150" t="e" cm="1">
        <f t="array" ref="T30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0" s="150" t="e" cm="1">
        <f t="array" ref="U30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0" s="162" t="e" cm="1">
        <f t="array" ref="V30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0" s="148" t="e" cm="1">
        <f t="array" ref="W300">_xlfn.IFS(Table117821341[[#This Row],[Pos.]]="QB1",AVERAGE(G300,H300,I300,J300,N300),Table117821341[[#This Row],[Pos.]]="RB1",AVERAGE(J300,K300,N300),Table117821341[[#This Row],[Pos.]]="RB2",AVERAGE(J300,K300,N300),Table117821341[[#This Row],[Pos.]]="WR1",AVERAGE(L300,M300,N300),Table117821341[[#This Row],[Pos.]]="WR2",AVERAGE(L300,M300,N300),Table117821341[[#This Row],[Pos.]]="WR3",AVERAGE(L300,M300,N300),Table117821341[[#This Row],[Pos.]]="WR4",AVERAGE(L300,M300,N300),Table117821341[[#This Row],[Pos.]]="TE1",AVERAGE(L300,M300,N300),Table117821341[[#This Row],[Pos.]]="TE2",AVERAGE(L300,M300,N300),Table117821341[[#This Row],[Pos.]]="D/ST",AVERAGE(Table117821341[[#This Row],[*TD*]]))</f>
        <v>#N/A</v>
      </c>
      <c r="X300" s="94" t="e">
        <f t="shared" si="4"/>
        <v>#N/A</v>
      </c>
    </row>
    <row r="301" spans="2:24" hidden="1" x14ac:dyDescent="0.35">
      <c r="B301" s="6" t="s">
        <v>547</v>
      </c>
      <c r="C301" s="97" t="s">
        <v>42</v>
      </c>
      <c r="D301" s="97" t="s">
        <v>405</v>
      </c>
      <c r="E301" s="23" t="str" cm="1">
        <f t="array" ref="E301">_xlfn.XLOOKUP(Table117821341[[#This Row],[Team]],Table4334[Team],'2425'!$C$3:$C$34)</f>
        <v>n/a</v>
      </c>
      <c r="F301" s="97" t="str">
        <f>_xlfn.XLOOKUP(Table117821341[[#This Row],[Team]],Table4334[Team],Table4334[OPP])</f>
        <v>n/a</v>
      </c>
      <c r="G301" s="148" t="str" cm="1">
        <f t="array" ref="G301">IF(Table117821341[[#This Row],[Pos.]]="QB1",_xlfn.XLOOKUP(Table117821341[[#This Row],[Opp]],Table123[DEF],'2425'!$G$3:$G$34),"#N/A")</f>
        <v>#N/A</v>
      </c>
      <c r="H301" s="148" t="str" cm="1">
        <f t="array" ref="H301">IF(Table117821341[[#This Row],[Pos.]]="QB1",_xlfn.XLOOKUP(Table117821341[[#This Row],[Opp]],Table123[DEF],'2425'!$J$3:$J$34),"#N/A")</f>
        <v>#N/A</v>
      </c>
      <c r="I301" s="148" t="str" cm="1">
        <f t="array" ref="I301">IF(Table117821341[[#This Row],[Pos.]]="QB1",_xlfn.XLOOKUP(Table117821341[[#This Row],[Opp]],Table123[DEF],'2425'!$K$3:$K$34),"#N/A")</f>
        <v>#N/A</v>
      </c>
      <c r="J301" s="148" t="e" cm="1">
        <f t="array" ref="J30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1" s="148" t="e" cm="1">
        <f t="array" ref="K30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1" s="148" t="e" cm="1">
        <f t="array" ref="L30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1" s="148" t="e" cm="1">
        <f t="array" ref="M30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1" s="148" t="e" cm="1">
        <f t="array" ref="N30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1" s="149" t="str">
        <f>IF(Table117821341[[#This Row],[Pos.]]="QB1",_xlfn.XLOOKUP(Table117821341[[#This Row],[Opp]],Table123[DEF],Table123[P]),"#N/A")</f>
        <v>#N/A</v>
      </c>
      <c r="P301" s="149" t="str">
        <f>IF(Table117821341[[#This Row],[Pos.]]="QB1",_xlfn.XLOOKUP(Table117821341[[#This Row],[Opp]],Table123[DEF],Table123[P+R]),"#N/A")</f>
        <v>#N/A</v>
      </c>
      <c r="Q301" s="150" t="str">
        <f>IF(Table117821341[[#This Row],[Pos.]]="QB1",_xlfn.XLOOKUP(Table117821341[[#This Row],[Opp]],Table123[DEF],Table123[P TD]),"#N/A")</f>
        <v>#N/A</v>
      </c>
      <c r="R301" s="149" t="e" cm="1">
        <f t="array" ref="R30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1" s="150" t="e" cm="1">
        <f t="array" ref="S30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1" s="150" t="e" cm="1">
        <f t="array" ref="T30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1" s="150" t="e" cm="1">
        <f t="array" ref="U30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1" s="150" t="e" cm="1">
        <f t="array" ref="V30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1" s="148" t="e" cm="1">
        <f t="array" ref="W301">_xlfn.IFS(Table117821341[[#This Row],[Pos.]]="QB1",AVERAGE(G301,H301,I301,J301,N301),Table117821341[[#This Row],[Pos.]]="RB1",AVERAGE(J301,K301,N301),Table117821341[[#This Row],[Pos.]]="RB2",AVERAGE(J301,K301,N301),Table117821341[[#This Row],[Pos.]]="WR1",AVERAGE(L301,M301,N301),Table117821341[[#This Row],[Pos.]]="WR2",AVERAGE(L301,M301,N301),Table117821341[[#This Row],[Pos.]]="WR3",AVERAGE(L301,M301,N301),Table117821341[[#This Row],[Pos.]]="WR4",AVERAGE(L301,M301,N301),Table117821341[[#This Row],[Pos.]]="TE1",AVERAGE(L301,M301,N301),Table117821341[[#This Row],[Pos.]]="TE2",AVERAGE(L301,M301,N301),Table117821341[[#This Row],[Pos.]]="D/ST",AVERAGE(Table117821341[[#This Row],[*TD*]]))</f>
        <v>#N/A</v>
      </c>
      <c r="X301" s="94" t="e">
        <f t="shared" si="4"/>
        <v>#N/A</v>
      </c>
    </row>
    <row r="302" spans="2:24" hidden="1" x14ac:dyDescent="0.35">
      <c r="B302" s="6" t="s">
        <v>548</v>
      </c>
      <c r="C302" s="97" t="s">
        <v>42</v>
      </c>
      <c r="D302" s="97" t="s">
        <v>425</v>
      </c>
      <c r="E302" s="23" t="str" cm="1">
        <f t="array" ref="E302">_xlfn.XLOOKUP(Table117821341[[#This Row],[Team]],Table4334[Team],'2425'!$C$3:$C$34)</f>
        <v>n/a</v>
      </c>
      <c r="F302" s="97" t="str">
        <f>_xlfn.XLOOKUP(Table117821341[[#This Row],[Team]],Table4334[Team],Table4334[OPP])</f>
        <v>n/a</v>
      </c>
      <c r="G302" s="148" t="str" cm="1">
        <f t="array" ref="G302">IF(Table117821341[[#This Row],[Pos.]]="QB1",_xlfn.XLOOKUP(Table117821341[[#This Row],[Opp]],Table123[DEF],'2425'!$G$3:$G$34),"#N/A")</f>
        <v>#N/A</v>
      </c>
      <c r="H302" s="148" t="str" cm="1">
        <f t="array" ref="H302">IF(Table117821341[[#This Row],[Pos.]]="QB1",_xlfn.XLOOKUP(Table117821341[[#This Row],[Opp]],Table123[DEF],'2425'!$J$3:$J$34),"#N/A")</f>
        <v>#N/A</v>
      </c>
      <c r="I302" s="148" t="str" cm="1">
        <f t="array" ref="I302">IF(Table117821341[[#This Row],[Pos.]]="QB1",_xlfn.XLOOKUP(Table117821341[[#This Row],[Opp]],Table123[DEF],'2425'!$K$3:$K$34),"#N/A")</f>
        <v>#N/A</v>
      </c>
      <c r="J302" s="148" t="e" cm="1">
        <f t="array" ref="J30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2" s="148" t="e" cm="1">
        <f t="array" ref="K30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2" s="148" t="e" cm="1">
        <f t="array" ref="L30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2" s="148" t="e" cm="1">
        <f t="array" ref="M30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2" s="148" t="e" cm="1">
        <f t="array" ref="N30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2" s="149" t="str">
        <f>IF(Table117821341[[#This Row],[Pos.]]="QB1",_xlfn.XLOOKUP(Table117821341[[#This Row],[Opp]],Table123[DEF],Table123[P]),"#N/A")</f>
        <v>#N/A</v>
      </c>
      <c r="P302" s="149" t="str">
        <f>IF(Table117821341[[#This Row],[Pos.]]="QB1",_xlfn.XLOOKUP(Table117821341[[#This Row],[Opp]],Table123[DEF],Table123[P+R]),"#N/A")</f>
        <v>#N/A</v>
      </c>
      <c r="Q302" s="150" t="str">
        <f>IF(Table117821341[[#This Row],[Pos.]]="QB1",_xlfn.XLOOKUP(Table117821341[[#This Row],[Opp]],Table123[DEF],Table123[P TD]),"#N/A")</f>
        <v>#N/A</v>
      </c>
      <c r="R302" s="149" t="e" cm="1">
        <f t="array" ref="R30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2" s="150" t="e" cm="1">
        <f t="array" ref="S30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2" s="150" t="e" cm="1">
        <f t="array" ref="T30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2" s="150" t="e" cm="1">
        <f t="array" ref="U30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2" s="150" t="e" cm="1">
        <f t="array" ref="V30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2" s="148" t="e" cm="1">
        <f t="array" ref="W302">_xlfn.IFS(Table117821341[[#This Row],[Pos.]]="QB1",AVERAGE(G302,H302,I302,J302,N302),Table117821341[[#This Row],[Pos.]]="RB1",AVERAGE(J302,K302,N302),Table117821341[[#This Row],[Pos.]]="RB2",AVERAGE(J302,K302,N302),Table117821341[[#This Row],[Pos.]]="WR1",AVERAGE(L302,M302,N302),Table117821341[[#This Row],[Pos.]]="WR2",AVERAGE(L302,M302,N302),Table117821341[[#This Row],[Pos.]]="WR3",AVERAGE(L302,M302,N302),Table117821341[[#This Row],[Pos.]]="WR4",AVERAGE(L302,M302,N302),Table117821341[[#This Row],[Pos.]]="TE1",AVERAGE(L302,M302,N302),Table117821341[[#This Row],[Pos.]]="TE2",AVERAGE(L302,M302,N302),Table117821341[[#This Row],[Pos.]]="D/ST",AVERAGE(Table117821341[[#This Row],[*TD*]]))</f>
        <v>#N/A</v>
      </c>
      <c r="X302" s="94" t="e">
        <f t="shared" si="4"/>
        <v>#N/A</v>
      </c>
    </row>
    <row r="303" spans="2:24" hidden="1" x14ac:dyDescent="0.35">
      <c r="B303" s="6" t="s">
        <v>506</v>
      </c>
      <c r="C303" s="97" t="s">
        <v>35</v>
      </c>
      <c r="D303" s="97" t="s">
        <v>401</v>
      </c>
      <c r="E303" s="23" t="str" cm="1">
        <f t="array" ref="E303">_xlfn.XLOOKUP(Table117821341[[#This Row],[Team]],Table4334[Team],'2425'!$C$3:$C$34)</f>
        <v>n/a</v>
      </c>
      <c r="F303" s="97" t="str">
        <f>_xlfn.XLOOKUP(Table117821341[[#This Row],[Team]],Table4334[Team],Table4334[OPP])</f>
        <v>n/a</v>
      </c>
      <c r="G303" s="148" t="str" cm="1">
        <f t="array" ref="G303">IF(Table117821341[[#This Row],[Pos.]]="QB1",_xlfn.XLOOKUP(Table117821341[[#This Row],[Opp]],Table123[DEF],'2425'!$G$3:$G$34),"#N/A")</f>
        <v>#N/A</v>
      </c>
      <c r="H303" s="148" t="str" cm="1">
        <f t="array" ref="H303">IF(Table117821341[[#This Row],[Pos.]]="QB1",_xlfn.XLOOKUP(Table117821341[[#This Row],[Opp]],Table123[DEF],'2425'!$J$3:$J$34),"#N/A")</f>
        <v>#N/A</v>
      </c>
      <c r="I303" s="148" t="str" cm="1">
        <f t="array" ref="I303">IF(Table117821341[[#This Row],[Pos.]]="QB1",_xlfn.XLOOKUP(Table117821341[[#This Row],[Opp]],Table123[DEF],'2425'!$K$3:$K$34),"#N/A")</f>
        <v>#N/A</v>
      </c>
      <c r="J303" s="148" t="e" cm="1">
        <f t="array" ref="J30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3" s="148" t="e" cm="1">
        <f t="array" ref="K30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3" s="148" t="e" cm="1">
        <f t="array" ref="L30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3" s="148" t="e" cm="1">
        <f t="array" ref="M30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3" s="148" t="e" cm="1">
        <f t="array" ref="N30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3" s="149" t="str">
        <f>IF(Table117821341[[#This Row],[Pos.]]="QB1",_xlfn.XLOOKUP(Table117821341[[#This Row],[Opp]],Table123[DEF],Table123[P]),"#N/A")</f>
        <v>#N/A</v>
      </c>
      <c r="P303" s="149" t="str">
        <f>IF(Table117821341[[#This Row],[Pos.]]="QB1",_xlfn.XLOOKUP(Table117821341[[#This Row],[Opp]],Table123[DEF],Table123[P+R]),"#N/A")</f>
        <v>#N/A</v>
      </c>
      <c r="Q303" s="150" t="str">
        <f>IF(Table117821341[[#This Row],[Pos.]]="QB1",_xlfn.XLOOKUP(Table117821341[[#This Row],[Opp]],Table123[DEF],Table123[P TD]),"#N/A")</f>
        <v>#N/A</v>
      </c>
      <c r="R303" s="149" t="e" cm="1">
        <f t="array" ref="R30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3" s="150" t="e" cm="1">
        <f t="array" ref="S30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3" s="150" t="e" cm="1">
        <f t="array" ref="T30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3" s="150" t="e" cm="1">
        <f t="array" ref="U30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3" s="162" t="e" cm="1">
        <f t="array" ref="V30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3" s="148" t="e" cm="1">
        <f t="array" ref="W303">_xlfn.IFS(Table117821341[[#This Row],[Pos.]]="QB1",AVERAGE(G303,H303,I303,J303,N303),Table117821341[[#This Row],[Pos.]]="RB1",AVERAGE(J303,K303,N303),Table117821341[[#This Row],[Pos.]]="RB2",AVERAGE(J303,K303,N303),Table117821341[[#This Row],[Pos.]]="WR1",AVERAGE(L303,M303,N303),Table117821341[[#This Row],[Pos.]]="WR2",AVERAGE(L303,M303,N303),Table117821341[[#This Row],[Pos.]]="WR3",AVERAGE(L303,M303,N303),Table117821341[[#This Row],[Pos.]]="WR4",AVERAGE(L303,M303,N303),Table117821341[[#This Row],[Pos.]]="TE1",AVERAGE(L303,M303,N303),Table117821341[[#This Row],[Pos.]]="TE2",AVERAGE(L303,M303,N303),Table117821341[[#This Row],[Pos.]]="D/ST",AVERAGE(Table117821341[[#This Row],[*TD*]]))</f>
        <v>#N/A</v>
      </c>
      <c r="X303" s="94" t="e">
        <f t="shared" si="4"/>
        <v>#N/A</v>
      </c>
    </row>
    <row r="304" spans="2:24" hidden="1" x14ac:dyDescent="0.35">
      <c r="B304" s="6" t="s">
        <v>267</v>
      </c>
      <c r="C304" s="97" t="s">
        <v>42</v>
      </c>
      <c r="D304" s="97" t="s">
        <v>394</v>
      </c>
      <c r="E304" s="23" t="str" cm="1">
        <f t="array" ref="E304">_xlfn.XLOOKUP(Table117821341[[#This Row],[Team]],Table4334[Team],'2425'!$C$3:$C$34)</f>
        <v>n/a</v>
      </c>
      <c r="F304" s="97" t="str">
        <f>_xlfn.XLOOKUP(Table117821341[[#This Row],[Team]],Table4334[Team],Table4334[OPP])</f>
        <v>n/a</v>
      </c>
      <c r="G304" s="148" t="str" cm="1">
        <f t="array" ref="G304">IF(Table117821341[[#This Row],[Pos.]]="QB1",_xlfn.XLOOKUP(Table117821341[[#This Row],[Opp]],Table123[DEF],'2425'!$G$3:$G$34),"#N/A")</f>
        <v>#N/A</v>
      </c>
      <c r="H304" s="148" t="str" cm="1">
        <f t="array" ref="H304">IF(Table117821341[[#This Row],[Pos.]]="QB1",_xlfn.XLOOKUP(Table117821341[[#This Row],[Opp]],Table123[DEF],'2425'!$J$3:$J$34),"#N/A")</f>
        <v>#N/A</v>
      </c>
      <c r="I304" s="148" t="str" cm="1">
        <f t="array" ref="I304">IF(Table117821341[[#This Row],[Pos.]]="QB1",_xlfn.XLOOKUP(Table117821341[[#This Row],[Opp]],Table123[DEF],'2425'!$K$3:$K$34),"#N/A")</f>
        <v>#N/A</v>
      </c>
      <c r="J304" s="148" t="e" cm="1">
        <f t="array" ref="J30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4" s="148" t="e" cm="1">
        <f t="array" ref="K30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4" s="148" t="e" cm="1">
        <f t="array" ref="L30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4" s="148" t="e" cm="1">
        <f t="array" ref="M30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4" s="148" t="e" cm="1">
        <f t="array" ref="N30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4" s="149" t="str">
        <f>IF(Table117821341[[#This Row],[Pos.]]="QB1",_xlfn.XLOOKUP(Table117821341[[#This Row],[Opp]],Table123[DEF],Table123[P]),"#N/A")</f>
        <v>#N/A</v>
      </c>
      <c r="P304" s="149" t="str">
        <f>IF(Table117821341[[#This Row],[Pos.]]="QB1",_xlfn.XLOOKUP(Table117821341[[#This Row],[Opp]],Table123[DEF],Table123[P+R]),"#N/A")</f>
        <v>#N/A</v>
      </c>
      <c r="Q304" s="150" t="str">
        <f>IF(Table117821341[[#This Row],[Pos.]]="QB1",_xlfn.XLOOKUP(Table117821341[[#This Row],[Opp]],Table123[DEF],Table123[P TD]),"#N/A")</f>
        <v>#N/A</v>
      </c>
      <c r="R304" s="149" t="e" cm="1">
        <f t="array" ref="R30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4" s="150" t="e" cm="1">
        <f t="array" ref="S30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4" s="150" t="e" cm="1">
        <f t="array" ref="T30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4" s="150" t="e" cm="1">
        <f t="array" ref="U30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4" s="150" t="e" cm="1">
        <f t="array" ref="V30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4" s="148" t="e" cm="1">
        <f t="array" ref="W304">_xlfn.IFS(Table117821341[[#This Row],[Pos.]]="QB1",AVERAGE(G304,H304,I304,J304,N304),Table117821341[[#This Row],[Pos.]]="RB1",AVERAGE(J304,K304,N304),Table117821341[[#This Row],[Pos.]]="RB2",AVERAGE(J304,K304,N304),Table117821341[[#This Row],[Pos.]]="WR1",AVERAGE(L304,M304,N304),Table117821341[[#This Row],[Pos.]]="WR2",AVERAGE(L304,M304,N304),Table117821341[[#This Row],[Pos.]]="WR3",AVERAGE(L304,M304,N304),Table117821341[[#This Row],[Pos.]]="WR4",AVERAGE(L304,M304,N304),Table117821341[[#This Row],[Pos.]]="TE1",AVERAGE(L304,M304,N304),Table117821341[[#This Row],[Pos.]]="TE2",AVERAGE(L304,M304,N304),Table117821341[[#This Row],[Pos.]]="D/ST",AVERAGE(Table117821341[[#This Row],[*TD*]]))</f>
        <v>#N/A</v>
      </c>
      <c r="X304" s="94" t="e">
        <f t="shared" si="4"/>
        <v>#N/A</v>
      </c>
    </row>
    <row r="305" spans="2:24" hidden="1" x14ac:dyDescent="0.35">
      <c r="B305" s="6" t="s">
        <v>268</v>
      </c>
      <c r="C305" s="97" t="s">
        <v>42</v>
      </c>
      <c r="D305" s="97" t="s">
        <v>396</v>
      </c>
      <c r="E305" s="23" t="str" cm="1">
        <f t="array" ref="E305">_xlfn.XLOOKUP(Table117821341[[#This Row],[Team]],Table4334[Team],'2425'!$C$3:$C$34)</f>
        <v>n/a</v>
      </c>
      <c r="F305" s="97" t="str">
        <f>_xlfn.XLOOKUP(Table117821341[[#This Row],[Team]],Table4334[Team],Table4334[OPP])</f>
        <v>n/a</v>
      </c>
      <c r="G305" s="148" t="str" cm="1">
        <f t="array" ref="G305">IF(Table117821341[[#This Row],[Pos.]]="QB1",_xlfn.XLOOKUP(Table117821341[[#This Row],[Opp]],Table123[DEF],'2425'!$G$3:$G$34),"#N/A")</f>
        <v>#N/A</v>
      </c>
      <c r="H305" s="148" t="str" cm="1">
        <f t="array" ref="H305">IF(Table117821341[[#This Row],[Pos.]]="QB1",_xlfn.XLOOKUP(Table117821341[[#This Row],[Opp]],Table123[DEF],'2425'!$J$3:$J$34),"#N/A")</f>
        <v>#N/A</v>
      </c>
      <c r="I305" s="148" t="str" cm="1">
        <f t="array" ref="I305">IF(Table117821341[[#This Row],[Pos.]]="QB1",_xlfn.XLOOKUP(Table117821341[[#This Row],[Opp]],Table123[DEF],'2425'!$K$3:$K$34),"#N/A")</f>
        <v>#N/A</v>
      </c>
      <c r="J305" s="148" t="e" cm="1">
        <f t="array" ref="J30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5" s="148" t="e" cm="1">
        <f t="array" ref="K30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5" s="148" t="e" cm="1">
        <f t="array" ref="L30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5" s="148" t="e" cm="1">
        <f t="array" ref="M30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5" s="148" t="e" cm="1">
        <f t="array" ref="N30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5" s="149" t="str">
        <f>IF(Table117821341[[#This Row],[Pos.]]="QB1",_xlfn.XLOOKUP(Table117821341[[#This Row],[Opp]],Table123[DEF],Table123[P]),"#N/A")</f>
        <v>#N/A</v>
      </c>
      <c r="P305" s="149" t="str">
        <f>IF(Table117821341[[#This Row],[Pos.]]="QB1",_xlfn.XLOOKUP(Table117821341[[#This Row],[Opp]],Table123[DEF],Table123[P+R]),"#N/A")</f>
        <v>#N/A</v>
      </c>
      <c r="Q305" s="150" t="str">
        <f>IF(Table117821341[[#This Row],[Pos.]]="QB1",_xlfn.XLOOKUP(Table117821341[[#This Row],[Opp]],Table123[DEF],Table123[P TD]),"#N/A")</f>
        <v>#N/A</v>
      </c>
      <c r="R305" s="149" t="e" cm="1">
        <f t="array" ref="R30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5" s="150" t="e" cm="1">
        <f t="array" ref="S30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5" s="150" t="e" cm="1">
        <f t="array" ref="T30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5" s="150" t="e" cm="1">
        <f t="array" ref="U30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5" s="150" t="e" cm="1">
        <f t="array" ref="V30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5" s="148" t="e" cm="1">
        <f t="array" ref="W305">_xlfn.IFS(Table117821341[[#This Row],[Pos.]]="QB1",AVERAGE(G305,H305,I305,J305,N305),Table117821341[[#This Row],[Pos.]]="RB1",AVERAGE(J305,K305,N305),Table117821341[[#This Row],[Pos.]]="RB2",AVERAGE(J305,K305,N305),Table117821341[[#This Row],[Pos.]]="WR1",AVERAGE(L305,M305,N305),Table117821341[[#This Row],[Pos.]]="WR2",AVERAGE(L305,M305,N305),Table117821341[[#This Row],[Pos.]]="WR3",AVERAGE(L305,M305,N305),Table117821341[[#This Row],[Pos.]]="WR4",AVERAGE(L305,M305,N305),Table117821341[[#This Row],[Pos.]]="TE1",AVERAGE(L305,M305,N305),Table117821341[[#This Row],[Pos.]]="TE2",AVERAGE(L305,M305,N305),Table117821341[[#This Row],[Pos.]]="D/ST",AVERAGE(Table117821341[[#This Row],[*TD*]]))</f>
        <v>#N/A</v>
      </c>
      <c r="X305" s="94" t="e">
        <f t="shared" si="4"/>
        <v>#N/A</v>
      </c>
    </row>
    <row r="306" spans="2:24" hidden="1" x14ac:dyDescent="0.35">
      <c r="B306" s="6" t="s">
        <v>719</v>
      </c>
      <c r="C306" s="97" t="s">
        <v>38</v>
      </c>
      <c r="D306" s="97" t="s">
        <v>71</v>
      </c>
      <c r="E306" s="23" t="str" cm="1">
        <f t="array" ref="E306">_xlfn.XLOOKUP(Table117821341[[#This Row],[Team]],Table4334[Team],'2425'!$C$3:$C$34)</f>
        <v>n/a</v>
      </c>
      <c r="F306" s="97" t="str">
        <f>_xlfn.XLOOKUP(Table117821341[[#This Row],[Team]],Table4334[Team],Table4334[OPP])</f>
        <v>n/a</v>
      </c>
      <c r="G306" s="148" t="str" cm="1">
        <f t="array" ref="G306">IF(Table117821341[[#This Row],[Pos.]]="QB1",_xlfn.XLOOKUP(Table117821341[[#This Row],[Opp]],Table123[DEF],'2425'!$G$3:$G$34),"#N/A")</f>
        <v>#N/A</v>
      </c>
      <c r="H306" s="148" t="str" cm="1">
        <f t="array" ref="H306">IF(Table117821341[[#This Row],[Pos.]]="QB1",_xlfn.XLOOKUP(Table117821341[[#This Row],[Opp]],Table123[DEF],'2425'!$J$3:$J$34),"#N/A")</f>
        <v>#N/A</v>
      </c>
      <c r="I306" s="148" t="str" cm="1">
        <f t="array" ref="I306">IF(Table117821341[[#This Row],[Pos.]]="QB1",_xlfn.XLOOKUP(Table117821341[[#This Row],[Opp]],Table123[DEF],'2425'!$K$3:$K$34),"#N/A")</f>
        <v>#N/A</v>
      </c>
      <c r="J306" s="148" t="e" cm="1">
        <f t="array" ref="J30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6" s="148" t="e" cm="1">
        <f t="array" ref="K30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6" s="148" t="e" cm="1">
        <f t="array" ref="L30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6" s="148" t="e" cm="1">
        <f t="array" ref="M30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6" s="148" t="e" cm="1">
        <f t="array" ref="N30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6" s="149" t="str">
        <f>IF(Table117821341[[#This Row],[Pos.]]="QB1",_xlfn.XLOOKUP(Table117821341[[#This Row],[Opp]],Table123[DEF],Table123[P]),"#N/A")</f>
        <v>#N/A</v>
      </c>
      <c r="P306" s="149" t="str">
        <f>IF(Table117821341[[#This Row],[Pos.]]="QB1",_xlfn.XLOOKUP(Table117821341[[#This Row],[Opp]],Table123[DEF],Table123[P+R]),"#N/A")</f>
        <v>#N/A</v>
      </c>
      <c r="Q306" s="150" t="str">
        <f>IF(Table117821341[[#This Row],[Pos.]]="QB1",_xlfn.XLOOKUP(Table117821341[[#This Row],[Opp]],Table123[DEF],Table123[P TD]),"#N/A")</f>
        <v>#N/A</v>
      </c>
      <c r="R306" s="149" t="e" cm="1">
        <f t="array" ref="R30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6" s="150" t="e" cm="1">
        <f t="array" ref="S30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6" s="150" t="e" cm="1">
        <f t="array" ref="T30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6" s="150" t="e" cm="1">
        <f t="array" ref="U30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6" s="162" t="e" cm="1">
        <f t="array" ref="V30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6" s="148" t="e" cm="1">
        <f t="array" ref="W306">_xlfn.IFS(Table117821341[[#This Row],[Pos.]]="QB1",AVERAGE(G306,H306,I306,J306,N306),Table117821341[[#This Row],[Pos.]]="RB1",AVERAGE(J306,K306,N306),Table117821341[[#This Row],[Pos.]]="RB2",AVERAGE(J306,K306,N306),Table117821341[[#This Row],[Pos.]]="WR1",AVERAGE(L306,M306,N306),Table117821341[[#This Row],[Pos.]]="WR2",AVERAGE(L306,M306,N306),Table117821341[[#This Row],[Pos.]]="WR3",AVERAGE(L306,M306,N306),Table117821341[[#This Row],[Pos.]]="WR4",AVERAGE(L306,M306,N306),Table117821341[[#This Row],[Pos.]]="TE1",AVERAGE(L306,M306,N306),Table117821341[[#This Row],[Pos.]]="TE2",AVERAGE(L306,M306,N306),Table117821341[[#This Row],[Pos.]]="D/ST",AVERAGE(Table117821341[[#This Row],[*TD*]]))</f>
        <v>#N/A</v>
      </c>
      <c r="X306" s="94" t="e">
        <f t="shared" si="4"/>
        <v>#N/A</v>
      </c>
    </row>
    <row r="307" spans="2:24" hidden="1" x14ac:dyDescent="0.35">
      <c r="B307" s="6" t="s">
        <v>270</v>
      </c>
      <c r="C307" s="97" t="s">
        <v>42</v>
      </c>
      <c r="D307" s="97" t="s">
        <v>398</v>
      </c>
      <c r="E307" s="23" t="str" cm="1">
        <f t="array" ref="E307">_xlfn.XLOOKUP(Table117821341[[#This Row],[Team]],Table4334[Team],'2425'!$C$3:$C$34)</f>
        <v>n/a</v>
      </c>
      <c r="F307" s="97" t="str">
        <f>_xlfn.XLOOKUP(Table117821341[[#This Row],[Team]],Table4334[Team],Table4334[OPP])</f>
        <v>n/a</v>
      </c>
      <c r="G307" s="148" t="str" cm="1">
        <f t="array" ref="G307">IF(Table117821341[[#This Row],[Pos.]]="QB1",_xlfn.XLOOKUP(Table117821341[[#This Row],[Opp]],Table123[DEF],'2425'!$G$3:$G$34),"#N/A")</f>
        <v>#N/A</v>
      </c>
      <c r="H307" s="148" t="str" cm="1">
        <f t="array" ref="H307">IF(Table117821341[[#This Row],[Pos.]]="QB1",_xlfn.XLOOKUP(Table117821341[[#This Row],[Opp]],Table123[DEF],'2425'!$J$3:$J$34),"#N/A")</f>
        <v>#N/A</v>
      </c>
      <c r="I307" s="148" t="str" cm="1">
        <f t="array" ref="I307">IF(Table117821341[[#This Row],[Pos.]]="QB1",_xlfn.XLOOKUP(Table117821341[[#This Row],[Opp]],Table123[DEF],'2425'!$K$3:$K$34),"#N/A")</f>
        <v>#N/A</v>
      </c>
      <c r="J307" s="148" t="e" cm="1">
        <f t="array" ref="J30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7" s="148" t="e" cm="1">
        <f t="array" ref="K30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7" s="148" t="e" cm="1">
        <f t="array" ref="L30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7" s="148" t="e" cm="1">
        <f t="array" ref="M30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7" s="148" t="e" cm="1">
        <f t="array" ref="N30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7" s="149" t="str">
        <f>IF(Table117821341[[#This Row],[Pos.]]="QB1",_xlfn.XLOOKUP(Table117821341[[#This Row],[Opp]],Table123[DEF],Table123[P]),"#N/A")</f>
        <v>#N/A</v>
      </c>
      <c r="P307" s="149" t="str">
        <f>IF(Table117821341[[#This Row],[Pos.]]="QB1",_xlfn.XLOOKUP(Table117821341[[#This Row],[Opp]],Table123[DEF],Table123[P+R]),"#N/A")</f>
        <v>#N/A</v>
      </c>
      <c r="Q307" s="150" t="str">
        <f>IF(Table117821341[[#This Row],[Pos.]]="QB1",_xlfn.XLOOKUP(Table117821341[[#This Row],[Opp]],Table123[DEF],Table123[P TD]),"#N/A")</f>
        <v>#N/A</v>
      </c>
      <c r="R307" s="149" t="e" cm="1">
        <f t="array" ref="R30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7" s="150" t="e" cm="1">
        <f t="array" ref="S30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7" s="150" t="e" cm="1">
        <f t="array" ref="T30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7" s="150" t="e" cm="1">
        <f t="array" ref="U30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7" s="150" t="e" cm="1">
        <f t="array" ref="V30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7" s="148" t="e" cm="1">
        <f t="array" ref="W307">_xlfn.IFS(Table117821341[[#This Row],[Pos.]]="QB1",AVERAGE(G307,H307,I307,J307,N307),Table117821341[[#This Row],[Pos.]]="RB1",AVERAGE(J307,K307,N307),Table117821341[[#This Row],[Pos.]]="RB2",AVERAGE(J307,K307,N307),Table117821341[[#This Row],[Pos.]]="WR1",AVERAGE(L307,M307,N307),Table117821341[[#This Row],[Pos.]]="WR2",AVERAGE(L307,M307,N307),Table117821341[[#This Row],[Pos.]]="WR3",AVERAGE(L307,M307,N307),Table117821341[[#This Row],[Pos.]]="WR4",AVERAGE(L307,M307,N307),Table117821341[[#This Row],[Pos.]]="TE1",AVERAGE(L307,M307,N307),Table117821341[[#This Row],[Pos.]]="TE2",AVERAGE(L307,M307,N307),Table117821341[[#This Row],[Pos.]]="D/ST",AVERAGE(Table117821341[[#This Row],[*TD*]]))</f>
        <v>#N/A</v>
      </c>
      <c r="X307" s="94" t="e">
        <f t="shared" si="4"/>
        <v>#N/A</v>
      </c>
    </row>
    <row r="308" spans="2:24" hidden="1" x14ac:dyDescent="0.35">
      <c r="B308" s="6" t="s">
        <v>551</v>
      </c>
      <c r="C308" s="97" t="s">
        <v>42</v>
      </c>
      <c r="D308" s="97" t="s">
        <v>430</v>
      </c>
      <c r="E308" s="23" t="str" cm="1">
        <f t="array" ref="E308">_xlfn.XLOOKUP(Table117821341[[#This Row],[Team]],Table4334[Team],'2425'!$C$3:$C$34)</f>
        <v>n/a</v>
      </c>
      <c r="F308" s="97" t="str">
        <f>_xlfn.XLOOKUP(Table117821341[[#This Row],[Team]],Table4334[Team],Table4334[OPP])</f>
        <v>n/a</v>
      </c>
      <c r="G308" s="148" t="str" cm="1">
        <f t="array" ref="G308">IF(Table117821341[[#This Row],[Pos.]]="QB1",_xlfn.XLOOKUP(Table117821341[[#This Row],[Opp]],Table123[DEF],'2425'!$G$3:$G$34),"#N/A")</f>
        <v>#N/A</v>
      </c>
      <c r="H308" s="148" t="str" cm="1">
        <f t="array" ref="H308">IF(Table117821341[[#This Row],[Pos.]]="QB1",_xlfn.XLOOKUP(Table117821341[[#This Row],[Opp]],Table123[DEF],'2425'!$J$3:$J$34),"#N/A")</f>
        <v>#N/A</v>
      </c>
      <c r="I308" s="148" t="str" cm="1">
        <f t="array" ref="I308">IF(Table117821341[[#This Row],[Pos.]]="QB1",_xlfn.XLOOKUP(Table117821341[[#This Row],[Opp]],Table123[DEF],'2425'!$K$3:$K$34),"#N/A")</f>
        <v>#N/A</v>
      </c>
      <c r="J308" s="148" t="e" cm="1">
        <f t="array" ref="J30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8" s="148" t="e" cm="1">
        <f t="array" ref="K30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8" s="148" t="e" cm="1">
        <f t="array" ref="L30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8" s="148" t="e" cm="1">
        <f t="array" ref="M30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8" s="148" t="e" cm="1">
        <f t="array" ref="N30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8" s="149" t="str">
        <f>IF(Table117821341[[#This Row],[Pos.]]="QB1",_xlfn.XLOOKUP(Table117821341[[#This Row],[Opp]],Table123[DEF],Table123[P]),"#N/A")</f>
        <v>#N/A</v>
      </c>
      <c r="P308" s="149" t="str">
        <f>IF(Table117821341[[#This Row],[Pos.]]="QB1",_xlfn.XLOOKUP(Table117821341[[#This Row],[Opp]],Table123[DEF],Table123[P+R]),"#N/A")</f>
        <v>#N/A</v>
      </c>
      <c r="Q308" s="150" t="str">
        <f>IF(Table117821341[[#This Row],[Pos.]]="QB1",_xlfn.XLOOKUP(Table117821341[[#This Row],[Opp]],Table123[DEF],Table123[P TD]),"#N/A")</f>
        <v>#N/A</v>
      </c>
      <c r="R308" s="149" t="e" cm="1">
        <f t="array" ref="R30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8" s="150" t="e" cm="1">
        <f t="array" ref="S30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8" s="150" t="e" cm="1">
        <f t="array" ref="T30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8" s="150" t="e" cm="1">
        <f t="array" ref="U30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8" s="150" t="e" cm="1">
        <f t="array" ref="V30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8" s="148" t="e" cm="1">
        <f t="array" ref="W308">_xlfn.IFS(Table117821341[[#This Row],[Pos.]]="QB1",AVERAGE(G308,H308,I308,J308,N308),Table117821341[[#This Row],[Pos.]]="RB1",AVERAGE(J308,K308,N308),Table117821341[[#This Row],[Pos.]]="RB2",AVERAGE(J308,K308,N308),Table117821341[[#This Row],[Pos.]]="WR1",AVERAGE(L308,M308,N308),Table117821341[[#This Row],[Pos.]]="WR2",AVERAGE(L308,M308,N308),Table117821341[[#This Row],[Pos.]]="WR3",AVERAGE(L308,M308,N308),Table117821341[[#This Row],[Pos.]]="WR4",AVERAGE(L308,M308,N308),Table117821341[[#This Row],[Pos.]]="TE1",AVERAGE(L308,M308,N308),Table117821341[[#This Row],[Pos.]]="TE2",AVERAGE(L308,M308,N308),Table117821341[[#This Row],[Pos.]]="D/ST",AVERAGE(Table117821341[[#This Row],[*TD*]]))</f>
        <v>#N/A</v>
      </c>
      <c r="X308" s="94" t="e">
        <f t="shared" si="4"/>
        <v>#N/A</v>
      </c>
    </row>
    <row r="309" spans="2:24" hidden="1" x14ac:dyDescent="0.35">
      <c r="B309" s="6" t="s">
        <v>552</v>
      </c>
      <c r="C309" s="97" t="s">
        <v>42</v>
      </c>
      <c r="D309" s="97" t="s">
        <v>435</v>
      </c>
      <c r="E309" s="23" t="str" cm="1">
        <f t="array" ref="E309">_xlfn.XLOOKUP(Table117821341[[#This Row],[Team]],Table4334[Team],'2425'!$C$3:$C$34)</f>
        <v>n/a</v>
      </c>
      <c r="F309" s="97" t="str">
        <f>_xlfn.XLOOKUP(Table117821341[[#This Row],[Team]],Table4334[Team],Table4334[OPP])</f>
        <v>n/a</v>
      </c>
      <c r="G309" s="148" t="str" cm="1">
        <f t="array" ref="G309">IF(Table117821341[[#This Row],[Pos.]]="QB1",_xlfn.XLOOKUP(Table117821341[[#This Row],[Opp]],Table123[DEF],'2425'!$G$3:$G$34),"#N/A")</f>
        <v>#N/A</v>
      </c>
      <c r="H309" s="148" t="str" cm="1">
        <f t="array" ref="H309">IF(Table117821341[[#This Row],[Pos.]]="QB1",_xlfn.XLOOKUP(Table117821341[[#This Row],[Opp]],Table123[DEF],'2425'!$J$3:$J$34),"#N/A")</f>
        <v>#N/A</v>
      </c>
      <c r="I309" s="148" t="str" cm="1">
        <f t="array" ref="I309">IF(Table117821341[[#This Row],[Pos.]]="QB1",_xlfn.XLOOKUP(Table117821341[[#This Row],[Opp]],Table123[DEF],'2425'!$K$3:$K$34),"#N/A")</f>
        <v>#N/A</v>
      </c>
      <c r="J309" s="148" t="e" cm="1">
        <f t="array" ref="J30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09" s="148" t="e" cm="1">
        <f t="array" ref="K30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09" s="148" t="e" cm="1">
        <f t="array" ref="L30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09" s="148" t="e" cm="1">
        <f t="array" ref="M30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09" s="148" t="e" cm="1">
        <f t="array" ref="N30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09" s="149" t="str">
        <f>IF(Table117821341[[#This Row],[Pos.]]="QB1",_xlfn.XLOOKUP(Table117821341[[#This Row],[Opp]],Table123[DEF],Table123[P]),"#N/A")</f>
        <v>#N/A</v>
      </c>
      <c r="P309" s="149" t="str">
        <f>IF(Table117821341[[#This Row],[Pos.]]="QB1",_xlfn.XLOOKUP(Table117821341[[#This Row],[Opp]],Table123[DEF],Table123[P+R]),"#N/A")</f>
        <v>#N/A</v>
      </c>
      <c r="Q309" s="150" t="str">
        <f>IF(Table117821341[[#This Row],[Pos.]]="QB1",_xlfn.XLOOKUP(Table117821341[[#This Row],[Opp]],Table123[DEF],Table123[P TD]),"#N/A")</f>
        <v>#N/A</v>
      </c>
      <c r="R309" s="149" t="e" cm="1">
        <f t="array" ref="R30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09" s="150" t="e" cm="1">
        <f t="array" ref="S30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09" s="150" t="e" cm="1">
        <f t="array" ref="T30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09" s="150" t="e" cm="1">
        <f t="array" ref="U30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09" s="150" t="e" cm="1">
        <f t="array" ref="V30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09" s="148" t="e" cm="1">
        <f t="array" ref="W309">_xlfn.IFS(Table117821341[[#This Row],[Pos.]]="QB1",AVERAGE(G309,H309,I309,J309,N309),Table117821341[[#This Row],[Pos.]]="RB1",AVERAGE(J309,K309,N309),Table117821341[[#This Row],[Pos.]]="RB2",AVERAGE(J309,K309,N309),Table117821341[[#This Row],[Pos.]]="WR1",AVERAGE(L309,M309,N309),Table117821341[[#This Row],[Pos.]]="WR2",AVERAGE(L309,M309,N309),Table117821341[[#This Row],[Pos.]]="WR3",AVERAGE(L309,M309,N309),Table117821341[[#This Row],[Pos.]]="WR4",AVERAGE(L309,M309,N309),Table117821341[[#This Row],[Pos.]]="TE1",AVERAGE(L309,M309,N309),Table117821341[[#This Row],[Pos.]]="TE2",AVERAGE(L309,M309,N309),Table117821341[[#This Row],[Pos.]]="D/ST",AVERAGE(Table117821341[[#This Row],[*TD*]]))</f>
        <v>#N/A</v>
      </c>
      <c r="X309" s="94" t="e">
        <f t="shared" si="4"/>
        <v>#N/A</v>
      </c>
    </row>
    <row r="310" spans="2:24" hidden="1" x14ac:dyDescent="0.35">
      <c r="B310" s="6" t="s">
        <v>282</v>
      </c>
      <c r="C310" s="97" t="s">
        <v>43</v>
      </c>
      <c r="D310" s="97" t="s">
        <v>401</v>
      </c>
      <c r="E310" s="23" t="str" cm="1">
        <f t="array" ref="E310">_xlfn.XLOOKUP(Table117821341[[#This Row],[Team]],Table4334[Team],'2425'!$C$3:$C$34)</f>
        <v>n/a</v>
      </c>
      <c r="F310" s="97" t="str">
        <f>_xlfn.XLOOKUP(Table117821341[[#This Row],[Team]],Table4334[Team],Table4334[OPP])</f>
        <v>n/a</v>
      </c>
      <c r="G310" s="148" t="str" cm="1">
        <f t="array" ref="G310">IF(Table117821341[[#This Row],[Pos.]]="QB1",_xlfn.XLOOKUP(Table117821341[[#This Row],[Opp]],Table123[DEF],'2425'!$G$3:$G$34),"#N/A")</f>
        <v>#N/A</v>
      </c>
      <c r="H310" s="148" t="str" cm="1">
        <f t="array" ref="H310">IF(Table117821341[[#This Row],[Pos.]]="QB1",_xlfn.XLOOKUP(Table117821341[[#This Row],[Opp]],Table123[DEF],'2425'!$J$3:$J$34),"#N/A")</f>
        <v>#N/A</v>
      </c>
      <c r="I310" s="148" t="str" cm="1">
        <f t="array" ref="I310">IF(Table117821341[[#This Row],[Pos.]]="QB1",_xlfn.XLOOKUP(Table117821341[[#This Row],[Opp]],Table123[DEF],'2425'!$K$3:$K$34),"#N/A")</f>
        <v>#N/A</v>
      </c>
      <c r="J310" s="148" t="e" cm="1">
        <f t="array" ref="J31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0" s="148" t="e" cm="1">
        <f t="array" ref="K31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0" s="148" t="e" cm="1">
        <f t="array" ref="L31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0" s="148" t="e" cm="1">
        <f t="array" ref="M31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0" s="148" t="e" cm="1">
        <f t="array" ref="N31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0" s="149" t="str">
        <f>IF(Table117821341[[#This Row],[Pos.]]="QB1",_xlfn.XLOOKUP(Table117821341[[#This Row],[Opp]],Table123[DEF],Table123[P]),"#N/A")</f>
        <v>#N/A</v>
      </c>
      <c r="P310" s="149" t="str">
        <f>IF(Table117821341[[#This Row],[Pos.]]="QB1",_xlfn.XLOOKUP(Table117821341[[#This Row],[Opp]],Table123[DEF],Table123[P+R]),"#N/A")</f>
        <v>#N/A</v>
      </c>
      <c r="Q310" s="150" t="str">
        <f>IF(Table117821341[[#This Row],[Pos.]]="QB1",_xlfn.XLOOKUP(Table117821341[[#This Row],[Opp]],Table123[DEF],Table123[P TD]),"#N/A")</f>
        <v>#N/A</v>
      </c>
      <c r="R310" s="149" t="e" cm="1">
        <f t="array" ref="R31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0" s="150" t="e" cm="1">
        <f t="array" ref="S31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0" s="150" t="e" cm="1">
        <f t="array" ref="T31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0" s="150" t="e" cm="1">
        <f t="array" ref="U31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0" s="162" t="e" cm="1">
        <f t="array" ref="V31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0" s="148" t="e" cm="1">
        <f t="array" ref="W310">_xlfn.IFS(Table117821341[[#This Row],[Pos.]]="QB1",AVERAGE(G310,H310,I310,J310,N310),Table117821341[[#This Row],[Pos.]]="RB1",AVERAGE(J310,K310,N310),Table117821341[[#This Row],[Pos.]]="RB2",AVERAGE(J310,K310,N310),Table117821341[[#This Row],[Pos.]]="WR1",AVERAGE(L310,M310,N310),Table117821341[[#This Row],[Pos.]]="WR2",AVERAGE(L310,M310,N310),Table117821341[[#This Row],[Pos.]]="WR3",AVERAGE(L310,M310,N310),Table117821341[[#This Row],[Pos.]]="WR4",AVERAGE(L310,M310,N310),Table117821341[[#This Row],[Pos.]]="TE1",AVERAGE(L310,M310,N310),Table117821341[[#This Row],[Pos.]]="TE2",AVERAGE(L310,M310,N310),Table117821341[[#This Row],[Pos.]]="D/ST",AVERAGE(Table117821341[[#This Row],[*TD*]]))</f>
        <v>#N/A</v>
      </c>
      <c r="X310" s="94" t="e">
        <f t="shared" si="4"/>
        <v>#N/A</v>
      </c>
    </row>
    <row r="311" spans="2:24" hidden="1" x14ac:dyDescent="0.35">
      <c r="B311" s="6" t="s">
        <v>736</v>
      </c>
      <c r="C311" s="97" t="s">
        <v>55</v>
      </c>
      <c r="D311" s="97" t="s">
        <v>71</v>
      </c>
      <c r="E311" s="23" t="str" cm="1">
        <f t="array" ref="E311">_xlfn.XLOOKUP(Table117821341[[#This Row],[Team]],Table4334[Team],'2425'!$C$3:$C$34)</f>
        <v>n/a</v>
      </c>
      <c r="F311" s="97" t="str">
        <f>_xlfn.XLOOKUP(Table117821341[[#This Row],[Team]],Table4334[Team],Table4334[OPP])</f>
        <v>n/a</v>
      </c>
      <c r="G311" s="148" t="str" cm="1">
        <f t="array" ref="G311">IF(Table117821341[[#This Row],[Pos.]]="QB1",_xlfn.XLOOKUP(Table117821341[[#This Row],[Opp]],Table123[DEF],'2425'!$G$3:$G$34),"#N/A")</f>
        <v>#N/A</v>
      </c>
      <c r="H311" s="148" t="str" cm="1">
        <f t="array" ref="H311">IF(Table117821341[[#This Row],[Pos.]]="QB1",_xlfn.XLOOKUP(Table117821341[[#This Row],[Opp]],Table123[DEF],'2425'!$J$3:$J$34),"#N/A")</f>
        <v>#N/A</v>
      </c>
      <c r="I311" s="148" t="str" cm="1">
        <f t="array" ref="I311">IF(Table117821341[[#This Row],[Pos.]]="QB1",_xlfn.XLOOKUP(Table117821341[[#This Row],[Opp]],Table123[DEF],'2425'!$K$3:$K$34),"#N/A")</f>
        <v>#N/A</v>
      </c>
      <c r="J311" s="148" t="e" cm="1">
        <f t="array" ref="J31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1" s="148" t="e" cm="1">
        <f t="array" ref="K31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1" s="148" t="e" cm="1">
        <f t="array" ref="L31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1" s="148" t="e" cm="1">
        <f t="array" ref="M31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1" s="148" t="e" cm="1">
        <f t="array" ref="N31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1" s="149" t="str">
        <f>IF(Table117821341[[#This Row],[Pos.]]="QB1",_xlfn.XLOOKUP(Table117821341[[#This Row],[Opp]],Table123[DEF],Table123[P]),"#N/A")</f>
        <v>#N/A</v>
      </c>
      <c r="P311" s="149" t="str">
        <f>IF(Table117821341[[#This Row],[Pos.]]="QB1",_xlfn.XLOOKUP(Table117821341[[#This Row],[Opp]],Table123[DEF],Table123[P+R]),"#N/A")</f>
        <v>#N/A</v>
      </c>
      <c r="Q311" s="150" t="str">
        <f>IF(Table117821341[[#This Row],[Pos.]]="QB1",_xlfn.XLOOKUP(Table117821341[[#This Row],[Opp]],Table123[DEF],Table123[P TD]),"#N/A")</f>
        <v>#N/A</v>
      </c>
      <c r="R311" s="149" t="e" cm="1">
        <f t="array" ref="R31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1" s="150" t="e" cm="1">
        <f t="array" ref="S31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1" s="150" t="e" cm="1">
        <f t="array" ref="T31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1" s="150" t="e" cm="1">
        <f t="array" ref="U31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1" s="162" t="e" cm="1">
        <f t="array" ref="V31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1" s="148" t="e" cm="1">
        <f t="array" ref="W311">_xlfn.IFS(Table117821341[[#This Row],[Pos.]]="QB1",AVERAGE(G311,H311,I311,J311,N311),Table117821341[[#This Row],[Pos.]]="RB1",AVERAGE(J311,K311,N311),Table117821341[[#This Row],[Pos.]]="RB2",AVERAGE(J311,K311,N311),Table117821341[[#This Row],[Pos.]]="WR1",AVERAGE(L311,M311,N311),Table117821341[[#This Row],[Pos.]]="WR2",AVERAGE(L311,M311,N311),Table117821341[[#This Row],[Pos.]]="WR3",AVERAGE(L311,M311,N311),Table117821341[[#This Row],[Pos.]]="WR4",AVERAGE(L311,M311,N311),Table117821341[[#This Row],[Pos.]]="TE1",AVERAGE(L311,M311,N311),Table117821341[[#This Row],[Pos.]]="TE2",AVERAGE(L311,M311,N311),Table117821341[[#This Row],[Pos.]]="D/ST",AVERAGE(Table117821341[[#This Row],[*TD*]]))</f>
        <v>#N/A</v>
      </c>
      <c r="X311" s="94" t="e">
        <f t="shared" si="4"/>
        <v>#N/A</v>
      </c>
    </row>
    <row r="312" spans="2:24" hidden="1" x14ac:dyDescent="0.35">
      <c r="B312" s="6" t="s">
        <v>590</v>
      </c>
      <c r="C312" s="97" t="s">
        <v>55</v>
      </c>
      <c r="D312" s="97" t="s">
        <v>401</v>
      </c>
      <c r="E312" s="23" t="str" cm="1">
        <f t="array" ref="E312">_xlfn.XLOOKUP(Table117821341[[#This Row],[Team]],Table4334[Team],'2425'!$C$3:$C$34)</f>
        <v>n/a</v>
      </c>
      <c r="F312" s="97" t="str">
        <f>_xlfn.XLOOKUP(Table117821341[[#This Row],[Team]],Table4334[Team],Table4334[OPP])</f>
        <v>n/a</v>
      </c>
      <c r="G312" s="148" t="str" cm="1">
        <f t="array" ref="G312">IF(Table117821341[[#This Row],[Pos.]]="QB1",_xlfn.XLOOKUP(Table117821341[[#This Row],[Opp]],Table123[DEF],'2425'!$G$3:$G$34),"#N/A")</f>
        <v>#N/A</v>
      </c>
      <c r="H312" s="148" t="str" cm="1">
        <f t="array" ref="H312">IF(Table117821341[[#This Row],[Pos.]]="QB1",_xlfn.XLOOKUP(Table117821341[[#This Row],[Opp]],Table123[DEF],'2425'!$J$3:$J$34),"#N/A")</f>
        <v>#N/A</v>
      </c>
      <c r="I312" s="148" t="str" cm="1">
        <f t="array" ref="I312">IF(Table117821341[[#This Row],[Pos.]]="QB1",_xlfn.XLOOKUP(Table117821341[[#This Row],[Opp]],Table123[DEF],'2425'!$K$3:$K$34),"#N/A")</f>
        <v>#N/A</v>
      </c>
      <c r="J312" s="148" t="e" cm="1">
        <f t="array" ref="J31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2" s="148" t="e" cm="1">
        <f t="array" ref="K31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2" s="148" t="e" cm="1">
        <f t="array" ref="L31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2" s="148" t="e" cm="1">
        <f t="array" ref="M31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2" s="148" t="e" cm="1">
        <f t="array" ref="N31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2" s="149" t="str">
        <f>IF(Table117821341[[#This Row],[Pos.]]="QB1",_xlfn.XLOOKUP(Table117821341[[#This Row],[Opp]],Table123[DEF],Table123[P]),"#N/A")</f>
        <v>#N/A</v>
      </c>
      <c r="P312" s="149" t="str">
        <f>IF(Table117821341[[#This Row],[Pos.]]="QB1",_xlfn.XLOOKUP(Table117821341[[#This Row],[Opp]],Table123[DEF],Table123[P+R]),"#N/A")</f>
        <v>#N/A</v>
      </c>
      <c r="Q312" s="150" t="str">
        <f>IF(Table117821341[[#This Row],[Pos.]]="QB1",_xlfn.XLOOKUP(Table117821341[[#This Row],[Opp]],Table123[DEF],Table123[P TD]),"#N/A")</f>
        <v>#N/A</v>
      </c>
      <c r="R312" s="149" t="e" cm="1">
        <f t="array" ref="R31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2" s="150" t="e" cm="1">
        <f t="array" ref="S31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2" s="150" t="e" cm="1">
        <f t="array" ref="T31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2" s="150" t="e" cm="1">
        <f t="array" ref="U31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2" s="162" t="e" cm="1">
        <f t="array" ref="V31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2" s="148" t="e" cm="1">
        <f t="array" ref="W312">_xlfn.IFS(Table117821341[[#This Row],[Pos.]]="QB1",AVERAGE(G312,H312,I312,J312,N312),Table117821341[[#This Row],[Pos.]]="RB1",AVERAGE(J312,K312,N312),Table117821341[[#This Row],[Pos.]]="RB2",AVERAGE(J312,K312,N312),Table117821341[[#This Row],[Pos.]]="WR1",AVERAGE(L312,M312,N312),Table117821341[[#This Row],[Pos.]]="WR2",AVERAGE(L312,M312,N312),Table117821341[[#This Row],[Pos.]]="WR3",AVERAGE(L312,M312,N312),Table117821341[[#This Row],[Pos.]]="WR4",AVERAGE(L312,M312,N312),Table117821341[[#This Row],[Pos.]]="TE1",AVERAGE(L312,M312,N312),Table117821341[[#This Row],[Pos.]]="TE2",AVERAGE(L312,M312,N312),Table117821341[[#This Row],[Pos.]]="D/ST",AVERAGE(Table117821341[[#This Row],[*TD*]]))</f>
        <v>#N/A</v>
      </c>
      <c r="X312" s="94" t="e">
        <f t="shared" si="4"/>
        <v>#N/A</v>
      </c>
    </row>
    <row r="313" spans="2:24" hidden="1" x14ac:dyDescent="0.35">
      <c r="B313" s="6" t="s">
        <v>109</v>
      </c>
      <c r="C313" s="97" t="s">
        <v>15</v>
      </c>
      <c r="D313" s="97" t="s">
        <v>399</v>
      </c>
      <c r="E313" s="23" t="str" cm="1">
        <f t="array" ref="E313">_xlfn.XLOOKUP(Table117821341[[#This Row],[Team]],Table4334[Team],'2425'!$C$3:$C$34)</f>
        <v>n/a</v>
      </c>
      <c r="F313" s="97" t="str">
        <f>_xlfn.XLOOKUP(Table117821341[[#This Row],[Team]],Table4334[Team],Table4334[OPP])</f>
        <v>n/a</v>
      </c>
      <c r="G313" s="148" t="e" cm="1">
        <f t="array" ref="G313">IF(Table117821341[[#This Row],[Pos.]]="QB1",_xlfn.XLOOKUP(Table117821341[[#This Row],[Opp]],Table123[DEF],'2425'!$G$3:$G$34),"#N/A")</f>
        <v>#N/A</v>
      </c>
      <c r="H313" s="148" t="e" cm="1">
        <f t="array" ref="H313">IF(Table117821341[[#This Row],[Pos.]]="QB1",_xlfn.XLOOKUP(Table117821341[[#This Row],[Opp]],Table123[DEF],'2425'!$J$3:$J$34),"#N/A")</f>
        <v>#N/A</v>
      </c>
      <c r="I313" s="148" t="e" cm="1">
        <f t="array" ref="I313">IF(Table117821341[[#This Row],[Pos.]]="QB1",_xlfn.XLOOKUP(Table117821341[[#This Row],[Opp]],Table123[DEF],'2425'!$K$3:$K$34),"#N/A")</f>
        <v>#N/A</v>
      </c>
      <c r="J313" s="148" t="e" cm="1">
        <f t="array" ref="J31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3" s="148" t="e" cm="1">
        <f t="array" ref="K31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3" s="148" t="e" cm="1">
        <f t="array" ref="L31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3" s="148" t="e" cm="1">
        <f t="array" ref="M31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3" s="148" t="e" cm="1">
        <f t="array" ref="N31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3" s="149" t="e">
        <f>IF(Table117821341[[#This Row],[Pos.]]="QB1",_xlfn.XLOOKUP(Table117821341[[#This Row],[Opp]],Table123[DEF],Table123[P]),"#N/A")</f>
        <v>#N/A</v>
      </c>
      <c r="P313" s="149" t="e">
        <f>IF(Table117821341[[#This Row],[Pos.]]="QB1",_xlfn.XLOOKUP(Table117821341[[#This Row],[Opp]],Table123[DEF],Table123[P+R]),"#N/A")</f>
        <v>#N/A</v>
      </c>
      <c r="Q313" s="150" t="e">
        <f>IF(Table117821341[[#This Row],[Pos.]]="QB1",_xlfn.XLOOKUP(Table117821341[[#This Row],[Opp]],Table123[DEF],Table123[P TD]),"#N/A")</f>
        <v>#N/A</v>
      </c>
      <c r="R313" s="149" t="e" cm="1">
        <f t="array" ref="R31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3" s="150" t="e" cm="1">
        <f t="array" ref="S31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3" s="150" t="e" cm="1">
        <f t="array" ref="T31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3" s="150" t="e" cm="1">
        <f t="array" ref="U31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3" s="162" t="e" cm="1">
        <f t="array" ref="V31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3" s="148" t="e" cm="1">
        <f t="array" ref="W313">_xlfn.IFS(Table117821341[[#This Row],[Pos.]]="QB1",AVERAGE(G313,H313,I313,J313,N313),Table117821341[[#This Row],[Pos.]]="RB1",AVERAGE(J313,K313,N313),Table117821341[[#This Row],[Pos.]]="RB2",AVERAGE(J313,K313,N313),Table117821341[[#This Row],[Pos.]]="WR1",AVERAGE(L313,M313,N313),Table117821341[[#This Row],[Pos.]]="WR2",AVERAGE(L313,M313,N313),Table117821341[[#This Row],[Pos.]]="WR3",AVERAGE(L313,M313,N313),Table117821341[[#This Row],[Pos.]]="WR4",AVERAGE(L313,M313,N313),Table117821341[[#This Row],[Pos.]]="TE1",AVERAGE(L313,M313,N313),Table117821341[[#This Row],[Pos.]]="TE2",AVERAGE(L313,M313,N313),Table117821341[[#This Row],[Pos.]]="D/ST",AVERAGE(Table117821341[[#This Row],[*TD*]]))</f>
        <v>#N/A</v>
      </c>
      <c r="X313" s="94" t="e">
        <f t="shared" si="4"/>
        <v>#N/A</v>
      </c>
    </row>
    <row r="314" spans="2:24" hidden="1" x14ac:dyDescent="0.35">
      <c r="B314" s="6" t="s">
        <v>549</v>
      </c>
      <c r="C314" s="97" t="s">
        <v>42</v>
      </c>
      <c r="D314" s="97" t="s">
        <v>403</v>
      </c>
      <c r="E314" s="23" t="str" cm="1">
        <f t="array" ref="E314">_xlfn.XLOOKUP(Table117821341[[#This Row],[Team]],Table4334[Team],'2425'!$C$3:$C$34)</f>
        <v>n/a</v>
      </c>
      <c r="F314" s="97" t="str">
        <f>_xlfn.XLOOKUP(Table117821341[[#This Row],[Team]],Table4334[Team],Table4334[OPP])</f>
        <v>n/a</v>
      </c>
      <c r="G314" s="148" t="str" cm="1">
        <f t="array" ref="G314">IF(Table117821341[[#This Row],[Pos.]]="QB1",_xlfn.XLOOKUP(Table117821341[[#This Row],[Opp]],Table123[DEF],'2425'!$G$3:$G$34),"#N/A")</f>
        <v>#N/A</v>
      </c>
      <c r="H314" s="148" t="str" cm="1">
        <f t="array" ref="H314">IF(Table117821341[[#This Row],[Pos.]]="QB1",_xlfn.XLOOKUP(Table117821341[[#This Row],[Opp]],Table123[DEF],'2425'!$J$3:$J$34),"#N/A")</f>
        <v>#N/A</v>
      </c>
      <c r="I314" s="148" t="str" cm="1">
        <f t="array" ref="I314">IF(Table117821341[[#This Row],[Pos.]]="QB1",_xlfn.XLOOKUP(Table117821341[[#This Row],[Opp]],Table123[DEF],'2425'!$K$3:$K$34),"#N/A")</f>
        <v>#N/A</v>
      </c>
      <c r="J314" s="148" t="e" cm="1">
        <f t="array" ref="J31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4" s="148" t="e" cm="1">
        <f t="array" ref="K31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4" s="148" t="e" cm="1">
        <f t="array" ref="L31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4" s="148" t="e" cm="1">
        <f t="array" ref="M31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4" s="148" t="e" cm="1">
        <f t="array" ref="N31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4" s="149" t="str">
        <f>IF(Table117821341[[#This Row],[Pos.]]="QB1",_xlfn.XLOOKUP(Table117821341[[#This Row],[Opp]],Table123[DEF],Table123[P]),"#N/A")</f>
        <v>#N/A</v>
      </c>
      <c r="P314" s="149" t="str">
        <f>IF(Table117821341[[#This Row],[Pos.]]="QB1",_xlfn.XLOOKUP(Table117821341[[#This Row],[Opp]],Table123[DEF],Table123[P+R]),"#N/A")</f>
        <v>#N/A</v>
      </c>
      <c r="Q314" s="150" t="str">
        <f>IF(Table117821341[[#This Row],[Pos.]]="QB1",_xlfn.XLOOKUP(Table117821341[[#This Row],[Opp]],Table123[DEF],Table123[P TD]),"#N/A")</f>
        <v>#N/A</v>
      </c>
      <c r="R314" s="149" t="e" cm="1">
        <f t="array" ref="R31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4" s="150" t="e" cm="1">
        <f t="array" ref="S31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4" s="150" t="e" cm="1">
        <f t="array" ref="T31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4" s="150" t="e" cm="1">
        <f t="array" ref="U31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4" s="150" t="e" cm="1">
        <f t="array" ref="V31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4" s="148" t="e" cm="1">
        <f t="array" ref="W314">_xlfn.IFS(Table117821341[[#This Row],[Pos.]]="QB1",AVERAGE(G314,H314,I314,J314,N314),Table117821341[[#This Row],[Pos.]]="RB1",AVERAGE(J314,K314,N314),Table117821341[[#This Row],[Pos.]]="RB2",AVERAGE(J314,K314,N314),Table117821341[[#This Row],[Pos.]]="WR1",AVERAGE(L314,M314,N314),Table117821341[[#This Row],[Pos.]]="WR2",AVERAGE(L314,M314,N314),Table117821341[[#This Row],[Pos.]]="WR3",AVERAGE(L314,M314,N314),Table117821341[[#This Row],[Pos.]]="WR4",AVERAGE(L314,M314,N314),Table117821341[[#This Row],[Pos.]]="TE1",AVERAGE(L314,M314,N314),Table117821341[[#This Row],[Pos.]]="TE2",AVERAGE(L314,M314,N314),Table117821341[[#This Row],[Pos.]]="D/ST",AVERAGE(Table117821341[[#This Row],[*TD*]]))</f>
        <v>#N/A</v>
      </c>
      <c r="X314" s="94" t="e">
        <f t="shared" si="4"/>
        <v>#N/A</v>
      </c>
    </row>
    <row r="315" spans="2:24" hidden="1" x14ac:dyDescent="0.35">
      <c r="B315" s="6" t="s">
        <v>550</v>
      </c>
      <c r="C315" s="97" t="s">
        <v>42</v>
      </c>
      <c r="D315" s="97" t="s">
        <v>411</v>
      </c>
      <c r="E315" s="23" t="str" cm="1">
        <f t="array" ref="E315">_xlfn.XLOOKUP(Table117821341[[#This Row],[Team]],Table4334[Team],'2425'!$C$3:$C$34)</f>
        <v>n/a</v>
      </c>
      <c r="F315" s="97" t="str">
        <f>_xlfn.XLOOKUP(Table117821341[[#This Row],[Team]],Table4334[Team],Table4334[OPP])</f>
        <v>n/a</v>
      </c>
      <c r="G315" s="148" t="str" cm="1">
        <f t="array" ref="G315">IF(Table117821341[[#This Row],[Pos.]]="QB1",_xlfn.XLOOKUP(Table117821341[[#This Row],[Opp]],Table123[DEF],'2425'!$G$3:$G$34),"#N/A")</f>
        <v>#N/A</v>
      </c>
      <c r="H315" s="148" t="str" cm="1">
        <f t="array" ref="H315">IF(Table117821341[[#This Row],[Pos.]]="QB1",_xlfn.XLOOKUP(Table117821341[[#This Row],[Opp]],Table123[DEF],'2425'!$J$3:$J$34),"#N/A")</f>
        <v>#N/A</v>
      </c>
      <c r="I315" s="148" t="str" cm="1">
        <f t="array" ref="I315">IF(Table117821341[[#This Row],[Pos.]]="QB1",_xlfn.XLOOKUP(Table117821341[[#This Row],[Opp]],Table123[DEF],'2425'!$K$3:$K$34),"#N/A")</f>
        <v>#N/A</v>
      </c>
      <c r="J315" s="148" t="e" cm="1">
        <f t="array" ref="J31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5" s="148" t="e" cm="1">
        <f t="array" ref="K31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5" s="148" t="e" cm="1">
        <f t="array" ref="L31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5" s="148" t="e" cm="1">
        <f t="array" ref="M31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5" s="148" t="e" cm="1">
        <f t="array" ref="N31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5" s="149" t="str">
        <f>IF(Table117821341[[#This Row],[Pos.]]="QB1",_xlfn.XLOOKUP(Table117821341[[#This Row],[Opp]],Table123[DEF],Table123[P]),"#N/A")</f>
        <v>#N/A</v>
      </c>
      <c r="P315" s="149" t="str">
        <f>IF(Table117821341[[#This Row],[Pos.]]="QB1",_xlfn.XLOOKUP(Table117821341[[#This Row],[Opp]],Table123[DEF],Table123[P+R]),"#N/A")</f>
        <v>#N/A</v>
      </c>
      <c r="Q315" s="150" t="str">
        <f>IF(Table117821341[[#This Row],[Pos.]]="QB1",_xlfn.XLOOKUP(Table117821341[[#This Row],[Opp]],Table123[DEF],Table123[P TD]),"#N/A")</f>
        <v>#N/A</v>
      </c>
      <c r="R315" s="149" t="e" cm="1">
        <f t="array" ref="R31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5" s="150" t="e" cm="1">
        <f t="array" ref="S31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5" s="150" t="e" cm="1">
        <f t="array" ref="T31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5" s="150" t="e" cm="1">
        <f t="array" ref="U31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5" s="150" t="e" cm="1">
        <f t="array" ref="V31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5" s="148" t="e" cm="1">
        <f t="array" ref="W315">_xlfn.IFS(Table117821341[[#This Row],[Pos.]]="QB1",AVERAGE(G315,H315,I315,J315,N315),Table117821341[[#This Row],[Pos.]]="RB1",AVERAGE(J315,K315,N315),Table117821341[[#This Row],[Pos.]]="RB2",AVERAGE(J315,K315,N315),Table117821341[[#This Row],[Pos.]]="WR1",AVERAGE(L315,M315,N315),Table117821341[[#This Row],[Pos.]]="WR2",AVERAGE(L315,M315,N315),Table117821341[[#This Row],[Pos.]]="WR3",AVERAGE(L315,M315,N315),Table117821341[[#This Row],[Pos.]]="WR4",AVERAGE(L315,M315,N315),Table117821341[[#This Row],[Pos.]]="TE1",AVERAGE(L315,M315,N315),Table117821341[[#This Row],[Pos.]]="TE2",AVERAGE(L315,M315,N315),Table117821341[[#This Row],[Pos.]]="D/ST",AVERAGE(Table117821341[[#This Row],[*TD*]]))</f>
        <v>#N/A</v>
      </c>
      <c r="X315" s="94" t="e">
        <f t="shared" si="4"/>
        <v>#N/A</v>
      </c>
    </row>
    <row r="316" spans="2:24" hidden="1" x14ac:dyDescent="0.35">
      <c r="B316" s="6" t="s">
        <v>642</v>
      </c>
      <c r="C316" s="97" t="s">
        <v>38</v>
      </c>
      <c r="D316" s="97" t="s">
        <v>401</v>
      </c>
      <c r="E316" s="23" t="str" cm="1">
        <f t="array" ref="E316">_xlfn.XLOOKUP(Table117821341[[#This Row],[Team]],Table4334[Team],'2425'!$C$3:$C$34)</f>
        <v>n/a</v>
      </c>
      <c r="F316" s="97" t="str">
        <f>_xlfn.XLOOKUP(Table117821341[[#This Row],[Team]],Table4334[Team],Table4334[OPP])</f>
        <v>n/a</v>
      </c>
      <c r="G316" s="148" t="str" cm="1">
        <f t="array" ref="G316">IF(Table117821341[[#This Row],[Pos.]]="QB1",_xlfn.XLOOKUP(Table117821341[[#This Row],[Opp]],Table123[DEF],'2425'!$G$3:$G$34),"#N/A")</f>
        <v>#N/A</v>
      </c>
      <c r="H316" s="148" t="str" cm="1">
        <f t="array" ref="H316">IF(Table117821341[[#This Row],[Pos.]]="QB1",_xlfn.XLOOKUP(Table117821341[[#This Row],[Opp]],Table123[DEF],'2425'!$J$3:$J$34),"#N/A")</f>
        <v>#N/A</v>
      </c>
      <c r="I316" s="148" t="str" cm="1">
        <f t="array" ref="I316">IF(Table117821341[[#This Row],[Pos.]]="QB1",_xlfn.XLOOKUP(Table117821341[[#This Row],[Opp]],Table123[DEF],'2425'!$K$3:$K$34),"#N/A")</f>
        <v>#N/A</v>
      </c>
      <c r="J316" s="148" t="e" cm="1">
        <f t="array" ref="J31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6" s="148" t="e" cm="1">
        <f t="array" ref="K31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6" s="148" t="e" cm="1">
        <f t="array" ref="L31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6" s="148" t="e" cm="1">
        <f t="array" ref="M31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6" s="148" t="e" cm="1">
        <f t="array" ref="N31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6" s="149" t="str">
        <f>IF(Table117821341[[#This Row],[Pos.]]="QB1",_xlfn.XLOOKUP(Table117821341[[#This Row],[Opp]],Table123[DEF],Table123[P]),"#N/A")</f>
        <v>#N/A</v>
      </c>
      <c r="P316" s="149" t="str">
        <f>IF(Table117821341[[#This Row],[Pos.]]="QB1",_xlfn.XLOOKUP(Table117821341[[#This Row],[Opp]],Table123[DEF],Table123[P+R]),"#N/A")</f>
        <v>#N/A</v>
      </c>
      <c r="Q316" s="150" t="str">
        <f>IF(Table117821341[[#This Row],[Pos.]]="QB1",_xlfn.XLOOKUP(Table117821341[[#This Row],[Opp]],Table123[DEF],Table123[P TD]),"#N/A")</f>
        <v>#N/A</v>
      </c>
      <c r="R316" s="149" t="e" cm="1">
        <f t="array" ref="R31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6" s="150" t="e" cm="1">
        <f t="array" ref="S31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6" s="150" t="e" cm="1">
        <f t="array" ref="T31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6" s="150" t="e" cm="1">
        <f t="array" ref="U31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6" s="162" t="e" cm="1">
        <f t="array" ref="V31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6" s="148" t="e" cm="1">
        <f t="array" ref="W316">_xlfn.IFS(Table117821341[[#This Row],[Pos.]]="QB1",AVERAGE(G316,H316,I316,J316,N316),Table117821341[[#This Row],[Pos.]]="RB1",AVERAGE(J316,K316,N316),Table117821341[[#This Row],[Pos.]]="RB2",AVERAGE(J316,K316,N316),Table117821341[[#This Row],[Pos.]]="WR1",AVERAGE(L316,M316,N316),Table117821341[[#This Row],[Pos.]]="WR2",AVERAGE(L316,M316,N316),Table117821341[[#This Row],[Pos.]]="WR3",AVERAGE(L316,M316,N316),Table117821341[[#This Row],[Pos.]]="WR4",AVERAGE(L316,M316,N316),Table117821341[[#This Row],[Pos.]]="TE1",AVERAGE(L316,M316,N316),Table117821341[[#This Row],[Pos.]]="TE2",AVERAGE(L316,M316,N316),Table117821341[[#This Row],[Pos.]]="D/ST",AVERAGE(Table117821341[[#This Row],[*TD*]]))</f>
        <v>#N/A</v>
      </c>
      <c r="X316" s="94" t="e">
        <f t="shared" si="4"/>
        <v>#N/A</v>
      </c>
    </row>
    <row r="317" spans="2:24" hidden="1" x14ac:dyDescent="0.35">
      <c r="B317" s="6" t="s">
        <v>284</v>
      </c>
      <c r="C317" s="97" t="s">
        <v>44</v>
      </c>
      <c r="D317" s="97" t="s">
        <v>399</v>
      </c>
      <c r="E317" s="23" t="str" cm="1">
        <f t="array" ref="E317">_xlfn.XLOOKUP(Table117821341[[#This Row],[Team]],Table4334[Team],'2425'!$C$3:$C$34)</f>
        <v>n/a</v>
      </c>
      <c r="F317" s="97" t="str">
        <f>_xlfn.XLOOKUP(Table117821341[[#This Row],[Team]],Table4334[Team],Table4334[OPP])</f>
        <v>n/a</v>
      </c>
      <c r="G317" s="148" t="e" cm="1">
        <f t="array" ref="G317">IF(Table117821341[[#This Row],[Pos.]]="QB1",_xlfn.XLOOKUP(Table117821341[[#This Row],[Opp]],Table123[DEF],'2425'!$G$3:$G$34),"#N/A")</f>
        <v>#N/A</v>
      </c>
      <c r="H317" s="148" t="e" cm="1">
        <f t="array" ref="H317">IF(Table117821341[[#This Row],[Pos.]]="QB1",_xlfn.XLOOKUP(Table117821341[[#This Row],[Opp]],Table123[DEF],'2425'!$J$3:$J$34),"#N/A")</f>
        <v>#N/A</v>
      </c>
      <c r="I317" s="148" t="e" cm="1">
        <f t="array" ref="I317">IF(Table117821341[[#This Row],[Pos.]]="QB1",_xlfn.XLOOKUP(Table117821341[[#This Row],[Opp]],Table123[DEF],'2425'!$K$3:$K$34),"#N/A")</f>
        <v>#N/A</v>
      </c>
      <c r="J317" s="148" t="e" cm="1">
        <f t="array" ref="J31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7" s="148" t="e" cm="1">
        <f t="array" ref="K31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7" s="148" t="e" cm="1">
        <f t="array" ref="L31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7" s="148" t="e" cm="1">
        <f t="array" ref="M31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7" s="148" t="e" cm="1">
        <f t="array" ref="N31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7" s="149" t="e">
        <f>IF(Table117821341[[#This Row],[Pos.]]="QB1",_xlfn.XLOOKUP(Table117821341[[#This Row],[Opp]],Table123[DEF],Table123[P]),"#N/A")</f>
        <v>#N/A</v>
      </c>
      <c r="P317" s="149" t="e">
        <f>IF(Table117821341[[#This Row],[Pos.]]="QB1",_xlfn.XLOOKUP(Table117821341[[#This Row],[Opp]],Table123[DEF],Table123[P+R]),"#N/A")</f>
        <v>#N/A</v>
      </c>
      <c r="Q317" s="150" t="e">
        <f>IF(Table117821341[[#This Row],[Pos.]]="QB1",_xlfn.XLOOKUP(Table117821341[[#This Row],[Opp]],Table123[DEF],Table123[P TD]),"#N/A")</f>
        <v>#N/A</v>
      </c>
      <c r="R317" s="149" t="e" cm="1">
        <f t="array" ref="R31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7" s="150" t="e" cm="1">
        <f t="array" ref="S31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7" s="150" t="e" cm="1">
        <f t="array" ref="T31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7" s="150" t="e" cm="1">
        <f t="array" ref="U31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7" s="162" t="e" cm="1">
        <f t="array" ref="V31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7" s="148" t="e" cm="1">
        <f t="array" ref="W317">_xlfn.IFS(Table117821341[[#This Row],[Pos.]]="QB1",AVERAGE(G317,H317,I317,J317,N317),Table117821341[[#This Row],[Pos.]]="RB1",AVERAGE(J317,K317,N317),Table117821341[[#This Row],[Pos.]]="RB2",AVERAGE(J317,K317,N317),Table117821341[[#This Row],[Pos.]]="WR1",AVERAGE(L317,M317,N317),Table117821341[[#This Row],[Pos.]]="WR2",AVERAGE(L317,M317,N317),Table117821341[[#This Row],[Pos.]]="WR3",AVERAGE(L317,M317,N317),Table117821341[[#This Row],[Pos.]]="WR4",AVERAGE(L317,M317,N317),Table117821341[[#This Row],[Pos.]]="TE1",AVERAGE(L317,M317,N317),Table117821341[[#This Row],[Pos.]]="TE2",AVERAGE(L317,M317,N317),Table117821341[[#This Row],[Pos.]]="D/ST",AVERAGE(Table117821341[[#This Row],[*TD*]]))</f>
        <v>#N/A</v>
      </c>
      <c r="X317" s="94" t="e">
        <f t="shared" si="4"/>
        <v>#N/A</v>
      </c>
    </row>
    <row r="318" spans="2:24" hidden="1" x14ac:dyDescent="0.35">
      <c r="B318" s="6" t="s">
        <v>172</v>
      </c>
      <c r="C318" s="97" t="s">
        <v>43</v>
      </c>
      <c r="D318" s="97" t="s">
        <v>405</v>
      </c>
      <c r="E318" s="23" t="str" cm="1">
        <f t="array" ref="E318">_xlfn.XLOOKUP(Table117821341[[#This Row],[Team]],Table4334[Team],'2425'!$C$3:$C$34)</f>
        <v>n/a</v>
      </c>
      <c r="F318" s="97" t="str">
        <f>_xlfn.XLOOKUP(Table117821341[[#This Row],[Team]],Table4334[Team],Table4334[OPP])</f>
        <v>n/a</v>
      </c>
      <c r="G318" s="148" t="str" cm="1">
        <f t="array" ref="G318">IF(Table117821341[[#This Row],[Pos.]]="QB1",_xlfn.XLOOKUP(Table117821341[[#This Row],[Opp]],Table123[DEF],'2425'!$G$3:$G$34),"#N/A")</f>
        <v>#N/A</v>
      </c>
      <c r="H318" s="148" t="str" cm="1">
        <f t="array" ref="H318">IF(Table117821341[[#This Row],[Pos.]]="QB1",_xlfn.XLOOKUP(Table117821341[[#This Row],[Opp]],Table123[DEF],'2425'!$J$3:$J$34),"#N/A")</f>
        <v>#N/A</v>
      </c>
      <c r="I318" s="148" t="str" cm="1">
        <f t="array" ref="I318">IF(Table117821341[[#This Row],[Pos.]]="QB1",_xlfn.XLOOKUP(Table117821341[[#This Row],[Opp]],Table123[DEF],'2425'!$K$3:$K$34),"#N/A")</f>
        <v>#N/A</v>
      </c>
      <c r="J318" s="148" t="e" cm="1">
        <f t="array" ref="J31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8" s="148" t="e" cm="1">
        <f t="array" ref="K31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8" s="148" t="e" cm="1">
        <f t="array" ref="L31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8" s="148" t="e" cm="1">
        <f t="array" ref="M31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8" s="148" t="e" cm="1">
        <f t="array" ref="N31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8" s="149" t="str">
        <f>IF(Table117821341[[#This Row],[Pos.]]="QB1",_xlfn.XLOOKUP(Table117821341[[#This Row],[Opp]],Table123[DEF],Table123[P]),"#N/A")</f>
        <v>#N/A</v>
      </c>
      <c r="P318" s="149" t="str">
        <f>IF(Table117821341[[#This Row],[Pos.]]="QB1",_xlfn.XLOOKUP(Table117821341[[#This Row],[Opp]],Table123[DEF],Table123[P+R]),"#N/A")</f>
        <v>#N/A</v>
      </c>
      <c r="Q318" s="150" t="str">
        <f>IF(Table117821341[[#This Row],[Pos.]]="QB1",_xlfn.XLOOKUP(Table117821341[[#This Row],[Opp]],Table123[DEF],Table123[P TD]),"#N/A")</f>
        <v>#N/A</v>
      </c>
      <c r="R318" s="149" t="e" cm="1">
        <f t="array" ref="R31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8" s="150" t="e" cm="1">
        <f t="array" ref="S31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8" s="150" t="e" cm="1">
        <f t="array" ref="T31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8" s="150" t="e" cm="1">
        <f t="array" ref="U31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8" s="150" t="e" cm="1">
        <f t="array" ref="V31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8" s="148" t="e" cm="1">
        <f t="array" ref="W318">_xlfn.IFS(Table117821341[[#This Row],[Pos.]]="QB1",AVERAGE(G318,H318,I318,J318,N318),Table117821341[[#This Row],[Pos.]]="RB1",AVERAGE(J318,K318,N318),Table117821341[[#This Row],[Pos.]]="RB2",AVERAGE(J318,K318,N318),Table117821341[[#This Row],[Pos.]]="WR1",AVERAGE(L318,M318,N318),Table117821341[[#This Row],[Pos.]]="WR2",AVERAGE(L318,M318,N318),Table117821341[[#This Row],[Pos.]]="WR3",AVERAGE(L318,M318,N318),Table117821341[[#This Row],[Pos.]]="WR4",AVERAGE(L318,M318,N318),Table117821341[[#This Row],[Pos.]]="TE1",AVERAGE(L318,M318,N318),Table117821341[[#This Row],[Pos.]]="TE2",AVERAGE(L318,M318,N318),Table117821341[[#This Row],[Pos.]]="D/ST",AVERAGE(Table117821341[[#This Row],[*TD*]]))</f>
        <v>#N/A</v>
      </c>
      <c r="X318" s="94" t="e">
        <f t="shared" si="4"/>
        <v>#N/A</v>
      </c>
    </row>
    <row r="319" spans="2:24" hidden="1" x14ac:dyDescent="0.35">
      <c r="B319" s="6" t="s">
        <v>565</v>
      </c>
      <c r="C319" s="97" t="s">
        <v>43</v>
      </c>
      <c r="D319" s="97" t="s">
        <v>425</v>
      </c>
      <c r="E319" s="23" t="str" cm="1">
        <f t="array" ref="E319">_xlfn.XLOOKUP(Table117821341[[#This Row],[Team]],Table4334[Team],'2425'!$C$3:$C$34)</f>
        <v>n/a</v>
      </c>
      <c r="F319" s="97" t="str">
        <f>_xlfn.XLOOKUP(Table117821341[[#This Row],[Team]],Table4334[Team],Table4334[OPP])</f>
        <v>n/a</v>
      </c>
      <c r="G319" s="148" t="str" cm="1">
        <f t="array" ref="G319">IF(Table117821341[[#This Row],[Pos.]]="QB1",_xlfn.XLOOKUP(Table117821341[[#This Row],[Opp]],Table123[DEF],'2425'!$G$3:$G$34),"#N/A")</f>
        <v>#N/A</v>
      </c>
      <c r="H319" s="148" t="str" cm="1">
        <f t="array" ref="H319">IF(Table117821341[[#This Row],[Pos.]]="QB1",_xlfn.XLOOKUP(Table117821341[[#This Row],[Opp]],Table123[DEF],'2425'!$J$3:$J$34),"#N/A")</f>
        <v>#N/A</v>
      </c>
      <c r="I319" s="148" t="str" cm="1">
        <f t="array" ref="I319">IF(Table117821341[[#This Row],[Pos.]]="QB1",_xlfn.XLOOKUP(Table117821341[[#This Row],[Opp]],Table123[DEF],'2425'!$K$3:$K$34),"#N/A")</f>
        <v>#N/A</v>
      </c>
      <c r="J319" s="148" t="e" cm="1">
        <f t="array" ref="J31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19" s="148" t="e" cm="1">
        <f t="array" ref="K31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19" s="148" t="e" cm="1">
        <f t="array" ref="L31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19" s="148" t="e" cm="1">
        <f t="array" ref="M31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19" s="148" t="e" cm="1">
        <f t="array" ref="N31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19" s="149" t="str">
        <f>IF(Table117821341[[#This Row],[Pos.]]="QB1",_xlfn.XLOOKUP(Table117821341[[#This Row],[Opp]],Table123[DEF],Table123[P]),"#N/A")</f>
        <v>#N/A</v>
      </c>
      <c r="P319" s="149" t="str">
        <f>IF(Table117821341[[#This Row],[Pos.]]="QB1",_xlfn.XLOOKUP(Table117821341[[#This Row],[Opp]],Table123[DEF],Table123[P+R]),"#N/A")</f>
        <v>#N/A</v>
      </c>
      <c r="Q319" s="150" t="str">
        <f>IF(Table117821341[[#This Row],[Pos.]]="QB1",_xlfn.XLOOKUP(Table117821341[[#This Row],[Opp]],Table123[DEF],Table123[P TD]),"#N/A")</f>
        <v>#N/A</v>
      </c>
      <c r="R319" s="149" t="e" cm="1">
        <f t="array" ref="R31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19" s="150" t="e" cm="1">
        <f t="array" ref="S31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19" s="150" t="e" cm="1">
        <f t="array" ref="T31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19" s="150" t="e" cm="1">
        <f t="array" ref="U31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19" s="150" t="e" cm="1">
        <f t="array" ref="V31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19" s="148" t="e" cm="1">
        <f t="array" ref="W319">_xlfn.IFS(Table117821341[[#This Row],[Pos.]]="QB1",AVERAGE(G319,H319,I319,J319,N319),Table117821341[[#This Row],[Pos.]]="RB1",AVERAGE(J319,K319,N319),Table117821341[[#This Row],[Pos.]]="RB2",AVERAGE(J319,K319,N319),Table117821341[[#This Row],[Pos.]]="WR1",AVERAGE(L319,M319,N319),Table117821341[[#This Row],[Pos.]]="WR2",AVERAGE(L319,M319,N319),Table117821341[[#This Row],[Pos.]]="WR3",AVERAGE(L319,M319,N319),Table117821341[[#This Row],[Pos.]]="WR4",AVERAGE(L319,M319,N319),Table117821341[[#This Row],[Pos.]]="TE1",AVERAGE(L319,M319,N319),Table117821341[[#This Row],[Pos.]]="TE2",AVERAGE(L319,M319,N319),Table117821341[[#This Row],[Pos.]]="D/ST",AVERAGE(Table117821341[[#This Row],[*TD*]]))</f>
        <v>#N/A</v>
      </c>
      <c r="X319" s="94" t="e">
        <f t="shared" si="4"/>
        <v>#N/A</v>
      </c>
    </row>
    <row r="320" spans="2:24" hidden="1" x14ac:dyDescent="0.35">
      <c r="B320" s="6" t="s">
        <v>409</v>
      </c>
      <c r="C320" s="97" t="s">
        <v>44</v>
      </c>
      <c r="D320" s="97" t="s">
        <v>401</v>
      </c>
      <c r="E320" s="23" t="str" cm="1">
        <f t="array" ref="E320">_xlfn.XLOOKUP(Table117821341[[#This Row],[Team]],Table4334[Team],'2425'!$C$3:$C$34)</f>
        <v>n/a</v>
      </c>
      <c r="F320" s="97" t="str">
        <f>_xlfn.XLOOKUP(Table117821341[[#This Row],[Team]],Table4334[Team],Table4334[OPP])</f>
        <v>n/a</v>
      </c>
      <c r="G320" s="148" t="str" cm="1">
        <f t="array" ref="G320">IF(Table117821341[[#This Row],[Pos.]]="QB1",_xlfn.XLOOKUP(Table117821341[[#This Row],[Opp]],Table123[DEF],'2425'!$G$3:$G$34),"#N/A")</f>
        <v>#N/A</v>
      </c>
      <c r="H320" s="148" t="str" cm="1">
        <f t="array" ref="H320">IF(Table117821341[[#This Row],[Pos.]]="QB1",_xlfn.XLOOKUP(Table117821341[[#This Row],[Opp]],Table123[DEF],'2425'!$J$3:$J$34),"#N/A")</f>
        <v>#N/A</v>
      </c>
      <c r="I320" s="148" t="str" cm="1">
        <f t="array" ref="I320">IF(Table117821341[[#This Row],[Pos.]]="QB1",_xlfn.XLOOKUP(Table117821341[[#This Row],[Opp]],Table123[DEF],'2425'!$K$3:$K$34),"#N/A")</f>
        <v>#N/A</v>
      </c>
      <c r="J320" s="148" t="e" cm="1">
        <f t="array" ref="J32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0" s="148" t="e" cm="1">
        <f t="array" ref="K32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0" s="148" t="e" cm="1">
        <f t="array" ref="L32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0" s="148" t="e" cm="1">
        <f t="array" ref="M32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0" s="148" t="e" cm="1">
        <f t="array" ref="N32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0" s="149" t="str">
        <f>IF(Table117821341[[#This Row],[Pos.]]="QB1",_xlfn.XLOOKUP(Table117821341[[#This Row],[Opp]],Table123[DEF],Table123[P]),"#N/A")</f>
        <v>#N/A</v>
      </c>
      <c r="P320" s="149" t="str">
        <f>IF(Table117821341[[#This Row],[Pos.]]="QB1",_xlfn.XLOOKUP(Table117821341[[#This Row],[Opp]],Table123[DEF],Table123[P+R]),"#N/A")</f>
        <v>#N/A</v>
      </c>
      <c r="Q320" s="150" t="str">
        <f>IF(Table117821341[[#This Row],[Pos.]]="QB1",_xlfn.XLOOKUP(Table117821341[[#This Row],[Opp]],Table123[DEF],Table123[P TD]),"#N/A")</f>
        <v>#N/A</v>
      </c>
      <c r="R320" s="149" t="e" cm="1">
        <f t="array" ref="R32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0" s="150" t="e" cm="1">
        <f t="array" ref="S32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0" s="150" t="e" cm="1">
        <f t="array" ref="T32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0" s="150" t="e" cm="1">
        <f t="array" ref="U32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0" s="162" t="e" cm="1">
        <f t="array" ref="V32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0" s="148" t="e" cm="1">
        <f t="array" ref="W320">_xlfn.IFS(Table117821341[[#This Row],[Pos.]]="QB1",AVERAGE(G320,H320,I320,J320,N320),Table117821341[[#This Row],[Pos.]]="RB1",AVERAGE(J320,K320,N320),Table117821341[[#This Row],[Pos.]]="RB2",AVERAGE(J320,K320,N320),Table117821341[[#This Row],[Pos.]]="WR1",AVERAGE(L320,M320,N320),Table117821341[[#This Row],[Pos.]]="WR2",AVERAGE(L320,M320,N320),Table117821341[[#This Row],[Pos.]]="WR3",AVERAGE(L320,M320,N320),Table117821341[[#This Row],[Pos.]]="WR4",AVERAGE(L320,M320,N320),Table117821341[[#This Row],[Pos.]]="TE1",AVERAGE(L320,M320,N320),Table117821341[[#This Row],[Pos.]]="TE2",AVERAGE(L320,M320,N320),Table117821341[[#This Row],[Pos.]]="D/ST",AVERAGE(Table117821341[[#This Row],[*TD*]]))</f>
        <v>#N/A</v>
      </c>
      <c r="X320" s="94" t="e">
        <f t="shared" si="4"/>
        <v>#N/A</v>
      </c>
    </row>
    <row r="321" spans="2:24" hidden="1" x14ac:dyDescent="0.35">
      <c r="B321" s="6" t="s">
        <v>277</v>
      </c>
      <c r="C321" s="97" t="s">
        <v>43</v>
      </c>
      <c r="D321" s="97" t="s">
        <v>394</v>
      </c>
      <c r="E321" s="23" t="str" cm="1">
        <f t="array" ref="E321">_xlfn.XLOOKUP(Table117821341[[#This Row],[Team]],Table4334[Team],'2425'!$C$3:$C$34)</f>
        <v>n/a</v>
      </c>
      <c r="F321" s="97" t="str">
        <f>_xlfn.XLOOKUP(Table117821341[[#This Row],[Team]],Table4334[Team],Table4334[OPP])</f>
        <v>n/a</v>
      </c>
      <c r="G321" s="148" t="str" cm="1">
        <f t="array" ref="G321">IF(Table117821341[[#This Row],[Pos.]]="QB1",_xlfn.XLOOKUP(Table117821341[[#This Row],[Opp]],Table123[DEF],'2425'!$G$3:$G$34),"#N/A")</f>
        <v>#N/A</v>
      </c>
      <c r="H321" s="148" t="str" cm="1">
        <f t="array" ref="H321">IF(Table117821341[[#This Row],[Pos.]]="QB1",_xlfn.XLOOKUP(Table117821341[[#This Row],[Opp]],Table123[DEF],'2425'!$J$3:$J$34),"#N/A")</f>
        <v>#N/A</v>
      </c>
      <c r="I321" s="148" t="str" cm="1">
        <f t="array" ref="I321">IF(Table117821341[[#This Row],[Pos.]]="QB1",_xlfn.XLOOKUP(Table117821341[[#This Row],[Opp]],Table123[DEF],'2425'!$K$3:$K$34),"#N/A")</f>
        <v>#N/A</v>
      </c>
      <c r="J321" s="148" t="e" cm="1">
        <f t="array" ref="J32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1" s="148" t="e" cm="1">
        <f t="array" ref="K32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1" s="148" t="e" cm="1">
        <f t="array" ref="L32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1" s="148" t="e" cm="1">
        <f t="array" ref="M32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1" s="148" t="e" cm="1">
        <f t="array" ref="N32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1" s="149" t="str">
        <f>IF(Table117821341[[#This Row],[Pos.]]="QB1",_xlfn.XLOOKUP(Table117821341[[#This Row],[Opp]],Table123[DEF],Table123[P]),"#N/A")</f>
        <v>#N/A</v>
      </c>
      <c r="P321" s="149" t="str">
        <f>IF(Table117821341[[#This Row],[Pos.]]="QB1",_xlfn.XLOOKUP(Table117821341[[#This Row],[Opp]],Table123[DEF],Table123[P+R]),"#N/A")</f>
        <v>#N/A</v>
      </c>
      <c r="Q321" s="150" t="str">
        <f>IF(Table117821341[[#This Row],[Pos.]]="QB1",_xlfn.XLOOKUP(Table117821341[[#This Row],[Opp]],Table123[DEF],Table123[P TD]),"#N/A")</f>
        <v>#N/A</v>
      </c>
      <c r="R321" s="149" t="e" cm="1">
        <f t="array" ref="R32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1" s="150" t="e" cm="1">
        <f t="array" ref="S32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1" s="150" t="e" cm="1">
        <f t="array" ref="T32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1" s="150" t="e" cm="1">
        <f t="array" ref="U32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1" s="150" t="e" cm="1">
        <f t="array" ref="V32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1" s="148" t="e" cm="1">
        <f t="array" ref="W321">_xlfn.IFS(Table117821341[[#This Row],[Pos.]]="QB1",AVERAGE(G321,H321,I321,J321,N321),Table117821341[[#This Row],[Pos.]]="RB1",AVERAGE(J321,K321,N321),Table117821341[[#This Row],[Pos.]]="RB2",AVERAGE(J321,K321,N321),Table117821341[[#This Row],[Pos.]]="WR1",AVERAGE(L321,M321,N321),Table117821341[[#This Row],[Pos.]]="WR2",AVERAGE(L321,M321,N321),Table117821341[[#This Row],[Pos.]]="WR3",AVERAGE(L321,M321,N321),Table117821341[[#This Row],[Pos.]]="WR4",AVERAGE(L321,M321,N321),Table117821341[[#This Row],[Pos.]]="TE1",AVERAGE(L321,M321,N321),Table117821341[[#This Row],[Pos.]]="TE2",AVERAGE(L321,M321,N321),Table117821341[[#This Row],[Pos.]]="D/ST",AVERAGE(Table117821341[[#This Row],[*TD*]]))</f>
        <v>#N/A</v>
      </c>
      <c r="X321" s="94" t="e">
        <f t="shared" si="4"/>
        <v>#N/A</v>
      </c>
    </row>
    <row r="322" spans="2:24" hidden="1" x14ac:dyDescent="0.35">
      <c r="B322" s="6" t="s">
        <v>566</v>
      </c>
      <c r="C322" s="97" t="s">
        <v>43</v>
      </c>
      <c r="D322" s="97" t="s">
        <v>396</v>
      </c>
      <c r="E322" s="23" t="str" cm="1">
        <f t="array" ref="E322">_xlfn.XLOOKUP(Table117821341[[#This Row],[Team]],Table4334[Team],'2425'!$C$3:$C$34)</f>
        <v>n/a</v>
      </c>
      <c r="F322" s="97" t="str">
        <f>_xlfn.XLOOKUP(Table117821341[[#This Row],[Team]],Table4334[Team],Table4334[OPP])</f>
        <v>n/a</v>
      </c>
      <c r="G322" s="148" t="str" cm="1">
        <f t="array" ref="G322">IF(Table117821341[[#This Row],[Pos.]]="QB1",_xlfn.XLOOKUP(Table117821341[[#This Row],[Opp]],Table123[DEF],'2425'!$G$3:$G$34),"#N/A")</f>
        <v>#N/A</v>
      </c>
      <c r="H322" s="148" t="str" cm="1">
        <f t="array" ref="H322">IF(Table117821341[[#This Row],[Pos.]]="QB1",_xlfn.XLOOKUP(Table117821341[[#This Row],[Opp]],Table123[DEF],'2425'!$J$3:$J$34),"#N/A")</f>
        <v>#N/A</v>
      </c>
      <c r="I322" s="148" t="str" cm="1">
        <f t="array" ref="I322">IF(Table117821341[[#This Row],[Pos.]]="QB1",_xlfn.XLOOKUP(Table117821341[[#This Row],[Opp]],Table123[DEF],'2425'!$K$3:$K$34),"#N/A")</f>
        <v>#N/A</v>
      </c>
      <c r="J322" s="148" t="e" cm="1">
        <f t="array" ref="J32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2" s="148" t="e" cm="1">
        <f t="array" ref="K32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2" s="148" t="e" cm="1">
        <f t="array" ref="L32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2" s="148" t="e" cm="1">
        <f t="array" ref="M32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2" s="148" t="e" cm="1">
        <f t="array" ref="N32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2" s="149" t="str">
        <f>IF(Table117821341[[#This Row],[Pos.]]="QB1",_xlfn.XLOOKUP(Table117821341[[#This Row],[Opp]],Table123[DEF],Table123[P]),"#N/A")</f>
        <v>#N/A</v>
      </c>
      <c r="P322" s="149" t="str">
        <f>IF(Table117821341[[#This Row],[Pos.]]="QB1",_xlfn.XLOOKUP(Table117821341[[#This Row],[Opp]],Table123[DEF],Table123[P+R]),"#N/A")</f>
        <v>#N/A</v>
      </c>
      <c r="Q322" s="150" t="str">
        <f>IF(Table117821341[[#This Row],[Pos.]]="QB1",_xlfn.XLOOKUP(Table117821341[[#This Row],[Opp]],Table123[DEF],Table123[P TD]),"#N/A")</f>
        <v>#N/A</v>
      </c>
      <c r="R322" s="149" t="e" cm="1">
        <f t="array" ref="R32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2" s="150" t="e" cm="1">
        <f t="array" ref="S32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2" s="150" t="e" cm="1">
        <f t="array" ref="T32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2" s="150" t="e" cm="1">
        <f t="array" ref="U32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2" s="150" t="e" cm="1">
        <f t="array" ref="V32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2" s="148" t="e" cm="1">
        <f t="array" ref="W322">_xlfn.IFS(Table117821341[[#This Row],[Pos.]]="QB1",AVERAGE(G322,H322,I322,J322,N322),Table117821341[[#This Row],[Pos.]]="RB1",AVERAGE(J322,K322,N322),Table117821341[[#This Row],[Pos.]]="RB2",AVERAGE(J322,K322,N322),Table117821341[[#This Row],[Pos.]]="WR1",AVERAGE(L322,M322,N322),Table117821341[[#This Row],[Pos.]]="WR2",AVERAGE(L322,M322,N322),Table117821341[[#This Row],[Pos.]]="WR3",AVERAGE(L322,M322,N322),Table117821341[[#This Row],[Pos.]]="WR4",AVERAGE(L322,M322,N322),Table117821341[[#This Row],[Pos.]]="TE1",AVERAGE(L322,M322,N322),Table117821341[[#This Row],[Pos.]]="TE2",AVERAGE(L322,M322,N322),Table117821341[[#This Row],[Pos.]]="D/ST",AVERAGE(Table117821341[[#This Row],[*TD*]]))</f>
        <v>#N/A</v>
      </c>
      <c r="X322" s="94" t="e">
        <f t="shared" si="4"/>
        <v>#N/A</v>
      </c>
    </row>
    <row r="323" spans="2:24" hidden="1" x14ac:dyDescent="0.35">
      <c r="B323" s="6" t="s">
        <v>567</v>
      </c>
      <c r="C323" s="97" t="s">
        <v>43</v>
      </c>
      <c r="D323" s="97" t="s">
        <v>407</v>
      </c>
      <c r="E323" s="23" t="str" cm="1">
        <f t="array" ref="E323">_xlfn.XLOOKUP(Table117821341[[#This Row],[Team]],Table4334[Team],'2425'!$C$3:$C$34)</f>
        <v>n/a</v>
      </c>
      <c r="F323" s="97" t="str">
        <f>_xlfn.XLOOKUP(Table117821341[[#This Row],[Team]],Table4334[Team],Table4334[OPP])</f>
        <v>n/a</v>
      </c>
      <c r="G323" s="148" t="str" cm="1">
        <f t="array" ref="G323">IF(Table117821341[[#This Row],[Pos.]]="QB1",_xlfn.XLOOKUP(Table117821341[[#This Row],[Opp]],Table123[DEF],'2425'!$G$3:$G$34),"#N/A")</f>
        <v>#N/A</v>
      </c>
      <c r="H323" s="148" t="str" cm="1">
        <f t="array" ref="H323">IF(Table117821341[[#This Row],[Pos.]]="QB1",_xlfn.XLOOKUP(Table117821341[[#This Row],[Opp]],Table123[DEF],'2425'!$J$3:$J$34),"#N/A")</f>
        <v>#N/A</v>
      </c>
      <c r="I323" s="148" t="str" cm="1">
        <f t="array" ref="I323">IF(Table117821341[[#This Row],[Pos.]]="QB1",_xlfn.XLOOKUP(Table117821341[[#This Row],[Opp]],Table123[DEF],'2425'!$K$3:$K$34),"#N/A")</f>
        <v>#N/A</v>
      </c>
      <c r="J323" s="148" t="e" cm="1">
        <f t="array" ref="J32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3" s="148" t="e" cm="1">
        <f t="array" ref="K32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3" s="148" t="e" cm="1">
        <f t="array" ref="L32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3" s="148" t="e" cm="1">
        <f t="array" ref="M32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3" s="148" t="e" cm="1">
        <f t="array" ref="N32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3" s="149" t="str">
        <f>IF(Table117821341[[#This Row],[Pos.]]="QB1",_xlfn.XLOOKUP(Table117821341[[#This Row],[Opp]],Table123[DEF],Table123[P]),"#N/A")</f>
        <v>#N/A</v>
      </c>
      <c r="P323" s="149" t="str">
        <f>IF(Table117821341[[#This Row],[Pos.]]="QB1",_xlfn.XLOOKUP(Table117821341[[#This Row],[Opp]],Table123[DEF],Table123[P+R]),"#N/A")</f>
        <v>#N/A</v>
      </c>
      <c r="Q323" s="150" t="str">
        <f>IF(Table117821341[[#This Row],[Pos.]]="QB1",_xlfn.XLOOKUP(Table117821341[[#This Row],[Opp]],Table123[DEF],Table123[P TD]),"#N/A")</f>
        <v>#N/A</v>
      </c>
      <c r="R323" s="149" t="e" cm="1">
        <f t="array" ref="R32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3" s="150" t="e" cm="1">
        <f t="array" ref="S32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3" s="150" t="e" cm="1">
        <f t="array" ref="T32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3" s="150" t="e" cm="1">
        <f t="array" ref="U32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3" s="150" t="e" cm="1">
        <f t="array" ref="V32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3" s="148" t="e" cm="1">
        <f t="array" ref="W323">_xlfn.IFS(Table117821341[[#This Row],[Pos.]]="QB1",AVERAGE(G323,H323,I323,J323,N323),Table117821341[[#This Row],[Pos.]]="RB1",AVERAGE(J323,K323,N323),Table117821341[[#This Row],[Pos.]]="RB2",AVERAGE(J323,K323,N323),Table117821341[[#This Row],[Pos.]]="WR1",AVERAGE(L323,M323,N323),Table117821341[[#This Row],[Pos.]]="WR2",AVERAGE(L323,M323,N323),Table117821341[[#This Row],[Pos.]]="WR3",AVERAGE(L323,M323,N323),Table117821341[[#This Row],[Pos.]]="WR4",AVERAGE(L323,M323,N323),Table117821341[[#This Row],[Pos.]]="TE1",AVERAGE(L323,M323,N323),Table117821341[[#This Row],[Pos.]]="TE2",AVERAGE(L323,M323,N323),Table117821341[[#This Row],[Pos.]]="D/ST",AVERAGE(Table117821341[[#This Row],[*TD*]]))</f>
        <v>#N/A</v>
      </c>
      <c r="X323" s="94" t="e">
        <f t="shared" ref="X323:X350" si="5">AVERAGE(N323,W323)</f>
        <v>#N/A</v>
      </c>
    </row>
    <row r="324" spans="2:24" hidden="1" x14ac:dyDescent="0.35">
      <c r="B324" s="6" t="s">
        <v>729</v>
      </c>
      <c r="C324" s="97" t="s">
        <v>48</v>
      </c>
      <c r="D324" s="97" t="s">
        <v>71</v>
      </c>
      <c r="E324" s="23" t="str" cm="1">
        <f t="array" ref="E324">_xlfn.XLOOKUP(Table117821341[[#This Row],[Team]],Table4334[Team],'2425'!$C$3:$C$34)</f>
        <v>n/a</v>
      </c>
      <c r="F324" s="97" t="str">
        <f>_xlfn.XLOOKUP(Table117821341[[#This Row],[Team]],Table4334[Team],Table4334[OPP])</f>
        <v>n/a</v>
      </c>
      <c r="G324" s="148" t="str" cm="1">
        <f t="array" ref="G324">IF(Table117821341[[#This Row],[Pos.]]="QB1",_xlfn.XLOOKUP(Table117821341[[#This Row],[Opp]],Table123[DEF],'2425'!$G$3:$G$34),"#N/A")</f>
        <v>#N/A</v>
      </c>
      <c r="H324" s="148" t="str" cm="1">
        <f t="array" ref="H324">IF(Table117821341[[#This Row],[Pos.]]="QB1",_xlfn.XLOOKUP(Table117821341[[#This Row],[Opp]],Table123[DEF],'2425'!$J$3:$J$34),"#N/A")</f>
        <v>#N/A</v>
      </c>
      <c r="I324" s="148" t="str" cm="1">
        <f t="array" ref="I324">IF(Table117821341[[#This Row],[Pos.]]="QB1",_xlfn.XLOOKUP(Table117821341[[#This Row],[Opp]],Table123[DEF],'2425'!$K$3:$K$34),"#N/A")</f>
        <v>#N/A</v>
      </c>
      <c r="J324" s="148" t="e" cm="1">
        <f t="array" ref="J32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4" s="148" t="e" cm="1">
        <f t="array" ref="K32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4" s="148" t="e" cm="1">
        <f t="array" ref="L32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4" s="148" t="e" cm="1">
        <f t="array" ref="M32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4" s="148" t="e" cm="1">
        <f t="array" ref="N32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4" s="149" t="str">
        <f>IF(Table117821341[[#This Row],[Pos.]]="QB1",_xlfn.XLOOKUP(Table117821341[[#This Row],[Opp]],Table123[DEF],Table123[P]),"#N/A")</f>
        <v>#N/A</v>
      </c>
      <c r="P324" s="149" t="str">
        <f>IF(Table117821341[[#This Row],[Pos.]]="QB1",_xlfn.XLOOKUP(Table117821341[[#This Row],[Opp]],Table123[DEF],Table123[P+R]),"#N/A")</f>
        <v>#N/A</v>
      </c>
      <c r="Q324" s="150" t="str">
        <f>IF(Table117821341[[#This Row],[Pos.]]="QB1",_xlfn.XLOOKUP(Table117821341[[#This Row],[Opp]],Table123[DEF],Table123[P TD]),"#N/A")</f>
        <v>#N/A</v>
      </c>
      <c r="R324" s="149" t="e" cm="1">
        <f t="array" ref="R32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4" s="150" t="e" cm="1">
        <f t="array" ref="S32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4" s="150" t="e" cm="1">
        <f t="array" ref="T32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4" s="150" t="e" cm="1">
        <f t="array" ref="U32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4" s="162" t="e" cm="1">
        <f t="array" ref="V32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4" s="148" t="e" cm="1">
        <f t="array" ref="W324">_xlfn.IFS(Table117821341[[#This Row],[Pos.]]="QB1",AVERAGE(G324,H324,I324,J324,N324),Table117821341[[#This Row],[Pos.]]="RB1",AVERAGE(J324,K324,N324),Table117821341[[#This Row],[Pos.]]="RB2",AVERAGE(J324,K324,N324),Table117821341[[#This Row],[Pos.]]="WR1",AVERAGE(L324,M324,N324),Table117821341[[#This Row],[Pos.]]="WR2",AVERAGE(L324,M324,N324),Table117821341[[#This Row],[Pos.]]="WR3",AVERAGE(L324,M324,N324),Table117821341[[#This Row],[Pos.]]="WR4",AVERAGE(L324,M324,N324),Table117821341[[#This Row],[Pos.]]="TE1",AVERAGE(L324,M324,N324),Table117821341[[#This Row],[Pos.]]="TE2",AVERAGE(L324,M324,N324),Table117821341[[#This Row],[Pos.]]="D/ST",AVERAGE(Table117821341[[#This Row],[*TD*]]))</f>
        <v>#N/A</v>
      </c>
      <c r="X324" s="94" t="e">
        <f t="shared" si="5"/>
        <v>#N/A</v>
      </c>
    </row>
    <row r="325" spans="2:24" hidden="1" x14ac:dyDescent="0.35">
      <c r="B325" s="6" t="s">
        <v>279</v>
      </c>
      <c r="C325" s="97" t="s">
        <v>43</v>
      </c>
      <c r="D325" s="97" t="s">
        <v>398</v>
      </c>
      <c r="E325" s="23" t="str" cm="1">
        <f t="array" ref="E325">_xlfn.XLOOKUP(Table117821341[[#This Row],[Team]],Table4334[Team],'2425'!$C$3:$C$34)</f>
        <v>n/a</v>
      </c>
      <c r="F325" s="97" t="str">
        <f>_xlfn.XLOOKUP(Table117821341[[#This Row],[Team]],Table4334[Team],Table4334[OPP])</f>
        <v>n/a</v>
      </c>
      <c r="G325" s="148" t="str" cm="1">
        <f t="array" ref="G325">IF(Table117821341[[#This Row],[Pos.]]="QB1",_xlfn.XLOOKUP(Table117821341[[#This Row],[Opp]],Table123[DEF],'2425'!$G$3:$G$34),"#N/A")</f>
        <v>#N/A</v>
      </c>
      <c r="H325" s="148" t="str" cm="1">
        <f t="array" ref="H325">IF(Table117821341[[#This Row],[Pos.]]="QB1",_xlfn.XLOOKUP(Table117821341[[#This Row],[Opp]],Table123[DEF],'2425'!$J$3:$J$34),"#N/A")</f>
        <v>#N/A</v>
      </c>
      <c r="I325" s="148" t="str" cm="1">
        <f t="array" ref="I325">IF(Table117821341[[#This Row],[Pos.]]="QB1",_xlfn.XLOOKUP(Table117821341[[#This Row],[Opp]],Table123[DEF],'2425'!$K$3:$K$34),"#N/A")</f>
        <v>#N/A</v>
      </c>
      <c r="J325" s="148" t="e" cm="1">
        <f t="array" ref="J32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5" s="148" t="e" cm="1">
        <f t="array" ref="K32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5" s="148" t="e" cm="1">
        <f t="array" ref="L32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5" s="148" t="e" cm="1">
        <f t="array" ref="M32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5" s="148" t="e" cm="1">
        <f t="array" ref="N32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5" s="149" t="str">
        <f>IF(Table117821341[[#This Row],[Pos.]]="QB1",_xlfn.XLOOKUP(Table117821341[[#This Row],[Opp]],Table123[DEF],Table123[P]),"#N/A")</f>
        <v>#N/A</v>
      </c>
      <c r="P325" s="149" t="str">
        <f>IF(Table117821341[[#This Row],[Pos.]]="QB1",_xlfn.XLOOKUP(Table117821341[[#This Row],[Opp]],Table123[DEF],Table123[P+R]),"#N/A")</f>
        <v>#N/A</v>
      </c>
      <c r="Q325" s="150" t="str">
        <f>IF(Table117821341[[#This Row],[Pos.]]="QB1",_xlfn.XLOOKUP(Table117821341[[#This Row],[Opp]],Table123[DEF],Table123[P TD]),"#N/A")</f>
        <v>#N/A</v>
      </c>
      <c r="R325" s="149" t="e" cm="1">
        <f t="array" ref="R32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5" s="150" t="e" cm="1">
        <f t="array" ref="S32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5" s="150" t="e" cm="1">
        <f t="array" ref="T32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5" s="150" t="e" cm="1">
        <f t="array" ref="U32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5" s="150" t="e" cm="1">
        <f t="array" ref="V32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5" s="148" t="e" cm="1">
        <f t="array" ref="W325">_xlfn.IFS(Table117821341[[#This Row],[Pos.]]="QB1",AVERAGE(G325,H325,I325,J325,N325),Table117821341[[#This Row],[Pos.]]="RB1",AVERAGE(J325,K325,N325),Table117821341[[#This Row],[Pos.]]="RB2",AVERAGE(J325,K325,N325),Table117821341[[#This Row],[Pos.]]="WR1",AVERAGE(L325,M325,N325),Table117821341[[#This Row],[Pos.]]="WR2",AVERAGE(L325,M325,N325),Table117821341[[#This Row],[Pos.]]="WR3",AVERAGE(L325,M325,N325),Table117821341[[#This Row],[Pos.]]="WR4",AVERAGE(L325,M325,N325),Table117821341[[#This Row],[Pos.]]="TE1",AVERAGE(L325,M325,N325),Table117821341[[#This Row],[Pos.]]="TE2",AVERAGE(L325,M325,N325),Table117821341[[#This Row],[Pos.]]="D/ST",AVERAGE(Table117821341[[#This Row],[*TD*]]))</f>
        <v>#N/A</v>
      </c>
      <c r="X325" s="94" t="e">
        <f t="shared" si="5"/>
        <v>#N/A</v>
      </c>
    </row>
    <row r="326" spans="2:24" hidden="1" x14ac:dyDescent="0.35">
      <c r="B326" s="6" t="s">
        <v>569</v>
      </c>
      <c r="C326" s="97" t="s">
        <v>43</v>
      </c>
      <c r="D326" s="97" t="s">
        <v>430</v>
      </c>
      <c r="E326" s="23" t="str" cm="1">
        <f t="array" ref="E326">_xlfn.XLOOKUP(Table117821341[[#This Row],[Team]],Table4334[Team],'2425'!$C$3:$C$34)</f>
        <v>n/a</v>
      </c>
      <c r="F326" s="97" t="str">
        <f>_xlfn.XLOOKUP(Table117821341[[#This Row],[Team]],Table4334[Team],Table4334[OPP])</f>
        <v>n/a</v>
      </c>
      <c r="G326" s="148" t="str" cm="1">
        <f t="array" ref="G326">IF(Table117821341[[#This Row],[Pos.]]="QB1",_xlfn.XLOOKUP(Table117821341[[#This Row],[Opp]],Table123[DEF],'2425'!$G$3:$G$34),"#N/A")</f>
        <v>#N/A</v>
      </c>
      <c r="H326" s="148" t="str" cm="1">
        <f t="array" ref="H326">IF(Table117821341[[#This Row],[Pos.]]="QB1",_xlfn.XLOOKUP(Table117821341[[#This Row],[Opp]],Table123[DEF],'2425'!$J$3:$J$34),"#N/A")</f>
        <v>#N/A</v>
      </c>
      <c r="I326" s="148" t="str" cm="1">
        <f t="array" ref="I326">IF(Table117821341[[#This Row],[Pos.]]="QB1",_xlfn.XLOOKUP(Table117821341[[#This Row],[Opp]],Table123[DEF],'2425'!$K$3:$K$34),"#N/A")</f>
        <v>#N/A</v>
      </c>
      <c r="J326" s="148" t="e" cm="1">
        <f t="array" ref="J32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6" s="148" t="e" cm="1">
        <f t="array" ref="K32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6" s="148" t="e" cm="1">
        <f t="array" ref="L32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6" s="148" t="e" cm="1">
        <f t="array" ref="M32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6" s="148" t="e" cm="1">
        <f t="array" ref="N32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6" s="149" t="str">
        <f>IF(Table117821341[[#This Row],[Pos.]]="QB1",_xlfn.XLOOKUP(Table117821341[[#This Row],[Opp]],Table123[DEF],Table123[P]),"#N/A")</f>
        <v>#N/A</v>
      </c>
      <c r="P326" s="149" t="str">
        <f>IF(Table117821341[[#This Row],[Pos.]]="QB1",_xlfn.XLOOKUP(Table117821341[[#This Row],[Opp]],Table123[DEF],Table123[P+R]),"#N/A")</f>
        <v>#N/A</v>
      </c>
      <c r="Q326" s="150" t="str">
        <f>IF(Table117821341[[#This Row],[Pos.]]="QB1",_xlfn.XLOOKUP(Table117821341[[#This Row],[Opp]],Table123[DEF],Table123[P TD]),"#N/A")</f>
        <v>#N/A</v>
      </c>
      <c r="R326" s="149" t="e" cm="1">
        <f t="array" ref="R32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6" s="150" t="e" cm="1">
        <f t="array" ref="S32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6" s="150" t="e" cm="1">
        <f t="array" ref="T32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6" s="150" t="e" cm="1">
        <f t="array" ref="U32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6" s="150" t="e" cm="1">
        <f t="array" ref="V32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6" s="148" t="e" cm="1">
        <f t="array" ref="W326">_xlfn.IFS(Table117821341[[#This Row],[Pos.]]="QB1",AVERAGE(G326,H326,I326,J326,N326),Table117821341[[#This Row],[Pos.]]="RB1",AVERAGE(J326,K326,N326),Table117821341[[#This Row],[Pos.]]="RB2",AVERAGE(J326,K326,N326),Table117821341[[#This Row],[Pos.]]="WR1",AVERAGE(L326,M326,N326),Table117821341[[#This Row],[Pos.]]="WR2",AVERAGE(L326,M326,N326),Table117821341[[#This Row],[Pos.]]="WR3",AVERAGE(L326,M326,N326),Table117821341[[#This Row],[Pos.]]="WR4",AVERAGE(L326,M326,N326),Table117821341[[#This Row],[Pos.]]="TE1",AVERAGE(L326,M326,N326),Table117821341[[#This Row],[Pos.]]="TE2",AVERAGE(L326,M326,N326),Table117821341[[#This Row],[Pos.]]="D/ST",AVERAGE(Table117821341[[#This Row],[*TD*]]))</f>
        <v>#N/A</v>
      </c>
      <c r="X326" s="94" t="e">
        <f t="shared" si="5"/>
        <v>#N/A</v>
      </c>
    </row>
    <row r="327" spans="2:24" hidden="1" x14ac:dyDescent="0.35">
      <c r="B327" s="6" t="s">
        <v>591</v>
      </c>
      <c r="C327" s="97" t="s">
        <v>55</v>
      </c>
      <c r="D327" s="97" t="s">
        <v>68</v>
      </c>
      <c r="E327" s="23" t="str" cm="1">
        <f t="array" ref="E327">_xlfn.XLOOKUP(Table117821341[[#This Row],[Team]],Table4334[Team],'2425'!$C$3:$C$34)</f>
        <v>n/a</v>
      </c>
      <c r="F327" s="97" t="str">
        <f>_xlfn.XLOOKUP(Table117821341[[#This Row],[Team]],Table4334[Team],Table4334[OPP])</f>
        <v>n/a</v>
      </c>
      <c r="G327" s="148" t="str" cm="1">
        <f t="array" ref="G327">IF(Table117821341[[#This Row],[Pos.]]="QB1",_xlfn.XLOOKUP(Table117821341[[#This Row],[Opp]],Table123[DEF],'2425'!$G$3:$G$34),"#N/A")</f>
        <v>#N/A</v>
      </c>
      <c r="H327" s="148" t="str" cm="1">
        <f t="array" ref="H327">IF(Table117821341[[#This Row],[Pos.]]="QB1",_xlfn.XLOOKUP(Table117821341[[#This Row],[Opp]],Table123[DEF],'2425'!$J$3:$J$34),"#N/A")</f>
        <v>#N/A</v>
      </c>
      <c r="I327" s="148" t="str" cm="1">
        <f t="array" ref="I327">IF(Table117821341[[#This Row],[Pos.]]="QB1",_xlfn.XLOOKUP(Table117821341[[#This Row],[Opp]],Table123[DEF],'2425'!$K$3:$K$34),"#N/A")</f>
        <v>#N/A</v>
      </c>
      <c r="J327" s="148" t="e" cm="1">
        <f t="array" ref="J32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7" s="148" t="e" cm="1">
        <f t="array" ref="K32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7" s="148" t="e" cm="1">
        <f t="array" ref="L32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7" s="148" t="e" cm="1">
        <f t="array" ref="M32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7" s="148" t="e" cm="1">
        <f t="array" ref="N32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7" s="149" t="str">
        <f>IF(Table117821341[[#This Row],[Pos.]]="QB1",_xlfn.XLOOKUP(Table117821341[[#This Row],[Opp]],Table123[DEF],Table123[P]),"#N/A")</f>
        <v>#N/A</v>
      </c>
      <c r="P327" s="149" t="str">
        <f>IF(Table117821341[[#This Row],[Pos.]]="QB1",_xlfn.XLOOKUP(Table117821341[[#This Row],[Opp]],Table123[DEF],Table123[P+R]),"#N/A")</f>
        <v>#N/A</v>
      </c>
      <c r="Q327" s="150" t="str">
        <f>IF(Table117821341[[#This Row],[Pos.]]="QB1",_xlfn.XLOOKUP(Table117821341[[#This Row],[Opp]],Table123[DEF],Table123[P TD]),"#N/A")</f>
        <v>#N/A</v>
      </c>
      <c r="R327" s="149" t="e" cm="1">
        <f t="array" ref="R32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7" s="150" t="e" cm="1">
        <f t="array" ref="S32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7" s="150" t="e" cm="1">
        <f t="array" ref="T32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7" s="150" t="e" cm="1">
        <f t="array" ref="U32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7" s="162" t="e" cm="1">
        <f t="array" ref="V32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7" s="148" t="e" cm="1">
        <f t="array" ref="W327">_xlfn.IFS(Table117821341[[#This Row],[Pos.]]="QB1",AVERAGE(G327,H327,I327,J327,N327),Table117821341[[#This Row],[Pos.]]="RB1",AVERAGE(J327,K327,N327),Table117821341[[#This Row],[Pos.]]="RB2",AVERAGE(J327,K327,N327),Table117821341[[#This Row],[Pos.]]="WR1",AVERAGE(L327,M327,N327),Table117821341[[#This Row],[Pos.]]="WR2",AVERAGE(L327,M327,N327),Table117821341[[#This Row],[Pos.]]="WR3",AVERAGE(L327,M327,N327),Table117821341[[#This Row],[Pos.]]="WR4",AVERAGE(L327,M327,N327),Table117821341[[#This Row],[Pos.]]="TE1",AVERAGE(L327,M327,N327),Table117821341[[#This Row],[Pos.]]="TE2",AVERAGE(L327,M327,N327),Table117821341[[#This Row],[Pos.]]="D/ST",AVERAGE(Table117821341[[#This Row],[*TD*]]))</f>
        <v>#N/A</v>
      </c>
      <c r="X327" s="94" t="e">
        <f t="shared" si="5"/>
        <v>#N/A</v>
      </c>
    </row>
    <row r="328" spans="2:24" hidden="1" x14ac:dyDescent="0.35">
      <c r="B328" s="6" t="s">
        <v>737</v>
      </c>
      <c r="C328" s="97" t="s">
        <v>56</v>
      </c>
      <c r="D328" s="97" t="s">
        <v>71</v>
      </c>
      <c r="E328" s="23" t="str" cm="1">
        <f t="array" ref="E328">_xlfn.XLOOKUP(Table117821341[[#This Row],[Team]],Table4334[Team],'2425'!$C$3:$C$34)</f>
        <v>n/a</v>
      </c>
      <c r="F328" s="97" t="str">
        <f>_xlfn.XLOOKUP(Table117821341[[#This Row],[Team]],Table4334[Team],Table4334[OPP])</f>
        <v>n/a</v>
      </c>
      <c r="G328" s="148" t="str" cm="1">
        <f t="array" ref="G328">IF(Table117821341[[#This Row],[Pos.]]="QB1",_xlfn.XLOOKUP(Table117821341[[#This Row],[Opp]],Table123[DEF],'2425'!$G$3:$G$34),"#N/A")</f>
        <v>#N/A</v>
      </c>
      <c r="H328" s="148" t="str" cm="1">
        <f t="array" ref="H328">IF(Table117821341[[#This Row],[Pos.]]="QB1",_xlfn.XLOOKUP(Table117821341[[#This Row],[Opp]],Table123[DEF],'2425'!$J$3:$J$34),"#N/A")</f>
        <v>#N/A</v>
      </c>
      <c r="I328" s="148" t="str" cm="1">
        <f t="array" ref="I328">IF(Table117821341[[#This Row],[Pos.]]="QB1",_xlfn.XLOOKUP(Table117821341[[#This Row],[Opp]],Table123[DEF],'2425'!$K$3:$K$34),"#N/A")</f>
        <v>#N/A</v>
      </c>
      <c r="J328" s="148" t="e" cm="1">
        <f t="array" ref="J32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8" s="148" t="e" cm="1">
        <f t="array" ref="K32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8" s="148" t="e" cm="1">
        <f t="array" ref="L32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8" s="148" t="e" cm="1">
        <f t="array" ref="M32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8" s="148" t="e" cm="1">
        <f t="array" ref="N32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8" s="149" t="str">
        <f>IF(Table117821341[[#This Row],[Pos.]]="QB1",_xlfn.XLOOKUP(Table117821341[[#This Row],[Opp]],Table123[DEF],Table123[P]),"#N/A")</f>
        <v>#N/A</v>
      </c>
      <c r="P328" s="149" t="str">
        <f>IF(Table117821341[[#This Row],[Pos.]]="QB1",_xlfn.XLOOKUP(Table117821341[[#This Row],[Opp]],Table123[DEF],Table123[P+R]),"#N/A")</f>
        <v>#N/A</v>
      </c>
      <c r="Q328" s="150" t="str">
        <f>IF(Table117821341[[#This Row],[Pos.]]="QB1",_xlfn.XLOOKUP(Table117821341[[#This Row],[Opp]],Table123[DEF],Table123[P TD]),"#N/A")</f>
        <v>#N/A</v>
      </c>
      <c r="R328" s="149" t="e" cm="1">
        <f t="array" ref="R32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8" s="150" t="e" cm="1">
        <f t="array" ref="S32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8" s="150" t="e" cm="1">
        <f t="array" ref="T32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8" s="150" t="e" cm="1">
        <f t="array" ref="U32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8" s="162" t="e" cm="1">
        <f t="array" ref="V32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8" s="148" t="e" cm="1">
        <f t="array" ref="W328">_xlfn.IFS(Table117821341[[#This Row],[Pos.]]="QB1",AVERAGE(G328,H328,I328,J328,N328),Table117821341[[#This Row],[Pos.]]="RB1",AVERAGE(J328,K328,N328),Table117821341[[#This Row],[Pos.]]="RB2",AVERAGE(J328,K328,N328),Table117821341[[#This Row],[Pos.]]="WR1",AVERAGE(L328,M328,N328),Table117821341[[#This Row],[Pos.]]="WR2",AVERAGE(L328,M328,N328),Table117821341[[#This Row],[Pos.]]="WR3",AVERAGE(L328,M328,N328),Table117821341[[#This Row],[Pos.]]="WR4",AVERAGE(L328,M328,N328),Table117821341[[#This Row],[Pos.]]="TE1",AVERAGE(L328,M328,N328),Table117821341[[#This Row],[Pos.]]="TE2",AVERAGE(L328,M328,N328),Table117821341[[#This Row],[Pos.]]="D/ST",AVERAGE(Table117821341[[#This Row],[*TD*]]))</f>
        <v>#N/A</v>
      </c>
      <c r="X328" s="94" t="e">
        <f t="shared" si="5"/>
        <v>#N/A</v>
      </c>
    </row>
    <row r="329" spans="2:24" hidden="1" x14ac:dyDescent="0.35">
      <c r="B329" s="6" t="s">
        <v>464</v>
      </c>
      <c r="C329" s="97" t="s">
        <v>56</v>
      </c>
      <c r="D329" s="97" t="s">
        <v>68</v>
      </c>
      <c r="E329" s="23" t="str" cm="1">
        <f t="array" ref="E329">_xlfn.XLOOKUP(Table117821341[[#This Row],[Team]],Table4334[Team],'2425'!$C$3:$C$34)</f>
        <v>n/a</v>
      </c>
      <c r="F329" s="97" t="str">
        <f>_xlfn.XLOOKUP(Table117821341[[#This Row],[Team]],Table4334[Team],Table4334[OPP])</f>
        <v>n/a</v>
      </c>
      <c r="G329" s="148" t="str" cm="1">
        <f t="array" ref="G329">IF(Table117821341[[#This Row],[Pos.]]="QB1",_xlfn.XLOOKUP(Table117821341[[#This Row],[Opp]],Table123[DEF],'2425'!$G$3:$G$34),"#N/A")</f>
        <v>#N/A</v>
      </c>
      <c r="H329" s="148" t="str" cm="1">
        <f t="array" ref="H329">IF(Table117821341[[#This Row],[Pos.]]="QB1",_xlfn.XLOOKUP(Table117821341[[#This Row],[Opp]],Table123[DEF],'2425'!$J$3:$J$34),"#N/A")</f>
        <v>#N/A</v>
      </c>
      <c r="I329" s="148" t="str" cm="1">
        <f t="array" ref="I329">IF(Table117821341[[#This Row],[Pos.]]="QB1",_xlfn.XLOOKUP(Table117821341[[#This Row],[Opp]],Table123[DEF],'2425'!$K$3:$K$34),"#N/A")</f>
        <v>#N/A</v>
      </c>
      <c r="J329" s="148" t="e" cm="1">
        <f t="array" ref="J32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29" s="148" t="e" cm="1">
        <f t="array" ref="K32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29" s="148" t="e" cm="1">
        <f t="array" ref="L32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29" s="148" t="e" cm="1">
        <f t="array" ref="M32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29" s="148" t="e" cm="1">
        <f t="array" ref="N32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29" s="149" t="str">
        <f>IF(Table117821341[[#This Row],[Pos.]]="QB1",_xlfn.XLOOKUP(Table117821341[[#This Row],[Opp]],Table123[DEF],Table123[P]),"#N/A")</f>
        <v>#N/A</v>
      </c>
      <c r="P329" s="149" t="str">
        <f>IF(Table117821341[[#This Row],[Pos.]]="QB1",_xlfn.XLOOKUP(Table117821341[[#This Row],[Opp]],Table123[DEF],Table123[P+R]),"#N/A")</f>
        <v>#N/A</v>
      </c>
      <c r="Q329" s="150" t="str">
        <f>IF(Table117821341[[#This Row],[Pos.]]="QB1",_xlfn.XLOOKUP(Table117821341[[#This Row],[Opp]],Table123[DEF],Table123[P TD]),"#N/A")</f>
        <v>#N/A</v>
      </c>
      <c r="R329" s="149" t="e" cm="1">
        <f t="array" ref="R32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29" s="150" t="e" cm="1">
        <f t="array" ref="S32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29" s="150" t="e" cm="1">
        <f t="array" ref="T32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29" s="150" t="e" cm="1">
        <f t="array" ref="U32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29" s="162" t="e" cm="1">
        <f t="array" ref="V32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29" s="148" t="e" cm="1">
        <f t="array" ref="W329">_xlfn.IFS(Table117821341[[#This Row],[Pos.]]="QB1",AVERAGE(G329,H329,I329,J329,N329),Table117821341[[#This Row],[Pos.]]="RB1",AVERAGE(J329,K329,N329),Table117821341[[#This Row],[Pos.]]="RB2",AVERAGE(J329,K329,N329),Table117821341[[#This Row],[Pos.]]="WR1",AVERAGE(L329,M329,N329),Table117821341[[#This Row],[Pos.]]="WR2",AVERAGE(L329,M329,N329),Table117821341[[#This Row],[Pos.]]="WR3",AVERAGE(L329,M329,N329),Table117821341[[#This Row],[Pos.]]="WR4",AVERAGE(L329,M329,N329),Table117821341[[#This Row],[Pos.]]="TE1",AVERAGE(L329,M329,N329),Table117821341[[#This Row],[Pos.]]="TE2",AVERAGE(L329,M329,N329),Table117821341[[#This Row],[Pos.]]="D/ST",AVERAGE(Table117821341[[#This Row],[*TD*]]))</f>
        <v>#N/A</v>
      </c>
      <c r="X329" s="94" t="e">
        <f t="shared" si="5"/>
        <v>#N/A</v>
      </c>
    </row>
    <row r="330" spans="2:24" hidden="1" x14ac:dyDescent="0.35">
      <c r="B330" s="6" t="s">
        <v>700</v>
      </c>
      <c r="C330" s="97" t="s">
        <v>56</v>
      </c>
      <c r="D330" s="97" t="s">
        <v>401</v>
      </c>
      <c r="E330" s="97" t="str" cm="1">
        <f t="array" ref="E330">_xlfn.XLOOKUP(Table117821341[[#This Row],[Team]],Table4334[Team],'2425'!$C$3:$C$34)</f>
        <v>n/a</v>
      </c>
      <c r="F330" s="97" t="str">
        <f>_xlfn.XLOOKUP(Table117821341[[#This Row],[Team]],Table4334[Team],Table4334[OPP])</f>
        <v>n/a</v>
      </c>
      <c r="G330" s="159" t="str" cm="1">
        <f t="array" ref="G330">IF(Table117821341[[#This Row],[Pos.]]="QB1",_xlfn.XLOOKUP(Table117821341[[#This Row],[Opp]],Table123[DEF],'2425'!$G$3:$G$34),"#N/A")</f>
        <v>#N/A</v>
      </c>
      <c r="H330" s="159" t="str" cm="1">
        <f t="array" ref="H330">IF(Table117821341[[#This Row],[Pos.]]="QB1",_xlfn.XLOOKUP(Table117821341[[#This Row],[Opp]],Table123[DEF],'2425'!$J$3:$J$34),"#N/A")</f>
        <v>#N/A</v>
      </c>
      <c r="I330" s="148" t="str" cm="1">
        <f t="array" ref="I330">IF(Table117821341[[#This Row],[Pos.]]="QB1",_xlfn.XLOOKUP(Table117821341[[#This Row],[Opp]],Table123[DEF],'2425'!$K$3:$K$34),"#N/A")</f>
        <v>#N/A</v>
      </c>
      <c r="J330" s="148" t="e" cm="1">
        <f t="array" ref="J33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0" s="148" t="e" cm="1">
        <f t="array" ref="K33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0" s="148" t="e" cm="1">
        <f t="array" ref="L33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0" s="148" t="e" cm="1">
        <f t="array" ref="M33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0" s="148" t="e" cm="1">
        <f t="array" ref="N33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0" s="149" t="str">
        <f>IF(Table117821341[[#This Row],[Pos.]]="QB1",_xlfn.XLOOKUP(Table117821341[[#This Row],[Opp]],Table123[DEF],Table123[P]),"#N/A")</f>
        <v>#N/A</v>
      </c>
      <c r="P330" s="149" t="str">
        <f>IF(Table117821341[[#This Row],[Pos.]]="QB1",_xlfn.XLOOKUP(Table117821341[[#This Row],[Opp]],Table123[DEF],Table123[P+R]),"#N/A")</f>
        <v>#N/A</v>
      </c>
      <c r="Q330" s="150" t="str">
        <f>IF(Table117821341[[#This Row],[Pos.]]="QB1",_xlfn.XLOOKUP(Table117821341[[#This Row],[Opp]],Table123[DEF],Table123[P TD]),"#N/A")</f>
        <v>#N/A</v>
      </c>
      <c r="R330" s="149" t="e" cm="1">
        <f t="array" ref="R33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0" s="150" t="e" cm="1">
        <f t="array" ref="S33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0" s="150" t="e" cm="1">
        <f t="array" ref="T33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0" s="150" t="e" cm="1">
        <f t="array" ref="U33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0" s="162" t="e" cm="1">
        <f t="array" ref="V33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0" s="148" t="e" cm="1">
        <f t="array" ref="W330">_xlfn.IFS(Table117821341[[#This Row],[Pos.]]="QB1",AVERAGE(G330,H330,I330,J330,N330),Table117821341[[#This Row],[Pos.]]="RB1",AVERAGE(J330,K330,N330),Table117821341[[#This Row],[Pos.]]="RB2",AVERAGE(J330,K330,N330),Table117821341[[#This Row],[Pos.]]="WR1",AVERAGE(L330,M330,N330),Table117821341[[#This Row],[Pos.]]="WR2",AVERAGE(L330,M330,N330),Table117821341[[#This Row],[Pos.]]="WR3",AVERAGE(L330,M330,N330),Table117821341[[#This Row],[Pos.]]="WR4",AVERAGE(L330,M330,N330),Table117821341[[#This Row],[Pos.]]="TE1",AVERAGE(L330,M330,N330),Table117821341[[#This Row],[Pos.]]="TE2",AVERAGE(L330,M330,N330),Table117821341[[#This Row],[Pos.]]="D/ST",AVERAGE(Table117821341[[#This Row],[*TD*]]))</f>
        <v>#N/A</v>
      </c>
      <c r="X330" s="94" t="e">
        <f t="shared" si="5"/>
        <v>#N/A</v>
      </c>
    </row>
    <row r="331" spans="2:24" hidden="1" x14ac:dyDescent="0.35">
      <c r="B331" s="6" t="s">
        <v>663</v>
      </c>
      <c r="C331" s="97" t="s">
        <v>43</v>
      </c>
      <c r="D331" s="97" t="s">
        <v>403</v>
      </c>
      <c r="E331" s="23" t="str" cm="1">
        <f t="array" ref="E331">_xlfn.XLOOKUP(Table117821341[[#This Row],[Team]],Table4334[Team],'2425'!$C$3:$C$34)</f>
        <v>n/a</v>
      </c>
      <c r="F331" s="97" t="str">
        <f>_xlfn.XLOOKUP(Table117821341[[#This Row],[Team]],Table4334[Team],Table4334[OPP])</f>
        <v>n/a</v>
      </c>
      <c r="G331" s="148" t="str" cm="1">
        <f t="array" ref="G331">IF(Table117821341[[#This Row],[Pos.]]="QB1",_xlfn.XLOOKUP(Table117821341[[#This Row],[Opp]],Table123[DEF],'2425'!$G$3:$G$34),"#N/A")</f>
        <v>#N/A</v>
      </c>
      <c r="H331" s="148" t="str" cm="1">
        <f t="array" ref="H331">IF(Table117821341[[#This Row],[Pos.]]="QB1",_xlfn.XLOOKUP(Table117821341[[#This Row],[Opp]],Table123[DEF],'2425'!$J$3:$J$34),"#N/A")</f>
        <v>#N/A</v>
      </c>
      <c r="I331" s="148" t="str" cm="1">
        <f t="array" ref="I331">IF(Table117821341[[#This Row],[Pos.]]="QB1",_xlfn.XLOOKUP(Table117821341[[#This Row],[Opp]],Table123[DEF],'2425'!$K$3:$K$34),"#N/A")</f>
        <v>#N/A</v>
      </c>
      <c r="J331" s="148" t="e" cm="1">
        <f t="array" ref="J33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1" s="148" t="e" cm="1">
        <f t="array" ref="K33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1" s="148" t="e" cm="1">
        <f t="array" ref="L33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1" s="148" t="e" cm="1">
        <f t="array" ref="M33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1" s="148" t="e" cm="1">
        <f t="array" ref="N33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1" s="149" t="str">
        <f>IF(Table117821341[[#This Row],[Pos.]]="QB1",_xlfn.XLOOKUP(Table117821341[[#This Row],[Opp]],Table123[DEF],Table123[P]),"#N/A")</f>
        <v>#N/A</v>
      </c>
      <c r="P331" s="149" t="str">
        <f>IF(Table117821341[[#This Row],[Pos.]]="QB1",_xlfn.XLOOKUP(Table117821341[[#This Row],[Opp]],Table123[DEF],Table123[P+R]),"#N/A")</f>
        <v>#N/A</v>
      </c>
      <c r="Q331" s="150" t="str">
        <f>IF(Table117821341[[#This Row],[Pos.]]="QB1",_xlfn.XLOOKUP(Table117821341[[#This Row],[Opp]],Table123[DEF],Table123[P TD]),"#N/A")</f>
        <v>#N/A</v>
      </c>
      <c r="R331" s="149" t="e" cm="1">
        <f t="array" ref="R33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1" s="150" t="e" cm="1">
        <f t="array" ref="S33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1" s="150" t="e" cm="1">
        <f t="array" ref="T33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1" s="150" t="e" cm="1">
        <f t="array" ref="U33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1" s="150" t="e" cm="1">
        <f t="array" ref="V33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1" s="148" t="e" cm="1">
        <f t="array" ref="W331">_xlfn.IFS(Table117821341[[#This Row],[Pos.]]="QB1",AVERAGE(G331,H331,I331,J331,N331),Table117821341[[#This Row],[Pos.]]="RB1",AVERAGE(J331,K331,N331),Table117821341[[#This Row],[Pos.]]="RB2",AVERAGE(J331,K331,N331),Table117821341[[#This Row],[Pos.]]="WR1",AVERAGE(L331,M331,N331),Table117821341[[#This Row],[Pos.]]="WR2",AVERAGE(L331,M331,N331),Table117821341[[#This Row],[Pos.]]="WR3",AVERAGE(L331,M331,N331),Table117821341[[#This Row],[Pos.]]="WR4",AVERAGE(L331,M331,N331),Table117821341[[#This Row],[Pos.]]="TE1",AVERAGE(L331,M331,N331),Table117821341[[#This Row],[Pos.]]="TE2",AVERAGE(L331,M331,N331),Table117821341[[#This Row],[Pos.]]="D/ST",AVERAGE(Table117821341[[#This Row],[*TD*]]))</f>
        <v>#N/A</v>
      </c>
      <c r="X331" s="94" t="e">
        <f t="shared" si="5"/>
        <v>#N/A</v>
      </c>
    </row>
    <row r="332" spans="2:24" hidden="1" x14ac:dyDescent="0.35">
      <c r="B332" s="6" t="s">
        <v>664</v>
      </c>
      <c r="C332" s="97" t="s">
        <v>43</v>
      </c>
      <c r="D332" s="97" t="s">
        <v>411</v>
      </c>
      <c r="E332" s="23" t="str" cm="1">
        <f t="array" ref="E332">_xlfn.XLOOKUP(Table117821341[[#This Row],[Team]],Table4334[Team],'2425'!$C$3:$C$34)</f>
        <v>n/a</v>
      </c>
      <c r="F332" s="97" t="str">
        <f>_xlfn.XLOOKUP(Table117821341[[#This Row],[Team]],Table4334[Team],Table4334[OPP])</f>
        <v>n/a</v>
      </c>
      <c r="G332" s="148" t="str" cm="1">
        <f t="array" ref="G332">IF(Table117821341[[#This Row],[Pos.]]="QB1",_xlfn.XLOOKUP(Table117821341[[#This Row],[Opp]],Table123[DEF],'2425'!$G$3:$G$34),"#N/A")</f>
        <v>#N/A</v>
      </c>
      <c r="H332" s="148" t="str" cm="1">
        <f t="array" ref="H332">IF(Table117821341[[#This Row],[Pos.]]="QB1",_xlfn.XLOOKUP(Table117821341[[#This Row],[Opp]],Table123[DEF],'2425'!$J$3:$J$34),"#N/A")</f>
        <v>#N/A</v>
      </c>
      <c r="I332" s="148" t="str" cm="1">
        <f t="array" ref="I332">IF(Table117821341[[#This Row],[Pos.]]="QB1",_xlfn.XLOOKUP(Table117821341[[#This Row],[Opp]],Table123[DEF],'2425'!$K$3:$K$34),"#N/A")</f>
        <v>#N/A</v>
      </c>
      <c r="J332" s="148" t="e" cm="1">
        <f t="array" ref="J33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2" s="148" t="e" cm="1">
        <f t="array" ref="K33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2" s="148" t="e" cm="1">
        <f t="array" ref="L33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2" s="148" t="e" cm="1">
        <f t="array" ref="M33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2" s="148" t="e" cm="1">
        <f t="array" ref="N33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2" s="149" t="str">
        <f>IF(Table117821341[[#This Row],[Pos.]]="QB1",_xlfn.XLOOKUP(Table117821341[[#This Row],[Opp]],Table123[DEF],Table123[P]),"#N/A")</f>
        <v>#N/A</v>
      </c>
      <c r="P332" s="149" t="str">
        <f>IF(Table117821341[[#This Row],[Pos.]]="QB1",_xlfn.XLOOKUP(Table117821341[[#This Row],[Opp]],Table123[DEF],Table123[P+R]),"#N/A")</f>
        <v>#N/A</v>
      </c>
      <c r="Q332" s="150" t="str">
        <f>IF(Table117821341[[#This Row],[Pos.]]="QB1",_xlfn.XLOOKUP(Table117821341[[#This Row],[Opp]],Table123[DEF],Table123[P TD]),"#N/A")</f>
        <v>#N/A</v>
      </c>
      <c r="R332" s="149" t="e" cm="1">
        <f t="array" ref="R33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2" s="150" t="e" cm="1">
        <f t="array" ref="S33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2" s="150" t="e" cm="1">
        <f t="array" ref="T33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2" s="150" t="e" cm="1">
        <f t="array" ref="U33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2" s="150" t="e" cm="1">
        <f t="array" ref="V33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2" s="148" t="e" cm="1">
        <f t="array" ref="W332">_xlfn.IFS(Table117821341[[#This Row],[Pos.]]="QB1",AVERAGE(G332,H332,I332,J332,N332),Table117821341[[#This Row],[Pos.]]="RB1",AVERAGE(J332,K332,N332),Table117821341[[#This Row],[Pos.]]="RB2",AVERAGE(J332,K332,N332),Table117821341[[#This Row],[Pos.]]="WR1",AVERAGE(L332,M332,N332),Table117821341[[#This Row],[Pos.]]="WR2",AVERAGE(L332,M332,N332),Table117821341[[#This Row],[Pos.]]="WR3",AVERAGE(L332,M332,N332),Table117821341[[#This Row],[Pos.]]="WR4",AVERAGE(L332,M332,N332),Table117821341[[#This Row],[Pos.]]="TE1",AVERAGE(L332,M332,N332),Table117821341[[#This Row],[Pos.]]="TE2",AVERAGE(L332,M332,N332),Table117821341[[#This Row],[Pos.]]="D/ST",AVERAGE(Table117821341[[#This Row],[*TD*]]))</f>
        <v>#N/A</v>
      </c>
      <c r="X332" s="94" t="e">
        <f t="shared" si="5"/>
        <v>#N/A</v>
      </c>
    </row>
    <row r="333" spans="2:24" hidden="1" x14ac:dyDescent="0.35">
      <c r="B333" s="6" t="s">
        <v>578</v>
      </c>
      <c r="C333" s="97" t="s">
        <v>34</v>
      </c>
      <c r="D333" s="97" t="s">
        <v>401</v>
      </c>
      <c r="E333" s="23" t="str" cm="1">
        <f t="array" ref="E333">_xlfn.XLOOKUP(Table117821341[[#This Row],[Team]],Table4334[Team],'2425'!$C$3:$C$34)</f>
        <v>n/a</v>
      </c>
      <c r="F333" s="97" t="str">
        <f>_xlfn.XLOOKUP(Table117821341[[#This Row],[Team]],Table4334[Team],Table4334[OPP])</f>
        <v>n/a</v>
      </c>
      <c r="G333" s="148" t="str" cm="1">
        <f t="array" ref="G333">IF(Table117821341[[#This Row],[Pos.]]="QB1",_xlfn.XLOOKUP(Table117821341[[#This Row],[Opp]],Table123[DEF],'2425'!$G$3:$G$34),"#N/A")</f>
        <v>#N/A</v>
      </c>
      <c r="H333" s="148" t="str" cm="1">
        <f t="array" ref="H333">IF(Table117821341[[#This Row],[Pos.]]="QB1",_xlfn.XLOOKUP(Table117821341[[#This Row],[Opp]],Table123[DEF],'2425'!$J$3:$J$34),"#N/A")</f>
        <v>#N/A</v>
      </c>
      <c r="I333" s="148" t="str" cm="1">
        <f t="array" ref="I333">IF(Table117821341[[#This Row],[Pos.]]="QB1",_xlfn.XLOOKUP(Table117821341[[#This Row],[Opp]],Table123[DEF],'2425'!$K$3:$K$34),"#N/A")</f>
        <v>#N/A</v>
      </c>
      <c r="J333" s="148" t="e" cm="1">
        <f t="array" ref="J33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3" s="148" t="e" cm="1">
        <f t="array" ref="K33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3" s="148" t="e" cm="1">
        <f t="array" ref="L33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3" s="148" t="e" cm="1">
        <f t="array" ref="M33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3" s="148" t="e" cm="1">
        <f t="array" ref="N33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3" s="149" t="str">
        <f>IF(Table117821341[[#This Row],[Pos.]]="QB1",_xlfn.XLOOKUP(Table117821341[[#This Row],[Opp]],Table123[DEF],Table123[P]),"#N/A")</f>
        <v>#N/A</v>
      </c>
      <c r="P333" s="149" t="str">
        <f>IF(Table117821341[[#This Row],[Pos.]]="QB1",_xlfn.XLOOKUP(Table117821341[[#This Row],[Opp]],Table123[DEF],Table123[P+R]),"#N/A")</f>
        <v>#N/A</v>
      </c>
      <c r="Q333" s="150" t="str">
        <f>IF(Table117821341[[#This Row],[Pos.]]="QB1",_xlfn.XLOOKUP(Table117821341[[#This Row],[Opp]],Table123[DEF],Table123[P TD]),"#N/A")</f>
        <v>#N/A</v>
      </c>
      <c r="R333" s="149" t="e" cm="1">
        <f t="array" ref="R33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3" s="150" t="e" cm="1">
        <f t="array" ref="S33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3" s="150" t="e" cm="1">
        <f t="array" ref="T33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3" s="150" t="e" cm="1">
        <f t="array" ref="U33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3" s="162" t="e" cm="1">
        <f t="array" ref="V33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3" s="148" t="e" cm="1">
        <f t="array" ref="W333">_xlfn.IFS(Table117821341[[#This Row],[Pos.]]="QB1",AVERAGE(G333,H333,I333,J333,N333),Table117821341[[#This Row],[Pos.]]="RB1",AVERAGE(J333,K333,N333),Table117821341[[#This Row],[Pos.]]="RB2",AVERAGE(J333,K333,N333),Table117821341[[#This Row],[Pos.]]="WR1",AVERAGE(L333,M333,N333),Table117821341[[#This Row],[Pos.]]="WR2",AVERAGE(L333,M333,N333),Table117821341[[#This Row],[Pos.]]="WR3",AVERAGE(L333,M333,N333),Table117821341[[#This Row],[Pos.]]="WR4",AVERAGE(L333,M333,N333),Table117821341[[#This Row],[Pos.]]="TE1",AVERAGE(L333,M333,N333),Table117821341[[#This Row],[Pos.]]="TE2",AVERAGE(L333,M333,N333),Table117821341[[#This Row],[Pos.]]="D/ST",AVERAGE(Table117821341[[#This Row],[*TD*]]))</f>
        <v>#N/A</v>
      </c>
      <c r="X333" s="94" t="e">
        <f t="shared" si="5"/>
        <v>#N/A</v>
      </c>
    </row>
    <row r="334" spans="2:24" hidden="1" x14ac:dyDescent="0.35">
      <c r="B334" s="6" t="s">
        <v>724</v>
      </c>
      <c r="C334" s="97" t="s">
        <v>43</v>
      </c>
      <c r="D334" s="97" t="s">
        <v>71</v>
      </c>
      <c r="E334" s="23" t="str" cm="1">
        <f t="array" ref="E334">_xlfn.XLOOKUP(Table117821341[[#This Row],[Team]],Table4334[Team],'2425'!$C$3:$C$34)</f>
        <v>n/a</v>
      </c>
      <c r="F334" s="97" t="str">
        <f>_xlfn.XLOOKUP(Table117821341[[#This Row],[Team]],Table4334[Team],Table4334[OPP])</f>
        <v>n/a</v>
      </c>
      <c r="G334" s="148" t="str" cm="1">
        <f t="array" ref="G334">IF(Table117821341[[#This Row],[Pos.]]="QB1",_xlfn.XLOOKUP(Table117821341[[#This Row],[Opp]],Table123[DEF],'2425'!$G$3:$G$34),"#N/A")</f>
        <v>#N/A</v>
      </c>
      <c r="H334" s="148" t="str" cm="1">
        <f t="array" ref="H334">IF(Table117821341[[#This Row],[Pos.]]="QB1",_xlfn.XLOOKUP(Table117821341[[#This Row],[Opp]],Table123[DEF],'2425'!$J$3:$J$34),"#N/A")</f>
        <v>#N/A</v>
      </c>
      <c r="I334" s="148" t="str" cm="1">
        <f t="array" ref="I334">IF(Table117821341[[#This Row],[Pos.]]="QB1",_xlfn.XLOOKUP(Table117821341[[#This Row],[Opp]],Table123[DEF],'2425'!$K$3:$K$34),"#N/A")</f>
        <v>#N/A</v>
      </c>
      <c r="J334" s="148" t="e" cm="1">
        <f t="array" ref="J33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4" s="148" t="e" cm="1">
        <f t="array" ref="K33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4" s="148" t="e" cm="1">
        <f t="array" ref="L33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4" s="148" t="e" cm="1">
        <f t="array" ref="M33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4" s="148" t="e" cm="1">
        <f t="array" ref="N33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4" s="149" t="str">
        <f>IF(Table117821341[[#This Row],[Pos.]]="QB1",_xlfn.XLOOKUP(Table117821341[[#This Row],[Opp]],Table123[DEF],Table123[P]),"#N/A")</f>
        <v>#N/A</v>
      </c>
      <c r="P334" s="149" t="str">
        <f>IF(Table117821341[[#This Row],[Pos.]]="QB1",_xlfn.XLOOKUP(Table117821341[[#This Row],[Opp]],Table123[DEF],Table123[P+R]),"#N/A")</f>
        <v>#N/A</v>
      </c>
      <c r="Q334" s="150" t="str">
        <f>IF(Table117821341[[#This Row],[Pos.]]="QB1",_xlfn.XLOOKUP(Table117821341[[#This Row],[Opp]],Table123[DEF],Table123[P TD]),"#N/A")</f>
        <v>#N/A</v>
      </c>
      <c r="R334" s="149" t="e" cm="1">
        <f t="array" ref="R33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4" s="150" t="e" cm="1">
        <f t="array" ref="S33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4" s="150" t="e" cm="1">
        <f t="array" ref="T33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4" s="150" t="e" cm="1">
        <f t="array" ref="U33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4" s="162" t="e" cm="1">
        <f t="array" ref="V33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4" s="148" t="e" cm="1">
        <f t="array" ref="W334">_xlfn.IFS(Table117821341[[#This Row],[Pos.]]="QB1",AVERAGE(G334,H334,I334,J334,N334),Table117821341[[#This Row],[Pos.]]="RB1",AVERAGE(J334,K334,N334),Table117821341[[#This Row],[Pos.]]="RB2",AVERAGE(J334,K334,N334),Table117821341[[#This Row],[Pos.]]="WR1",AVERAGE(L334,M334,N334),Table117821341[[#This Row],[Pos.]]="WR2",AVERAGE(L334,M334,N334),Table117821341[[#This Row],[Pos.]]="WR3",AVERAGE(L334,M334,N334),Table117821341[[#This Row],[Pos.]]="WR4",AVERAGE(L334,M334,N334),Table117821341[[#This Row],[Pos.]]="TE1",AVERAGE(L334,M334,N334),Table117821341[[#This Row],[Pos.]]="TE2",AVERAGE(L334,M334,N334),Table117821341[[#This Row],[Pos.]]="D/ST",AVERAGE(Table117821341[[#This Row],[*TD*]]))</f>
        <v>#N/A</v>
      </c>
      <c r="X334" s="94" t="e">
        <f t="shared" si="5"/>
        <v>#N/A</v>
      </c>
    </row>
    <row r="335" spans="2:24" hidden="1" x14ac:dyDescent="0.35">
      <c r="B335" s="6" t="s">
        <v>406</v>
      </c>
      <c r="C335" s="97" t="s">
        <v>44</v>
      </c>
      <c r="D335" s="98" t="s">
        <v>405</v>
      </c>
      <c r="E335" s="23" t="str" cm="1">
        <f t="array" ref="E335">_xlfn.XLOOKUP(Table117821341[[#This Row],[Team]],Table4334[Team],'2425'!$C$3:$C$34)</f>
        <v>n/a</v>
      </c>
      <c r="F335" s="97" t="str">
        <f>_xlfn.XLOOKUP(Table117821341[[#This Row],[Team]],Table4334[Team],Table4334[OPP])</f>
        <v>n/a</v>
      </c>
      <c r="G335" s="148" t="str" cm="1">
        <f t="array" ref="G335">IF(Table117821341[[#This Row],[Pos.]]="QB1",_xlfn.XLOOKUP(Table117821341[[#This Row],[Opp]],Table123[DEF],'2425'!$G$3:$G$34),"#N/A")</f>
        <v>#N/A</v>
      </c>
      <c r="H335" s="148" t="str" cm="1">
        <f t="array" ref="H335">IF(Table117821341[[#This Row],[Pos.]]="QB1",_xlfn.XLOOKUP(Table117821341[[#This Row],[Opp]],Table123[DEF],'2425'!$J$3:$J$34),"#N/A")</f>
        <v>#N/A</v>
      </c>
      <c r="I335" s="148" t="str" cm="1">
        <f t="array" ref="I335">IF(Table117821341[[#This Row],[Pos.]]="QB1",_xlfn.XLOOKUP(Table117821341[[#This Row],[Opp]],Table123[DEF],'2425'!$K$3:$K$34),"#N/A")</f>
        <v>#N/A</v>
      </c>
      <c r="J335" s="148" t="e" cm="1">
        <f t="array" ref="J33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5" s="148" t="e" cm="1">
        <f t="array" ref="K33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5" s="148" t="e" cm="1">
        <f t="array" ref="L33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5" s="148" t="e" cm="1">
        <f t="array" ref="M33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5" s="148" t="e" cm="1">
        <f t="array" ref="N33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5" s="149" t="str">
        <f>IF(Table117821341[[#This Row],[Pos.]]="QB1",_xlfn.XLOOKUP(Table117821341[[#This Row],[Opp]],Table123[DEF],Table123[P]),"#N/A")</f>
        <v>#N/A</v>
      </c>
      <c r="P335" s="149" t="str">
        <f>IF(Table117821341[[#This Row],[Pos.]]="QB1",_xlfn.XLOOKUP(Table117821341[[#This Row],[Opp]],Table123[DEF],Table123[P+R]),"#N/A")</f>
        <v>#N/A</v>
      </c>
      <c r="Q335" s="150" t="str">
        <f>IF(Table117821341[[#This Row],[Pos.]]="QB1",_xlfn.XLOOKUP(Table117821341[[#This Row],[Opp]],Table123[DEF],Table123[P TD]),"#N/A")</f>
        <v>#N/A</v>
      </c>
      <c r="R335" s="149" t="e" cm="1">
        <f t="array" ref="R33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5" s="150" t="e" cm="1">
        <f t="array" ref="S33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5" s="150" t="e" cm="1">
        <f t="array" ref="T33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5" s="150" t="e" cm="1">
        <f t="array" ref="U33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5" s="150" t="e" cm="1">
        <f t="array" ref="V33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5" s="148" t="e" cm="1">
        <f t="array" ref="W335">_xlfn.IFS(Table117821341[[#This Row],[Pos.]]="QB1",AVERAGE(G335,H335,I335,J335,N335),Table117821341[[#This Row],[Pos.]]="RB1",AVERAGE(J335,K335,N335),Table117821341[[#This Row],[Pos.]]="RB2",AVERAGE(J335,K335,N335),Table117821341[[#This Row],[Pos.]]="WR1",AVERAGE(L335,M335,N335),Table117821341[[#This Row],[Pos.]]="WR2",AVERAGE(L335,M335,N335),Table117821341[[#This Row],[Pos.]]="WR3",AVERAGE(L335,M335,N335),Table117821341[[#This Row],[Pos.]]="WR4",AVERAGE(L335,M335,N335),Table117821341[[#This Row],[Pos.]]="TE1",AVERAGE(L335,M335,N335),Table117821341[[#This Row],[Pos.]]="TE2",AVERAGE(L335,M335,N335),Table117821341[[#This Row],[Pos.]]="D/ST",AVERAGE(Table117821341[[#This Row],[*TD*]]))</f>
        <v>#N/A</v>
      </c>
      <c r="X335" s="94" t="e">
        <f t="shared" si="5"/>
        <v>#N/A</v>
      </c>
    </row>
    <row r="336" spans="2:24" hidden="1" x14ac:dyDescent="0.35">
      <c r="B336" s="6" t="s">
        <v>433</v>
      </c>
      <c r="C336" s="97" t="s">
        <v>44</v>
      </c>
      <c r="D336" s="97" t="s">
        <v>425</v>
      </c>
      <c r="E336" s="23" t="str" cm="1">
        <f t="array" ref="E336">_xlfn.XLOOKUP(Table117821341[[#This Row],[Team]],Table4334[Team],'2425'!$C$3:$C$34)</f>
        <v>n/a</v>
      </c>
      <c r="F336" s="97" t="str">
        <f>_xlfn.XLOOKUP(Table117821341[[#This Row],[Team]],Table4334[Team],Table4334[OPP])</f>
        <v>n/a</v>
      </c>
      <c r="G336" s="148" t="str" cm="1">
        <f t="array" ref="G336">IF(Table117821341[[#This Row],[Pos.]]="QB1",_xlfn.XLOOKUP(Table117821341[[#This Row],[Opp]],Table123[DEF],'2425'!$G$3:$G$34),"#N/A")</f>
        <v>#N/A</v>
      </c>
      <c r="H336" s="148" t="str" cm="1">
        <f t="array" ref="H336">IF(Table117821341[[#This Row],[Pos.]]="QB1",_xlfn.XLOOKUP(Table117821341[[#This Row],[Opp]],Table123[DEF],'2425'!$J$3:$J$34),"#N/A")</f>
        <v>#N/A</v>
      </c>
      <c r="I336" s="148" t="str" cm="1">
        <f t="array" ref="I336">IF(Table117821341[[#This Row],[Pos.]]="QB1",_xlfn.XLOOKUP(Table117821341[[#This Row],[Opp]],Table123[DEF],'2425'!$K$3:$K$34),"#N/A")</f>
        <v>#N/A</v>
      </c>
      <c r="J336" s="148" t="e" cm="1">
        <f t="array" ref="J33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6" s="148" t="e" cm="1">
        <f t="array" ref="K33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6" s="148" t="e" cm="1">
        <f t="array" ref="L33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6" s="148" t="e" cm="1">
        <f t="array" ref="M33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6" s="148" t="e" cm="1">
        <f t="array" ref="N33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6" s="149" t="str">
        <f>IF(Table117821341[[#This Row],[Pos.]]="QB1",_xlfn.XLOOKUP(Table117821341[[#This Row],[Opp]],Table123[DEF],Table123[P]),"#N/A")</f>
        <v>#N/A</v>
      </c>
      <c r="P336" s="149" t="str">
        <f>IF(Table117821341[[#This Row],[Pos.]]="QB1",_xlfn.XLOOKUP(Table117821341[[#This Row],[Opp]],Table123[DEF],Table123[P+R]),"#N/A")</f>
        <v>#N/A</v>
      </c>
      <c r="Q336" s="150" t="str">
        <f>IF(Table117821341[[#This Row],[Pos.]]="QB1",_xlfn.XLOOKUP(Table117821341[[#This Row],[Opp]],Table123[DEF],Table123[P TD]),"#N/A")</f>
        <v>#N/A</v>
      </c>
      <c r="R336" s="149" t="e" cm="1">
        <f t="array" ref="R33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6" s="150" t="e" cm="1">
        <f t="array" ref="S33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6" s="150" t="e" cm="1">
        <f t="array" ref="T33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6" s="150" t="e" cm="1">
        <f t="array" ref="U33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6" s="150" t="e" cm="1">
        <f t="array" ref="V33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6" s="148" t="e" cm="1">
        <f t="array" ref="W336">_xlfn.IFS(Table117821341[[#This Row],[Pos.]]="QB1",AVERAGE(G336,H336,I336,J336,N336),Table117821341[[#This Row],[Pos.]]="RB1",AVERAGE(J336,K336,N336),Table117821341[[#This Row],[Pos.]]="RB2",AVERAGE(J336,K336,N336),Table117821341[[#This Row],[Pos.]]="WR1",AVERAGE(L336,M336,N336),Table117821341[[#This Row],[Pos.]]="WR2",AVERAGE(L336,M336,N336),Table117821341[[#This Row],[Pos.]]="WR3",AVERAGE(L336,M336,N336),Table117821341[[#This Row],[Pos.]]="WR4",AVERAGE(L336,M336,N336),Table117821341[[#This Row],[Pos.]]="TE1",AVERAGE(L336,M336,N336),Table117821341[[#This Row],[Pos.]]="TE2",AVERAGE(L336,M336,N336),Table117821341[[#This Row],[Pos.]]="D/ST",AVERAGE(Table117821341[[#This Row],[*TD*]]))</f>
        <v>#N/A</v>
      </c>
      <c r="X336" s="94" t="e">
        <f t="shared" si="5"/>
        <v>#N/A</v>
      </c>
    </row>
    <row r="337" spans="2:24" hidden="1" x14ac:dyDescent="0.35">
      <c r="B337" s="6" t="s">
        <v>485</v>
      </c>
      <c r="C337" s="97" t="s">
        <v>32</v>
      </c>
      <c r="D337" s="97" t="s">
        <v>401</v>
      </c>
      <c r="E337" s="23" t="str" cm="1">
        <f t="array" ref="E337">_xlfn.XLOOKUP(Table117821341[[#This Row],[Team]],Table4334[Team],'2425'!$C$3:$C$34)</f>
        <v>n/a</v>
      </c>
      <c r="F337" s="97" t="str">
        <f>_xlfn.XLOOKUP(Table117821341[[#This Row],[Team]],Table4334[Team],Table4334[OPP])</f>
        <v>n/a</v>
      </c>
      <c r="G337" s="148" t="str" cm="1">
        <f t="array" ref="G337">IF(Table117821341[[#This Row],[Pos.]]="QB1",_xlfn.XLOOKUP(Table117821341[[#This Row],[Opp]],Table123[DEF],'2425'!$G$3:$G$34),"#N/A")</f>
        <v>#N/A</v>
      </c>
      <c r="H337" s="148" t="str" cm="1">
        <f t="array" ref="H337">IF(Table117821341[[#This Row],[Pos.]]="QB1",_xlfn.XLOOKUP(Table117821341[[#This Row],[Opp]],Table123[DEF],'2425'!$J$3:$J$34),"#N/A")</f>
        <v>#N/A</v>
      </c>
      <c r="I337" s="148" t="str" cm="1">
        <f t="array" ref="I337">IF(Table117821341[[#This Row],[Pos.]]="QB1",_xlfn.XLOOKUP(Table117821341[[#This Row],[Opp]],Table123[DEF],'2425'!$K$3:$K$34),"#N/A")</f>
        <v>#N/A</v>
      </c>
      <c r="J337" s="148" t="e" cm="1">
        <f t="array" ref="J33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7" s="148" t="e" cm="1">
        <f t="array" ref="K33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7" s="148" t="e" cm="1">
        <f t="array" ref="L33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7" s="148" t="e" cm="1">
        <f t="array" ref="M33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7" s="148" t="e" cm="1">
        <f t="array" ref="N33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7" s="149" t="str">
        <f>IF(Table117821341[[#This Row],[Pos.]]="QB1",_xlfn.XLOOKUP(Table117821341[[#This Row],[Opp]],Table123[DEF],Table123[P]),"#N/A")</f>
        <v>#N/A</v>
      </c>
      <c r="P337" s="149" t="str">
        <f>IF(Table117821341[[#This Row],[Pos.]]="QB1",_xlfn.XLOOKUP(Table117821341[[#This Row],[Opp]],Table123[DEF],Table123[P+R]),"#N/A")</f>
        <v>#N/A</v>
      </c>
      <c r="Q337" s="150" t="str">
        <f>IF(Table117821341[[#This Row],[Pos.]]="QB1",_xlfn.XLOOKUP(Table117821341[[#This Row],[Opp]],Table123[DEF],Table123[P TD]),"#N/A")</f>
        <v>#N/A</v>
      </c>
      <c r="R337" s="149" t="e" cm="1">
        <f t="array" ref="R33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7" s="150" t="e" cm="1">
        <f t="array" ref="S33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7" s="150" t="e" cm="1">
        <f t="array" ref="T33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7" s="150" t="e" cm="1">
        <f t="array" ref="U33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7" s="162" t="e" cm="1">
        <f t="array" ref="V33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7" s="148" t="e" cm="1">
        <f t="array" ref="W337">_xlfn.IFS(Table117821341[[#This Row],[Pos.]]="QB1",AVERAGE(G337,H337,I337,J337,N337),Table117821341[[#This Row],[Pos.]]="RB1",AVERAGE(J337,K337,N337),Table117821341[[#This Row],[Pos.]]="RB2",AVERAGE(J337,K337,N337),Table117821341[[#This Row],[Pos.]]="WR1",AVERAGE(L337,M337,N337),Table117821341[[#This Row],[Pos.]]="WR2",AVERAGE(L337,M337,N337),Table117821341[[#This Row],[Pos.]]="WR3",AVERAGE(L337,M337,N337),Table117821341[[#This Row],[Pos.]]="WR4",AVERAGE(L337,M337,N337),Table117821341[[#This Row],[Pos.]]="TE1",AVERAGE(L337,M337,N337),Table117821341[[#This Row],[Pos.]]="TE2",AVERAGE(L337,M337,N337),Table117821341[[#This Row],[Pos.]]="D/ST",AVERAGE(Table117821341[[#This Row],[*TD*]]))</f>
        <v>#N/A</v>
      </c>
      <c r="X337" s="94" t="e">
        <f t="shared" si="5"/>
        <v>#N/A</v>
      </c>
    </row>
    <row r="338" spans="2:24" hidden="1" x14ac:dyDescent="0.35">
      <c r="B338" s="6" t="s">
        <v>288</v>
      </c>
      <c r="C338" s="97" t="s">
        <v>44</v>
      </c>
      <c r="D338" s="97" t="s">
        <v>394</v>
      </c>
      <c r="E338" s="23" t="str" cm="1">
        <f t="array" ref="E338">_xlfn.XLOOKUP(Table117821341[[#This Row],[Team]],Table4334[Team],'2425'!$C$3:$C$34)</f>
        <v>n/a</v>
      </c>
      <c r="F338" s="97" t="str">
        <f>_xlfn.XLOOKUP(Table117821341[[#This Row],[Team]],Table4334[Team],Table4334[OPP])</f>
        <v>n/a</v>
      </c>
      <c r="G338" s="148" t="str" cm="1">
        <f t="array" ref="G338">IF(Table117821341[[#This Row],[Pos.]]="QB1",_xlfn.XLOOKUP(Table117821341[[#This Row],[Opp]],Table123[DEF],'2425'!$G$3:$G$34),"#N/A")</f>
        <v>#N/A</v>
      </c>
      <c r="H338" s="148" t="str" cm="1">
        <f t="array" ref="H338">IF(Table117821341[[#This Row],[Pos.]]="QB1",_xlfn.XLOOKUP(Table117821341[[#This Row],[Opp]],Table123[DEF],'2425'!$J$3:$J$34),"#N/A")</f>
        <v>#N/A</v>
      </c>
      <c r="I338" s="148" t="str" cm="1">
        <f t="array" ref="I338">IF(Table117821341[[#This Row],[Pos.]]="QB1",_xlfn.XLOOKUP(Table117821341[[#This Row],[Opp]],Table123[DEF],'2425'!$K$3:$K$34),"#N/A")</f>
        <v>#N/A</v>
      </c>
      <c r="J338" s="148" t="e" cm="1">
        <f t="array" ref="J33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8" s="148" t="e" cm="1">
        <f t="array" ref="K33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8" s="148" t="e" cm="1">
        <f t="array" ref="L33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8" s="148" t="e" cm="1">
        <f t="array" ref="M33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8" s="148" t="e" cm="1">
        <f t="array" ref="N33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8" s="149" t="str">
        <f>IF(Table117821341[[#This Row],[Pos.]]="QB1",_xlfn.XLOOKUP(Table117821341[[#This Row],[Opp]],Table123[DEF],Table123[P]),"#N/A")</f>
        <v>#N/A</v>
      </c>
      <c r="P338" s="149" t="str">
        <f>IF(Table117821341[[#This Row],[Pos.]]="QB1",_xlfn.XLOOKUP(Table117821341[[#This Row],[Opp]],Table123[DEF],Table123[P+R]),"#N/A")</f>
        <v>#N/A</v>
      </c>
      <c r="Q338" s="150" t="str">
        <f>IF(Table117821341[[#This Row],[Pos.]]="QB1",_xlfn.XLOOKUP(Table117821341[[#This Row],[Opp]],Table123[DEF],Table123[P TD]),"#N/A")</f>
        <v>#N/A</v>
      </c>
      <c r="R338" s="149" t="e" cm="1">
        <f t="array" ref="R33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8" s="150" t="e" cm="1">
        <f t="array" ref="S33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8" s="150" t="e" cm="1">
        <f t="array" ref="T33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8" s="150" t="e" cm="1">
        <f t="array" ref="U33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8" s="150" t="e" cm="1">
        <f t="array" ref="V33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8" s="148" t="e" cm="1">
        <f t="array" ref="W338">_xlfn.IFS(Table117821341[[#This Row],[Pos.]]="QB1",AVERAGE(G338,H338,I338,J338,N338),Table117821341[[#This Row],[Pos.]]="RB1",AVERAGE(J338,K338,N338),Table117821341[[#This Row],[Pos.]]="RB2",AVERAGE(J338,K338,N338),Table117821341[[#This Row],[Pos.]]="WR1",AVERAGE(L338,M338,N338),Table117821341[[#This Row],[Pos.]]="WR2",AVERAGE(L338,M338,N338),Table117821341[[#This Row],[Pos.]]="WR3",AVERAGE(L338,M338,N338),Table117821341[[#This Row],[Pos.]]="WR4",AVERAGE(L338,M338,N338),Table117821341[[#This Row],[Pos.]]="TE1",AVERAGE(L338,M338,N338),Table117821341[[#This Row],[Pos.]]="TE2",AVERAGE(L338,M338,N338),Table117821341[[#This Row],[Pos.]]="D/ST",AVERAGE(Table117821341[[#This Row],[*TD*]]))</f>
        <v>#N/A</v>
      </c>
      <c r="X338" s="94" t="e">
        <f t="shared" si="5"/>
        <v>#N/A</v>
      </c>
    </row>
    <row r="339" spans="2:24" hidden="1" x14ac:dyDescent="0.35">
      <c r="B339" s="6" t="s">
        <v>285</v>
      </c>
      <c r="C339" s="97" t="s">
        <v>44</v>
      </c>
      <c r="D339" s="97" t="s">
        <v>396</v>
      </c>
      <c r="E339" s="23" t="str" cm="1">
        <f t="array" ref="E339">_xlfn.XLOOKUP(Table117821341[[#This Row],[Team]],Table4334[Team],'2425'!$C$3:$C$34)</f>
        <v>n/a</v>
      </c>
      <c r="F339" s="97" t="str">
        <f>_xlfn.XLOOKUP(Table117821341[[#This Row],[Team]],Table4334[Team],Table4334[OPP])</f>
        <v>n/a</v>
      </c>
      <c r="G339" s="148" t="str" cm="1">
        <f t="array" ref="G339">IF(Table117821341[[#This Row],[Pos.]]="QB1",_xlfn.XLOOKUP(Table117821341[[#This Row],[Opp]],Table123[DEF],'2425'!$G$3:$G$34),"#N/A")</f>
        <v>#N/A</v>
      </c>
      <c r="H339" s="148" t="str" cm="1">
        <f t="array" ref="H339">IF(Table117821341[[#This Row],[Pos.]]="QB1",_xlfn.XLOOKUP(Table117821341[[#This Row],[Opp]],Table123[DEF],'2425'!$J$3:$J$34),"#N/A")</f>
        <v>#N/A</v>
      </c>
      <c r="I339" s="148" t="str" cm="1">
        <f t="array" ref="I339">IF(Table117821341[[#This Row],[Pos.]]="QB1",_xlfn.XLOOKUP(Table117821341[[#This Row],[Opp]],Table123[DEF],'2425'!$K$3:$K$34),"#N/A")</f>
        <v>#N/A</v>
      </c>
      <c r="J339" s="148" t="e" cm="1">
        <f t="array" ref="J33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39" s="148" t="e" cm="1">
        <f t="array" ref="K33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39" s="148" t="e" cm="1">
        <f t="array" ref="L33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39" s="148" t="e" cm="1">
        <f t="array" ref="M33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39" s="148" t="e" cm="1">
        <f t="array" ref="N33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39" s="149" t="str">
        <f>IF(Table117821341[[#This Row],[Pos.]]="QB1",_xlfn.XLOOKUP(Table117821341[[#This Row],[Opp]],Table123[DEF],Table123[P]),"#N/A")</f>
        <v>#N/A</v>
      </c>
      <c r="P339" s="149" t="str">
        <f>IF(Table117821341[[#This Row],[Pos.]]="QB1",_xlfn.XLOOKUP(Table117821341[[#This Row],[Opp]],Table123[DEF],Table123[P+R]),"#N/A")</f>
        <v>#N/A</v>
      </c>
      <c r="Q339" s="150" t="str">
        <f>IF(Table117821341[[#This Row],[Pos.]]="QB1",_xlfn.XLOOKUP(Table117821341[[#This Row],[Opp]],Table123[DEF],Table123[P TD]),"#N/A")</f>
        <v>#N/A</v>
      </c>
      <c r="R339" s="149" t="e" cm="1">
        <f t="array" ref="R33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39" s="150" t="e" cm="1">
        <f t="array" ref="S33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39" s="150" t="e" cm="1">
        <f t="array" ref="T33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39" s="150" t="e" cm="1">
        <f t="array" ref="U33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39" s="150" t="e" cm="1">
        <f t="array" ref="V33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39" s="148" t="e" cm="1">
        <f t="array" ref="W339">_xlfn.IFS(Table117821341[[#This Row],[Pos.]]="QB1",AVERAGE(G339,H339,I339,J339,N339),Table117821341[[#This Row],[Pos.]]="RB1",AVERAGE(J339,K339,N339),Table117821341[[#This Row],[Pos.]]="RB2",AVERAGE(J339,K339,N339),Table117821341[[#This Row],[Pos.]]="WR1",AVERAGE(L339,M339,N339),Table117821341[[#This Row],[Pos.]]="WR2",AVERAGE(L339,M339,N339),Table117821341[[#This Row],[Pos.]]="WR3",AVERAGE(L339,M339,N339),Table117821341[[#This Row],[Pos.]]="WR4",AVERAGE(L339,M339,N339),Table117821341[[#This Row],[Pos.]]="TE1",AVERAGE(L339,M339,N339),Table117821341[[#This Row],[Pos.]]="TE2",AVERAGE(L339,M339,N339),Table117821341[[#This Row],[Pos.]]="D/ST",AVERAGE(Table117821341[[#This Row],[*TD*]]))</f>
        <v>#N/A</v>
      </c>
      <c r="X339" s="94" t="e">
        <f t="shared" si="5"/>
        <v>#N/A</v>
      </c>
    </row>
    <row r="340" spans="2:24" hidden="1" x14ac:dyDescent="0.35">
      <c r="B340" s="6" t="s">
        <v>287</v>
      </c>
      <c r="C340" s="97" t="s">
        <v>44</v>
      </c>
      <c r="D340" s="97" t="s">
        <v>407</v>
      </c>
      <c r="E340" s="23" t="str" cm="1">
        <f t="array" ref="E340">_xlfn.XLOOKUP(Table117821341[[#This Row],[Team]],Table4334[Team],'2425'!$C$3:$C$34)</f>
        <v>n/a</v>
      </c>
      <c r="F340" s="97" t="str">
        <f>_xlfn.XLOOKUP(Table117821341[[#This Row],[Team]],Table4334[Team],Table4334[OPP])</f>
        <v>n/a</v>
      </c>
      <c r="G340" s="148" t="str" cm="1">
        <f t="array" ref="G340">IF(Table117821341[[#This Row],[Pos.]]="QB1",_xlfn.XLOOKUP(Table117821341[[#This Row],[Opp]],Table123[DEF],'2425'!$G$3:$G$34),"#N/A")</f>
        <v>#N/A</v>
      </c>
      <c r="H340" s="148" t="str" cm="1">
        <f t="array" ref="H340">IF(Table117821341[[#This Row],[Pos.]]="QB1",_xlfn.XLOOKUP(Table117821341[[#This Row],[Opp]],Table123[DEF],'2425'!$J$3:$J$34),"#N/A")</f>
        <v>#N/A</v>
      </c>
      <c r="I340" s="148" t="str" cm="1">
        <f t="array" ref="I340">IF(Table117821341[[#This Row],[Pos.]]="QB1",_xlfn.XLOOKUP(Table117821341[[#This Row],[Opp]],Table123[DEF],'2425'!$K$3:$K$34),"#N/A")</f>
        <v>#N/A</v>
      </c>
      <c r="J340" s="148" t="e" cm="1">
        <f t="array" ref="J34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0" s="148" t="e" cm="1">
        <f t="array" ref="K34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0" s="148" t="e" cm="1">
        <f t="array" ref="L34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0" s="148" t="e" cm="1">
        <f t="array" ref="M34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0" s="148" t="e" cm="1">
        <f t="array" ref="N34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0" s="149" t="str">
        <f>IF(Table117821341[[#This Row],[Pos.]]="QB1",_xlfn.XLOOKUP(Table117821341[[#This Row],[Opp]],Table123[DEF],Table123[P]),"#N/A")</f>
        <v>#N/A</v>
      </c>
      <c r="P340" s="149" t="str">
        <f>IF(Table117821341[[#This Row],[Pos.]]="QB1",_xlfn.XLOOKUP(Table117821341[[#This Row],[Opp]],Table123[DEF],Table123[P+R]),"#N/A")</f>
        <v>#N/A</v>
      </c>
      <c r="Q340" s="150" t="str">
        <f>IF(Table117821341[[#This Row],[Pos.]]="QB1",_xlfn.XLOOKUP(Table117821341[[#This Row],[Opp]],Table123[DEF],Table123[P TD]),"#N/A")</f>
        <v>#N/A</v>
      </c>
      <c r="R340" s="149" t="e" cm="1">
        <f t="array" ref="R34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0" s="150" t="e" cm="1">
        <f t="array" ref="S34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0" s="150" t="e" cm="1">
        <f t="array" ref="T34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0" s="150" t="e" cm="1">
        <f t="array" ref="U34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0" s="150" t="e" cm="1">
        <f t="array" ref="V34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0" s="148" t="e" cm="1">
        <f t="array" ref="W340">_xlfn.IFS(Table117821341[[#This Row],[Pos.]]="QB1",AVERAGE(G340,H340,I340,J340,N340),Table117821341[[#This Row],[Pos.]]="RB1",AVERAGE(J340,K340,N340),Table117821341[[#This Row],[Pos.]]="RB2",AVERAGE(J340,K340,N340),Table117821341[[#This Row],[Pos.]]="WR1",AVERAGE(L340,M340,N340),Table117821341[[#This Row],[Pos.]]="WR2",AVERAGE(L340,M340,N340),Table117821341[[#This Row],[Pos.]]="WR3",AVERAGE(L340,M340,N340),Table117821341[[#This Row],[Pos.]]="WR4",AVERAGE(L340,M340,N340),Table117821341[[#This Row],[Pos.]]="TE1",AVERAGE(L340,M340,N340),Table117821341[[#This Row],[Pos.]]="TE2",AVERAGE(L340,M340,N340),Table117821341[[#This Row],[Pos.]]="D/ST",AVERAGE(Table117821341[[#This Row],[*TD*]]))</f>
        <v>#N/A</v>
      </c>
      <c r="X340" s="94" t="e">
        <f t="shared" si="5"/>
        <v>#N/A</v>
      </c>
    </row>
    <row r="341" spans="2:24" hidden="1" x14ac:dyDescent="0.35">
      <c r="B341" s="6" t="s">
        <v>570</v>
      </c>
      <c r="C341" s="97" t="s">
        <v>40</v>
      </c>
      <c r="D341" s="97" t="s">
        <v>401</v>
      </c>
      <c r="E341" s="23" t="str" cm="1">
        <f t="array" ref="E341">_xlfn.XLOOKUP(Table117821341[[#This Row],[Team]],Table4334[Team],'2425'!$C$3:$C$34)</f>
        <v>n/a</v>
      </c>
      <c r="F341" s="97" t="str">
        <f>_xlfn.XLOOKUP(Table117821341[[#This Row],[Team]],Table4334[Team],Table4334[OPP])</f>
        <v>n/a</v>
      </c>
      <c r="G341" s="148" t="str" cm="1">
        <f t="array" ref="G341">IF(Table117821341[[#This Row],[Pos.]]="QB1",_xlfn.XLOOKUP(Table117821341[[#This Row],[Opp]],Table123[DEF],'2425'!$G$3:$G$34),"#N/A")</f>
        <v>#N/A</v>
      </c>
      <c r="H341" s="148" t="str" cm="1">
        <f t="array" ref="H341">IF(Table117821341[[#This Row],[Pos.]]="QB1",_xlfn.XLOOKUP(Table117821341[[#This Row],[Opp]],Table123[DEF],'2425'!$J$3:$J$34),"#N/A")</f>
        <v>#N/A</v>
      </c>
      <c r="I341" s="148" t="str" cm="1">
        <f t="array" ref="I341">IF(Table117821341[[#This Row],[Pos.]]="QB1",_xlfn.XLOOKUP(Table117821341[[#This Row],[Opp]],Table123[DEF],'2425'!$K$3:$K$34),"#N/A")</f>
        <v>#N/A</v>
      </c>
      <c r="J341" s="148" t="e" cm="1">
        <f t="array" ref="J34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1" s="148" t="e" cm="1">
        <f t="array" ref="K34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1" s="148" t="e" cm="1">
        <f t="array" ref="L34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1" s="148" t="e" cm="1">
        <f t="array" ref="M34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1" s="148" t="e" cm="1">
        <f t="array" ref="N34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1" s="149" t="str">
        <f>IF(Table117821341[[#This Row],[Pos.]]="QB1",_xlfn.XLOOKUP(Table117821341[[#This Row],[Opp]],Table123[DEF],Table123[P]),"#N/A")</f>
        <v>#N/A</v>
      </c>
      <c r="P341" s="149" t="str">
        <f>IF(Table117821341[[#This Row],[Pos.]]="QB1",_xlfn.XLOOKUP(Table117821341[[#This Row],[Opp]],Table123[DEF],Table123[P+R]),"#N/A")</f>
        <v>#N/A</v>
      </c>
      <c r="Q341" s="150" t="str">
        <f>IF(Table117821341[[#This Row],[Pos.]]="QB1",_xlfn.XLOOKUP(Table117821341[[#This Row],[Opp]],Table123[DEF],Table123[P TD]),"#N/A")</f>
        <v>#N/A</v>
      </c>
      <c r="R341" s="149" t="e" cm="1">
        <f t="array" ref="R34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1" s="150" t="e" cm="1">
        <f t="array" ref="S34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1" s="150" t="e" cm="1">
        <f t="array" ref="T34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1" s="150" t="e" cm="1">
        <f t="array" ref="U34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1" s="162" t="e" cm="1">
        <f t="array" ref="V34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1" s="148" t="e" cm="1">
        <f t="array" ref="W341">_xlfn.IFS(Table117821341[[#This Row],[Pos.]]="QB1",AVERAGE(G341,H341,I341,J341,N341),Table117821341[[#This Row],[Pos.]]="RB1",AVERAGE(J341,K341,N341),Table117821341[[#This Row],[Pos.]]="RB2",AVERAGE(J341,K341,N341),Table117821341[[#This Row],[Pos.]]="WR1",AVERAGE(L341,M341,N341),Table117821341[[#This Row],[Pos.]]="WR2",AVERAGE(L341,M341,N341),Table117821341[[#This Row],[Pos.]]="WR3",AVERAGE(L341,M341,N341),Table117821341[[#This Row],[Pos.]]="WR4",AVERAGE(L341,M341,N341),Table117821341[[#This Row],[Pos.]]="TE1",AVERAGE(L341,M341,N341),Table117821341[[#This Row],[Pos.]]="TE2",AVERAGE(L341,M341,N341),Table117821341[[#This Row],[Pos.]]="D/ST",AVERAGE(Table117821341[[#This Row],[*TD*]]))</f>
        <v>#N/A</v>
      </c>
      <c r="X341" s="94" t="e">
        <f t="shared" si="5"/>
        <v>#N/A</v>
      </c>
    </row>
    <row r="342" spans="2:24" hidden="1" x14ac:dyDescent="0.35">
      <c r="B342" s="6" t="s">
        <v>120</v>
      </c>
      <c r="C342" s="97" t="s">
        <v>44</v>
      </c>
      <c r="D342" s="97" t="s">
        <v>398</v>
      </c>
      <c r="E342" s="23" t="str" cm="1">
        <f t="array" ref="E342">_xlfn.XLOOKUP(Table117821341[[#This Row],[Team]],Table4334[Team],'2425'!$C$3:$C$34)</f>
        <v>n/a</v>
      </c>
      <c r="F342" s="97" t="str">
        <f>_xlfn.XLOOKUP(Table117821341[[#This Row],[Team]],Table4334[Team],Table4334[OPP])</f>
        <v>n/a</v>
      </c>
      <c r="G342" s="148" t="str" cm="1">
        <f t="array" ref="G342">IF(Table117821341[[#This Row],[Pos.]]="QB1",_xlfn.XLOOKUP(Table117821341[[#This Row],[Opp]],Table123[DEF],'2425'!$G$3:$G$34),"#N/A")</f>
        <v>#N/A</v>
      </c>
      <c r="H342" s="148" t="str" cm="1">
        <f t="array" ref="H342">IF(Table117821341[[#This Row],[Pos.]]="QB1",_xlfn.XLOOKUP(Table117821341[[#This Row],[Opp]],Table123[DEF],'2425'!$J$3:$J$34),"#N/A")</f>
        <v>#N/A</v>
      </c>
      <c r="I342" s="148" t="str" cm="1">
        <f t="array" ref="I342">IF(Table117821341[[#This Row],[Pos.]]="QB1",_xlfn.XLOOKUP(Table117821341[[#This Row],[Opp]],Table123[DEF],'2425'!$K$3:$K$34),"#N/A")</f>
        <v>#N/A</v>
      </c>
      <c r="J342" s="148" t="e" cm="1">
        <f t="array" ref="J34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2" s="148" t="e" cm="1">
        <f t="array" ref="K34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2" s="148" t="e" cm="1">
        <f t="array" ref="L34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2" s="148" t="e" cm="1">
        <f t="array" ref="M34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2" s="148" t="e" cm="1">
        <f t="array" ref="N34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2" s="149" t="str">
        <f>IF(Table117821341[[#This Row],[Pos.]]="QB1",_xlfn.XLOOKUP(Table117821341[[#This Row],[Opp]],Table123[DEF],Table123[P]),"#N/A")</f>
        <v>#N/A</v>
      </c>
      <c r="P342" s="149" t="str">
        <f>IF(Table117821341[[#This Row],[Pos.]]="QB1",_xlfn.XLOOKUP(Table117821341[[#This Row],[Opp]],Table123[DEF],Table123[P+R]),"#N/A")</f>
        <v>#N/A</v>
      </c>
      <c r="Q342" s="150" t="str">
        <f>IF(Table117821341[[#This Row],[Pos.]]="QB1",_xlfn.XLOOKUP(Table117821341[[#This Row],[Opp]],Table123[DEF],Table123[P TD]),"#N/A")</f>
        <v>#N/A</v>
      </c>
      <c r="R342" s="149" t="e" cm="1">
        <f t="array" ref="R34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2" s="150" t="e" cm="1">
        <f t="array" ref="S34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2" s="150" t="e" cm="1">
        <f t="array" ref="T34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2" s="150" t="e" cm="1">
        <f t="array" ref="U34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2" s="150" t="e" cm="1">
        <f t="array" ref="V34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2" s="148" t="e" cm="1">
        <f t="array" ref="W342">_xlfn.IFS(Table117821341[[#This Row],[Pos.]]="QB1",AVERAGE(G342,H342,I342,J342,N342),Table117821341[[#This Row],[Pos.]]="RB1",AVERAGE(J342,K342,N342),Table117821341[[#This Row],[Pos.]]="RB2",AVERAGE(J342,K342,N342),Table117821341[[#This Row],[Pos.]]="WR1",AVERAGE(L342,M342,N342),Table117821341[[#This Row],[Pos.]]="WR2",AVERAGE(L342,M342,N342),Table117821341[[#This Row],[Pos.]]="WR3",AVERAGE(L342,M342,N342),Table117821341[[#This Row],[Pos.]]="WR4",AVERAGE(L342,M342,N342),Table117821341[[#This Row],[Pos.]]="TE1",AVERAGE(L342,M342,N342),Table117821341[[#This Row],[Pos.]]="TE2",AVERAGE(L342,M342,N342),Table117821341[[#This Row],[Pos.]]="D/ST",AVERAGE(Table117821341[[#This Row],[*TD*]]))</f>
        <v>#N/A</v>
      </c>
      <c r="X342" s="94" t="e">
        <f t="shared" si="5"/>
        <v>#N/A</v>
      </c>
    </row>
    <row r="343" spans="2:24" hidden="1" x14ac:dyDescent="0.35">
      <c r="B343" s="6" t="s">
        <v>432</v>
      </c>
      <c r="C343" s="97" t="s">
        <v>44</v>
      </c>
      <c r="D343" s="97" t="s">
        <v>430</v>
      </c>
      <c r="E343" s="23" t="str" cm="1">
        <f t="array" ref="E343">_xlfn.XLOOKUP(Table117821341[[#This Row],[Team]],Table4334[Team],'2425'!$C$3:$C$34)</f>
        <v>n/a</v>
      </c>
      <c r="F343" s="97" t="str">
        <f>_xlfn.XLOOKUP(Table117821341[[#This Row],[Team]],Table4334[Team],Table4334[OPP])</f>
        <v>n/a</v>
      </c>
      <c r="G343" s="148" t="str" cm="1">
        <f t="array" ref="G343">IF(Table117821341[[#This Row],[Pos.]]="QB1",_xlfn.XLOOKUP(Table117821341[[#This Row],[Opp]],Table123[DEF],'2425'!$G$3:$G$34),"#N/A")</f>
        <v>#N/A</v>
      </c>
      <c r="H343" s="148" t="str" cm="1">
        <f t="array" ref="H343">IF(Table117821341[[#This Row],[Pos.]]="QB1",_xlfn.XLOOKUP(Table117821341[[#This Row],[Opp]],Table123[DEF],'2425'!$J$3:$J$34),"#N/A")</f>
        <v>#N/A</v>
      </c>
      <c r="I343" s="148" t="str" cm="1">
        <f t="array" ref="I343">IF(Table117821341[[#This Row],[Pos.]]="QB1",_xlfn.XLOOKUP(Table117821341[[#This Row],[Opp]],Table123[DEF],'2425'!$K$3:$K$34),"#N/A")</f>
        <v>#N/A</v>
      </c>
      <c r="J343" s="148" t="e" cm="1">
        <f t="array" ref="J34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3" s="148" t="e" cm="1">
        <f t="array" ref="K34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3" s="148" t="e" cm="1">
        <f t="array" ref="L34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3" s="148" t="e" cm="1">
        <f t="array" ref="M34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3" s="148" t="e" cm="1">
        <f t="array" ref="N34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3" s="149" t="str">
        <f>IF(Table117821341[[#This Row],[Pos.]]="QB1",_xlfn.XLOOKUP(Table117821341[[#This Row],[Opp]],Table123[DEF],Table123[P]),"#N/A")</f>
        <v>#N/A</v>
      </c>
      <c r="P343" s="149" t="str">
        <f>IF(Table117821341[[#This Row],[Pos.]]="QB1",_xlfn.XLOOKUP(Table117821341[[#This Row],[Opp]],Table123[DEF],Table123[P+R]),"#N/A")</f>
        <v>#N/A</v>
      </c>
      <c r="Q343" s="150" t="str">
        <f>IF(Table117821341[[#This Row],[Pos.]]="QB1",_xlfn.XLOOKUP(Table117821341[[#This Row],[Opp]],Table123[DEF],Table123[P TD]),"#N/A")</f>
        <v>#N/A</v>
      </c>
      <c r="R343" s="149" t="e" cm="1">
        <f t="array" ref="R34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3" s="150" t="e" cm="1">
        <f t="array" ref="S34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3" s="150" t="e" cm="1">
        <f t="array" ref="T34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3" s="150" t="e" cm="1">
        <f t="array" ref="U34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3" s="150" t="e" cm="1">
        <f t="array" ref="V34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3" s="148" t="e" cm="1">
        <f t="array" ref="W343">_xlfn.IFS(Table117821341[[#This Row],[Pos.]]="QB1",AVERAGE(G343,H343,I343,J343,N343),Table117821341[[#This Row],[Pos.]]="RB1",AVERAGE(J343,K343,N343),Table117821341[[#This Row],[Pos.]]="RB2",AVERAGE(J343,K343,N343),Table117821341[[#This Row],[Pos.]]="WR1",AVERAGE(L343,M343,N343),Table117821341[[#This Row],[Pos.]]="WR2",AVERAGE(L343,M343,N343),Table117821341[[#This Row],[Pos.]]="WR3",AVERAGE(L343,M343,N343),Table117821341[[#This Row],[Pos.]]="WR4",AVERAGE(L343,M343,N343),Table117821341[[#This Row],[Pos.]]="TE1",AVERAGE(L343,M343,N343),Table117821341[[#This Row],[Pos.]]="TE2",AVERAGE(L343,M343,N343),Table117821341[[#This Row],[Pos.]]="D/ST",AVERAGE(Table117821341[[#This Row],[*TD*]]))</f>
        <v>#N/A</v>
      </c>
      <c r="X343" s="94" t="e">
        <f t="shared" si="5"/>
        <v>#N/A</v>
      </c>
    </row>
    <row r="344" spans="2:24" hidden="1" x14ac:dyDescent="0.35">
      <c r="B344" s="6" t="s">
        <v>434</v>
      </c>
      <c r="C344" s="97" t="s">
        <v>44</v>
      </c>
      <c r="D344" s="97" t="s">
        <v>435</v>
      </c>
      <c r="E344" s="23" t="str" cm="1">
        <f t="array" ref="E344">_xlfn.XLOOKUP(Table117821341[[#This Row],[Team]],Table4334[Team],'2425'!$C$3:$C$34)</f>
        <v>n/a</v>
      </c>
      <c r="F344" s="97" t="str">
        <f>_xlfn.XLOOKUP(Table117821341[[#This Row],[Team]],Table4334[Team],Table4334[OPP])</f>
        <v>n/a</v>
      </c>
      <c r="G344" s="148" t="str" cm="1">
        <f t="array" ref="G344">IF(Table117821341[[#This Row],[Pos.]]="QB1",_xlfn.XLOOKUP(Table117821341[[#This Row],[Opp]],Table123[DEF],'2425'!$G$3:$G$34),"#N/A")</f>
        <v>#N/A</v>
      </c>
      <c r="H344" s="148" t="str" cm="1">
        <f t="array" ref="H344">IF(Table117821341[[#This Row],[Pos.]]="QB1",_xlfn.XLOOKUP(Table117821341[[#This Row],[Opp]],Table123[DEF],'2425'!$J$3:$J$34),"#N/A")</f>
        <v>#N/A</v>
      </c>
      <c r="I344" s="148" t="str" cm="1">
        <f t="array" ref="I344">IF(Table117821341[[#This Row],[Pos.]]="QB1",_xlfn.XLOOKUP(Table117821341[[#This Row],[Opp]],Table123[DEF],'2425'!$K$3:$K$34),"#N/A")</f>
        <v>#N/A</v>
      </c>
      <c r="J344" s="148" t="e" cm="1">
        <f t="array" ref="J34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4" s="148" t="e" cm="1">
        <f t="array" ref="K34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4" s="148" t="e" cm="1">
        <f t="array" ref="L34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4" s="148" t="e" cm="1">
        <f t="array" ref="M34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4" s="148" t="e" cm="1">
        <f t="array" ref="N34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4" s="149" t="str">
        <f>IF(Table117821341[[#This Row],[Pos.]]="QB1",_xlfn.XLOOKUP(Table117821341[[#This Row],[Opp]],Table123[DEF],Table123[P]),"#N/A")</f>
        <v>#N/A</v>
      </c>
      <c r="P344" s="149" t="str">
        <f>IF(Table117821341[[#This Row],[Pos.]]="QB1",_xlfn.XLOOKUP(Table117821341[[#This Row],[Opp]],Table123[DEF],Table123[P+R]),"#N/A")</f>
        <v>#N/A</v>
      </c>
      <c r="Q344" s="150" t="str">
        <f>IF(Table117821341[[#This Row],[Pos.]]="QB1",_xlfn.XLOOKUP(Table117821341[[#This Row],[Opp]],Table123[DEF],Table123[P TD]),"#N/A")</f>
        <v>#N/A</v>
      </c>
      <c r="R344" s="149" t="e" cm="1">
        <f t="array" ref="R34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4" s="150" t="e" cm="1">
        <f t="array" ref="S34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4" s="150" t="e" cm="1">
        <f t="array" ref="T34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4" s="150" t="e" cm="1">
        <f t="array" ref="U34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4" s="150" t="e" cm="1">
        <f t="array" ref="V34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4" s="148" t="e" cm="1">
        <f t="array" ref="W344">_xlfn.IFS(Table117821341[[#This Row],[Pos.]]="QB1",AVERAGE(G344,H344,I344,J344,N344),Table117821341[[#This Row],[Pos.]]="RB1",AVERAGE(J344,K344,N344),Table117821341[[#This Row],[Pos.]]="RB2",AVERAGE(J344,K344,N344),Table117821341[[#This Row],[Pos.]]="WR1",AVERAGE(L344,M344,N344),Table117821341[[#This Row],[Pos.]]="WR2",AVERAGE(L344,M344,N344),Table117821341[[#This Row],[Pos.]]="WR3",AVERAGE(L344,M344,N344),Table117821341[[#This Row],[Pos.]]="WR4",AVERAGE(L344,M344,N344),Table117821341[[#This Row],[Pos.]]="TE1",AVERAGE(L344,M344,N344),Table117821341[[#This Row],[Pos.]]="TE2",AVERAGE(L344,M344,N344),Table117821341[[#This Row],[Pos.]]="D/ST",AVERAGE(Table117821341[[#This Row],[*TD*]]))</f>
        <v>#N/A</v>
      </c>
      <c r="X344" s="94" t="e">
        <f t="shared" si="5"/>
        <v>#N/A</v>
      </c>
    </row>
    <row r="345" spans="2:24" hidden="1" x14ac:dyDescent="0.35">
      <c r="B345" s="6" t="s">
        <v>730</v>
      </c>
      <c r="C345" s="97" t="s">
        <v>49</v>
      </c>
      <c r="D345" s="97" t="s">
        <v>71</v>
      </c>
      <c r="E345" s="23" t="str" cm="1">
        <f t="array" ref="E345">_xlfn.XLOOKUP(Table117821341[[#This Row],[Team]],Table4334[Team],'2425'!$C$3:$C$34)</f>
        <v>n/a</v>
      </c>
      <c r="F345" s="97" t="str">
        <f>_xlfn.XLOOKUP(Table117821341[[#This Row],[Team]],Table4334[Team],Table4334[OPP])</f>
        <v>n/a</v>
      </c>
      <c r="G345" s="148" t="str" cm="1">
        <f t="array" ref="G345">IF(Table117821341[[#This Row],[Pos.]]="QB1",_xlfn.XLOOKUP(Table117821341[[#This Row],[Opp]],Table123[DEF],'2425'!$G$3:$G$34),"#N/A")</f>
        <v>#N/A</v>
      </c>
      <c r="H345" s="148" t="str" cm="1">
        <f t="array" ref="H345">IF(Table117821341[[#This Row],[Pos.]]="QB1",_xlfn.XLOOKUP(Table117821341[[#This Row],[Opp]],Table123[DEF],'2425'!$J$3:$J$34),"#N/A")</f>
        <v>#N/A</v>
      </c>
      <c r="I345" s="148" t="str" cm="1">
        <f t="array" ref="I345">IF(Table117821341[[#This Row],[Pos.]]="QB1",_xlfn.XLOOKUP(Table117821341[[#This Row],[Opp]],Table123[DEF],'2425'!$K$3:$K$34),"#N/A")</f>
        <v>#N/A</v>
      </c>
      <c r="J345" s="148" t="e" cm="1">
        <f t="array" ref="J34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5" s="148" t="e" cm="1">
        <f t="array" ref="K34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5" s="148" t="e" cm="1">
        <f t="array" ref="L34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5" s="148" t="e" cm="1">
        <f t="array" ref="M34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5" s="148" t="e" cm="1">
        <f t="array" ref="N34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5" s="149" t="str">
        <f>IF(Table117821341[[#This Row],[Pos.]]="QB1",_xlfn.XLOOKUP(Table117821341[[#This Row],[Opp]],Table123[DEF],Table123[P]),"#N/A")</f>
        <v>#N/A</v>
      </c>
      <c r="P345" s="149" t="str">
        <f>IF(Table117821341[[#This Row],[Pos.]]="QB1",_xlfn.XLOOKUP(Table117821341[[#This Row],[Opp]],Table123[DEF],Table123[P+R]),"#N/A")</f>
        <v>#N/A</v>
      </c>
      <c r="Q345" s="150" t="str">
        <f>IF(Table117821341[[#This Row],[Pos.]]="QB1",_xlfn.XLOOKUP(Table117821341[[#This Row],[Opp]],Table123[DEF],Table123[P TD]),"#N/A")</f>
        <v>#N/A</v>
      </c>
      <c r="R345" s="149" t="e" cm="1">
        <f t="array" ref="R34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5" s="150" t="e" cm="1">
        <f t="array" ref="S34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5" s="150" t="e" cm="1">
        <f t="array" ref="T34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5" s="150" t="e" cm="1">
        <f t="array" ref="U34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5" s="162" t="e" cm="1">
        <f t="array" ref="V34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5" s="148" t="e" cm="1">
        <f t="array" ref="W345">_xlfn.IFS(Table117821341[[#This Row],[Pos.]]="QB1",AVERAGE(G345,H345,I345,J345,N345),Table117821341[[#This Row],[Pos.]]="RB1",AVERAGE(J345,K345,N345),Table117821341[[#This Row],[Pos.]]="RB2",AVERAGE(J345,K345,N345),Table117821341[[#This Row],[Pos.]]="WR1",AVERAGE(L345,M345,N345),Table117821341[[#This Row],[Pos.]]="WR2",AVERAGE(L345,M345,N345),Table117821341[[#This Row],[Pos.]]="WR3",AVERAGE(L345,M345,N345),Table117821341[[#This Row],[Pos.]]="WR4",AVERAGE(L345,M345,N345),Table117821341[[#This Row],[Pos.]]="TE1",AVERAGE(L345,M345,N345),Table117821341[[#This Row],[Pos.]]="TE2",AVERAGE(L345,M345,N345),Table117821341[[#This Row],[Pos.]]="D/ST",AVERAGE(Table117821341[[#This Row],[*TD*]]))</f>
        <v>#N/A</v>
      </c>
      <c r="X345" s="94" t="e">
        <f t="shared" si="5"/>
        <v>#N/A</v>
      </c>
    </row>
    <row r="346" spans="2:24" hidden="1" x14ac:dyDescent="0.35">
      <c r="B346" s="6" t="s">
        <v>416</v>
      </c>
      <c r="C346" s="97" t="s">
        <v>49</v>
      </c>
      <c r="D346" s="97" t="s">
        <v>401</v>
      </c>
      <c r="E346" s="23" t="str" cm="1">
        <f t="array" ref="E346">_xlfn.XLOOKUP(Table117821341[[#This Row],[Team]],Table4334[Team],'2425'!$C$3:$C$34)</f>
        <v>n/a</v>
      </c>
      <c r="F346" s="97" t="str">
        <f>_xlfn.XLOOKUP(Table117821341[[#This Row],[Team]],Table4334[Team],Table4334[OPP])</f>
        <v>n/a</v>
      </c>
      <c r="G346" s="148" t="str" cm="1">
        <f t="array" ref="G346">IF(Table117821341[[#This Row],[Pos.]]="QB1",_xlfn.XLOOKUP(Table117821341[[#This Row],[Opp]],Table123[DEF],'2425'!$G$3:$G$34),"#N/A")</f>
        <v>#N/A</v>
      </c>
      <c r="H346" s="148" t="str" cm="1">
        <f t="array" ref="H346">IF(Table117821341[[#This Row],[Pos.]]="QB1",_xlfn.XLOOKUP(Table117821341[[#This Row],[Opp]],Table123[DEF],'2425'!$J$3:$J$34),"#N/A")</f>
        <v>#N/A</v>
      </c>
      <c r="I346" s="148" t="str" cm="1">
        <f t="array" ref="I346">IF(Table117821341[[#This Row],[Pos.]]="QB1",_xlfn.XLOOKUP(Table117821341[[#This Row],[Opp]],Table123[DEF],'2425'!$K$3:$K$34),"#N/A")</f>
        <v>#N/A</v>
      </c>
      <c r="J346" s="148" t="e" cm="1">
        <f t="array" ref="J34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6" s="148" t="e" cm="1">
        <f t="array" ref="K34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6" s="148" t="e" cm="1">
        <f t="array" ref="L34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6" s="148" t="e" cm="1">
        <f t="array" ref="M34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6" s="148" t="e" cm="1">
        <f t="array" ref="N34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6" s="149" t="str">
        <f>IF(Table117821341[[#This Row],[Pos.]]="QB1",_xlfn.XLOOKUP(Table117821341[[#This Row],[Opp]],Table123[DEF],Table123[P]),"#N/A")</f>
        <v>#N/A</v>
      </c>
      <c r="P346" s="149" t="str">
        <f>IF(Table117821341[[#This Row],[Pos.]]="QB1",_xlfn.XLOOKUP(Table117821341[[#This Row],[Opp]],Table123[DEF],Table123[P+R]),"#N/A")</f>
        <v>#N/A</v>
      </c>
      <c r="Q346" s="150" t="str">
        <f>IF(Table117821341[[#This Row],[Pos.]]="QB1",_xlfn.XLOOKUP(Table117821341[[#This Row],[Opp]],Table123[DEF],Table123[P TD]),"#N/A")</f>
        <v>#N/A</v>
      </c>
      <c r="R346" s="149" t="e" cm="1">
        <f t="array" ref="R34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6" s="150" t="e" cm="1">
        <f t="array" ref="S34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6" s="150" t="e" cm="1">
        <f t="array" ref="T34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6" s="150" t="e" cm="1">
        <f t="array" ref="U34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6" s="162" t="e" cm="1">
        <f t="array" ref="V34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6" s="148" t="e" cm="1">
        <f t="array" ref="W346">_xlfn.IFS(Table117821341[[#This Row],[Pos.]]="QB1",AVERAGE(G346,H346,I346,J346,N346),Table117821341[[#This Row],[Pos.]]="RB1",AVERAGE(J346,K346,N346),Table117821341[[#This Row],[Pos.]]="RB2",AVERAGE(J346,K346,N346),Table117821341[[#This Row],[Pos.]]="WR1",AVERAGE(L346,M346,N346),Table117821341[[#This Row],[Pos.]]="WR2",AVERAGE(L346,M346,N346),Table117821341[[#This Row],[Pos.]]="WR3",AVERAGE(L346,M346,N346),Table117821341[[#This Row],[Pos.]]="WR4",AVERAGE(L346,M346,N346),Table117821341[[#This Row],[Pos.]]="TE1",AVERAGE(L346,M346,N346),Table117821341[[#This Row],[Pos.]]="TE2",AVERAGE(L346,M346,N346),Table117821341[[#This Row],[Pos.]]="D/ST",AVERAGE(Table117821341[[#This Row],[*TD*]]))</f>
        <v>#N/A</v>
      </c>
      <c r="X346" s="94" t="e">
        <f t="shared" si="5"/>
        <v>#N/A</v>
      </c>
    </row>
    <row r="347" spans="2:24" hidden="1" x14ac:dyDescent="0.35">
      <c r="B347" s="6" t="s">
        <v>584</v>
      </c>
      <c r="C347" s="97" t="s">
        <v>54</v>
      </c>
      <c r="D347" s="97" t="s">
        <v>401</v>
      </c>
      <c r="E347" s="23" t="str" cm="1">
        <f t="array" ref="E347">_xlfn.XLOOKUP(Table117821341[[#This Row],[Team]],Table4334[Team],'2425'!$C$3:$C$34)</f>
        <v>n/a</v>
      </c>
      <c r="F347" s="97" t="str">
        <f>_xlfn.XLOOKUP(Table117821341[[#This Row],[Team]],Table4334[Team],Table4334[OPP])</f>
        <v>n/a</v>
      </c>
      <c r="G347" s="148" t="str" cm="1">
        <f t="array" ref="G347">IF(Table117821341[[#This Row],[Pos.]]="QB1",_xlfn.XLOOKUP(Table117821341[[#This Row],[Opp]],Table123[DEF],'2425'!$G$3:$G$34),"#N/A")</f>
        <v>#N/A</v>
      </c>
      <c r="H347" s="148" t="str" cm="1">
        <f t="array" ref="H347">IF(Table117821341[[#This Row],[Pos.]]="QB1",_xlfn.XLOOKUP(Table117821341[[#This Row],[Opp]],Table123[DEF],'2425'!$J$3:$J$34),"#N/A")</f>
        <v>#N/A</v>
      </c>
      <c r="I347" s="148" t="str" cm="1">
        <f t="array" ref="I347">IF(Table117821341[[#This Row],[Pos.]]="QB1",_xlfn.XLOOKUP(Table117821341[[#This Row],[Opp]],Table123[DEF],'2425'!$K$3:$K$34),"#N/A")</f>
        <v>#N/A</v>
      </c>
      <c r="J347" s="148" t="e" cm="1">
        <f t="array" ref="J34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7" s="148" t="e" cm="1">
        <f t="array" ref="K34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7" s="148" t="e" cm="1">
        <f t="array" ref="L34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7" s="148" t="e" cm="1">
        <f t="array" ref="M34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7" s="148" t="e" cm="1">
        <f t="array" ref="N34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7" s="149" t="str">
        <f>IF(Table117821341[[#This Row],[Pos.]]="QB1",_xlfn.XLOOKUP(Table117821341[[#This Row],[Opp]],Table123[DEF],Table123[P]),"#N/A")</f>
        <v>#N/A</v>
      </c>
      <c r="P347" s="149" t="str">
        <f>IF(Table117821341[[#This Row],[Pos.]]="QB1",_xlfn.XLOOKUP(Table117821341[[#This Row],[Opp]],Table123[DEF],Table123[P+R]),"#N/A")</f>
        <v>#N/A</v>
      </c>
      <c r="Q347" s="150" t="str">
        <f>IF(Table117821341[[#This Row],[Pos.]]="QB1",_xlfn.XLOOKUP(Table117821341[[#This Row],[Opp]],Table123[DEF],Table123[P TD]),"#N/A")</f>
        <v>#N/A</v>
      </c>
      <c r="R347" s="149" t="e" cm="1">
        <f t="array" ref="R34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7" s="150" t="e" cm="1">
        <f t="array" ref="S34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7" s="150" t="e" cm="1">
        <f t="array" ref="T34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7" s="150" t="e" cm="1">
        <f t="array" ref="U34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7" s="162" t="e" cm="1">
        <f t="array" ref="V34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7" s="148" t="e" cm="1">
        <f t="array" ref="W347">_xlfn.IFS(Table117821341[[#This Row],[Pos.]]="QB1",AVERAGE(G347,H347,I347,J347,N347),Table117821341[[#This Row],[Pos.]]="RB1",AVERAGE(J347,K347,N347),Table117821341[[#This Row],[Pos.]]="RB2",AVERAGE(J347,K347,N347),Table117821341[[#This Row],[Pos.]]="WR1",AVERAGE(L347,M347,N347),Table117821341[[#This Row],[Pos.]]="WR2",AVERAGE(L347,M347,N347),Table117821341[[#This Row],[Pos.]]="WR3",AVERAGE(L347,M347,N347),Table117821341[[#This Row],[Pos.]]="WR4",AVERAGE(L347,M347,N347),Table117821341[[#This Row],[Pos.]]="TE1",AVERAGE(L347,M347,N347),Table117821341[[#This Row],[Pos.]]="TE2",AVERAGE(L347,M347,N347),Table117821341[[#This Row],[Pos.]]="D/ST",AVERAGE(Table117821341[[#This Row],[*TD*]]))</f>
        <v>#N/A</v>
      </c>
      <c r="X347" s="94" t="e">
        <f t="shared" si="5"/>
        <v>#N/A</v>
      </c>
    </row>
    <row r="348" spans="2:24" hidden="1" x14ac:dyDescent="0.35">
      <c r="B348" s="6" t="s">
        <v>601</v>
      </c>
      <c r="C348" s="97" t="s">
        <v>15</v>
      </c>
      <c r="D348" s="97" t="s">
        <v>401</v>
      </c>
      <c r="E348" s="23" t="str" cm="1">
        <f t="array" ref="E348">_xlfn.XLOOKUP(Table117821341[[#This Row],[Team]],Table4334[Team],'2425'!$C$3:$C$34)</f>
        <v>n/a</v>
      </c>
      <c r="F348" s="97" t="str">
        <f>_xlfn.XLOOKUP(Table117821341[[#This Row],[Team]],Table4334[Team],Table4334[OPP])</f>
        <v>n/a</v>
      </c>
      <c r="G348" s="148" t="str" cm="1">
        <f t="array" ref="G348">IF(Table117821341[[#This Row],[Pos.]]="QB1",_xlfn.XLOOKUP(Table117821341[[#This Row],[Opp]],Table123[DEF],'2425'!$G$3:$G$34),"#N/A")</f>
        <v>#N/A</v>
      </c>
      <c r="H348" s="148" t="str" cm="1">
        <f t="array" ref="H348">IF(Table117821341[[#This Row],[Pos.]]="QB1",_xlfn.XLOOKUP(Table117821341[[#This Row],[Opp]],Table123[DEF],'2425'!$J$3:$J$34),"#N/A")</f>
        <v>#N/A</v>
      </c>
      <c r="I348" s="148" t="str" cm="1">
        <f t="array" ref="I348">IF(Table117821341[[#This Row],[Pos.]]="QB1",_xlfn.XLOOKUP(Table117821341[[#This Row],[Opp]],Table123[DEF],'2425'!$K$3:$K$34),"#N/A")</f>
        <v>#N/A</v>
      </c>
      <c r="J348" s="148" t="e" cm="1">
        <f t="array" ref="J34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8" s="148" t="e" cm="1">
        <f t="array" ref="K34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8" s="148" t="e" cm="1">
        <f t="array" ref="L34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8" s="148" t="e" cm="1">
        <f t="array" ref="M34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8" s="148" t="e" cm="1">
        <f t="array" ref="N34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8" s="149" t="str">
        <f>IF(Table117821341[[#This Row],[Pos.]]="QB1",_xlfn.XLOOKUP(Table117821341[[#This Row],[Opp]],Table123[DEF],Table123[P]),"#N/A")</f>
        <v>#N/A</v>
      </c>
      <c r="P348" s="149" t="str">
        <f>IF(Table117821341[[#This Row],[Pos.]]="QB1",_xlfn.XLOOKUP(Table117821341[[#This Row],[Opp]],Table123[DEF],Table123[P+R]),"#N/A")</f>
        <v>#N/A</v>
      </c>
      <c r="Q348" s="150" t="str">
        <f>IF(Table117821341[[#This Row],[Pos.]]="QB1",_xlfn.XLOOKUP(Table117821341[[#This Row],[Opp]],Table123[DEF],Table123[P TD]),"#N/A")</f>
        <v>#N/A</v>
      </c>
      <c r="R348" s="149" t="e" cm="1">
        <f t="array" ref="R34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8" s="150" t="e" cm="1">
        <f t="array" ref="S34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8" s="150" t="e" cm="1">
        <f t="array" ref="T34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8" s="150" t="e" cm="1">
        <f t="array" ref="U34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8" s="162" t="e" cm="1">
        <f t="array" ref="V34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8" s="148" t="e" cm="1">
        <f t="array" ref="W348">_xlfn.IFS(Table117821341[[#This Row],[Pos.]]="QB1",AVERAGE(G348,H348,I348,J348,N348),Table117821341[[#This Row],[Pos.]]="RB1",AVERAGE(J348,K348,N348),Table117821341[[#This Row],[Pos.]]="RB2",AVERAGE(J348,K348,N348),Table117821341[[#This Row],[Pos.]]="WR1",AVERAGE(L348,M348,N348),Table117821341[[#This Row],[Pos.]]="WR2",AVERAGE(L348,M348,N348),Table117821341[[#This Row],[Pos.]]="WR3",AVERAGE(L348,M348,N348),Table117821341[[#This Row],[Pos.]]="WR4",AVERAGE(L348,M348,N348),Table117821341[[#This Row],[Pos.]]="TE1",AVERAGE(L348,M348,N348),Table117821341[[#This Row],[Pos.]]="TE2",AVERAGE(L348,M348,N348),Table117821341[[#This Row],[Pos.]]="D/ST",AVERAGE(Table117821341[[#This Row],[*TD*]]))</f>
        <v>#N/A</v>
      </c>
      <c r="X348" s="94" t="e">
        <f t="shared" si="5"/>
        <v>#N/A</v>
      </c>
    </row>
    <row r="349" spans="2:24" hidden="1" x14ac:dyDescent="0.35">
      <c r="B349" s="6" t="s">
        <v>431</v>
      </c>
      <c r="C349" s="97" t="s">
        <v>44</v>
      </c>
      <c r="D349" s="97" t="s">
        <v>403</v>
      </c>
      <c r="E349" s="23" t="str" cm="1">
        <f t="array" ref="E349">_xlfn.XLOOKUP(Table117821341[[#This Row],[Team]],Table4334[Team],'2425'!$C$3:$C$34)</f>
        <v>n/a</v>
      </c>
      <c r="F349" s="97" t="str">
        <f>_xlfn.XLOOKUP(Table117821341[[#This Row],[Team]],Table4334[Team],Table4334[OPP])</f>
        <v>n/a</v>
      </c>
      <c r="G349" s="148" t="str" cm="1">
        <f t="array" ref="G349">IF(Table117821341[[#This Row],[Pos.]]="QB1",_xlfn.XLOOKUP(Table117821341[[#This Row],[Opp]],Table123[DEF],'2425'!$G$3:$G$34),"#N/A")</f>
        <v>#N/A</v>
      </c>
      <c r="H349" s="148" t="str" cm="1">
        <f t="array" ref="H349">IF(Table117821341[[#This Row],[Pos.]]="QB1",_xlfn.XLOOKUP(Table117821341[[#This Row],[Opp]],Table123[DEF],'2425'!$J$3:$J$34),"#N/A")</f>
        <v>#N/A</v>
      </c>
      <c r="I349" s="148" t="str" cm="1">
        <f t="array" ref="I349">IF(Table117821341[[#This Row],[Pos.]]="QB1",_xlfn.XLOOKUP(Table117821341[[#This Row],[Opp]],Table123[DEF],'2425'!$K$3:$K$34),"#N/A")</f>
        <v>#N/A</v>
      </c>
      <c r="J349" s="148" t="e" cm="1">
        <f t="array" ref="J34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49" s="148" t="e" cm="1">
        <f t="array" ref="K34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49" s="148" t="e" cm="1">
        <f t="array" ref="L34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49" s="148" t="e" cm="1">
        <f t="array" ref="M34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49" s="148" t="e" cm="1">
        <f t="array" ref="N34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49" s="149" t="str">
        <f>IF(Table117821341[[#This Row],[Pos.]]="QB1",_xlfn.XLOOKUP(Table117821341[[#This Row],[Opp]],Table123[DEF],Table123[P]),"#N/A")</f>
        <v>#N/A</v>
      </c>
      <c r="P349" s="149" t="str">
        <f>IF(Table117821341[[#This Row],[Pos.]]="QB1",_xlfn.XLOOKUP(Table117821341[[#This Row],[Opp]],Table123[DEF],Table123[P+R]),"#N/A")</f>
        <v>#N/A</v>
      </c>
      <c r="Q349" s="150" t="str">
        <f>IF(Table117821341[[#This Row],[Pos.]]="QB1",_xlfn.XLOOKUP(Table117821341[[#This Row],[Opp]],Table123[DEF],Table123[P TD]),"#N/A")</f>
        <v>#N/A</v>
      </c>
      <c r="R349" s="149" t="e" cm="1">
        <f t="array" ref="R34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49" s="150" t="e" cm="1">
        <f t="array" ref="S34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49" s="150" t="e" cm="1">
        <f t="array" ref="T34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49" s="150" t="e" cm="1">
        <f t="array" ref="U34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49" s="150" t="e" cm="1">
        <f t="array" ref="V34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49" s="148" t="e" cm="1">
        <f t="array" ref="W349">_xlfn.IFS(Table117821341[[#This Row],[Pos.]]="QB1",AVERAGE(G349,H349,I349,J349,N349),Table117821341[[#This Row],[Pos.]]="RB1",AVERAGE(J349,K349,N349),Table117821341[[#This Row],[Pos.]]="RB2",AVERAGE(J349,K349,N349),Table117821341[[#This Row],[Pos.]]="WR1",AVERAGE(L349,M349,N349),Table117821341[[#This Row],[Pos.]]="WR2",AVERAGE(L349,M349,N349),Table117821341[[#This Row],[Pos.]]="WR3",AVERAGE(L349,M349,N349),Table117821341[[#This Row],[Pos.]]="WR4",AVERAGE(L349,M349,N349),Table117821341[[#This Row],[Pos.]]="TE1",AVERAGE(L349,M349,N349),Table117821341[[#This Row],[Pos.]]="TE2",AVERAGE(L349,M349,N349),Table117821341[[#This Row],[Pos.]]="D/ST",AVERAGE(Table117821341[[#This Row],[*TD*]]))</f>
        <v>#N/A</v>
      </c>
      <c r="X349" s="94" t="e">
        <f t="shared" si="5"/>
        <v>#N/A</v>
      </c>
    </row>
    <row r="350" spans="2:24" hidden="1" x14ac:dyDescent="0.35">
      <c r="B350" s="6" t="s">
        <v>290</v>
      </c>
      <c r="C350" s="97" t="s">
        <v>44</v>
      </c>
      <c r="D350" s="97" t="s">
        <v>411</v>
      </c>
      <c r="E350" s="23" t="str" cm="1">
        <f t="array" ref="E350">_xlfn.XLOOKUP(Table117821341[[#This Row],[Team]],Table4334[Team],'2425'!$C$3:$C$34)</f>
        <v>n/a</v>
      </c>
      <c r="F350" s="97" t="str">
        <f>_xlfn.XLOOKUP(Table117821341[[#This Row],[Team]],Table4334[Team],Table4334[OPP])</f>
        <v>n/a</v>
      </c>
      <c r="G350" s="148" t="str" cm="1">
        <f t="array" ref="G350">IF(Table117821341[[#This Row],[Pos.]]="QB1",_xlfn.XLOOKUP(Table117821341[[#This Row],[Opp]],Table123[DEF],'2425'!$G$3:$G$34),"#N/A")</f>
        <v>#N/A</v>
      </c>
      <c r="H350" s="148" t="str" cm="1">
        <f t="array" ref="H350">IF(Table117821341[[#This Row],[Pos.]]="QB1",_xlfn.XLOOKUP(Table117821341[[#This Row],[Opp]],Table123[DEF],'2425'!$J$3:$J$34),"#N/A")</f>
        <v>#N/A</v>
      </c>
      <c r="I350" s="148" t="str" cm="1">
        <f t="array" ref="I350">IF(Table117821341[[#This Row],[Pos.]]="QB1",_xlfn.XLOOKUP(Table117821341[[#This Row],[Opp]],Table123[DEF],'2425'!$K$3:$K$34),"#N/A")</f>
        <v>#N/A</v>
      </c>
      <c r="J350" s="148" t="e" cm="1">
        <f t="array" ref="J35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0" s="148" t="e" cm="1">
        <f t="array" ref="K35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0" s="148" t="e" cm="1">
        <f t="array" ref="L35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0" s="148" t="e" cm="1">
        <f t="array" ref="M35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0" s="148" t="e" cm="1">
        <f t="array" ref="N35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0" s="149" t="str">
        <f>IF(Table117821341[[#This Row],[Pos.]]="QB1",_xlfn.XLOOKUP(Table117821341[[#This Row],[Opp]],Table123[DEF],Table123[P]),"#N/A")</f>
        <v>#N/A</v>
      </c>
      <c r="P350" s="149" t="str">
        <f>IF(Table117821341[[#This Row],[Pos.]]="QB1",_xlfn.XLOOKUP(Table117821341[[#This Row],[Opp]],Table123[DEF],Table123[P+R]),"#N/A")</f>
        <v>#N/A</v>
      </c>
      <c r="Q350" s="150" t="str">
        <f>IF(Table117821341[[#This Row],[Pos.]]="QB1",_xlfn.XLOOKUP(Table117821341[[#This Row],[Opp]],Table123[DEF],Table123[P TD]),"#N/A")</f>
        <v>#N/A</v>
      </c>
      <c r="R350" s="149" t="e" cm="1">
        <f t="array" ref="R35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0" s="150" t="e" cm="1">
        <f t="array" ref="S35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0" s="150" t="e" cm="1">
        <f t="array" ref="T35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0" s="150" t="e" cm="1">
        <f t="array" ref="U35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0" s="150" t="e" cm="1">
        <f t="array" ref="V35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0" s="148" t="e" cm="1">
        <f t="array" ref="W350">_xlfn.IFS(Table117821341[[#This Row],[Pos.]]="QB1",AVERAGE(G350,H350,I350,J350,N350),Table117821341[[#This Row],[Pos.]]="RB1",AVERAGE(J350,K350,N350),Table117821341[[#This Row],[Pos.]]="RB2",AVERAGE(J350,K350,N350),Table117821341[[#This Row],[Pos.]]="WR1",AVERAGE(L350,M350,N350),Table117821341[[#This Row],[Pos.]]="WR2",AVERAGE(L350,M350,N350),Table117821341[[#This Row],[Pos.]]="WR3",AVERAGE(L350,M350,N350),Table117821341[[#This Row],[Pos.]]="WR4",AVERAGE(L350,M350,N350),Table117821341[[#This Row],[Pos.]]="TE1",AVERAGE(L350,M350,N350),Table117821341[[#This Row],[Pos.]]="TE2",AVERAGE(L350,M350,N350),Table117821341[[#This Row],[Pos.]]="D/ST",AVERAGE(Table117821341[[#This Row],[*TD*]]))</f>
        <v>#N/A</v>
      </c>
      <c r="X350" s="94" t="e">
        <f t="shared" si="5"/>
        <v>#N/A</v>
      </c>
    </row>
    <row r="351" spans="2:24" x14ac:dyDescent="0.35">
      <c r="B351" s="6" t="s">
        <v>266</v>
      </c>
      <c r="C351" s="97" t="s">
        <v>42</v>
      </c>
      <c r="D351" s="97" t="s">
        <v>395</v>
      </c>
      <c r="E351" s="23" t="str" cm="1">
        <f t="array" ref="E351">_xlfn.XLOOKUP(Table117821341[[#This Row],[Team]],Table4334[Team],'2425'!$C$3:$C$34)</f>
        <v>n/a</v>
      </c>
      <c r="F351" s="97" t="str">
        <f>_xlfn.XLOOKUP(Table117821341[[#This Row],[Team]],Table4334[Team],Table4334[OPP])</f>
        <v>n/a</v>
      </c>
      <c r="G351" s="148" t="str" cm="1">
        <f t="array" ref="G351">IF(Table117821341[[#This Row],[Pos.]]="QB1",_xlfn.XLOOKUP(Table117821341[[#This Row],[Opp]],Table123[DEF],'2425'!$G$3:$G$34),"#N/A")</f>
        <v>#N/A</v>
      </c>
      <c r="H351" s="148" t="str" cm="1">
        <f t="array" ref="H351">IF(Table117821341[[#This Row],[Pos.]]="QB1",_xlfn.XLOOKUP(Table117821341[[#This Row],[Opp]],Table123[DEF],'2425'!$J$3:$J$34),"#N/A")</f>
        <v>#N/A</v>
      </c>
      <c r="I351" s="148" t="str" cm="1">
        <f t="array" ref="I351">IF(Table117821341[[#This Row],[Pos.]]="QB1",_xlfn.XLOOKUP(Table117821341[[#This Row],[Opp]],Table123[DEF],'2425'!$K$3:$K$34),"#N/A")</f>
        <v>#N/A</v>
      </c>
      <c r="J351" s="148" t="e" cm="1">
        <f t="array" ref="J35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1" s="148" t="e" cm="1">
        <f t="array" ref="K35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1" s="148" t="e" cm="1">
        <f t="array" ref="L35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1" s="148" t="e" cm="1">
        <f t="array" ref="M35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1" s="148" t="e" cm="1">
        <f t="array" ref="N35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1" s="149" t="str">
        <f>IF(Table117821341[[#This Row],[Pos.]]="QB1",_xlfn.XLOOKUP(Table117821341[[#This Row],[Opp]],Table123[DEF],Table123[P]),"#N/A")</f>
        <v>#N/A</v>
      </c>
      <c r="P351" s="149" t="str">
        <f>IF(Table117821341[[#This Row],[Pos.]]="QB1",_xlfn.XLOOKUP(Table117821341[[#This Row],[Opp]],Table123[DEF],Table123[P+R]),"#N/A")</f>
        <v>#N/A</v>
      </c>
      <c r="Q351" s="150" t="str">
        <f>IF(Table117821341[[#This Row],[Pos.]]="QB1",_xlfn.XLOOKUP(Table117821341[[#This Row],[Opp]],Table123[DEF],Table123[P TD]),"#N/A")</f>
        <v>#N/A</v>
      </c>
      <c r="R351" s="149" t="e" cm="1">
        <f t="array" ref="R35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1" s="150" t="e" cm="1">
        <f t="array" ref="S35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1" s="150" t="e" cm="1">
        <f t="array" ref="T35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1" s="150" t="e" cm="1">
        <f t="array" ref="U35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1" s="162" t="e" cm="1">
        <f t="array" ref="V35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1" s="148" t="e" cm="1">
        <f t="array" ref="W351">_xlfn.IFS(Table117821341[[#This Row],[Pos.]]="QB1",AVERAGE(G351,H351,I351,J351,N351),Table117821341[[#This Row],[Pos.]]="RB1",AVERAGE(J351,K351,N351),Table117821341[[#This Row],[Pos.]]="RB2",AVERAGE(J351,K351,N351),Table117821341[[#This Row],[Pos.]]="WR1",AVERAGE(L351,M351,N351),Table117821341[[#This Row],[Pos.]]="WR2",AVERAGE(L351,M351,N351),Table117821341[[#This Row],[Pos.]]="WR3",AVERAGE(L351,M351,N351),Table117821341[[#This Row],[Pos.]]="WR4",AVERAGE(L351,M351,N351),Table117821341[[#This Row],[Pos.]]="TE1",AVERAGE(L351,M351,N351),Table117821341[[#This Row],[Pos.]]="TE2",AVERAGE(L351,M351,N351),Table117821341[[#This Row],[Pos.]]="D/ST",AVERAGE(Table117821341[[#This Row],[*TD*]]))</f>
        <v>#N/A</v>
      </c>
      <c r="X351" s="94" t="e">
        <f t="shared" ref="X351:X414" si="6">AVERAGE(N351,W351)</f>
        <v>#N/A</v>
      </c>
    </row>
    <row r="352" spans="2:24" hidden="1" x14ac:dyDescent="0.35">
      <c r="B352" s="6" t="s">
        <v>236</v>
      </c>
      <c r="C352" s="97" t="s">
        <v>39</v>
      </c>
      <c r="D352" s="97" t="s">
        <v>395</v>
      </c>
      <c r="E352" s="23" t="str" cm="1">
        <f t="array" ref="E352">_xlfn.XLOOKUP(Table117821341[[#This Row],[Team]],Table4334[Team],'2425'!$C$3:$C$34)</f>
        <v>n/a</v>
      </c>
      <c r="F352" s="97" t="str">
        <f>_xlfn.XLOOKUP(Table117821341[[#This Row],[Team]],Table4334[Team],Table4334[OPP])</f>
        <v>n/a</v>
      </c>
      <c r="G352" s="148" t="str" cm="1">
        <f t="array" ref="G352">IF(Table117821341[[#This Row],[Pos.]]="QB1",_xlfn.XLOOKUP(Table117821341[[#This Row],[Opp]],Table123[DEF],'2425'!$G$3:$G$34),"#N/A")</f>
        <v>#N/A</v>
      </c>
      <c r="H352" s="148" t="str" cm="1">
        <f t="array" ref="H352">IF(Table117821341[[#This Row],[Pos.]]="QB1",_xlfn.XLOOKUP(Table117821341[[#This Row],[Opp]],Table123[DEF],'2425'!$J$3:$J$34),"#N/A")</f>
        <v>#N/A</v>
      </c>
      <c r="I352" s="148" t="str" cm="1">
        <f t="array" ref="I352">IF(Table117821341[[#This Row],[Pos.]]="QB1",_xlfn.XLOOKUP(Table117821341[[#This Row],[Opp]],Table123[DEF],'2425'!$K$3:$K$34),"#N/A")</f>
        <v>#N/A</v>
      </c>
      <c r="J352" s="148" t="e" cm="1">
        <f t="array" ref="J35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2" s="148" t="e" cm="1">
        <f t="array" ref="K35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2" s="148" t="e" cm="1">
        <f t="array" ref="L35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2" s="148" t="e" cm="1">
        <f t="array" ref="M35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2" s="148" t="e" cm="1">
        <f t="array" ref="N35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2" s="149" t="str">
        <f>IF(Table117821341[[#This Row],[Pos.]]="QB1",_xlfn.XLOOKUP(Table117821341[[#This Row],[Opp]],Table123[DEF],Table123[P]),"#N/A")</f>
        <v>#N/A</v>
      </c>
      <c r="P352" s="149" t="str">
        <f>IF(Table117821341[[#This Row],[Pos.]]="QB1",_xlfn.XLOOKUP(Table117821341[[#This Row],[Opp]],Table123[DEF],Table123[P+R]),"#N/A")</f>
        <v>#N/A</v>
      </c>
      <c r="Q352" s="150" t="str">
        <f>IF(Table117821341[[#This Row],[Pos.]]="QB1",_xlfn.XLOOKUP(Table117821341[[#This Row],[Opp]],Table123[DEF],Table123[P TD]),"#N/A")</f>
        <v>#N/A</v>
      </c>
      <c r="R352" s="149" t="e" cm="1">
        <f t="array" ref="R35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2" s="150" t="e" cm="1">
        <f t="array" ref="S35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2" s="150" t="e" cm="1">
        <f t="array" ref="T35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2" s="150" t="e" cm="1">
        <f t="array" ref="U35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2" s="162" t="e" cm="1">
        <f t="array" ref="V35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2" s="148" t="e" cm="1">
        <f t="array" ref="W352">_xlfn.IFS(Table117821341[[#This Row],[Pos.]]="QB1",AVERAGE(G352,H352,I352,J352,N352),Table117821341[[#This Row],[Pos.]]="RB1",AVERAGE(J352,K352,N352),Table117821341[[#This Row],[Pos.]]="RB2",AVERAGE(J352,K352,N352),Table117821341[[#This Row],[Pos.]]="WR1",AVERAGE(L352,M352,N352),Table117821341[[#This Row],[Pos.]]="WR2",AVERAGE(L352,M352,N352),Table117821341[[#This Row],[Pos.]]="WR3",AVERAGE(L352,M352,N352),Table117821341[[#This Row],[Pos.]]="WR4",AVERAGE(L352,M352,N352),Table117821341[[#This Row],[Pos.]]="TE1",AVERAGE(L352,M352,N352),Table117821341[[#This Row],[Pos.]]="TE2",AVERAGE(L352,M352,N352),Table117821341[[#This Row],[Pos.]]="D/ST",AVERAGE(Table117821341[[#This Row],[*TD*]]))</f>
        <v>#N/A</v>
      </c>
      <c r="X352" s="94" t="e">
        <f t="shared" si="6"/>
        <v>#N/A</v>
      </c>
    </row>
    <row r="353" spans="2:24" hidden="1" x14ac:dyDescent="0.35">
      <c r="B353" s="6" t="s">
        <v>293</v>
      </c>
      <c r="C353" s="97" t="s">
        <v>45</v>
      </c>
      <c r="D353" s="97" t="s">
        <v>405</v>
      </c>
      <c r="E353" s="23" t="str" cm="1">
        <f t="array" ref="E353">_xlfn.XLOOKUP(Table117821341[[#This Row],[Team]],Table4334[Team],'2425'!$C$3:$C$34)</f>
        <v>n/a</v>
      </c>
      <c r="F353" s="97" t="str">
        <f>_xlfn.XLOOKUP(Table117821341[[#This Row],[Team]],Table4334[Team],Table4334[OPP])</f>
        <v>n/a</v>
      </c>
      <c r="G353" s="148" t="str" cm="1">
        <f t="array" ref="G353">IF(Table117821341[[#This Row],[Pos.]]="QB1",_xlfn.XLOOKUP(Table117821341[[#This Row],[Opp]],Table123[DEF],'2425'!$G$3:$G$34),"#N/A")</f>
        <v>#N/A</v>
      </c>
      <c r="H353" s="148" t="str" cm="1">
        <f t="array" ref="H353">IF(Table117821341[[#This Row],[Pos.]]="QB1",_xlfn.XLOOKUP(Table117821341[[#This Row],[Opp]],Table123[DEF],'2425'!$J$3:$J$34),"#N/A")</f>
        <v>#N/A</v>
      </c>
      <c r="I353" s="148" t="str" cm="1">
        <f t="array" ref="I353">IF(Table117821341[[#This Row],[Pos.]]="QB1",_xlfn.XLOOKUP(Table117821341[[#This Row],[Opp]],Table123[DEF],'2425'!$K$3:$K$34),"#N/A")</f>
        <v>#N/A</v>
      </c>
      <c r="J353" s="148" t="e" cm="1">
        <f t="array" ref="J35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3" s="148" t="e" cm="1">
        <f t="array" ref="K35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3" s="148" t="e" cm="1">
        <f t="array" ref="L35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3" s="148" t="e" cm="1">
        <f t="array" ref="M35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3" s="148" t="e" cm="1">
        <f t="array" ref="N35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3" s="149" t="str">
        <f>IF(Table117821341[[#This Row],[Pos.]]="QB1",_xlfn.XLOOKUP(Table117821341[[#This Row],[Opp]],Table123[DEF],Table123[P]),"#N/A")</f>
        <v>#N/A</v>
      </c>
      <c r="P353" s="149" t="str">
        <f>IF(Table117821341[[#This Row],[Pos.]]="QB1",_xlfn.XLOOKUP(Table117821341[[#This Row],[Opp]],Table123[DEF],Table123[P+R]),"#N/A")</f>
        <v>#N/A</v>
      </c>
      <c r="Q353" s="150" t="str">
        <f>IF(Table117821341[[#This Row],[Pos.]]="QB1",_xlfn.XLOOKUP(Table117821341[[#This Row],[Opp]],Table123[DEF],Table123[P TD]),"#N/A")</f>
        <v>#N/A</v>
      </c>
      <c r="R353" s="149" t="e" cm="1">
        <f t="array" ref="R35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3" s="150" t="e" cm="1">
        <f t="array" ref="S35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3" s="150" t="e" cm="1">
        <f t="array" ref="T35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3" s="150" t="e" cm="1">
        <f t="array" ref="U35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3" s="150" t="e" cm="1">
        <f t="array" ref="V35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3" s="148" t="e" cm="1">
        <f t="array" ref="W353">_xlfn.IFS(Table117821341[[#This Row],[Pos.]]="QB1",AVERAGE(G353,H353,I353,J353,N353),Table117821341[[#This Row],[Pos.]]="RB1",AVERAGE(J353,K353,N353),Table117821341[[#This Row],[Pos.]]="RB2",AVERAGE(J353,K353,N353),Table117821341[[#This Row],[Pos.]]="WR1",AVERAGE(L353,M353,N353),Table117821341[[#This Row],[Pos.]]="WR2",AVERAGE(L353,M353,N353),Table117821341[[#This Row],[Pos.]]="WR3",AVERAGE(L353,M353,N353),Table117821341[[#This Row],[Pos.]]="WR4",AVERAGE(L353,M353,N353),Table117821341[[#This Row],[Pos.]]="TE1",AVERAGE(L353,M353,N353),Table117821341[[#This Row],[Pos.]]="TE2",AVERAGE(L353,M353,N353),Table117821341[[#This Row],[Pos.]]="D/ST",AVERAGE(Table117821341[[#This Row],[*TD*]]))</f>
        <v>#N/A</v>
      </c>
      <c r="X353" s="94" t="e">
        <f t="shared" si="6"/>
        <v>#N/A</v>
      </c>
    </row>
    <row r="354" spans="2:24" hidden="1" x14ac:dyDescent="0.35">
      <c r="B354" s="6" t="s">
        <v>518</v>
      </c>
      <c r="C354" s="97" t="s">
        <v>45</v>
      </c>
      <c r="D354" s="97" t="s">
        <v>425</v>
      </c>
      <c r="E354" s="23" t="str" cm="1">
        <f t="array" ref="E354">_xlfn.XLOOKUP(Table117821341[[#This Row],[Team]],Table4334[Team],'2425'!$C$3:$C$34)</f>
        <v>n/a</v>
      </c>
      <c r="F354" s="97" t="str">
        <f>_xlfn.XLOOKUP(Table117821341[[#This Row],[Team]],Table4334[Team],Table4334[OPP])</f>
        <v>n/a</v>
      </c>
      <c r="G354" s="148" t="str" cm="1">
        <f t="array" ref="G354">IF(Table117821341[[#This Row],[Pos.]]="QB1",_xlfn.XLOOKUP(Table117821341[[#This Row],[Opp]],Table123[DEF],'2425'!$G$3:$G$34),"#N/A")</f>
        <v>#N/A</v>
      </c>
      <c r="H354" s="148" t="str" cm="1">
        <f t="array" ref="H354">IF(Table117821341[[#This Row],[Pos.]]="QB1",_xlfn.XLOOKUP(Table117821341[[#This Row],[Opp]],Table123[DEF],'2425'!$J$3:$J$34),"#N/A")</f>
        <v>#N/A</v>
      </c>
      <c r="I354" s="148" t="str" cm="1">
        <f t="array" ref="I354">IF(Table117821341[[#This Row],[Pos.]]="QB1",_xlfn.XLOOKUP(Table117821341[[#This Row],[Opp]],Table123[DEF],'2425'!$K$3:$K$34),"#N/A")</f>
        <v>#N/A</v>
      </c>
      <c r="J354" s="148" t="e" cm="1">
        <f t="array" ref="J35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4" s="148" t="e" cm="1">
        <f t="array" ref="K35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4" s="148" t="e" cm="1">
        <f t="array" ref="L35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4" s="148" t="e" cm="1">
        <f t="array" ref="M35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4" s="148" t="e" cm="1">
        <f t="array" ref="N35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4" s="149" t="str">
        <f>IF(Table117821341[[#This Row],[Pos.]]="QB1",_xlfn.XLOOKUP(Table117821341[[#This Row],[Opp]],Table123[DEF],Table123[P]),"#N/A")</f>
        <v>#N/A</v>
      </c>
      <c r="P354" s="149" t="str">
        <f>IF(Table117821341[[#This Row],[Pos.]]="QB1",_xlfn.XLOOKUP(Table117821341[[#This Row],[Opp]],Table123[DEF],Table123[P+R]),"#N/A")</f>
        <v>#N/A</v>
      </c>
      <c r="Q354" s="150" t="str">
        <f>IF(Table117821341[[#This Row],[Pos.]]="QB1",_xlfn.XLOOKUP(Table117821341[[#This Row],[Opp]],Table123[DEF],Table123[P TD]),"#N/A")</f>
        <v>#N/A</v>
      </c>
      <c r="R354" s="149" t="e" cm="1">
        <f t="array" ref="R35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4" s="150" t="e" cm="1">
        <f t="array" ref="S35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4" s="150" t="e" cm="1">
        <f t="array" ref="T35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4" s="150" t="e" cm="1">
        <f t="array" ref="U35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4" s="150" t="e" cm="1">
        <f t="array" ref="V35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4" s="148" t="e" cm="1">
        <f t="array" ref="W354">_xlfn.IFS(Table117821341[[#This Row],[Pos.]]="QB1",AVERAGE(G354,H354,I354,J354,N354),Table117821341[[#This Row],[Pos.]]="RB1",AVERAGE(J354,K354,N354),Table117821341[[#This Row],[Pos.]]="RB2",AVERAGE(J354,K354,N354),Table117821341[[#This Row],[Pos.]]="WR1",AVERAGE(L354,M354,N354),Table117821341[[#This Row],[Pos.]]="WR2",AVERAGE(L354,M354,N354),Table117821341[[#This Row],[Pos.]]="WR3",AVERAGE(L354,M354,N354),Table117821341[[#This Row],[Pos.]]="WR4",AVERAGE(L354,M354,N354),Table117821341[[#This Row],[Pos.]]="TE1",AVERAGE(L354,M354,N354),Table117821341[[#This Row],[Pos.]]="TE2",AVERAGE(L354,M354,N354),Table117821341[[#This Row],[Pos.]]="D/ST",AVERAGE(Table117821341[[#This Row],[*TD*]]))</f>
        <v>#N/A</v>
      </c>
      <c r="X354" s="94" t="e">
        <f t="shared" si="6"/>
        <v>#N/A</v>
      </c>
    </row>
    <row r="355" spans="2:24" hidden="1" x14ac:dyDescent="0.35">
      <c r="B355" s="179" t="s">
        <v>337</v>
      </c>
      <c r="C355" s="97" t="s">
        <v>50</v>
      </c>
      <c r="D355" s="97" t="s">
        <v>395</v>
      </c>
      <c r="E355" s="23" t="str" cm="1">
        <f t="array" ref="E355">_xlfn.XLOOKUP(Table117821341[[#This Row],[Team]],Table4334[Team],'2425'!$C$3:$C$34)</f>
        <v>n/a</v>
      </c>
      <c r="F355" s="97" t="str">
        <f>_xlfn.XLOOKUP(Table117821341[[#This Row],[Team]],Table4334[Team],Table4334[OPP])</f>
        <v>n/a</v>
      </c>
      <c r="G355" s="148" t="str" cm="1">
        <f t="array" ref="G355">IF(Table117821341[[#This Row],[Pos.]]="QB1",_xlfn.XLOOKUP(Table117821341[[#This Row],[Opp]],Table123[DEF],'2425'!$G$3:$G$34),"#N/A")</f>
        <v>#N/A</v>
      </c>
      <c r="H355" s="148" t="str" cm="1">
        <f t="array" ref="H355">IF(Table117821341[[#This Row],[Pos.]]="QB1",_xlfn.XLOOKUP(Table117821341[[#This Row],[Opp]],Table123[DEF],'2425'!$J$3:$J$34),"#N/A")</f>
        <v>#N/A</v>
      </c>
      <c r="I355" s="148" t="str" cm="1">
        <f t="array" ref="I355">IF(Table117821341[[#This Row],[Pos.]]="QB1",_xlfn.XLOOKUP(Table117821341[[#This Row],[Opp]],Table123[DEF],'2425'!$K$3:$K$34),"#N/A")</f>
        <v>#N/A</v>
      </c>
      <c r="J355" s="148" t="e" cm="1">
        <f t="array" ref="J35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5" s="148" t="e" cm="1">
        <f t="array" ref="K35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5" s="148" t="e" cm="1">
        <f t="array" ref="L35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5" s="148" t="e" cm="1">
        <f t="array" ref="M35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5" s="148" t="e" cm="1">
        <f t="array" ref="N35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5" s="149" t="str">
        <f>IF(Table117821341[[#This Row],[Pos.]]="QB1",_xlfn.XLOOKUP(Table117821341[[#This Row],[Opp]],Table123[DEF],Table123[P]),"#N/A")</f>
        <v>#N/A</v>
      </c>
      <c r="P355" s="149" t="str">
        <f>IF(Table117821341[[#This Row],[Pos.]]="QB1",_xlfn.XLOOKUP(Table117821341[[#This Row],[Opp]],Table123[DEF],Table123[P+R]),"#N/A")</f>
        <v>#N/A</v>
      </c>
      <c r="Q355" s="150" t="str">
        <f>IF(Table117821341[[#This Row],[Pos.]]="QB1",_xlfn.XLOOKUP(Table117821341[[#This Row],[Opp]],Table123[DEF],Table123[P TD]),"#N/A")</f>
        <v>#N/A</v>
      </c>
      <c r="R355" s="149" t="e" cm="1">
        <f t="array" ref="R35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5" s="150" t="e" cm="1">
        <f t="array" ref="S35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5" s="150" t="e" cm="1">
        <f t="array" ref="T35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5" s="150" t="e" cm="1">
        <f t="array" ref="U35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5" s="162" t="e" cm="1">
        <f t="array" ref="V35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5" s="148" t="e" cm="1">
        <f t="array" ref="W355">_xlfn.IFS(Table117821341[[#This Row],[Pos.]]="QB1",AVERAGE(G355,H355,I355,J355,N355),Table117821341[[#This Row],[Pos.]]="RB1",AVERAGE(J355,K355,N355),Table117821341[[#This Row],[Pos.]]="RB2",AVERAGE(J355,K355,N355),Table117821341[[#This Row],[Pos.]]="WR1",AVERAGE(L355,M355,N355),Table117821341[[#This Row],[Pos.]]="WR2",AVERAGE(L355,M355,N355),Table117821341[[#This Row],[Pos.]]="WR3",AVERAGE(L355,M355,N355),Table117821341[[#This Row],[Pos.]]="WR4",AVERAGE(L355,M355,N355),Table117821341[[#This Row],[Pos.]]="TE1",AVERAGE(L355,M355,N355),Table117821341[[#This Row],[Pos.]]="TE2",AVERAGE(L355,M355,N355),Table117821341[[#This Row],[Pos.]]="D/ST",AVERAGE(Table117821341[[#This Row],[*TD*]]))</f>
        <v>#N/A</v>
      </c>
      <c r="X355" s="94" t="e">
        <f t="shared" si="6"/>
        <v>#N/A</v>
      </c>
    </row>
    <row r="356" spans="2:24" hidden="1" x14ac:dyDescent="0.35">
      <c r="B356" s="6" t="s">
        <v>294</v>
      </c>
      <c r="C356" s="97" t="s">
        <v>45</v>
      </c>
      <c r="D356" s="97" t="s">
        <v>394</v>
      </c>
      <c r="E356" s="23" t="str" cm="1">
        <f t="array" ref="E356">_xlfn.XLOOKUP(Table117821341[[#This Row],[Team]],Table4334[Team],'2425'!$C$3:$C$34)</f>
        <v>n/a</v>
      </c>
      <c r="F356" s="97" t="str">
        <f>_xlfn.XLOOKUP(Table117821341[[#This Row],[Team]],Table4334[Team],Table4334[OPP])</f>
        <v>n/a</v>
      </c>
      <c r="G356" s="148" t="str" cm="1">
        <f t="array" ref="G356">IF(Table117821341[[#This Row],[Pos.]]="QB1",_xlfn.XLOOKUP(Table117821341[[#This Row],[Opp]],Table123[DEF],'2425'!$G$3:$G$34),"#N/A")</f>
        <v>#N/A</v>
      </c>
      <c r="H356" s="148" t="str" cm="1">
        <f t="array" ref="H356">IF(Table117821341[[#This Row],[Pos.]]="QB1",_xlfn.XLOOKUP(Table117821341[[#This Row],[Opp]],Table123[DEF],'2425'!$J$3:$J$34),"#N/A")</f>
        <v>#N/A</v>
      </c>
      <c r="I356" s="148" t="str" cm="1">
        <f t="array" ref="I356">IF(Table117821341[[#This Row],[Pos.]]="QB1",_xlfn.XLOOKUP(Table117821341[[#This Row],[Opp]],Table123[DEF],'2425'!$K$3:$K$34),"#N/A")</f>
        <v>#N/A</v>
      </c>
      <c r="J356" s="148" t="e" cm="1">
        <f t="array" ref="J35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6" s="148" t="e" cm="1">
        <f t="array" ref="K35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6" s="148" t="e" cm="1">
        <f t="array" ref="L35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6" s="148" t="e" cm="1">
        <f t="array" ref="M35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6" s="148" t="e" cm="1">
        <f t="array" ref="N35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6" s="149" t="str">
        <f>IF(Table117821341[[#This Row],[Pos.]]="QB1",_xlfn.XLOOKUP(Table117821341[[#This Row],[Opp]],Table123[DEF],Table123[P]),"#N/A")</f>
        <v>#N/A</v>
      </c>
      <c r="P356" s="149" t="str">
        <f>IF(Table117821341[[#This Row],[Pos.]]="QB1",_xlfn.XLOOKUP(Table117821341[[#This Row],[Opp]],Table123[DEF],Table123[P+R]),"#N/A")</f>
        <v>#N/A</v>
      </c>
      <c r="Q356" s="150" t="str">
        <f>IF(Table117821341[[#This Row],[Pos.]]="QB1",_xlfn.XLOOKUP(Table117821341[[#This Row],[Opp]],Table123[DEF],Table123[P TD]),"#N/A")</f>
        <v>#N/A</v>
      </c>
      <c r="R356" s="149" t="e" cm="1">
        <f t="array" ref="R35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6" s="150" t="e" cm="1">
        <f t="array" ref="S35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6" s="150" t="e" cm="1">
        <f t="array" ref="T35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6" s="150" t="e" cm="1">
        <f t="array" ref="U35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6" s="150" t="e" cm="1">
        <f t="array" ref="V35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6" s="148" t="e" cm="1">
        <f t="array" ref="W356">_xlfn.IFS(Table117821341[[#This Row],[Pos.]]="QB1",AVERAGE(G356,H356,I356,J356,N356),Table117821341[[#This Row],[Pos.]]="RB1",AVERAGE(J356,K356,N356),Table117821341[[#This Row],[Pos.]]="RB2",AVERAGE(J356,K356,N356),Table117821341[[#This Row],[Pos.]]="WR1",AVERAGE(L356,M356,N356),Table117821341[[#This Row],[Pos.]]="WR2",AVERAGE(L356,M356,N356),Table117821341[[#This Row],[Pos.]]="WR3",AVERAGE(L356,M356,N356),Table117821341[[#This Row],[Pos.]]="WR4",AVERAGE(L356,M356,N356),Table117821341[[#This Row],[Pos.]]="TE1",AVERAGE(L356,M356,N356),Table117821341[[#This Row],[Pos.]]="TE2",AVERAGE(L356,M356,N356),Table117821341[[#This Row],[Pos.]]="D/ST",AVERAGE(Table117821341[[#This Row],[*TD*]]))</f>
        <v>#N/A</v>
      </c>
      <c r="X356" s="94" t="e">
        <f t="shared" si="6"/>
        <v>#N/A</v>
      </c>
    </row>
    <row r="357" spans="2:24" hidden="1" x14ac:dyDescent="0.35">
      <c r="B357" s="6" t="s">
        <v>296</v>
      </c>
      <c r="C357" s="97" t="s">
        <v>45</v>
      </c>
      <c r="D357" s="97" t="s">
        <v>396</v>
      </c>
      <c r="E357" s="23" t="str" cm="1">
        <f t="array" ref="E357">_xlfn.XLOOKUP(Table117821341[[#This Row],[Team]],Table4334[Team],'2425'!$C$3:$C$34)</f>
        <v>n/a</v>
      </c>
      <c r="F357" s="97" t="str">
        <f>_xlfn.XLOOKUP(Table117821341[[#This Row],[Team]],Table4334[Team],Table4334[OPP])</f>
        <v>n/a</v>
      </c>
      <c r="G357" s="148" t="str" cm="1">
        <f t="array" ref="G357">IF(Table117821341[[#This Row],[Pos.]]="QB1",_xlfn.XLOOKUP(Table117821341[[#This Row],[Opp]],Table123[DEF],'2425'!$G$3:$G$34),"#N/A")</f>
        <v>#N/A</v>
      </c>
      <c r="H357" s="148" t="str" cm="1">
        <f t="array" ref="H357">IF(Table117821341[[#This Row],[Pos.]]="QB1",_xlfn.XLOOKUP(Table117821341[[#This Row],[Opp]],Table123[DEF],'2425'!$J$3:$J$34),"#N/A")</f>
        <v>#N/A</v>
      </c>
      <c r="I357" s="148" t="str" cm="1">
        <f t="array" ref="I357">IF(Table117821341[[#This Row],[Pos.]]="QB1",_xlfn.XLOOKUP(Table117821341[[#This Row],[Opp]],Table123[DEF],'2425'!$K$3:$K$34),"#N/A")</f>
        <v>#N/A</v>
      </c>
      <c r="J357" s="148" t="e" cm="1">
        <f t="array" ref="J35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7" s="148" t="e" cm="1">
        <f t="array" ref="K35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7" s="148" t="e" cm="1">
        <f t="array" ref="L35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7" s="148" t="e" cm="1">
        <f t="array" ref="M35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7" s="148" t="e" cm="1">
        <f t="array" ref="N35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7" s="149" t="str">
        <f>IF(Table117821341[[#This Row],[Pos.]]="QB1",_xlfn.XLOOKUP(Table117821341[[#This Row],[Opp]],Table123[DEF],Table123[P]),"#N/A")</f>
        <v>#N/A</v>
      </c>
      <c r="P357" s="149" t="str">
        <f>IF(Table117821341[[#This Row],[Pos.]]="QB1",_xlfn.XLOOKUP(Table117821341[[#This Row],[Opp]],Table123[DEF],Table123[P+R]),"#N/A")</f>
        <v>#N/A</v>
      </c>
      <c r="Q357" s="150" t="str">
        <f>IF(Table117821341[[#This Row],[Pos.]]="QB1",_xlfn.XLOOKUP(Table117821341[[#This Row],[Opp]],Table123[DEF],Table123[P TD]),"#N/A")</f>
        <v>#N/A</v>
      </c>
      <c r="R357" s="149" t="e" cm="1">
        <f t="array" ref="R35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7" s="150" t="e" cm="1">
        <f t="array" ref="S35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7" s="150" t="e" cm="1">
        <f t="array" ref="T35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7" s="150" t="e" cm="1">
        <f t="array" ref="U35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7" s="150" t="e" cm="1">
        <f t="array" ref="V35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7" s="148" t="e" cm="1">
        <f t="array" ref="W357">_xlfn.IFS(Table117821341[[#This Row],[Pos.]]="QB1",AVERAGE(G357,H357,I357,J357,N357),Table117821341[[#This Row],[Pos.]]="RB1",AVERAGE(J357,K357,N357),Table117821341[[#This Row],[Pos.]]="RB2",AVERAGE(J357,K357,N357),Table117821341[[#This Row],[Pos.]]="WR1",AVERAGE(L357,M357,N357),Table117821341[[#This Row],[Pos.]]="WR2",AVERAGE(L357,M357,N357),Table117821341[[#This Row],[Pos.]]="WR3",AVERAGE(L357,M357,N357),Table117821341[[#This Row],[Pos.]]="WR4",AVERAGE(L357,M357,N357),Table117821341[[#This Row],[Pos.]]="TE1",AVERAGE(L357,M357,N357),Table117821341[[#This Row],[Pos.]]="TE2",AVERAGE(L357,M357,N357),Table117821341[[#This Row],[Pos.]]="D/ST",AVERAGE(Table117821341[[#This Row],[*TD*]]))</f>
        <v>#N/A</v>
      </c>
      <c r="X357" s="94" t="e">
        <f t="shared" si="6"/>
        <v>#N/A</v>
      </c>
    </row>
    <row r="358" spans="2:24" hidden="1" x14ac:dyDescent="0.35">
      <c r="B358" s="6" t="s">
        <v>519</v>
      </c>
      <c r="C358" s="97" t="s">
        <v>45</v>
      </c>
      <c r="D358" s="97" t="s">
        <v>407</v>
      </c>
      <c r="E358" s="23" t="str" cm="1">
        <f t="array" ref="E358">_xlfn.XLOOKUP(Table117821341[[#This Row],[Team]],Table4334[Team],'2425'!$C$3:$C$34)</f>
        <v>n/a</v>
      </c>
      <c r="F358" s="97" t="str">
        <f>_xlfn.XLOOKUP(Table117821341[[#This Row],[Team]],Table4334[Team],Table4334[OPP])</f>
        <v>n/a</v>
      </c>
      <c r="G358" s="148" t="str" cm="1">
        <f t="array" ref="G358">IF(Table117821341[[#This Row],[Pos.]]="QB1",_xlfn.XLOOKUP(Table117821341[[#This Row],[Opp]],Table123[DEF],'2425'!$G$3:$G$34),"#N/A")</f>
        <v>#N/A</v>
      </c>
      <c r="H358" s="148" t="str" cm="1">
        <f t="array" ref="H358">IF(Table117821341[[#This Row],[Pos.]]="QB1",_xlfn.XLOOKUP(Table117821341[[#This Row],[Opp]],Table123[DEF],'2425'!$J$3:$J$34),"#N/A")</f>
        <v>#N/A</v>
      </c>
      <c r="I358" s="148" t="str" cm="1">
        <f t="array" ref="I358">IF(Table117821341[[#This Row],[Pos.]]="QB1",_xlfn.XLOOKUP(Table117821341[[#This Row],[Opp]],Table123[DEF],'2425'!$K$3:$K$34),"#N/A")</f>
        <v>#N/A</v>
      </c>
      <c r="J358" s="148" t="e" cm="1">
        <f t="array" ref="J35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8" s="148" t="e" cm="1">
        <f t="array" ref="K35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8" s="148" t="e" cm="1">
        <f t="array" ref="L35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8" s="148" t="e" cm="1">
        <f t="array" ref="M35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8" s="148" t="e" cm="1">
        <f t="array" ref="N35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8" s="149" t="str">
        <f>IF(Table117821341[[#This Row],[Pos.]]="QB1",_xlfn.XLOOKUP(Table117821341[[#This Row],[Opp]],Table123[DEF],Table123[P]),"#N/A")</f>
        <v>#N/A</v>
      </c>
      <c r="P358" s="149" t="str">
        <f>IF(Table117821341[[#This Row],[Pos.]]="QB1",_xlfn.XLOOKUP(Table117821341[[#This Row],[Opp]],Table123[DEF],Table123[P+R]),"#N/A")</f>
        <v>#N/A</v>
      </c>
      <c r="Q358" s="150" t="str">
        <f>IF(Table117821341[[#This Row],[Pos.]]="QB1",_xlfn.XLOOKUP(Table117821341[[#This Row],[Opp]],Table123[DEF],Table123[P TD]),"#N/A")</f>
        <v>#N/A</v>
      </c>
      <c r="R358" s="149" t="e" cm="1">
        <f t="array" ref="R35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8" s="150" t="e" cm="1">
        <f t="array" ref="S35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8" s="150" t="e" cm="1">
        <f t="array" ref="T35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8" s="150" t="e" cm="1">
        <f t="array" ref="U35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8" s="150" t="e" cm="1">
        <f t="array" ref="V35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8" s="148" t="e" cm="1">
        <f t="array" ref="W358">_xlfn.IFS(Table117821341[[#This Row],[Pos.]]="QB1",AVERAGE(G358,H358,I358,J358,N358),Table117821341[[#This Row],[Pos.]]="RB1",AVERAGE(J358,K358,N358),Table117821341[[#This Row],[Pos.]]="RB2",AVERAGE(J358,K358,N358),Table117821341[[#This Row],[Pos.]]="WR1",AVERAGE(L358,M358,N358),Table117821341[[#This Row],[Pos.]]="WR2",AVERAGE(L358,M358,N358),Table117821341[[#This Row],[Pos.]]="WR3",AVERAGE(L358,M358,N358),Table117821341[[#This Row],[Pos.]]="WR4",AVERAGE(L358,M358,N358),Table117821341[[#This Row],[Pos.]]="TE1",AVERAGE(L358,M358,N358),Table117821341[[#This Row],[Pos.]]="TE2",AVERAGE(L358,M358,N358),Table117821341[[#This Row],[Pos.]]="D/ST",AVERAGE(Table117821341[[#This Row],[*TD*]]))</f>
        <v>#N/A</v>
      </c>
      <c r="X358" s="94" t="e">
        <f t="shared" si="6"/>
        <v>#N/A</v>
      </c>
    </row>
    <row r="359" spans="2:24" x14ac:dyDescent="0.35">
      <c r="B359" s="6" t="s">
        <v>218</v>
      </c>
      <c r="C359" s="97" t="s">
        <v>37</v>
      </c>
      <c r="D359" s="97" t="s">
        <v>395</v>
      </c>
      <c r="E359" s="23" t="str" cm="1">
        <f t="array" ref="E359">_xlfn.XLOOKUP(Table117821341[[#This Row],[Team]],Table4334[Team],'2425'!$C$3:$C$34)</f>
        <v>n/a</v>
      </c>
      <c r="F359" s="97" t="str">
        <f>_xlfn.XLOOKUP(Table117821341[[#This Row],[Team]],Table4334[Team],Table4334[OPP])</f>
        <v>n/a</v>
      </c>
      <c r="G359" s="148" t="str" cm="1">
        <f t="array" ref="G359">IF(Table117821341[[#This Row],[Pos.]]="QB1",_xlfn.XLOOKUP(Table117821341[[#This Row],[Opp]],Table123[DEF],'2425'!$G$3:$G$34),"#N/A")</f>
        <v>#N/A</v>
      </c>
      <c r="H359" s="148" t="str" cm="1">
        <f t="array" ref="H359">IF(Table117821341[[#This Row],[Pos.]]="QB1",_xlfn.XLOOKUP(Table117821341[[#This Row],[Opp]],Table123[DEF],'2425'!$J$3:$J$34),"#N/A")</f>
        <v>#N/A</v>
      </c>
      <c r="I359" s="148" t="str" cm="1">
        <f t="array" ref="I359">IF(Table117821341[[#This Row],[Pos.]]="QB1",_xlfn.XLOOKUP(Table117821341[[#This Row],[Opp]],Table123[DEF],'2425'!$K$3:$K$34),"#N/A")</f>
        <v>#N/A</v>
      </c>
      <c r="J359" s="148" t="e" cm="1">
        <f t="array" ref="J35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59" s="148" t="e" cm="1">
        <f t="array" ref="K35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59" s="148" t="e" cm="1">
        <f t="array" ref="L35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59" s="148" t="e" cm="1">
        <f t="array" ref="M35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59" s="148" t="e" cm="1">
        <f t="array" ref="N35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59" s="149" t="str">
        <f>IF(Table117821341[[#This Row],[Pos.]]="QB1",_xlfn.XLOOKUP(Table117821341[[#This Row],[Opp]],Table123[DEF],Table123[P]),"#N/A")</f>
        <v>#N/A</v>
      </c>
      <c r="P359" s="149" t="str">
        <f>IF(Table117821341[[#This Row],[Pos.]]="QB1",_xlfn.XLOOKUP(Table117821341[[#This Row],[Opp]],Table123[DEF],Table123[P+R]),"#N/A")</f>
        <v>#N/A</v>
      </c>
      <c r="Q359" s="150" t="str">
        <f>IF(Table117821341[[#This Row],[Pos.]]="QB1",_xlfn.XLOOKUP(Table117821341[[#This Row],[Opp]],Table123[DEF],Table123[P TD]),"#N/A")</f>
        <v>#N/A</v>
      </c>
      <c r="R359" s="149" t="e" cm="1">
        <f t="array" ref="R35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59" s="150" t="e" cm="1">
        <f t="array" ref="S35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59" s="150" t="e" cm="1">
        <f t="array" ref="T35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59" s="150" t="e" cm="1">
        <f t="array" ref="U35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59" s="162" t="e" cm="1">
        <f t="array" ref="V35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59" s="148" t="e" cm="1">
        <f t="array" ref="W359">_xlfn.IFS(Table117821341[[#This Row],[Pos.]]="QB1",AVERAGE(G359,H359,I359,J359,N359),Table117821341[[#This Row],[Pos.]]="RB1",AVERAGE(J359,K359,N359),Table117821341[[#This Row],[Pos.]]="RB2",AVERAGE(J359,K359,N359),Table117821341[[#This Row],[Pos.]]="WR1",AVERAGE(L359,M359,N359),Table117821341[[#This Row],[Pos.]]="WR2",AVERAGE(L359,M359,N359),Table117821341[[#This Row],[Pos.]]="WR3",AVERAGE(L359,M359,N359),Table117821341[[#This Row],[Pos.]]="WR4",AVERAGE(L359,M359,N359),Table117821341[[#This Row],[Pos.]]="TE1",AVERAGE(L359,M359,N359),Table117821341[[#This Row],[Pos.]]="TE2",AVERAGE(L359,M359,N359),Table117821341[[#This Row],[Pos.]]="D/ST",AVERAGE(Table117821341[[#This Row],[*TD*]]))</f>
        <v>#N/A</v>
      </c>
      <c r="X359" s="94" t="e">
        <f t="shared" si="6"/>
        <v>#N/A</v>
      </c>
    </row>
    <row r="360" spans="2:24" hidden="1" x14ac:dyDescent="0.35">
      <c r="B360" s="6" t="s">
        <v>298</v>
      </c>
      <c r="C360" s="97" t="s">
        <v>45</v>
      </c>
      <c r="D360" s="97" t="s">
        <v>398</v>
      </c>
      <c r="E360" s="23" t="str" cm="1">
        <f t="array" ref="E360">_xlfn.XLOOKUP(Table117821341[[#This Row],[Team]],Table4334[Team],'2425'!$C$3:$C$34)</f>
        <v>n/a</v>
      </c>
      <c r="F360" s="97" t="str">
        <f>_xlfn.XLOOKUP(Table117821341[[#This Row],[Team]],Table4334[Team],Table4334[OPP])</f>
        <v>n/a</v>
      </c>
      <c r="G360" s="148" t="str" cm="1">
        <f t="array" ref="G360">IF(Table117821341[[#This Row],[Pos.]]="QB1",_xlfn.XLOOKUP(Table117821341[[#This Row],[Opp]],Table123[DEF],'2425'!$G$3:$G$34),"#N/A")</f>
        <v>#N/A</v>
      </c>
      <c r="H360" s="148" t="str" cm="1">
        <f t="array" ref="H360">IF(Table117821341[[#This Row],[Pos.]]="QB1",_xlfn.XLOOKUP(Table117821341[[#This Row],[Opp]],Table123[DEF],'2425'!$J$3:$J$34),"#N/A")</f>
        <v>#N/A</v>
      </c>
      <c r="I360" s="148" t="str" cm="1">
        <f t="array" ref="I360">IF(Table117821341[[#This Row],[Pos.]]="QB1",_xlfn.XLOOKUP(Table117821341[[#This Row],[Opp]],Table123[DEF],'2425'!$K$3:$K$34),"#N/A")</f>
        <v>#N/A</v>
      </c>
      <c r="J360" s="148" t="e" cm="1">
        <f t="array" ref="J36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0" s="148" t="e" cm="1">
        <f t="array" ref="K36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0" s="148" t="e" cm="1">
        <f t="array" ref="L36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0" s="148" t="e" cm="1">
        <f t="array" ref="M36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0" s="148" t="e" cm="1">
        <f t="array" ref="N36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0" s="149" t="str">
        <f>IF(Table117821341[[#This Row],[Pos.]]="QB1",_xlfn.XLOOKUP(Table117821341[[#This Row],[Opp]],Table123[DEF],Table123[P]),"#N/A")</f>
        <v>#N/A</v>
      </c>
      <c r="P360" s="149" t="str">
        <f>IF(Table117821341[[#This Row],[Pos.]]="QB1",_xlfn.XLOOKUP(Table117821341[[#This Row],[Opp]],Table123[DEF],Table123[P+R]),"#N/A")</f>
        <v>#N/A</v>
      </c>
      <c r="Q360" s="150" t="str">
        <f>IF(Table117821341[[#This Row],[Pos.]]="QB1",_xlfn.XLOOKUP(Table117821341[[#This Row],[Opp]],Table123[DEF],Table123[P TD]),"#N/A")</f>
        <v>#N/A</v>
      </c>
      <c r="R360" s="149" t="e" cm="1">
        <f t="array" ref="R36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0" s="150" t="e" cm="1">
        <f t="array" ref="S36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0" s="150" t="e" cm="1">
        <f t="array" ref="T36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0" s="150" t="e" cm="1">
        <f t="array" ref="U36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0" s="150" t="e" cm="1">
        <f t="array" ref="V36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0" s="148" t="e" cm="1">
        <f t="array" ref="W360">_xlfn.IFS(Table117821341[[#This Row],[Pos.]]="QB1",AVERAGE(G360,H360,I360,J360,N360),Table117821341[[#This Row],[Pos.]]="RB1",AVERAGE(J360,K360,N360),Table117821341[[#This Row],[Pos.]]="RB2",AVERAGE(J360,K360,N360),Table117821341[[#This Row],[Pos.]]="WR1",AVERAGE(L360,M360,N360),Table117821341[[#This Row],[Pos.]]="WR2",AVERAGE(L360,M360,N360),Table117821341[[#This Row],[Pos.]]="WR3",AVERAGE(L360,M360,N360),Table117821341[[#This Row],[Pos.]]="WR4",AVERAGE(L360,M360,N360),Table117821341[[#This Row],[Pos.]]="TE1",AVERAGE(L360,M360,N360),Table117821341[[#This Row],[Pos.]]="TE2",AVERAGE(L360,M360,N360),Table117821341[[#This Row],[Pos.]]="D/ST",AVERAGE(Table117821341[[#This Row],[*TD*]]))</f>
        <v>#N/A</v>
      </c>
      <c r="X360" s="94" t="e">
        <f t="shared" si="6"/>
        <v>#N/A</v>
      </c>
    </row>
    <row r="361" spans="2:24" hidden="1" x14ac:dyDescent="0.35">
      <c r="B361" s="6" t="s">
        <v>523</v>
      </c>
      <c r="C361" s="97" t="s">
        <v>45</v>
      </c>
      <c r="D361" s="97" t="s">
        <v>430</v>
      </c>
      <c r="E361" s="23" t="str" cm="1">
        <f t="array" ref="E361">_xlfn.XLOOKUP(Table117821341[[#This Row],[Team]],Table4334[Team],'2425'!$C$3:$C$34)</f>
        <v>n/a</v>
      </c>
      <c r="F361" s="97" t="str">
        <f>_xlfn.XLOOKUP(Table117821341[[#This Row],[Team]],Table4334[Team],Table4334[OPP])</f>
        <v>n/a</v>
      </c>
      <c r="G361" s="148" t="str" cm="1">
        <f t="array" ref="G361">IF(Table117821341[[#This Row],[Pos.]]="QB1",_xlfn.XLOOKUP(Table117821341[[#This Row],[Opp]],Table123[DEF],'2425'!$G$3:$G$34),"#N/A")</f>
        <v>#N/A</v>
      </c>
      <c r="H361" s="148" t="str" cm="1">
        <f t="array" ref="H361">IF(Table117821341[[#This Row],[Pos.]]="QB1",_xlfn.XLOOKUP(Table117821341[[#This Row],[Opp]],Table123[DEF],'2425'!$J$3:$J$34),"#N/A")</f>
        <v>#N/A</v>
      </c>
      <c r="I361" s="148" t="str" cm="1">
        <f t="array" ref="I361">IF(Table117821341[[#This Row],[Pos.]]="QB1",_xlfn.XLOOKUP(Table117821341[[#This Row],[Opp]],Table123[DEF],'2425'!$K$3:$K$34),"#N/A")</f>
        <v>#N/A</v>
      </c>
      <c r="J361" s="148" t="e" cm="1">
        <f t="array" ref="J36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1" s="148" t="e" cm="1">
        <f t="array" ref="K36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1" s="148" t="e" cm="1">
        <f t="array" ref="L36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1" s="148" t="e" cm="1">
        <f t="array" ref="M36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1" s="148" t="e" cm="1">
        <f t="array" ref="N36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1" s="149" t="str">
        <f>IF(Table117821341[[#This Row],[Pos.]]="QB1",_xlfn.XLOOKUP(Table117821341[[#This Row],[Opp]],Table123[DEF],Table123[P]),"#N/A")</f>
        <v>#N/A</v>
      </c>
      <c r="P361" s="149" t="str">
        <f>IF(Table117821341[[#This Row],[Pos.]]="QB1",_xlfn.XLOOKUP(Table117821341[[#This Row],[Opp]],Table123[DEF],Table123[P+R]),"#N/A")</f>
        <v>#N/A</v>
      </c>
      <c r="Q361" s="150" t="str">
        <f>IF(Table117821341[[#This Row],[Pos.]]="QB1",_xlfn.XLOOKUP(Table117821341[[#This Row],[Opp]],Table123[DEF],Table123[P TD]),"#N/A")</f>
        <v>#N/A</v>
      </c>
      <c r="R361" s="149" t="e" cm="1">
        <f t="array" ref="R36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1" s="150" t="e" cm="1">
        <f t="array" ref="S36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1" s="150" t="e" cm="1">
        <f t="array" ref="T36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1" s="150" t="e" cm="1">
        <f t="array" ref="U36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1" s="150" t="e" cm="1">
        <f t="array" ref="V36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1" s="148" t="e" cm="1">
        <f t="array" ref="W361">_xlfn.IFS(Table117821341[[#This Row],[Pos.]]="QB1",AVERAGE(G361,H361,I361,J361,N361),Table117821341[[#This Row],[Pos.]]="RB1",AVERAGE(J361,K361,N361),Table117821341[[#This Row],[Pos.]]="RB2",AVERAGE(J361,K361,N361),Table117821341[[#This Row],[Pos.]]="WR1",AVERAGE(L361,M361,N361),Table117821341[[#This Row],[Pos.]]="WR2",AVERAGE(L361,M361,N361),Table117821341[[#This Row],[Pos.]]="WR3",AVERAGE(L361,M361,N361),Table117821341[[#This Row],[Pos.]]="WR4",AVERAGE(L361,M361,N361),Table117821341[[#This Row],[Pos.]]="TE1",AVERAGE(L361,M361,N361),Table117821341[[#This Row],[Pos.]]="TE2",AVERAGE(L361,M361,N361),Table117821341[[#This Row],[Pos.]]="D/ST",AVERAGE(Table117821341[[#This Row],[*TD*]]))</f>
        <v>#N/A</v>
      </c>
      <c r="X361" s="94" t="e">
        <f t="shared" si="6"/>
        <v>#N/A</v>
      </c>
    </row>
    <row r="362" spans="2:24" hidden="1" x14ac:dyDescent="0.35">
      <c r="B362" s="6" t="s">
        <v>206</v>
      </c>
      <c r="C362" s="97" t="s">
        <v>36</v>
      </c>
      <c r="D362" s="97" t="s">
        <v>395</v>
      </c>
      <c r="E362" s="23" t="str" cm="1">
        <f t="array" ref="E362">_xlfn.XLOOKUP(Table117821341[[#This Row],[Team]],Table4334[Team],'2425'!$C$3:$C$34)</f>
        <v>n/a</v>
      </c>
      <c r="F362" s="97" t="str">
        <f>_xlfn.XLOOKUP(Table117821341[[#This Row],[Team]],Table4334[Team],Table4334[OPP])</f>
        <v>n/a</v>
      </c>
      <c r="G362" s="148" t="str" cm="1">
        <f t="array" ref="G362">IF(Table117821341[[#This Row],[Pos.]]="QB1",_xlfn.XLOOKUP(Table117821341[[#This Row],[Opp]],Table123[DEF],'2425'!$G$3:$G$34),"#N/A")</f>
        <v>#N/A</v>
      </c>
      <c r="H362" s="148" t="str" cm="1">
        <f t="array" ref="H362">IF(Table117821341[[#This Row],[Pos.]]="QB1",_xlfn.XLOOKUP(Table117821341[[#This Row],[Opp]],Table123[DEF],'2425'!$J$3:$J$34),"#N/A")</f>
        <v>#N/A</v>
      </c>
      <c r="I362" s="148" t="str" cm="1">
        <f t="array" ref="I362">IF(Table117821341[[#This Row],[Pos.]]="QB1",_xlfn.XLOOKUP(Table117821341[[#This Row],[Opp]],Table123[DEF],'2425'!$K$3:$K$34),"#N/A")</f>
        <v>#N/A</v>
      </c>
      <c r="J362" s="148" t="e" cm="1">
        <f t="array" ref="J36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2" s="148" t="e" cm="1">
        <f t="array" ref="K36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2" s="148" t="e" cm="1">
        <f t="array" ref="L36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2" s="148" t="e" cm="1">
        <f t="array" ref="M36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2" s="148" t="e" cm="1">
        <f t="array" ref="N36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2" s="149" t="str">
        <f>IF(Table117821341[[#This Row],[Pos.]]="QB1",_xlfn.XLOOKUP(Table117821341[[#This Row],[Opp]],Table123[DEF],Table123[P]),"#N/A")</f>
        <v>#N/A</v>
      </c>
      <c r="P362" s="149" t="str">
        <f>IF(Table117821341[[#This Row],[Pos.]]="QB1",_xlfn.XLOOKUP(Table117821341[[#This Row],[Opp]],Table123[DEF],Table123[P+R]),"#N/A")</f>
        <v>#N/A</v>
      </c>
      <c r="Q362" s="150" t="str">
        <f>IF(Table117821341[[#This Row],[Pos.]]="QB1",_xlfn.XLOOKUP(Table117821341[[#This Row],[Opp]],Table123[DEF],Table123[P TD]),"#N/A")</f>
        <v>#N/A</v>
      </c>
      <c r="R362" s="149" t="e" cm="1">
        <f t="array" ref="R36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2" s="150" t="e" cm="1">
        <f t="array" ref="S36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2" s="150" t="e" cm="1">
        <f t="array" ref="T36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2" s="150" t="e" cm="1">
        <f t="array" ref="U36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2" s="162" t="e" cm="1">
        <f t="array" ref="V36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2" s="148" t="e" cm="1">
        <f t="array" ref="W362">_xlfn.IFS(Table117821341[[#This Row],[Pos.]]="QB1",AVERAGE(G362,H362,I362,J362,N362),Table117821341[[#This Row],[Pos.]]="RB1",AVERAGE(J362,K362,N362),Table117821341[[#This Row],[Pos.]]="RB2",AVERAGE(J362,K362,N362),Table117821341[[#This Row],[Pos.]]="WR1",AVERAGE(L362,M362,N362),Table117821341[[#This Row],[Pos.]]="WR2",AVERAGE(L362,M362,N362),Table117821341[[#This Row],[Pos.]]="WR3",AVERAGE(L362,M362,N362),Table117821341[[#This Row],[Pos.]]="WR4",AVERAGE(L362,M362,N362),Table117821341[[#This Row],[Pos.]]="TE1",AVERAGE(L362,M362,N362),Table117821341[[#This Row],[Pos.]]="TE2",AVERAGE(L362,M362,N362),Table117821341[[#This Row],[Pos.]]="D/ST",AVERAGE(Table117821341[[#This Row],[*TD*]]))</f>
        <v>#N/A</v>
      </c>
      <c r="X362" s="94" t="e">
        <f t="shared" si="6"/>
        <v>#N/A</v>
      </c>
    </row>
    <row r="363" spans="2:24" hidden="1" x14ac:dyDescent="0.35">
      <c r="B363" s="6" t="s">
        <v>698</v>
      </c>
      <c r="C363" s="97" t="s">
        <v>41</v>
      </c>
      <c r="D363" s="97" t="s">
        <v>395</v>
      </c>
      <c r="E363" s="23" t="str" cm="1">
        <f t="array" ref="E363">_xlfn.XLOOKUP(Table117821341[[#This Row],[Team]],Table4334[Team],'2425'!$C$3:$C$34)</f>
        <v>n/a</v>
      </c>
      <c r="F363" s="97" t="str">
        <f>_xlfn.XLOOKUP(Table117821341[[#This Row],[Team]],Table4334[Team],Table4334[OPP])</f>
        <v>n/a</v>
      </c>
      <c r="G363" s="148" t="str" cm="1">
        <f t="array" ref="G363">IF(Table117821341[[#This Row],[Pos.]]="QB1",_xlfn.XLOOKUP(Table117821341[[#This Row],[Opp]],Table123[DEF],'2425'!$G$3:$G$34),"#N/A")</f>
        <v>#N/A</v>
      </c>
      <c r="H363" s="148" t="str" cm="1">
        <f t="array" ref="H363">IF(Table117821341[[#This Row],[Pos.]]="QB1",_xlfn.XLOOKUP(Table117821341[[#This Row],[Opp]],Table123[DEF],'2425'!$J$3:$J$34),"#N/A")</f>
        <v>#N/A</v>
      </c>
      <c r="I363" s="148" t="str" cm="1">
        <f t="array" ref="I363">IF(Table117821341[[#This Row],[Pos.]]="QB1",_xlfn.XLOOKUP(Table117821341[[#This Row],[Opp]],Table123[DEF],'2425'!$K$3:$K$34),"#N/A")</f>
        <v>#N/A</v>
      </c>
      <c r="J363" s="148" t="e" cm="1">
        <f t="array" ref="J36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3" s="148" t="e" cm="1">
        <f t="array" ref="K36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3" s="148" t="e" cm="1">
        <f t="array" ref="L36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3" s="148" t="e" cm="1">
        <f t="array" ref="M36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3" s="148" t="e" cm="1">
        <f t="array" ref="N36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3" s="149" t="str">
        <f>IF(Table117821341[[#This Row],[Pos.]]="QB1",_xlfn.XLOOKUP(Table117821341[[#This Row],[Opp]],Table123[DEF],Table123[P]),"#N/A")</f>
        <v>#N/A</v>
      </c>
      <c r="P363" s="149" t="str">
        <f>IF(Table117821341[[#This Row],[Pos.]]="QB1",_xlfn.XLOOKUP(Table117821341[[#This Row],[Opp]],Table123[DEF],Table123[P+R]),"#N/A")</f>
        <v>#N/A</v>
      </c>
      <c r="Q363" s="150" t="str">
        <f>IF(Table117821341[[#This Row],[Pos.]]="QB1",_xlfn.XLOOKUP(Table117821341[[#This Row],[Opp]],Table123[DEF],Table123[P TD]),"#N/A")</f>
        <v>#N/A</v>
      </c>
      <c r="R363" s="149" t="e" cm="1">
        <f t="array" ref="R36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3" s="150" t="e" cm="1">
        <f t="array" ref="S36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3" s="150" t="e" cm="1">
        <f t="array" ref="T36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3" s="150" t="e" cm="1">
        <f t="array" ref="U36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3" s="162" t="e" cm="1">
        <f t="array" ref="V36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3" s="148" t="e" cm="1">
        <f t="array" ref="W363">_xlfn.IFS(Table117821341[[#This Row],[Pos.]]="QB1",AVERAGE(G363,H363,I363,J363,N363),Table117821341[[#This Row],[Pos.]]="RB1",AVERAGE(J363,K363,N363),Table117821341[[#This Row],[Pos.]]="RB2",AVERAGE(J363,K363,N363),Table117821341[[#This Row],[Pos.]]="WR1",AVERAGE(L363,M363,N363),Table117821341[[#This Row],[Pos.]]="WR2",AVERAGE(L363,M363,N363),Table117821341[[#This Row],[Pos.]]="WR3",AVERAGE(L363,M363,N363),Table117821341[[#This Row],[Pos.]]="WR4",AVERAGE(L363,M363,N363),Table117821341[[#This Row],[Pos.]]="TE1",AVERAGE(L363,M363,N363),Table117821341[[#This Row],[Pos.]]="TE2",AVERAGE(L363,M363,N363),Table117821341[[#This Row],[Pos.]]="D/ST",AVERAGE(Table117821341[[#This Row],[*TD*]]))</f>
        <v>#N/A</v>
      </c>
      <c r="X363" s="94" t="e">
        <f t="shared" si="6"/>
        <v>#N/A</v>
      </c>
    </row>
    <row r="364" spans="2:24" x14ac:dyDescent="0.35">
      <c r="B364" s="6" t="s">
        <v>121</v>
      </c>
      <c r="C364" s="97" t="s">
        <v>17</v>
      </c>
      <c r="D364" s="97" t="s">
        <v>395</v>
      </c>
      <c r="E364" s="23" t="str" cm="1">
        <f t="array" ref="E364">_xlfn.XLOOKUP(Table117821341[[#This Row],[Team]],Table4334[Team],'2425'!$C$3:$C$34)</f>
        <v>n/a</v>
      </c>
      <c r="F364" s="97" t="str">
        <f>_xlfn.XLOOKUP(Table117821341[[#This Row],[Team]],Table4334[Team],Table4334[OPP])</f>
        <v>n/a</v>
      </c>
      <c r="G364" s="148" t="str" cm="1">
        <f t="array" ref="G364">IF(Table117821341[[#This Row],[Pos.]]="QB1",_xlfn.XLOOKUP(Table117821341[[#This Row],[Opp]],Table123[DEF],'2425'!$G$3:$G$34),"#N/A")</f>
        <v>#N/A</v>
      </c>
      <c r="H364" s="148" t="str" cm="1">
        <f t="array" ref="H364">IF(Table117821341[[#This Row],[Pos.]]="QB1",_xlfn.XLOOKUP(Table117821341[[#This Row],[Opp]],Table123[DEF],'2425'!$J$3:$J$34),"#N/A")</f>
        <v>#N/A</v>
      </c>
      <c r="I364" s="148" t="str" cm="1">
        <f t="array" ref="I364">IF(Table117821341[[#This Row],[Pos.]]="QB1",_xlfn.XLOOKUP(Table117821341[[#This Row],[Opp]],Table123[DEF],'2425'!$K$3:$K$34),"#N/A")</f>
        <v>#N/A</v>
      </c>
      <c r="J364" s="148" t="e" cm="1">
        <f t="array" ref="J36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4" s="148" t="e" cm="1">
        <f t="array" ref="K36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4" s="148" t="e" cm="1">
        <f t="array" ref="L36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4" s="148" t="e" cm="1">
        <f t="array" ref="M36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4" s="148" t="e" cm="1">
        <f t="array" ref="N36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4" s="149" t="str">
        <f>IF(Table117821341[[#This Row],[Pos.]]="QB1",_xlfn.XLOOKUP(Table117821341[[#This Row],[Opp]],Table123[DEF],Table123[P]),"#N/A")</f>
        <v>#N/A</v>
      </c>
      <c r="P364" s="149" t="str">
        <f>IF(Table117821341[[#This Row],[Pos.]]="QB1",_xlfn.XLOOKUP(Table117821341[[#This Row],[Opp]],Table123[DEF],Table123[P+R]),"#N/A")</f>
        <v>#N/A</v>
      </c>
      <c r="Q364" s="150" t="str">
        <f>IF(Table117821341[[#This Row],[Pos.]]="QB1",_xlfn.XLOOKUP(Table117821341[[#This Row],[Opp]],Table123[DEF],Table123[P TD]),"#N/A")</f>
        <v>#N/A</v>
      </c>
      <c r="R364" s="149" t="e" cm="1">
        <f t="array" ref="R36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4" s="150" t="e" cm="1">
        <f t="array" ref="S36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4" s="150" t="e" cm="1">
        <f t="array" ref="T36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4" s="150" t="e" cm="1">
        <f t="array" ref="U36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4" s="162" t="e" cm="1">
        <f t="array" ref="V36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4" s="148" t="e" cm="1">
        <f t="array" ref="W364">_xlfn.IFS(Table117821341[[#This Row],[Pos.]]="QB1",AVERAGE(G364,H364,I364,J364,N364),Table117821341[[#This Row],[Pos.]]="RB1",AVERAGE(J364,K364,N364),Table117821341[[#This Row],[Pos.]]="RB2",AVERAGE(J364,K364,N364),Table117821341[[#This Row],[Pos.]]="WR1",AVERAGE(L364,M364,N364),Table117821341[[#This Row],[Pos.]]="WR2",AVERAGE(L364,M364,N364),Table117821341[[#This Row],[Pos.]]="WR3",AVERAGE(L364,M364,N364),Table117821341[[#This Row],[Pos.]]="WR4",AVERAGE(L364,M364,N364),Table117821341[[#This Row],[Pos.]]="TE1",AVERAGE(L364,M364,N364),Table117821341[[#This Row],[Pos.]]="TE2",AVERAGE(L364,M364,N364),Table117821341[[#This Row],[Pos.]]="D/ST",AVERAGE(Table117821341[[#This Row],[*TD*]]))</f>
        <v>#N/A</v>
      </c>
      <c r="X364" s="94" t="e">
        <f t="shared" si="6"/>
        <v>#N/A</v>
      </c>
    </row>
    <row r="365" spans="2:24" hidden="1" x14ac:dyDescent="0.35">
      <c r="B365" s="6" t="s">
        <v>344</v>
      </c>
      <c r="C365" s="97" t="s">
        <v>51</v>
      </c>
      <c r="D365" s="97" t="s">
        <v>395</v>
      </c>
      <c r="E365" s="23" t="str" cm="1">
        <f t="array" ref="E365">_xlfn.XLOOKUP(Table117821341[[#This Row],[Team]],Table4334[Team],'2425'!$C$3:$C$34)</f>
        <v>n/a</v>
      </c>
      <c r="F365" s="97" t="str">
        <f>_xlfn.XLOOKUP(Table117821341[[#This Row],[Team]],Table4334[Team],Table4334[OPP])</f>
        <v>n/a</v>
      </c>
      <c r="G365" s="148" t="str" cm="1">
        <f t="array" ref="G365">IF(Table117821341[[#This Row],[Pos.]]="QB1",_xlfn.XLOOKUP(Table117821341[[#This Row],[Opp]],Table123[DEF],'2425'!$G$3:$G$34),"#N/A")</f>
        <v>#N/A</v>
      </c>
      <c r="H365" s="148" t="str" cm="1">
        <f t="array" ref="H365">IF(Table117821341[[#This Row],[Pos.]]="QB1",_xlfn.XLOOKUP(Table117821341[[#This Row],[Opp]],Table123[DEF],'2425'!$J$3:$J$34),"#N/A")</f>
        <v>#N/A</v>
      </c>
      <c r="I365" s="148" t="str" cm="1">
        <f t="array" ref="I365">IF(Table117821341[[#This Row],[Pos.]]="QB1",_xlfn.XLOOKUP(Table117821341[[#This Row],[Opp]],Table123[DEF],'2425'!$K$3:$K$34),"#N/A")</f>
        <v>#N/A</v>
      </c>
      <c r="J365" s="148" t="e" cm="1">
        <f t="array" ref="J36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5" s="148" t="e" cm="1">
        <f t="array" ref="K36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5" s="148" t="e" cm="1">
        <f t="array" ref="L36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5" s="148" t="e" cm="1">
        <f t="array" ref="M36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5" s="148" t="e" cm="1">
        <f t="array" ref="N36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5" s="149" t="str">
        <f>IF(Table117821341[[#This Row],[Pos.]]="QB1",_xlfn.XLOOKUP(Table117821341[[#This Row],[Opp]],Table123[DEF],Table123[P]),"#N/A")</f>
        <v>#N/A</v>
      </c>
      <c r="P365" s="149" t="str">
        <f>IF(Table117821341[[#This Row],[Pos.]]="QB1",_xlfn.XLOOKUP(Table117821341[[#This Row],[Opp]],Table123[DEF],Table123[P+R]),"#N/A")</f>
        <v>#N/A</v>
      </c>
      <c r="Q365" s="150" t="str">
        <f>IF(Table117821341[[#This Row],[Pos.]]="QB1",_xlfn.XLOOKUP(Table117821341[[#This Row],[Opp]],Table123[DEF],Table123[P TD]),"#N/A")</f>
        <v>#N/A</v>
      </c>
      <c r="R365" s="149" t="e" cm="1">
        <f t="array" ref="R36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5" s="150" t="e" cm="1">
        <f t="array" ref="S36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5" s="150" t="e" cm="1">
        <f t="array" ref="T36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5" s="150" t="e" cm="1">
        <f t="array" ref="U36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5" s="162" t="e" cm="1">
        <f t="array" ref="V36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5" s="148" t="e" cm="1">
        <f t="array" ref="W365">_xlfn.IFS(Table117821341[[#This Row],[Pos.]]="QB1",AVERAGE(G365,H365,I365,J365,N365),Table117821341[[#This Row],[Pos.]]="RB1",AVERAGE(J365,K365,N365),Table117821341[[#This Row],[Pos.]]="RB2",AVERAGE(J365,K365,N365),Table117821341[[#This Row],[Pos.]]="WR1",AVERAGE(L365,M365,N365),Table117821341[[#This Row],[Pos.]]="WR2",AVERAGE(L365,M365,N365),Table117821341[[#This Row],[Pos.]]="WR3",AVERAGE(L365,M365,N365),Table117821341[[#This Row],[Pos.]]="WR4",AVERAGE(L365,M365,N365),Table117821341[[#This Row],[Pos.]]="TE1",AVERAGE(L365,M365,N365),Table117821341[[#This Row],[Pos.]]="TE2",AVERAGE(L365,M365,N365),Table117821341[[#This Row],[Pos.]]="D/ST",AVERAGE(Table117821341[[#This Row],[*TD*]]))</f>
        <v>#N/A</v>
      </c>
      <c r="X365" s="94" t="e">
        <f t="shared" si="6"/>
        <v>#N/A</v>
      </c>
    </row>
    <row r="366" spans="2:24" hidden="1" x14ac:dyDescent="0.35">
      <c r="B366" s="6" t="s">
        <v>520</v>
      </c>
      <c r="C366" s="97" t="s">
        <v>45</v>
      </c>
      <c r="D366" s="97" t="s">
        <v>403</v>
      </c>
      <c r="E366" s="23" t="str" cm="1">
        <f t="array" ref="E366">_xlfn.XLOOKUP(Table117821341[[#This Row],[Team]],Table4334[Team],'2425'!$C$3:$C$34)</f>
        <v>n/a</v>
      </c>
      <c r="F366" s="97" t="str">
        <f>_xlfn.XLOOKUP(Table117821341[[#This Row],[Team]],Table4334[Team],Table4334[OPP])</f>
        <v>n/a</v>
      </c>
      <c r="G366" s="148" t="str" cm="1">
        <f t="array" ref="G366">IF(Table117821341[[#This Row],[Pos.]]="QB1",_xlfn.XLOOKUP(Table117821341[[#This Row],[Opp]],Table123[DEF],'2425'!$G$3:$G$34),"#N/A")</f>
        <v>#N/A</v>
      </c>
      <c r="H366" s="148" t="str" cm="1">
        <f t="array" ref="H366">IF(Table117821341[[#This Row],[Pos.]]="QB1",_xlfn.XLOOKUP(Table117821341[[#This Row],[Opp]],Table123[DEF],'2425'!$J$3:$J$34),"#N/A")</f>
        <v>#N/A</v>
      </c>
      <c r="I366" s="148" t="str" cm="1">
        <f t="array" ref="I366">IF(Table117821341[[#This Row],[Pos.]]="QB1",_xlfn.XLOOKUP(Table117821341[[#This Row],[Opp]],Table123[DEF],'2425'!$K$3:$K$34),"#N/A")</f>
        <v>#N/A</v>
      </c>
      <c r="J366" s="148" t="e" cm="1">
        <f t="array" ref="J36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6" s="148" t="e" cm="1">
        <f t="array" ref="K36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6" s="148" t="e" cm="1">
        <f t="array" ref="L36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6" s="148" t="e" cm="1">
        <f t="array" ref="M36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6" s="148" t="e" cm="1">
        <f t="array" ref="N36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6" s="149" t="str">
        <f>IF(Table117821341[[#This Row],[Pos.]]="QB1",_xlfn.XLOOKUP(Table117821341[[#This Row],[Opp]],Table123[DEF],Table123[P]),"#N/A")</f>
        <v>#N/A</v>
      </c>
      <c r="P366" s="149" t="str">
        <f>IF(Table117821341[[#This Row],[Pos.]]="QB1",_xlfn.XLOOKUP(Table117821341[[#This Row],[Opp]],Table123[DEF],Table123[P+R]),"#N/A")</f>
        <v>#N/A</v>
      </c>
      <c r="Q366" s="150" t="str">
        <f>IF(Table117821341[[#This Row],[Pos.]]="QB1",_xlfn.XLOOKUP(Table117821341[[#This Row],[Opp]],Table123[DEF],Table123[P TD]),"#N/A")</f>
        <v>#N/A</v>
      </c>
      <c r="R366" s="149" t="e" cm="1">
        <f t="array" ref="R36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6" s="150" t="e" cm="1">
        <f t="array" ref="S36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6" s="150" t="e" cm="1">
        <f t="array" ref="T36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6" s="150" t="e" cm="1">
        <f t="array" ref="U36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6" s="150" t="e" cm="1">
        <f t="array" ref="V36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6" s="148" t="e" cm="1">
        <f t="array" ref="W366">_xlfn.IFS(Table117821341[[#This Row],[Pos.]]="QB1",AVERAGE(G366,H366,I366,J366,N366),Table117821341[[#This Row],[Pos.]]="RB1",AVERAGE(J366,K366,N366),Table117821341[[#This Row],[Pos.]]="RB2",AVERAGE(J366,K366,N366),Table117821341[[#This Row],[Pos.]]="WR1",AVERAGE(L366,M366,N366),Table117821341[[#This Row],[Pos.]]="WR2",AVERAGE(L366,M366,N366),Table117821341[[#This Row],[Pos.]]="WR3",AVERAGE(L366,M366,N366),Table117821341[[#This Row],[Pos.]]="WR4",AVERAGE(L366,M366,N366),Table117821341[[#This Row],[Pos.]]="TE1",AVERAGE(L366,M366,N366),Table117821341[[#This Row],[Pos.]]="TE2",AVERAGE(L366,M366,N366),Table117821341[[#This Row],[Pos.]]="D/ST",AVERAGE(Table117821341[[#This Row],[*TD*]]))</f>
        <v>#N/A</v>
      </c>
      <c r="X366" s="94" t="e">
        <f t="shared" si="6"/>
        <v>#N/A</v>
      </c>
    </row>
    <row r="367" spans="2:24" hidden="1" x14ac:dyDescent="0.35">
      <c r="B367" s="6" t="s">
        <v>521</v>
      </c>
      <c r="C367" s="97" t="s">
        <v>45</v>
      </c>
      <c r="D367" s="97" t="s">
        <v>411</v>
      </c>
      <c r="E367" s="23" t="str" cm="1">
        <f t="array" ref="E367">_xlfn.XLOOKUP(Table117821341[[#This Row],[Team]],Table4334[Team],'2425'!$C$3:$C$34)</f>
        <v>n/a</v>
      </c>
      <c r="F367" s="97" t="str">
        <f>_xlfn.XLOOKUP(Table117821341[[#This Row],[Team]],Table4334[Team],Table4334[OPP])</f>
        <v>n/a</v>
      </c>
      <c r="G367" s="148" t="str" cm="1">
        <f t="array" ref="G367">IF(Table117821341[[#This Row],[Pos.]]="QB1",_xlfn.XLOOKUP(Table117821341[[#This Row],[Opp]],Table123[DEF],'2425'!$G$3:$G$34),"#N/A")</f>
        <v>#N/A</v>
      </c>
      <c r="H367" s="148" t="str" cm="1">
        <f t="array" ref="H367">IF(Table117821341[[#This Row],[Pos.]]="QB1",_xlfn.XLOOKUP(Table117821341[[#This Row],[Opp]],Table123[DEF],'2425'!$J$3:$J$34),"#N/A")</f>
        <v>#N/A</v>
      </c>
      <c r="I367" s="148" t="str" cm="1">
        <f t="array" ref="I367">IF(Table117821341[[#This Row],[Pos.]]="QB1",_xlfn.XLOOKUP(Table117821341[[#This Row],[Opp]],Table123[DEF],'2425'!$K$3:$K$34),"#N/A")</f>
        <v>#N/A</v>
      </c>
      <c r="J367" s="148" t="e" cm="1">
        <f t="array" ref="J36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7" s="148" t="e" cm="1">
        <f t="array" ref="K36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7" s="148" t="e" cm="1">
        <f t="array" ref="L36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7" s="148" t="e" cm="1">
        <f t="array" ref="M36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7" s="148" t="e" cm="1">
        <f t="array" ref="N36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7" s="149" t="str">
        <f>IF(Table117821341[[#This Row],[Pos.]]="QB1",_xlfn.XLOOKUP(Table117821341[[#This Row],[Opp]],Table123[DEF],Table123[P]),"#N/A")</f>
        <v>#N/A</v>
      </c>
      <c r="P367" s="149" t="str">
        <f>IF(Table117821341[[#This Row],[Pos.]]="QB1",_xlfn.XLOOKUP(Table117821341[[#This Row],[Opp]],Table123[DEF],Table123[P+R]),"#N/A")</f>
        <v>#N/A</v>
      </c>
      <c r="Q367" s="150" t="str">
        <f>IF(Table117821341[[#This Row],[Pos.]]="QB1",_xlfn.XLOOKUP(Table117821341[[#This Row],[Opp]],Table123[DEF],Table123[P TD]),"#N/A")</f>
        <v>#N/A</v>
      </c>
      <c r="R367" s="149" t="e" cm="1">
        <f t="array" ref="R36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7" s="150" t="e" cm="1">
        <f t="array" ref="S36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7" s="150" t="e" cm="1">
        <f t="array" ref="T36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7" s="150" t="e" cm="1">
        <f t="array" ref="U36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7" s="150" t="e" cm="1">
        <f t="array" ref="V36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7" s="148" t="e" cm="1">
        <f t="array" ref="W367">_xlfn.IFS(Table117821341[[#This Row],[Pos.]]="QB1",AVERAGE(G367,H367,I367,J367,N367),Table117821341[[#This Row],[Pos.]]="RB1",AVERAGE(J367,K367,N367),Table117821341[[#This Row],[Pos.]]="RB2",AVERAGE(J367,K367,N367),Table117821341[[#This Row],[Pos.]]="WR1",AVERAGE(L367,M367,N367),Table117821341[[#This Row],[Pos.]]="WR2",AVERAGE(L367,M367,N367),Table117821341[[#This Row],[Pos.]]="WR3",AVERAGE(L367,M367,N367),Table117821341[[#This Row],[Pos.]]="WR4",AVERAGE(L367,M367,N367),Table117821341[[#This Row],[Pos.]]="TE1",AVERAGE(L367,M367,N367),Table117821341[[#This Row],[Pos.]]="TE2",AVERAGE(L367,M367,N367),Table117821341[[#This Row],[Pos.]]="D/ST",AVERAGE(Table117821341[[#This Row],[*TD*]]))</f>
        <v>#N/A</v>
      </c>
      <c r="X367" s="94" t="e">
        <f t="shared" si="6"/>
        <v>#N/A</v>
      </c>
    </row>
    <row r="368" spans="2:24" hidden="1" x14ac:dyDescent="0.35">
      <c r="B368" s="6" t="s">
        <v>522</v>
      </c>
      <c r="C368" s="97" t="s">
        <v>45</v>
      </c>
      <c r="D368" s="97" t="s">
        <v>441</v>
      </c>
      <c r="E368" s="23" t="str" cm="1">
        <f t="array" ref="E368">_xlfn.XLOOKUP(Table117821341[[#This Row],[Team]],Table4334[Team],'2425'!$C$3:$C$34)</f>
        <v>n/a</v>
      </c>
      <c r="F368" s="97" t="str">
        <f>_xlfn.XLOOKUP(Table117821341[[#This Row],[Team]],Table4334[Team],Table4334[OPP])</f>
        <v>n/a</v>
      </c>
      <c r="G368" s="148" t="str" cm="1">
        <f t="array" ref="G368">IF(Table117821341[[#This Row],[Pos.]]="QB1",_xlfn.XLOOKUP(Table117821341[[#This Row],[Opp]],Table123[DEF],'2425'!$G$3:$G$34),"#N/A")</f>
        <v>#N/A</v>
      </c>
      <c r="H368" s="148" t="str" cm="1">
        <f t="array" ref="H368">IF(Table117821341[[#This Row],[Pos.]]="QB1",_xlfn.XLOOKUP(Table117821341[[#This Row],[Opp]],Table123[DEF],'2425'!$J$3:$J$34),"#N/A")</f>
        <v>#N/A</v>
      </c>
      <c r="I368" s="148" t="str" cm="1">
        <f t="array" ref="I368">IF(Table117821341[[#This Row],[Pos.]]="QB1",_xlfn.XLOOKUP(Table117821341[[#This Row],[Opp]],Table123[DEF],'2425'!$K$3:$K$34),"#N/A")</f>
        <v>#N/A</v>
      </c>
      <c r="J368" s="148" t="e" cm="1">
        <f t="array" ref="J36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68" s="148" t="e" cm="1">
        <f t="array" ref="K36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68" s="148" t="e" cm="1">
        <f t="array" ref="L36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68" s="148" t="e" cm="1">
        <f t="array" ref="M36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68" s="148" t="e" cm="1">
        <f t="array" ref="N36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68" s="149" t="str">
        <f>IF(Table117821341[[#This Row],[Pos.]]="QB1",_xlfn.XLOOKUP(Table117821341[[#This Row],[Opp]],Table123[DEF],Table123[P]),"#N/A")</f>
        <v>#N/A</v>
      </c>
      <c r="P368" s="149" t="str">
        <f>IF(Table117821341[[#This Row],[Pos.]]="QB1",_xlfn.XLOOKUP(Table117821341[[#This Row],[Opp]],Table123[DEF],Table123[P+R]),"#N/A")</f>
        <v>#N/A</v>
      </c>
      <c r="Q368" s="150" t="str">
        <f>IF(Table117821341[[#This Row],[Pos.]]="QB1",_xlfn.XLOOKUP(Table117821341[[#This Row],[Opp]],Table123[DEF],Table123[P TD]),"#N/A")</f>
        <v>#N/A</v>
      </c>
      <c r="R368" s="149" t="e" cm="1">
        <f t="array" ref="R36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68" s="150" t="e" cm="1">
        <f t="array" ref="S36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68" s="150" t="e" cm="1">
        <f t="array" ref="T36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68" s="150" t="e" cm="1">
        <f t="array" ref="U36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68" s="150" t="e" cm="1">
        <f t="array" ref="V36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68" s="148" t="e" cm="1">
        <f t="array" ref="W368">_xlfn.IFS(Table117821341[[#This Row],[Pos.]]="QB1",AVERAGE(G368,H368,I368,J368,N368),Table117821341[[#This Row],[Pos.]]="RB1",AVERAGE(J368,K368,N368),Table117821341[[#This Row],[Pos.]]="RB2",AVERAGE(J368,K368,N368),Table117821341[[#This Row],[Pos.]]="WR1",AVERAGE(L368,M368,N368),Table117821341[[#This Row],[Pos.]]="WR2",AVERAGE(L368,M368,N368),Table117821341[[#This Row],[Pos.]]="WR3",AVERAGE(L368,M368,N368),Table117821341[[#This Row],[Pos.]]="WR4",AVERAGE(L368,M368,N368),Table117821341[[#This Row],[Pos.]]="TE1",AVERAGE(L368,M368,N368),Table117821341[[#This Row],[Pos.]]="TE2",AVERAGE(L368,M368,N368),Table117821341[[#This Row],[Pos.]]="D/ST",AVERAGE(Table117821341[[#This Row],[*TD*]]))</f>
        <v>#N/A</v>
      </c>
      <c r="X368" s="94" t="e">
        <f t="shared" si="6"/>
        <v>#N/A</v>
      </c>
    </row>
    <row r="369" spans="2:24" x14ac:dyDescent="0.35">
      <c r="B369" s="6" t="s">
        <v>305</v>
      </c>
      <c r="C369" s="97" t="s">
        <v>46</v>
      </c>
      <c r="D369" s="97" t="s">
        <v>395</v>
      </c>
      <c r="E369" s="23" t="str" cm="1">
        <f t="array" ref="E369">_xlfn.XLOOKUP(Table117821341[[#This Row],[Team]],Table4334[Team],'2425'!$C$3:$C$34)</f>
        <v>SB LX</v>
      </c>
      <c r="F369" s="97" t="str">
        <f>_xlfn.XLOOKUP(Table117821341[[#This Row],[Team]],Table4334[Team],Table4334[OPP])</f>
        <v>SEA</v>
      </c>
      <c r="G369" s="148" t="str" cm="1">
        <f t="array" ref="G369">IF(Table117821341[[#This Row],[Pos.]]="QB1",_xlfn.XLOOKUP(Table117821341[[#This Row],[Opp]],Table123[DEF],'2425'!$G$3:$G$34),"#N/A")</f>
        <v>#N/A</v>
      </c>
      <c r="H369" s="148" t="str" cm="1">
        <f t="array" ref="H369">IF(Table117821341[[#This Row],[Pos.]]="QB1",_xlfn.XLOOKUP(Table117821341[[#This Row],[Opp]],Table123[DEF],'2425'!$J$3:$J$34),"#N/A")</f>
        <v>#N/A</v>
      </c>
      <c r="I369" s="148" t="str" cm="1">
        <f t="array" ref="I369">IF(Table117821341[[#This Row],[Pos.]]="QB1",_xlfn.XLOOKUP(Table117821341[[#This Row],[Opp]],Table123[DEF],'2425'!$K$3:$K$34),"#N/A")</f>
        <v>#N/A</v>
      </c>
      <c r="J369" s="148" cm="1">
        <f t="array" ref="J36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25</v>
      </c>
      <c r="K369" s="148" cm="1">
        <f t="array" ref="K369">_xlfn.IFS(Table117821341[[#This Row],[Pos.]]="RB1",_xlfn.XLOOKUP(Table117821341[[#This Row],[Opp]],Table2040[DEF],'2425'!$K$38:$K$69),Table117821341[[#This Row],[Pos.]]="RB2",_xlfn.XLOOKUP(Table117821341[[#This Row],[Opp]],Table2040[DEF],'2425'!$K$38:$K$69))</f>
        <v>19</v>
      </c>
      <c r="L369" s="148" cm="1">
        <f t="array" ref="L36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1.5</v>
      </c>
      <c r="M369" s="148" cm="1">
        <f t="array" ref="M36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5</v>
      </c>
      <c r="N369" s="148" cm="1">
        <f t="array" ref="N36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32</v>
      </c>
      <c r="O369" s="149" t="str">
        <f>IF(Table117821341[[#This Row],[Pos.]]="QB1",_xlfn.XLOOKUP(Table117821341[[#This Row],[Opp]],Table123[DEF],Table123[P]),"#N/A")</f>
        <v>#N/A</v>
      </c>
      <c r="P369" s="149" t="str">
        <f>IF(Table117821341[[#This Row],[Pos.]]="QB1",_xlfn.XLOOKUP(Table117821341[[#This Row],[Opp]],Table123[DEF],Table123[P+R]),"#N/A")</f>
        <v>#N/A</v>
      </c>
      <c r="Q369" s="150" t="str">
        <f>IF(Table117821341[[#This Row],[Pos.]]="QB1",_xlfn.XLOOKUP(Table117821341[[#This Row],[Opp]],Table123[DEF],Table123[P TD]),"#N/A")</f>
        <v>#N/A</v>
      </c>
      <c r="R369" s="149" cm="1">
        <f t="array" ref="R36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87.058823529411768</v>
      </c>
      <c r="S369" s="150" cm="1">
        <f t="array" ref="S369">_xlfn.IFS(Table117821341[[#This Row],[Pos.]]="RB1",_xlfn.XLOOKUP(Table117821341[[#This Row],[Opp]],Table2040[DEF],Table2040[R+R]),Table117821341[[#This Row],[Pos.]]="RB2",_xlfn.XLOOKUP(Table117821341[[#This Row],[Opp]],Table2040[DEF],Table2040[R+R]))</f>
        <v>124.23529411764706</v>
      </c>
      <c r="T369" s="150" cm="1">
        <f t="array" ref="T36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5.1470588235294112</v>
      </c>
      <c r="U369" s="150" cm="1">
        <f t="array" ref="U36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37.17647058823529</v>
      </c>
      <c r="V369" s="162" cm="1">
        <f t="array" ref="V36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0.52941176470588236</v>
      </c>
      <c r="W369" s="148" cm="1">
        <f t="array" ref="W369">_xlfn.IFS(Table117821341[[#This Row],[Pos.]]="QB1",AVERAGE(G369,H369,I369,J369,N369),Table117821341[[#This Row],[Pos.]]="RB1",AVERAGE(J369,K369,N369),Table117821341[[#This Row],[Pos.]]="RB2",AVERAGE(J369,K369,N369),Table117821341[[#This Row],[Pos.]]="WR1",AVERAGE(L369,M369,N369),Table117821341[[#This Row],[Pos.]]="WR2",AVERAGE(L369,M369,N369),Table117821341[[#This Row],[Pos.]]="WR3",AVERAGE(L369,M369,N369),Table117821341[[#This Row],[Pos.]]="WR4",AVERAGE(L369,M369,N369),Table117821341[[#This Row],[Pos.]]="TE1",AVERAGE(L369,M369,N369),Table117821341[[#This Row],[Pos.]]="TE2",AVERAGE(L369,M369,N369),Table117821341[[#This Row],[Pos.]]="D/ST",AVERAGE(Table117821341[[#This Row],[*TD*]]))</f>
        <v>25.333333333333332</v>
      </c>
      <c r="X369" s="94">
        <f t="shared" si="6"/>
        <v>28.666666666666664</v>
      </c>
    </row>
    <row r="370" spans="2:24" x14ac:dyDescent="0.35">
      <c r="B370" s="6" t="s">
        <v>151</v>
      </c>
      <c r="C370" s="97" t="s">
        <v>30</v>
      </c>
      <c r="D370" s="97" t="s">
        <v>395</v>
      </c>
      <c r="E370" s="23" t="str" cm="1">
        <f t="array" ref="E370">_xlfn.XLOOKUP(Table117821341[[#This Row],[Team]],Table4334[Team],'2425'!$C$3:$C$34)</f>
        <v>n/a</v>
      </c>
      <c r="F370" s="97" t="str">
        <f>_xlfn.XLOOKUP(Table117821341[[#This Row],[Team]],Table4334[Team],Table4334[OPP])</f>
        <v>n/a</v>
      </c>
      <c r="G370" s="148" t="str" cm="1">
        <f t="array" ref="G370">IF(Table117821341[[#This Row],[Pos.]]="QB1",_xlfn.XLOOKUP(Table117821341[[#This Row],[Opp]],Table123[DEF],'2425'!$G$3:$G$34),"#N/A")</f>
        <v>#N/A</v>
      </c>
      <c r="H370" s="148" t="str" cm="1">
        <f t="array" ref="H370">IF(Table117821341[[#This Row],[Pos.]]="QB1",_xlfn.XLOOKUP(Table117821341[[#This Row],[Opp]],Table123[DEF],'2425'!$J$3:$J$34),"#N/A")</f>
        <v>#N/A</v>
      </c>
      <c r="I370" s="148" t="str" cm="1">
        <f t="array" ref="I370">IF(Table117821341[[#This Row],[Pos.]]="QB1",_xlfn.XLOOKUP(Table117821341[[#This Row],[Opp]],Table123[DEF],'2425'!$K$3:$K$34),"#N/A")</f>
        <v>#N/A</v>
      </c>
      <c r="J370" s="148" t="e" cm="1">
        <f t="array" ref="J37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0" s="148" t="e" cm="1">
        <f t="array" ref="K37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0" s="148" t="e" cm="1">
        <f t="array" ref="L37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0" s="148" t="e" cm="1">
        <f t="array" ref="M37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0" s="148" t="e" cm="1">
        <f t="array" ref="N37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0" s="149" t="str">
        <f>IF(Table117821341[[#This Row],[Pos.]]="QB1",_xlfn.XLOOKUP(Table117821341[[#This Row],[Opp]],Table123[DEF],Table123[P]),"#N/A")</f>
        <v>#N/A</v>
      </c>
      <c r="P370" s="149" t="str">
        <f>IF(Table117821341[[#This Row],[Pos.]]="QB1",_xlfn.XLOOKUP(Table117821341[[#This Row],[Opp]],Table123[DEF],Table123[P+R]),"#N/A")</f>
        <v>#N/A</v>
      </c>
      <c r="Q370" s="150" t="str">
        <f>IF(Table117821341[[#This Row],[Pos.]]="QB1",_xlfn.XLOOKUP(Table117821341[[#This Row],[Opp]],Table123[DEF],Table123[P TD]),"#N/A")</f>
        <v>#N/A</v>
      </c>
      <c r="R370" s="149" t="e" cm="1">
        <f t="array" ref="R37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0" s="150" t="e" cm="1">
        <f t="array" ref="S37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0" s="150" t="e" cm="1">
        <f t="array" ref="T37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0" s="150" t="e" cm="1">
        <f t="array" ref="U37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0" s="162" t="e" cm="1">
        <f t="array" ref="V37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0" s="148" t="e" cm="1">
        <f t="array" ref="W370">_xlfn.IFS(Table117821341[[#This Row],[Pos.]]="QB1",AVERAGE(G370,H370,I370,J370,N370),Table117821341[[#This Row],[Pos.]]="RB1",AVERAGE(J370,K370,N370),Table117821341[[#This Row],[Pos.]]="RB2",AVERAGE(J370,K370,N370),Table117821341[[#This Row],[Pos.]]="WR1",AVERAGE(L370,M370,N370),Table117821341[[#This Row],[Pos.]]="WR2",AVERAGE(L370,M370,N370),Table117821341[[#This Row],[Pos.]]="WR3",AVERAGE(L370,M370,N370),Table117821341[[#This Row],[Pos.]]="WR4",AVERAGE(L370,M370,N370),Table117821341[[#This Row],[Pos.]]="TE1",AVERAGE(L370,M370,N370),Table117821341[[#This Row],[Pos.]]="TE2",AVERAGE(L370,M370,N370),Table117821341[[#This Row],[Pos.]]="D/ST",AVERAGE(Table117821341[[#This Row],[*TD*]]))</f>
        <v>#N/A</v>
      </c>
      <c r="X370" s="94" t="e">
        <f t="shared" si="6"/>
        <v>#N/A</v>
      </c>
    </row>
    <row r="371" spans="2:24" hidden="1" x14ac:dyDescent="0.35">
      <c r="B371" s="6" t="s">
        <v>303</v>
      </c>
      <c r="C371" s="97" t="s">
        <v>46</v>
      </c>
      <c r="D371" s="97" t="s">
        <v>405</v>
      </c>
      <c r="E371" s="23" t="str" cm="1">
        <f t="array" ref="E371">_xlfn.XLOOKUP(Table117821341[[#This Row],[Team]],Table4334[Team],'2425'!$C$3:$C$34)</f>
        <v>SB LX</v>
      </c>
      <c r="F371" s="97" t="str">
        <f>_xlfn.XLOOKUP(Table117821341[[#This Row],[Team]],Table4334[Team],Table4334[OPP])</f>
        <v>SEA</v>
      </c>
      <c r="G371" s="148" t="str" cm="1">
        <f t="array" ref="G371">IF(Table117821341[[#This Row],[Pos.]]="QB1",_xlfn.XLOOKUP(Table117821341[[#This Row],[Opp]],Table123[DEF],'2425'!$G$3:$G$34),"#N/A")</f>
        <v>#N/A</v>
      </c>
      <c r="H371" s="148" t="str" cm="1">
        <f t="array" ref="H371">IF(Table117821341[[#This Row],[Pos.]]="QB1",_xlfn.XLOOKUP(Table117821341[[#This Row],[Opp]],Table123[DEF],'2425'!$J$3:$J$34),"#N/A")</f>
        <v>#N/A</v>
      </c>
      <c r="I371" s="148" t="str" cm="1">
        <f t="array" ref="I371">IF(Table117821341[[#This Row],[Pos.]]="QB1",_xlfn.XLOOKUP(Table117821341[[#This Row],[Opp]],Table123[DEF],'2425'!$K$3:$K$34),"#N/A")</f>
        <v>#N/A</v>
      </c>
      <c r="J371" s="148" t="e" cm="1">
        <f t="array" ref="J37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1" s="148" t="e" cm="1">
        <f t="array" ref="K37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1" s="148" t="e" cm="1">
        <f t="array" ref="L37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1" s="148" t="e" cm="1">
        <f t="array" ref="M37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1" s="148" t="e" cm="1">
        <f t="array" ref="N37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1" s="149" t="str">
        <f>IF(Table117821341[[#This Row],[Pos.]]="QB1",_xlfn.XLOOKUP(Table117821341[[#This Row],[Opp]],Table123[DEF],Table123[P]),"#N/A")</f>
        <v>#N/A</v>
      </c>
      <c r="P371" s="149" t="str">
        <f>IF(Table117821341[[#This Row],[Pos.]]="QB1",_xlfn.XLOOKUP(Table117821341[[#This Row],[Opp]],Table123[DEF],Table123[P+R]),"#N/A")</f>
        <v>#N/A</v>
      </c>
      <c r="Q371" s="150" t="str">
        <f>IF(Table117821341[[#This Row],[Pos.]]="QB1",_xlfn.XLOOKUP(Table117821341[[#This Row],[Opp]],Table123[DEF],Table123[P TD]),"#N/A")</f>
        <v>#N/A</v>
      </c>
      <c r="R371" s="149" t="e" cm="1">
        <f t="array" ref="R37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1" s="150" t="e" cm="1">
        <f t="array" ref="S37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1" s="150" t="e" cm="1">
        <f t="array" ref="T37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1" s="150" t="e" cm="1">
        <f t="array" ref="U37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1" s="150" t="e" cm="1">
        <f t="array" ref="V37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1" s="148" t="e" cm="1">
        <f t="array" ref="W371">_xlfn.IFS(Table117821341[[#This Row],[Pos.]]="QB1",AVERAGE(G371,H371,I371,J371,N371),Table117821341[[#This Row],[Pos.]]="RB1",AVERAGE(J371,K371,N371),Table117821341[[#This Row],[Pos.]]="RB2",AVERAGE(J371,K371,N371),Table117821341[[#This Row],[Pos.]]="WR1",AVERAGE(L371,M371,N371),Table117821341[[#This Row],[Pos.]]="WR2",AVERAGE(L371,M371,N371),Table117821341[[#This Row],[Pos.]]="WR3",AVERAGE(L371,M371,N371),Table117821341[[#This Row],[Pos.]]="WR4",AVERAGE(L371,M371,N371),Table117821341[[#This Row],[Pos.]]="TE1",AVERAGE(L371,M371,N371),Table117821341[[#This Row],[Pos.]]="TE2",AVERAGE(L371,M371,N371),Table117821341[[#This Row],[Pos.]]="D/ST",AVERAGE(Table117821341[[#This Row],[*TD*]]))</f>
        <v>#N/A</v>
      </c>
      <c r="X371" s="94" t="e">
        <f t="shared" si="6"/>
        <v>#N/A</v>
      </c>
    </row>
    <row r="372" spans="2:24" hidden="1" x14ac:dyDescent="0.35">
      <c r="B372" s="6" t="s">
        <v>448</v>
      </c>
      <c r="C372" s="97" t="s">
        <v>46</v>
      </c>
      <c r="D372" s="97" t="s">
        <v>425</v>
      </c>
      <c r="E372" s="23" t="str" cm="1">
        <f t="array" ref="E372">_xlfn.XLOOKUP(Table117821341[[#This Row],[Team]],Table4334[Team],'2425'!$C$3:$C$34)</f>
        <v>SB LX</v>
      </c>
      <c r="F372" s="97" t="str">
        <f>_xlfn.XLOOKUP(Table117821341[[#This Row],[Team]],Table4334[Team],Table4334[OPP])</f>
        <v>SEA</v>
      </c>
      <c r="G372" s="148" t="str" cm="1">
        <f t="array" ref="G372">IF(Table117821341[[#This Row],[Pos.]]="QB1",_xlfn.XLOOKUP(Table117821341[[#This Row],[Opp]],Table123[DEF],'2425'!$G$3:$G$34),"#N/A")</f>
        <v>#N/A</v>
      </c>
      <c r="H372" s="148" t="str" cm="1">
        <f t="array" ref="H372">IF(Table117821341[[#This Row],[Pos.]]="QB1",_xlfn.XLOOKUP(Table117821341[[#This Row],[Opp]],Table123[DEF],'2425'!$J$3:$J$34),"#N/A")</f>
        <v>#N/A</v>
      </c>
      <c r="I372" s="148" t="str" cm="1">
        <f t="array" ref="I372">IF(Table117821341[[#This Row],[Pos.]]="QB1",_xlfn.XLOOKUP(Table117821341[[#This Row],[Opp]],Table123[DEF],'2425'!$K$3:$K$34),"#N/A")</f>
        <v>#N/A</v>
      </c>
      <c r="J372" s="148" t="e" cm="1">
        <f t="array" ref="J37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2" s="148" t="e" cm="1">
        <f t="array" ref="K37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2" s="148" t="e" cm="1">
        <f t="array" ref="L37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2" s="148" t="e" cm="1">
        <f t="array" ref="M37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2" s="148" t="e" cm="1">
        <f t="array" ref="N37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2" s="149" t="str">
        <f>IF(Table117821341[[#This Row],[Pos.]]="QB1",_xlfn.XLOOKUP(Table117821341[[#This Row],[Opp]],Table123[DEF],Table123[P]),"#N/A")</f>
        <v>#N/A</v>
      </c>
      <c r="P372" s="149" t="str">
        <f>IF(Table117821341[[#This Row],[Pos.]]="QB1",_xlfn.XLOOKUP(Table117821341[[#This Row],[Opp]],Table123[DEF],Table123[P+R]),"#N/A")</f>
        <v>#N/A</v>
      </c>
      <c r="Q372" s="150" t="str">
        <f>IF(Table117821341[[#This Row],[Pos.]]="QB1",_xlfn.XLOOKUP(Table117821341[[#This Row],[Opp]],Table123[DEF],Table123[P TD]),"#N/A")</f>
        <v>#N/A</v>
      </c>
      <c r="R372" s="149" t="e" cm="1">
        <f t="array" ref="R37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2" s="150" t="e" cm="1">
        <f t="array" ref="S37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2" s="150" t="e" cm="1">
        <f t="array" ref="T37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2" s="150" t="e" cm="1">
        <f t="array" ref="U37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2" s="150" t="e" cm="1">
        <f t="array" ref="V37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2" s="148" t="e" cm="1">
        <f t="array" ref="W372">_xlfn.IFS(Table117821341[[#This Row],[Pos.]]="QB1",AVERAGE(G372,H372,I372,J372,N372),Table117821341[[#This Row],[Pos.]]="RB1",AVERAGE(J372,K372,N372),Table117821341[[#This Row],[Pos.]]="RB2",AVERAGE(J372,K372,N372),Table117821341[[#This Row],[Pos.]]="WR1",AVERAGE(L372,M372,N372),Table117821341[[#This Row],[Pos.]]="WR2",AVERAGE(L372,M372,N372),Table117821341[[#This Row],[Pos.]]="WR3",AVERAGE(L372,M372,N372),Table117821341[[#This Row],[Pos.]]="WR4",AVERAGE(L372,M372,N372),Table117821341[[#This Row],[Pos.]]="TE1",AVERAGE(L372,M372,N372),Table117821341[[#This Row],[Pos.]]="TE2",AVERAGE(L372,M372,N372),Table117821341[[#This Row],[Pos.]]="D/ST",AVERAGE(Table117821341[[#This Row],[*TD*]]))</f>
        <v>#N/A</v>
      </c>
      <c r="X372" s="94" t="e">
        <f t="shared" si="6"/>
        <v>#N/A</v>
      </c>
    </row>
    <row r="373" spans="2:24" hidden="1" x14ac:dyDescent="0.35">
      <c r="B373" s="6" t="s">
        <v>122</v>
      </c>
      <c r="C373" s="97" t="s">
        <v>29</v>
      </c>
      <c r="D373" s="97" t="s">
        <v>395</v>
      </c>
      <c r="E373" s="23" t="str" cm="1">
        <f t="array" ref="E373">_xlfn.XLOOKUP(Table117821341[[#This Row],[Team]],Table4334[Team],'2425'!$C$3:$C$34)</f>
        <v>n/a</v>
      </c>
      <c r="F373" s="97" t="str">
        <f>_xlfn.XLOOKUP(Table117821341[[#This Row],[Team]],Table4334[Team],Table4334[OPP])</f>
        <v>n/a</v>
      </c>
      <c r="G373" s="148" t="str" cm="1">
        <f t="array" ref="G373">IF(Table117821341[[#This Row],[Pos.]]="QB1",_xlfn.XLOOKUP(Table117821341[[#This Row],[Opp]],Table123[DEF],'2425'!$G$3:$G$34),"#N/A")</f>
        <v>#N/A</v>
      </c>
      <c r="H373" s="148" t="str" cm="1">
        <f t="array" ref="H373">IF(Table117821341[[#This Row],[Pos.]]="QB1",_xlfn.XLOOKUP(Table117821341[[#This Row],[Opp]],Table123[DEF],'2425'!$J$3:$J$34),"#N/A")</f>
        <v>#N/A</v>
      </c>
      <c r="I373" s="148" t="str" cm="1">
        <f t="array" ref="I373">IF(Table117821341[[#This Row],[Pos.]]="QB1",_xlfn.XLOOKUP(Table117821341[[#This Row],[Opp]],Table123[DEF],'2425'!$K$3:$K$34),"#N/A")</f>
        <v>#N/A</v>
      </c>
      <c r="J373" s="148" t="e" cm="1">
        <f t="array" ref="J37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3" s="148" t="e" cm="1">
        <f t="array" ref="K37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3" s="148" t="e" cm="1">
        <f t="array" ref="L37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3" s="148" t="e" cm="1">
        <f t="array" ref="M37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3" s="148" t="e" cm="1">
        <f t="array" ref="N37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3" s="149" t="str">
        <f>IF(Table117821341[[#This Row],[Pos.]]="QB1",_xlfn.XLOOKUP(Table117821341[[#This Row],[Opp]],Table123[DEF],Table123[P]),"#N/A")</f>
        <v>#N/A</v>
      </c>
      <c r="P373" s="149" t="str">
        <f>IF(Table117821341[[#This Row],[Pos.]]="QB1",_xlfn.XLOOKUP(Table117821341[[#This Row],[Opp]],Table123[DEF],Table123[P+R]),"#N/A")</f>
        <v>#N/A</v>
      </c>
      <c r="Q373" s="150" t="str">
        <f>IF(Table117821341[[#This Row],[Pos.]]="QB1",_xlfn.XLOOKUP(Table117821341[[#This Row],[Opp]],Table123[DEF],Table123[P TD]),"#N/A")</f>
        <v>#N/A</v>
      </c>
      <c r="R373" s="149" t="e" cm="1">
        <f t="array" ref="R37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3" s="150" t="e" cm="1">
        <f t="array" ref="S37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3" s="150" t="e" cm="1">
        <f t="array" ref="T37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3" s="150" t="e" cm="1">
        <f t="array" ref="U37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3" s="162" t="e" cm="1">
        <f t="array" ref="V37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3" s="148" t="e" cm="1">
        <f t="array" ref="W373">_xlfn.IFS(Table117821341[[#This Row],[Pos.]]="QB1",AVERAGE(G373,H373,I373,J373,N373),Table117821341[[#This Row],[Pos.]]="RB1",AVERAGE(J373,K373,N373),Table117821341[[#This Row],[Pos.]]="RB2",AVERAGE(J373,K373,N373),Table117821341[[#This Row],[Pos.]]="WR1",AVERAGE(L373,M373,N373),Table117821341[[#This Row],[Pos.]]="WR2",AVERAGE(L373,M373,N373),Table117821341[[#This Row],[Pos.]]="WR3",AVERAGE(L373,M373,N373),Table117821341[[#This Row],[Pos.]]="WR4",AVERAGE(L373,M373,N373),Table117821341[[#This Row],[Pos.]]="TE1",AVERAGE(L373,M373,N373),Table117821341[[#This Row],[Pos.]]="TE2",AVERAGE(L373,M373,N373),Table117821341[[#This Row],[Pos.]]="D/ST",AVERAGE(Table117821341[[#This Row],[*TD*]]))</f>
        <v>#N/A</v>
      </c>
      <c r="X373" s="94" t="e">
        <f t="shared" si="6"/>
        <v>#N/A</v>
      </c>
    </row>
    <row r="374" spans="2:24" hidden="1" x14ac:dyDescent="0.35">
      <c r="B374" s="6" t="s">
        <v>304</v>
      </c>
      <c r="C374" s="97" t="s">
        <v>46</v>
      </c>
      <c r="D374" s="97" t="s">
        <v>394</v>
      </c>
      <c r="E374" s="23" t="str" cm="1">
        <f t="array" ref="E374">_xlfn.XLOOKUP(Table117821341[[#This Row],[Team]],Table4334[Team],'2425'!$C$3:$C$34)</f>
        <v>SB LX</v>
      </c>
      <c r="F374" s="97" t="str">
        <f>_xlfn.XLOOKUP(Table117821341[[#This Row],[Team]],Table4334[Team],Table4334[OPP])</f>
        <v>SEA</v>
      </c>
      <c r="G374" s="148" t="str" cm="1">
        <f t="array" ref="G374">IF(Table117821341[[#This Row],[Pos.]]="QB1",_xlfn.XLOOKUP(Table117821341[[#This Row],[Opp]],Table123[DEF],'2425'!$G$3:$G$34),"#N/A")</f>
        <v>#N/A</v>
      </c>
      <c r="H374" s="148" t="str" cm="1">
        <f t="array" ref="H374">IF(Table117821341[[#This Row],[Pos.]]="QB1",_xlfn.XLOOKUP(Table117821341[[#This Row],[Opp]],Table123[DEF],'2425'!$J$3:$J$34),"#N/A")</f>
        <v>#N/A</v>
      </c>
      <c r="I374" s="148" t="str" cm="1">
        <f t="array" ref="I374">IF(Table117821341[[#This Row],[Pos.]]="QB1",_xlfn.XLOOKUP(Table117821341[[#This Row],[Opp]],Table123[DEF],'2425'!$K$3:$K$34),"#N/A")</f>
        <v>#N/A</v>
      </c>
      <c r="J374" s="148" cm="1">
        <f t="array" ref="J37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25</v>
      </c>
      <c r="K374" s="148" cm="1">
        <f t="array" ref="K374">_xlfn.IFS(Table117821341[[#This Row],[Pos.]]="RB1",_xlfn.XLOOKUP(Table117821341[[#This Row],[Opp]],Table2040[DEF],'2425'!$K$38:$K$69),Table117821341[[#This Row],[Pos.]]="RB2",_xlfn.XLOOKUP(Table117821341[[#This Row],[Opp]],Table2040[DEF],'2425'!$K$38:$K$69))</f>
        <v>19</v>
      </c>
      <c r="L374" s="148" cm="1">
        <f t="array" ref="L37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1.5</v>
      </c>
      <c r="M374" s="148" cm="1">
        <f t="array" ref="M37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5</v>
      </c>
      <c r="N374" s="148" cm="1">
        <f t="array" ref="N37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32</v>
      </c>
      <c r="O374" s="149" t="str">
        <f>IF(Table117821341[[#This Row],[Pos.]]="QB1",_xlfn.XLOOKUP(Table117821341[[#This Row],[Opp]],Table123[DEF],Table123[P]),"#N/A")</f>
        <v>#N/A</v>
      </c>
      <c r="P374" s="149" t="str">
        <f>IF(Table117821341[[#This Row],[Pos.]]="QB1",_xlfn.XLOOKUP(Table117821341[[#This Row],[Opp]],Table123[DEF],Table123[P+R]),"#N/A")</f>
        <v>#N/A</v>
      </c>
      <c r="Q374" s="150" t="str">
        <f>IF(Table117821341[[#This Row],[Pos.]]="QB1",_xlfn.XLOOKUP(Table117821341[[#This Row],[Opp]],Table123[DEF],Table123[P TD]),"#N/A")</f>
        <v>#N/A</v>
      </c>
      <c r="R374" s="149" cm="1">
        <f t="array" ref="R37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87.058823529411768</v>
      </c>
      <c r="S374" s="150" cm="1">
        <f t="array" ref="S374">_xlfn.IFS(Table117821341[[#This Row],[Pos.]]="RB1",_xlfn.XLOOKUP(Table117821341[[#This Row],[Opp]],Table2040[DEF],Table2040[R+R]),Table117821341[[#This Row],[Pos.]]="RB2",_xlfn.XLOOKUP(Table117821341[[#This Row],[Opp]],Table2040[DEF],Table2040[R+R]))</f>
        <v>124.23529411764706</v>
      </c>
      <c r="T374" s="150" cm="1">
        <f t="array" ref="T37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5.1470588235294112</v>
      </c>
      <c r="U374" s="150" cm="1">
        <f t="array" ref="U37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37.17647058823529</v>
      </c>
      <c r="V374" s="150" cm="1">
        <f t="array" ref="V37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0.52941176470588236</v>
      </c>
      <c r="W374" s="148" cm="1">
        <f t="array" ref="W374">_xlfn.IFS(Table117821341[[#This Row],[Pos.]]="QB1",AVERAGE(G374,H374,I374,J374,N374),Table117821341[[#This Row],[Pos.]]="RB1",AVERAGE(J374,K374,N374),Table117821341[[#This Row],[Pos.]]="RB2",AVERAGE(J374,K374,N374),Table117821341[[#This Row],[Pos.]]="WR1",AVERAGE(L374,M374,N374),Table117821341[[#This Row],[Pos.]]="WR2",AVERAGE(L374,M374,N374),Table117821341[[#This Row],[Pos.]]="WR3",AVERAGE(L374,M374,N374),Table117821341[[#This Row],[Pos.]]="WR4",AVERAGE(L374,M374,N374),Table117821341[[#This Row],[Pos.]]="TE1",AVERAGE(L374,M374,N374),Table117821341[[#This Row],[Pos.]]="TE2",AVERAGE(L374,M374,N374),Table117821341[[#This Row],[Pos.]]="D/ST",AVERAGE(Table117821341[[#This Row],[*TD*]]))</f>
        <v>25.333333333333332</v>
      </c>
      <c r="X374" s="94">
        <f t="shared" si="6"/>
        <v>28.666666666666664</v>
      </c>
    </row>
    <row r="375" spans="2:24" hidden="1" x14ac:dyDescent="0.35">
      <c r="B375" s="6" t="s">
        <v>306</v>
      </c>
      <c r="C375" s="97" t="s">
        <v>46</v>
      </c>
      <c r="D375" s="97" t="s">
        <v>396</v>
      </c>
      <c r="E375" s="23" t="str" cm="1">
        <f t="array" ref="E375">_xlfn.XLOOKUP(Table117821341[[#This Row],[Team]],Table4334[Team],'2425'!$C$3:$C$34)</f>
        <v>SB LX</v>
      </c>
      <c r="F375" s="97" t="str">
        <f>_xlfn.XLOOKUP(Table117821341[[#This Row],[Team]],Table4334[Team],Table4334[OPP])</f>
        <v>SEA</v>
      </c>
      <c r="G375" s="148" t="str" cm="1">
        <f t="array" ref="G375">IF(Table117821341[[#This Row],[Pos.]]="QB1",_xlfn.XLOOKUP(Table117821341[[#This Row],[Opp]],Table123[DEF],'2425'!$G$3:$G$34),"#N/A")</f>
        <v>#N/A</v>
      </c>
      <c r="H375" s="148" t="str" cm="1">
        <f t="array" ref="H375">IF(Table117821341[[#This Row],[Pos.]]="QB1",_xlfn.XLOOKUP(Table117821341[[#This Row],[Opp]],Table123[DEF],'2425'!$J$3:$J$34),"#N/A")</f>
        <v>#N/A</v>
      </c>
      <c r="I375" s="148" t="str" cm="1">
        <f t="array" ref="I375">IF(Table117821341[[#This Row],[Pos.]]="QB1",_xlfn.XLOOKUP(Table117821341[[#This Row],[Opp]],Table123[DEF],'2425'!$K$3:$K$34),"#N/A")</f>
        <v>#N/A</v>
      </c>
      <c r="J375" s="148" t="e" cm="1">
        <f t="array" ref="J37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5" s="148" t="e" cm="1">
        <f t="array" ref="K37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5" s="148" t="e" cm="1">
        <f t="array" ref="L37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5" s="148" t="e" cm="1">
        <f t="array" ref="M37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5" s="148" t="e" cm="1">
        <f t="array" ref="N37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5" s="149" t="str">
        <f>IF(Table117821341[[#This Row],[Pos.]]="QB1",_xlfn.XLOOKUP(Table117821341[[#This Row],[Opp]],Table123[DEF],Table123[P]),"#N/A")</f>
        <v>#N/A</v>
      </c>
      <c r="P375" s="149" t="str">
        <f>IF(Table117821341[[#This Row],[Pos.]]="QB1",_xlfn.XLOOKUP(Table117821341[[#This Row],[Opp]],Table123[DEF],Table123[P+R]),"#N/A")</f>
        <v>#N/A</v>
      </c>
      <c r="Q375" s="150" t="str">
        <f>IF(Table117821341[[#This Row],[Pos.]]="QB1",_xlfn.XLOOKUP(Table117821341[[#This Row],[Opp]],Table123[DEF],Table123[P TD]),"#N/A")</f>
        <v>#N/A</v>
      </c>
      <c r="R375" s="149" t="e" cm="1">
        <f t="array" ref="R37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5" s="150" t="e" cm="1">
        <f t="array" ref="S37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5" s="150" t="e" cm="1">
        <f t="array" ref="T37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5" s="150" t="e" cm="1">
        <f t="array" ref="U37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5" s="150" t="e" cm="1">
        <f t="array" ref="V37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5" s="148" t="e" cm="1">
        <f t="array" ref="W375">_xlfn.IFS(Table117821341[[#This Row],[Pos.]]="QB1",AVERAGE(G375,H375,I375,J375,N375),Table117821341[[#This Row],[Pos.]]="RB1",AVERAGE(J375,K375,N375),Table117821341[[#This Row],[Pos.]]="RB2",AVERAGE(J375,K375,N375),Table117821341[[#This Row],[Pos.]]="WR1",AVERAGE(L375,M375,N375),Table117821341[[#This Row],[Pos.]]="WR2",AVERAGE(L375,M375,N375),Table117821341[[#This Row],[Pos.]]="WR3",AVERAGE(L375,M375,N375),Table117821341[[#This Row],[Pos.]]="WR4",AVERAGE(L375,M375,N375),Table117821341[[#This Row],[Pos.]]="TE1",AVERAGE(L375,M375,N375),Table117821341[[#This Row],[Pos.]]="TE2",AVERAGE(L375,M375,N375),Table117821341[[#This Row],[Pos.]]="D/ST",AVERAGE(Table117821341[[#This Row],[*TD*]]))</f>
        <v>#N/A</v>
      </c>
      <c r="X375" s="94" t="e">
        <f t="shared" si="6"/>
        <v>#N/A</v>
      </c>
    </row>
    <row r="376" spans="2:24" hidden="1" x14ac:dyDescent="0.35">
      <c r="B376" s="6" t="s">
        <v>449</v>
      </c>
      <c r="C376" s="97" t="s">
        <v>46</v>
      </c>
      <c r="D376" s="97" t="s">
        <v>407</v>
      </c>
      <c r="E376" s="23" t="str" cm="1">
        <f t="array" ref="E376">_xlfn.XLOOKUP(Table117821341[[#This Row],[Team]],Table4334[Team],'2425'!$C$3:$C$34)</f>
        <v>SB LX</v>
      </c>
      <c r="F376" s="97" t="str">
        <f>_xlfn.XLOOKUP(Table117821341[[#This Row],[Team]],Table4334[Team],Table4334[OPP])</f>
        <v>SEA</v>
      </c>
      <c r="G376" s="148" t="str" cm="1">
        <f t="array" ref="G376">IF(Table117821341[[#This Row],[Pos.]]="QB1",_xlfn.XLOOKUP(Table117821341[[#This Row],[Opp]],Table123[DEF],'2425'!$G$3:$G$34),"#N/A")</f>
        <v>#N/A</v>
      </c>
      <c r="H376" s="148" t="str" cm="1">
        <f t="array" ref="H376">IF(Table117821341[[#This Row],[Pos.]]="QB1",_xlfn.XLOOKUP(Table117821341[[#This Row],[Opp]],Table123[DEF],'2425'!$J$3:$J$34),"#N/A")</f>
        <v>#N/A</v>
      </c>
      <c r="I376" s="148" t="str" cm="1">
        <f t="array" ref="I376">IF(Table117821341[[#This Row],[Pos.]]="QB1",_xlfn.XLOOKUP(Table117821341[[#This Row],[Opp]],Table123[DEF],'2425'!$K$3:$K$34),"#N/A")</f>
        <v>#N/A</v>
      </c>
      <c r="J376" s="148" t="e" cm="1">
        <f t="array" ref="J37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6" s="148" t="e" cm="1">
        <f t="array" ref="K37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6" s="148" t="e" cm="1">
        <f t="array" ref="L37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6" s="148" t="e" cm="1">
        <f t="array" ref="M37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6" s="148" t="e" cm="1">
        <f t="array" ref="N37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6" s="149" t="str">
        <f>IF(Table117821341[[#This Row],[Pos.]]="QB1",_xlfn.XLOOKUP(Table117821341[[#This Row],[Opp]],Table123[DEF],Table123[P]),"#N/A")</f>
        <v>#N/A</v>
      </c>
      <c r="P376" s="149" t="str">
        <f>IF(Table117821341[[#This Row],[Pos.]]="QB1",_xlfn.XLOOKUP(Table117821341[[#This Row],[Opp]],Table123[DEF],Table123[P+R]),"#N/A")</f>
        <v>#N/A</v>
      </c>
      <c r="Q376" s="150" t="str">
        <f>IF(Table117821341[[#This Row],[Pos.]]="QB1",_xlfn.XLOOKUP(Table117821341[[#This Row],[Opp]],Table123[DEF],Table123[P TD]),"#N/A")</f>
        <v>#N/A</v>
      </c>
      <c r="R376" s="149" t="e" cm="1">
        <f t="array" ref="R37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6" s="150" t="e" cm="1">
        <f t="array" ref="S37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6" s="150" t="e" cm="1">
        <f t="array" ref="T37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6" s="150" t="e" cm="1">
        <f t="array" ref="U37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6" s="150" t="e" cm="1">
        <f t="array" ref="V37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6" s="148" t="e" cm="1">
        <f t="array" ref="W376">_xlfn.IFS(Table117821341[[#This Row],[Pos.]]="QB1",AVERAGE(G376,H376,I376,J376,N376),Table117821341[[#This Row],[Pos.]]="RB1",AVERAGE(J376,K376,N376),Table117821341[[#This Row],[Pos.]]="RB2",AVERAGE(J376,K376,N376),Table117821341[[#This Row],[Pos.]]="WR1",AVERAGE(L376,M376,N376),Table117821341[[#This Row],[Pos.]]="WR2",AVERAGE(L376,M376,N376),Table117821341[[#This Row],[Pos.]]="WR3",AVERAGE(L376,M376,N376),Table117821341[[#This Row],[Pos.]]="WR4",AVERAGE(L376,M376,N376),Table117821341[[#This Row],[Pos.]]="TE1",AVERAGE(L376,M376,N376),Table117821341[[#This Row],[Pos.]]="TE2",AVERAGE(L376,M376,N376),Table117821341[[#This Row],[Pos.]]="D/ST",AVERAGE(Table117821341[[#This Row],[*TD*]]))</f>
        <v>#N/A</v>
      </c>
      <c r="X376" s="94" t="e">
        <f t="shared" si="6"/>
        <v>#N/A</v>
      </c>
    </row>
    <row r="377" spans="2:24" hidden="1" x14ac:dyDescent="0.35">
      <c r="B377" s="6" t="s">
        <v>141</v>
      </c>
      <c r="C377" s="97" t="s">
        <v>29</v>
      </c>
      <c r="D377" s="97" t="s">
        <v>66</v>
      </c>
      <c r="E377" s="23" t="str" cm="1">
        <f t="array" ref="E377">_xlfn.XLOOKUP(Table117821341[[#This Row],[Team]],Table4334[Team],'2425'!$C$3:$C$34)</f>
        <v>n/a</v>
      </c>
      <c r="F377" s="97" t="str">
        <f>_xlfn.XLOOKUP(Table117821341[[#This Row],[Team]],Table4334[Team],Table4334[OPP])</f>
        <v>n/a</v>
      </c>
      <c r="G377" s="148" t="str" cm="1">
        <f t="array" ref="G377">IF(Table117821341[[#This Row],[Pos.]]="QB1",_xlfn.XLOOKUP(Table117821341[[#This Row],[Opp]],Table123[DEF],'2425'!$G$3:$G$34),"#N/A")</f>
        <v>#N/A</v>
      </c>
      <c r="H377" s="148" t="str" cm="1">
        <f t="array" ref="H377">IF(Table117821341[[#This Row],[Pos.]]="QB1",_xlfn.XLOOKUP(Table117821341[[#This Row],[Opp]],Table123[DEF],'2425'!$J$3:$J$34),"#N/A")</f>
        <v>#N/A</v>
      </c>
      <c r="I377" s="148" t="str" cm="1">
        <f t="array" ref="I377">IF(Table117821341[[#This Row],[Pos.]]="QB1",_xlfn.XLOOKUP(Table117821341[[#This Row],[Opp]],Table123[DEF],'2425'!$K$3:$K$34),"#N/A")</f>
        <v>#N/A</v>
      </c>
      <c r="J377" s="148" t="e" cm="1">
        <f t="array" ref="J37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7" s="148" t="e" cm="1">
        <f t="array" ref="K37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7" s="148" t="e" cm="1">
        <f t="array" ref="L37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7" s="148" t="e" cm="1">
        <f t="array" ref="M37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7" s="148" t="e" cm="1">
        <f t="array" ref="N37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7" s="149" t="str">
        <f>IF(Table117821341[[#This Row],[Pos.]]="QB1",_xlfn.XLOOKUP(Table117821341[[#This Row],[Opp]],Table123[DEF],Table123[P]),"#N/A")</f>
        <v>#N/A</v>
      </c>
      <c r="P377" s="149" t="str">
        <f>IF(Table117821341[[#This Row],[Pos.]]="QB1",_xlfn.XLOOKUP(Table117821341[[#This Row],[Opp]],Table123[DEF],Table123[P+R]),"#N/A")</f>
        <v>#N/A</v>
      </c>
      <c r="Q377" s="150" t="str">
        <f>IF(Table117821341[[#This Row],[Pos.]]="QB1",_xlfn.XLOOKUP(Table117821341[[#This Row],[Opp]],Table123[DEF],Table123[P TD]),"#N/A")</f>
        <v>#N/A</v>
      </c>
      <c r="R377" s="149" t="e" cm="1">
        <f t="array" ref="R37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7" s="150" t="e" cm="1">
        <f t="array" ref="S37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7" s="150" t="e" cm="1">
        <f t="array" ref="T37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7" s="150" t="e" cm="1">
        <f t="array" ref="U37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7" s="162" t="e" cm="1">
        <f t="array" ref="V37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7" s="148" t="e" cm="1">
        <f t="array" ref="W377">_xlfn.IFS(Table117821341[[#This Row],[Pos.]]="QB1",AVERAGE(G377,H377,I377,J377,N377),Table117821341[[#This Row],[Pos.]]="RB1",AVERAGE(J377,K377,N377),Table117821341[[#This Row],[Pos.]]="RB2",AVERAGE(J377,K377,N377),Table117821341[[#This Row],[Pos.]]="WR1",AVERAGE(L377,M377,N377),Table117821341[[#This Row],[Pos.]]="WR2",AVERAGE(L377,M377,N377),Table117821341[[#This Row],[Pos.]]="WR3",AVERAGE(L377,M377,N377),Table117821341[[#This Row],[Pos.]]="WR4",AVERAGE(L377,M377,N377),Table117821341[[#This Row],[Pos.]]="TE1",AVERAGE(L377,M377,N377),Table117821341[[#This Row],[Pos.]]="TE2",AVERAGE(L377,M377,N377),Table117821341[[#This Row],[Pos.]]="D/ST",AVERAGE(Table117821341[[#This Row],[*TD*]]))</f>
        <v>#N/A</v>
      </c>
      <c r="X377" s="94" t="e">
        <f t="shared" si="6"/>
        <v>#N/A</v>
      </c>
    </row>
    <row r="378" spans="2:24" hidden="1" x14ac:dyDescent="0.35">
      <c r="B378" s="6" t="s">
        <v>308</v>
      </c>
      <c r="C378" s="97" t="s">
        <v>46</v>
      </c>
      <c r="D378" s="97" t="s">
        <v>398</v>
      </c>
      <c r="E378" s="23" t="str" cm="1">
        <f t="array" ref="E378">_xlfn.XLOOKUP(Table117821341[[#This Row],[Team]],Table4334[Team],'2425'!$C$3:$C$34)</f>
        <v>SB LX</v>
      </c>
      <c r="F378" s="97" t="str">
        <f>_xlfn.XLOOKUP(Table117821341[[#This Row],[Team]],Table4334[Team],Table4334[OPP])</f>
        <v>SEA</v>
      </c>
      <c r="G378" s="148" t="str" cm="1">
        <f t="array" ref="G378">IF(Table117821341[[#This Row],[Pos.]]="QB1",_xlfn.XLOOKUP(Table117821341[[#This Row],[Opp]],Table123[DEF],'2425'!$G$3:$G$34),"#N/A")</f>
        <v>#N/A</v>
      </c>
      <c r="H378" s="148" t="str" cm="1">
        <f t="array" ref="H378">IF(Table117821341[[#This Row],[Pos.]]="QB1",_xlfn.XLOOKUP(Table117821341[[#This Row],[Opp]],Table123[DEF],'2425'!$J$3:$J$34),"#N/A")</f>
        <v>#N/A</v>
      </c>
      <c r="I378" s="148" t="str" cm="1">
        <f t="array" ref="I378">IF(Table117821341[[#This Row],[Pos.]]="QB1",_xlfn.XLOOKUP(Table117821341[[#This Row],[Opp]],Table123[DEF],'2425'!$K$3:$K$34),"#N/A")</f>
        <v>#N/A</v>
      </c>
      <c r="J378" s="148" t="e" cm="1">
        <f t="array" ref="J37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8" s="148" t="e" cm="1">
        <f t="array" ref="K37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8" s="148" cm="1">
        <f t="array" ref="L37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9</v>
      </c>
      <c r="M378" s="148" cm="1">
        <f t="array" ref="M37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7</v>
      </c>
      <c r="N378" s="148" cm="1">
        <f t="array" ref="N37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25</v>
      </c>
      <c r="O378" s="149" t="str">
        <f>IF(Table117821341[[#This Row],[Pos.]]="QB1",_xlfn.XLOOKUP(Table117821341[[#This Row],[Opp]],Table123[DEF],Table123[P]),"#N/A")</f>
        <v>#N/A</v>
      </c>
      <c r="P378" s="149" t="str">
        <f>IF(Table117821341[[#This Row],[Pos.]]="QB1",_xlfn.XLOOKUP(Table117821341[[#This Row],[Opp]],Table123[DEF],Table123[P+R]),"#N/A")</f>
        <v>#N/A</v>
      </c>
      <c r="Q378" s="150" t="str">
        <f>IF(Table117821341[[#This Row],[Pos.]]="QB1",_xlfn.XLOOKUP(Table117821341[[#This Row],[Opp]],Table123[DEF],Table123[P TD]),"#N/A")</f>
        <v>#N/A</v>
      </c>
      <c r="R378" s="149" t="e" cm="1">
        <f t="array" ref="R37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8" s="150" t="e" cm="1">
        <f t="array" ref="S37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8" s="150" cm="1">
        <f t="array" ref="T37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5.617647058823529</v>
      </c>
      <c r="U378" s="150" cm="1">
        <f t="array" ref="U37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57.941176470588232</v>
      </c>
      <c r="V378" s="150" cm="1">
        <f t="array" ref="V37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0.29411764705882348</v>
      </c>
      <c r="W378" s="148" cm="1">
        <f t="array" ref="W378">_xlfn.IFS(Table117821341[[#This Row],[Pos.]]="QB1",AVERAGE(G378,H378,I378,J378,N378),Table117821341[[#This Row],[Pos.]]="RB1",AVERAGE(J378,K378,N378),Table117821341[[#This Row],[Pos.]]="RB2",AVERAGE(J378,K378,N378),Table117821341[[#This Row],[Pos.]]="WR1",AVERAGE(L378,M378,N378),Table117821341[[#This Row],[Pos.]]="WR2",AVERAGE(L378,M378,N378),Table117821341[[#This Row],[Pos.]]="WR3",AVERAGE(L378,M378,N378),Table117821341[[#This Row],[Pos.]]="WR4",AVERAGE(L378,M378,N378),Table117821341[[#This Row],[Pos.]]="TE1",AVERAGE(L378,M378,N378),Table117821341[[#This Row],[Pos.]]="TE2",AVERAGE(L378,M378,N378),Table117821341[[#This Row],[Pos.]]="D/ST",AVERAGE(Table117821341[[#This Row],[*TD*]]))</f>
        <v>13.666666666666666</v>
      </c>
      <c r="X378" s="94">
        <f t="shared" si="6"/>
        <v>19.333333333333332</v>
      </c>
    </row>
    <row r="379" spans="2:24" hidden="1" x14ac:dyDescent="0.35">
      <c r="B379" s="179" t="s">
        <v>211</v>
      </c>
      <c r="C379" s="97" t="s">
        <v>36</v>
      </c>
      <c r="D379" s="97" t="s">
        <v>66</v>
      </c>
      <c r="E379" s="23" t="str" cm="1">
        <f t="array" ref="E379">_xlfn.XLOOKUP(Table117821341[[#This Row],[Team]],Table4334[Team],'2425'!$C$3:$C$34)</f>
        <v>n/a</v>
      </c>
      <c r="F379" s="97" t="str">
        <f>_xlfn.XLOOKUP(Table117821341[[#This Row],[Team]],Table4334[Team],Table4334[OPP])</f>
        <v>n/a</v>
      </c>
      <c r="G379" s="148" t="str" cm="1">
        <f t="array" ref="G379">IF(Table117821341[[#This Row],[Pos.]]="QB1",_xlfn.XLOOKUP(Table117821341[[#This Row],[Opp]],Table123[DEF],'2425'!$G$3:$G$34),"#N/A")</f>
        <v>#N/A</v>
      </c>
      <c r="H379" s="148" t="str" cm="1">
        <f t="array" ref="H379">IF(Table117821341[[#This Row],[Pos.]]="QB1",_xlfn.XLOOKUP(Table117821341[[#This Row],[Opp]],Table123[DEF],'2425'!$J$3:$J$34),"#N/A")</f>
        <v>#N/A</v>
      </c>
      <c r="I379" s="148" t="str" cm="1">
        <f t="array" ref="I379">IF(Table117821341[[#This Row],[Pos.]]="QB1",_xlfn.XLOOKUP(Table117821341[[#This Row],[Opp]],Table123[DEF],'2425'!$K$3:$K$34),"#N/A")</f>
        <v>#N/A</v>
      </c>
      <c r="J379" s="148" t="e" cm="1">
        <f t="array" ref="J37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79" s="148" t="e" cm="1">
        <f t="array" ref="K37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79" s="148" t="e" cm="1">
        <f t="array" ref="L37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79" s="148" t="e" cm="1">
        <f t="array" ref="M37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79" s="148" t="e" cm="1">
        <f t="array" ref="N37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79" s="149" t="str">
        <f>IF(Table117821341[[#This Row],[Pos.]]="QB1",_xlfn.XLOOKUP(Table117821341[[#This Row],[Opp]],Table123[DEF],Table123[P]),"#N/A")</f>
        <v>#N/A</v>
      </c>
      <c r="P379" s="149" t="str">
        <f>IF(Table117821341[[#This Row],[Pos.]]="QB1",_xlfn.XLOOKUP(Table117821341[[#This Row],[Opp]],Table123[DEF],Table123[P+R]),"#N/A")</f>
        <v>#N/A</v>
      </c>
      <c r="Q379" s="150" t="str">
        <f>IF(Table117821341[[#This Row],[Pos.]]="QB1",_xlfn.XLOOKUP(Table117821341[[#This Row],[Opp]],Table123[DEF],Table123[P TD]),"#N/A")</f>
        <v>#N/A</v>
      </c>
      <c r="R379" s="149" t="e" cm="1">
        <f t="array" ref="R37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79" s="150" t="e" cm="1">
        <f t="array" ref="S37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79" s="150" t="e" cm="1">
        <f t="array" ref="T37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79" s="150" t="e" cm="1">
        <f t="array" ref="U37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79" s="162" t="e" cm="1">
        <f t="array" ref="V37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79" s="148" t="e" cm="1">
        <f t="array" ref="W379">_xlfn.IFS(Table117821341[[#This Row],[Pos.]]="QB1",AVERAGE(G379,H379,I379,J379,N379),Table117821341[[#This Row],[Pos.]]="RB1",AVERAGE(J379,K379,N379),Table117821341[[#This Row],[Pos.]]="RB2",AVERAGE(J379,K379,N379),Table117821341[[#This Row],[Pos.]]="WR1",AVERAGE(L379,M379,N379),Table117821341[[#This Row],[Pos.]]="WR2",AVERAGE(L379,M379,N379),Table117821341[[#This Row],[Pos.]]="WR3",AVERAGE(L379,M379,N379),Table117821341[[#This Row],[Pos.]]="WR4",AVERAGE(L379,M379,N379),Table117821341[[#This Row],[Pos.]]="TE1",AVERAGE(L379,M379,N379),Table117821341[[#This Row],[Pos.]]="TE2",AVERAGE(L379,M379,N379),Table117821341[[#This Row],[Pos.]]="D/ST",AVERAGE(Table117821341[[#This Row],[*TD*]]))</f>
        <v>#N/A</v>
      </c>
      <c r="X379" s="94" t="e">
        <f t="shared" si="6"/>
        <v>#N/A</v>
      </c>
    </row>
    <row r="380" spans="2:24" x14ac:dyDescent="0.35">
      <c r="B380" s="6" t="s">
        <v>272</v>
      </c>
      <c r="C380" s="97" t="s">
        <v>42</v>
      </c>
      <c r="D380" s="97" t="s">
        <v>66</v>
      </c>
      <c r="E380" s="23" t="str" cm="1">
        <f t="array" ref="E380">_xlfn.XLOOKUP(Table117821341[[#This Row],[Team]],Table4334[Team],'2425'!$C$3:$C$34)</f>
        <v>n/a</v>
      </c>
      <c r="F380" s="97" t="str">
        <f>_xlfn.XLOOKUP(Table117821341[[#This Row],[Team]],Table4334[Team],Table4334[OPP])</f>
        <v>n/a</v>
      </c>
      <c r="G380" s="148" t="str" cm="1">
        <f t="array" ref="G380">IF(Table117821341[[#This Row],[Pos.]]="QB1",_xlfn.XLOOKUP(Table117821341[[#This Row],[Opp]],Table123[DEF],'2425'!$G$3:$G$34),"#N/A")</f>
        <v>#N/A</v>
      </c>
      <c r="H380" s="148" t="str" cm="1">
        <f t="array" ref="H380">IF(Table117821341[[#This Row],[Pos.]]="QB1",_xlfn.XLOOKUP(Table117821341[[#This Row],[Opp]],Table123[DEF],'2425'!$J$3:$J$34),"#N/A")</f>
        <v>#N/A</v>
      </c>
      <c r="I380" s="148" t="str" cm="1">
        <f t="array" ref="I380">IF(Table117821341[[#This Row],[Pos.]]="QB1",_xlfn.XLOOKUP(Table117821341[[#This Row],[Opp]],Table123[DEF],'2425'!$K$3:$K$34),"#N/A")</f>
        <v>#N/A</v>
      </c>
      <c r="J380" s="148" t="e" cm="1">
        <f t="array" ref="J38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0" s="148" t="e" cm="1">
        <f t="array" ref="K38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0" s="148" t="e" cm="1">
        <f t="array" ref="L38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0" s="148" t="e" cm="1">
        <f t="array" ref="M38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0" s="148" t="e" cm="1">
        <f t="array" ref="N38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0" s="149" t="str">
        <f>IF(Table117821341[[#This Row],[Pos.]]="QB1",_xlfn.XLOOKUP(Table117821341[[#This Row],[Opp]],Table123[DEF],Table123[P]),"#N/A")</f>
        <v>#N/A</v>
      </c>
      <c r="P380" s="149" t="str">
        <f>IF(Table117821341[[#This Row],[Pos.]]="QB1",_xlfn.XLOOKUP(Table117821341[[#This Row],[Opp]],Table123[DEF],Table123[P+R]),"#N/A")</f>
        <v>#N/A</v>
      </c>
      <c r="Q380" s="150" t="str">
        <f>IF(Table117821341[[#This Row],[Pos.]]="QB1",_xlfn.XLOOKUP(Table117821341[[#This Row],[Opp]],Table123[DEF],Table123[P TD]),"#N/A")</f>
        <v>#N/A</v>
      </c>
      <c r="R380" s="149" t="e" cm="1">
        <f t="array" ref="R38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0" s="150" t="e" cm="1">
        <f t="array" ref="S38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0" s="150" t="e" cm="1">
        <f t="array" ref="T38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0" s="150" t="e" cm="1">
        <f t="array" ref="U38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0" s="162" t="e" cm="1">
        <f t="array" ref="V38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0" s="148" t="e" cm="1">
        <f t="array" ref="W380">_xlfn.IFS(Table117821341[[#This Row],[Pos.]]="QB1",AVERAGE(G380,H380,I380,J380,N380),Table117821341[[#This Row],[Pos.]]="RB1",AVERAGE(J380,K380,N380),Table117821341[[#This Row],[Pos.]]="RB2",AVERAGE(J380,K380,N380),Table117821341[[#This Row],[Pos.]]="WR1",AVERAGE(L380,M380,N380),Table117821341[[#This Row],[Pos.]]="WR2",AVERAGE(L380,M380,N380),Table117821341[[#This Row],[Pos.]]="WR3",AVERAGE(L380,M380,N380),Table117821341[[#This Row],[Pos.]]="WR4",AVERAGE(L380,M380,N380),Table117821341[[#This Row],[Pos.]]="TE1",AVERAGE(L380,M380,N380),Table117821341[[#This Row],[Pos.]]="TE2",AVERAGE(L380,M380,N380),Table117821341[[#This Row],[Pos.]]="D/ST",AVERAGE(Table117821341[[#This Row],[*TD*]]))</f>
        <v>#N/A</v>
      </c>
      <c r="X380" s="94" t="e">
        <f t="shared" si="6"/>
        <v>#N/A</v>
      </c>
    </row>
    <row r="381" spans="2:24" x14ac:dyDescent="0.35">
      <c r="B381" s="6" t="s">
        <v>156</v>
      </c>
      <c r="C381" s="97" t="s">
        <v>30</v>
      </c>
      <c r="D381" s="97" t="s">
        <v>66</v>
      </c>
      <c r="E381" s="23" t="str" cm="1">
        <f t="array" ref="E381">_xlfn.XLOOKUP(Table117821341[[#This Row],[Team]],Table4334[Team],'2425'!$C$3:$C$34)</f>
        <v>n/a</v>
      </c>
      <c r="F381" s="97" t="str">
        <f>_xlfn.XLOOKUP(Table117821341[[#This Row],[Team]],Table4334[Team],Table4334[OPP])</f>
        <v>n/a</v>
      </c>
      <c r="G381" s="148" t="str" cm="1">
        <f t="array" ref="G381">IF(Table117821341[[#This Row],[Pos.]]="QB1",_xlfn.XLOOKUP(Table117821341[[#This Row],[Opp]],Table123[DEF],'2425'!$G$3:$G$34),"#N/A")</f>
        <v>#N/A</v>
      </c>
      <c r="H381" s="148" t="str" cm="1">
        <f t="array" ref="H381">IF(Table117821341[[#This Row],[Pos.]]="QB1",_xlfn.XLOOKUP(Table117821341[[#This Row],[Opp]],Table123[DEF],'2425'!$J$3:$J$34),"#N/A")</f>
        <v>#N/A</v>
      </c>
      <c r="I381" s="148" t="str" cm="1">
        <f t="array" ref="I381">IF(Table117821341[[#This Row],[Pos.]]="QB1",_xlfn.XLOOKUP(Table117821341[[#This Row],[Opp]],Table123[DEF],'2425'!$K$3:$K$34),"#N/A")</f>
        <v>#N/A</v>
      </c>
      <c r="J381" s="148" t="e" cm="1">
        <f t="array" ref="J38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1" s="148" t="e" cm="1">
        <f t="array" ref="K38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1" s="148" t="e" cm="1">
        <f t="array" ref="L38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1" s="148" t="e" cm="1">
        <f t="array" ref="M38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1" s="148" t="e" cm="1">
        <f t="array" ref="N38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1" s="149" t="str">
        <f>IF(Table117821341[[#This Row],[Pos.]]="QB1",_xlfn.XLOOKUP(Table117821341[[#This Row],[Opp]],Table123[DEF],Table123[P]),"#N/A")</f>
        <v>#N/A</v>
      </c>
      <c r="P381" s="149" t="str">
        <f>IF(Table117821341[[#This Row],[Pos.]]="QB1",_xlfn.XLOOKUP(Table117821341[[#This Row],[Opp]],Table123[DEF],Table123[P+R]),"#N/A")</f>
        <v>#N/A</v>
      </c>
      <c r="Q381" s="150" t="str">
        <f>IF(Table117821341[[#This Row],[Pos.]]="QB1",_xlfn.XLOOKUP(Table117821341[[#This Row],[Opp]],Table123[DEF],Table123[P TD]),"#N/A")</f>
        <v>#N/A</v>
      </c>
      <c r="R381" s="149" t="e" cm="1">
        <f t="array" ref="R38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1" s="150" t="e" cm="1">
        <f t="array" ref="S38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1" s="150" t="e" cm="1">
        <f t="array" ref="T38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1" s="150" t="e" cm="1">
        <f t="array" ref="U38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1" s="162" t="e" cm="1">
        <f t="array" ref="V38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1" s="148" t="e" cm="1">
        <f t="array" ref="W381">_xlfn.IFS(Table117821341[[#This Row],[Pos.]]="QB1",AVERAGE(G381,H381,I381,J381,N381),Table117821341[[#This Row],[Pos.]]="RB1",AVERAGE(J381,K381,N381),Table117821341[[#This Row],[Pos.]]="RB2",AVERAGE(J381,K381,N381),Table117821341[[#This Row],[Pos.]]="WR1",AVERAGE(L381,M381,N381),Table117821341[[#This Row],[Pos.]]="WR2",AVERAGE(L381,M381,N381),Table117821341[[#This Row],[Pos.]]="WR3",AVERAGE(L381,M381,N381),Table117821341[[#This Row],[Pos.]]="WR4",AVERAGE(L381,M381,N381),Table117821341[[#This Row],[Pos.]]="TE1",AVERAGE(L381,M381,N381),Table117821341[[#This Row],[Pos.]]="TE2",AVERAGE(L381,M381,N381),Table117821341[[#This Row],[Pos.]]="D/ST",AVERAGE(Table117821341[[#This Row],[*TD*]]))</f>
        <v>#N/A</v>
      </c>
      <c r="X381" s="94" t="e">
        <f t="shared" si="6"/>
        <v>#N/A</v>
      </c>
    </row>
    <row r="382" spans="2:24" x14ac:dyDescent="0.35">
      <c r="B382" s="6" t="s">
        <v>360</v>
      </c>
      <c r="C382" s="97" t="s">
        <v>53</v>
      </c>
      <c r="D382" s="97" t="s">
        <v>395</v>
      </c>
      <c r="E382" s="23" t="str" cm="1">
        <f t="array" ref="E382">_xlfn.XLOOKUP(Table117821341[[#This Row],[Team]],Table4334[Team],'2425'!$C$3:$C$34)</f>
        <v>n/a</v>
      </c>
      <c r="F382" s="97" t="str">
        <f>_xlfn.XLOOKUP(Table117821341[[#This Row],[Team]],Table4334[Team],Table4334[OPP])</f>
        <v>n/a</v>
      </c>
      <c r="G382" s="148" t="str" cm="1">
        <f t="array" ref="G382">IF(Table117821341[[#This Row],[Pos.]]="QB1",_xlfn.XLOOKUP(Table117821341[[#This Row],[Opp]],Table123[DEF],'2425'!$G$3:$G$34),"#N/A")</f>
        <v>#N/A</v>
      </c>
      <c r="H382" s="148" t="str" cm="1">
        <f t="array" ref="H382">IF(Table117821341[[#This Row],[Pos.]]="QB1",_xlfn.XLOOKUP(Table117821341[[#This Row],[Opp]],Table123[DEF],'2425'!$J$3:$J$34),"#N/A")</f>
        <v>#N/A</v>
      </c>
      <c r="I382" s="148" t="str" cm="1">
        <f t="array" ref="I382">IF(Table117821341[[#This Row],[Pos.]]="QB1",_xlfn.XLOOKUP(Table117821341[[#This Row],[Opp]],Table123[DEF],'2425'!$K$3:$K$34),"#N/A")</f>
        <v>#N/A</v>
      </c>
      <c r="J382" s="148" t="e" cm="1">
        <f t="array" ref="J38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2" s="148" t="e" cm="1">
        <f t="array" ref="K38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2" s="148" t="e" cm="1">
        <f t="array" ref="L38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2" s="148" t="e" cm="1">
        <f t="array" ref="M38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2" s="148" t="e" cm="1">
        <f t="array" ref="N38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2" s="149" t="str">
        <f>IF(Table117821341[[#This Row],[Pos.]]="QB1",_xlfn.XLOOKUP(Table117821341[[#This Row],[Opp]],Table123[DEF],Table123[P]),"#N/A")</f>
        <v>#N/A</v>
      </c>
      <c r="P382" s="149" t="str">
        <f>IF(Table117821341[[#This Row],[Pos.]]="QB1",_xlfn.XLOOKUP(Table117821341[[#This Row],[Opp]],Table123[DEF],Table123[P+R]),"#N/A")</f>
        <v>#N/A</v>
      </c>
      <c r="Q382" s="150" t="str">
        <f>IF(Table117821341[[#This Row],[Pos.]]="QB1",_xlfn.XLOOKUP(Table117821341[[#This Row],[Opp]],Table123[DEF],Table123[P TD]),"#N/A")</f>
        <v>#N/A</v>
      </c>
      <c r="R382" s="149" t="e" cm="1">
        <f t="array" ref="R38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2" s="150" t="e" cm="1">
        <f t="array" ref="S38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2" s="150" t="e" cm="1">
        <f t="array" ref="T38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2" s="150" t="e" cm="1">
        <f t="array" ref="U38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2" s="162" t="e" cm="1">
        <f t="array" ref="V38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2" s="148" t="e" cm="1">
        <f t="array" ref="W382">_xlfn.IFS(Table117821341[[#This Row],[Pos.]]="QB1",AVERAGE(G382,H382,I382,J382,N382),Table117821341[[#This Row],[Pos.]]="RB1",AVERAGE(J382,K382,N382),Table117821341[[#This Row],[Pos.]]="RB2",AVERAGE(J382,K382,N382),Table117821341[[#This Row],[Pos.]]="WR1",AVERAGE(L382,M382,N382),Table117821341[[#This Row],[Pos.]]="WR2",AVERAGE(L382,M382,N382),Table117821341[[#This Row],[Pos.]]="WR3",AVERAGE(L382,M382,N382),Table117821341[[#This Row],[Pos.]]="WR4",AVERAGE(L382,M382,N382),Table117821341[[#This Row],[Pos.]]="TE1",AVERAGE(L382,M382,N382),Table117821341[[#This Row],[Pos.]]="TE2",AVERAGE(L382,M382,N382),Table117821341[[#This Row],[Pos.]]="D/ST",AVERAGE(Table117821341[[#This Row],[*TD*]]))</f>
        <v>#N/A</v>
      </c>
      <c r="X382" s="94" t="e">
        <f t="shared" si="6"/>
        <v>#N/A</v>
      </c>
    </row>
    <row r="383" spans="2:24" hidden="1" x14ac:dyDescent="0.35">
      <c r="B383" s="6" t="s">
        <v>266</v>
      </c>
      <c r="C383" s="97" t="s">
        <v>46</v>
      </c>
      <c r="D383" s="97" t="s">
        <v>403</v>
      </c>
      <c r="E383" s="23" t="str" cm="1">
        <f t="array" ref="E383">_xlfn.XLOOKUP(Table117821341[[#This Row],[Team]],Table4334[Team],'2425'!$C$3:$C$34)</f>
        <v>SB LX</v>
      </c>
      <c r="F383" s="97" t="str">
        <f>_xlfn.XLOOKUP(Table117821341[[#This Row],[Team]],Table4334[Team],Table4334[OPP])</f>
        <v>SEA</v>
      </c>
      <c r="G383" s="148" t="str" cm="1">
        <f t="array" ref="G383">IF(Table117821341[[#This Row],[Pos.]]="QB1",_xlfn.XLOOKUP(Table117821341[[#This Row],[Opp]],Table123[DEF],'2425'!$G$3:$G$34),"#N/A")</f>
        <v>#N/A</v>
      </c>
      <c r="H383" s="148" t="str" cm="1">
        <f t="array" ref="H383">IF(Table117821341[[#This Row],[Pos.]]="QB1",_xlfn.XLOOKUP(Table117821341[[#This Row],[Opp]],Table123[DEF],'2425'!$J$3:$J$34),"#N/A")</f>
        <v>#N/A</v>
      </c>
      <c r="I383" s="148" t="str" cm="1">
        <f t="array" ref="I383">IF(Table117821341[[#This Row],[Pos.]]="QB1",_xlfn.XLOOKUP(Table117821341[[#This Row],[Opp]],Table123[DEF],'2425'!$K$3:$K$34),"#N/A")</f>
        <v>#N/A</v>
      </c>
      <c r="J383" s="148" t="e" cm="1">
        <f t="array" ref="J38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3" s="148" t="e" cm="1">
        <f t="array" ref="K38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3" s="148" t="e" cm="1">
        <f t="array" ref="L38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3" s="148" t="e" cm="1">
        <f t="array" ref="M38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3" s="148" t="e" cm="1">
        <f t="array" ref="N38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3" s="149" t="str">
        <f>IF(Table117821341[[#This Row],[Pos.]]="QB1",_xlfn.XLOOKUP(Table117821341[[#This Row],[Opp]],Table123[DEF],Table123[P]),"#N/A")</f>
        <v>#N/A</v>
      </c>
      <c r="P383" s="149" t="str">
        <f>IF(Table117821341[[#This Row],[Pos.]]="QB1",_xlfn.XLOOKUP(Table117821341[[#This Row],[Opp]],Table123[DEF],Table123[P+R]),"#N/A")</f>
        <v>#N/A</v>
      </c>
      <c r="Q383" s="150" t="str">
        <f>IF(Table117821341[[#This Row],[Pos.]]="QB1",_xlfn.XLOOKUP(Table117821341[[#This Row],[Opp]],Table123[DEF],Table123[P TD]),"#N/A")</f>
        <v>#N/A</v>
      </c>
      <c r="R383" s="149" t="e" cm="1">
        <f t="array" ref="R38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3" s="150" t="e" cm="1">
        <f t="array" ref="S38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3" s="150" t="e" cm="1">
        <f t="array" ref="T38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3" s="150" t="e" cm="1">
        <f t="array" ref="U38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3" s="150" t="e" cm="1">
        <f t="array" ref="V38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3" s="148" t="e" cm="1">
        <f t="array" ref="W383">_xlfn.IFS(Table117821341[[#This Row],[Pos.]]="QB1",AVERAGE(G383,H383,I383,J383,N383),Table117821341[[#This Row],[Pos.]]="RB1",AVERAGE(J383,K383,N383),Table117821341[[#This Row],[Pos.]]="RB2",AVERAGE(J383,K383,N383),Table117821341[[#This Row],[Pos.]]="WR1",AVERAGE(L383,M383,N383),Table117821341[[#This Row],[Pos.]]="WR2",AVERAGE(L383,M383,N383),Table117821341[[#This Row],[Pos.]]="WR3",AVERAGE(L383,M383,N383),Table117821341[[#This Row],[Pos.]]="WR4",AVERAGE(L383,M383,N383),Table117821341[[#This Row],[Pos.]]="TE1",AVERAGE(L383,M383,N383),Table117821341[[#This Row],[Pos.]]="TE2",AVERAGE(L383,M383,N383),Table117821341[[#This Row],[Pos.]]="D/ST",AVERAGE(Table117821341[[#This Row],[*TD*]]))</f>
        <v>#N/A</v>
      </c>
      <c r="X383" s="94" t="e">
        <f t="shared" si="6"/>
        <v>#N/A</v>
      </c>
    </row>
    <row r="384" spans="2:24" hidden="1" x14ac:dyDescent="0.35">
      <c r="B384" s="6" t="s">
        <v>450</v>
      </c>
      <c r="C384" s="97" t="s">
        <v>46</v>
      </c>
      <c r="D384" s="97" t="s">
        <v>411</v>
      </c>
      <c r="E384" s="23" t="str" cm="1">
        <f t="array" ref="E384">_xlfn.XLOOKUP(Table117821341[[#This Row],[Team]],Table4334[Team],'2425'!$C$3:$C$34)</f>
        <v>SB LX</v>
      </c>
      <c r="F384" s="97" t="str">
        <f>_xlfn.XLOOKUP(Table117821341[[#This Row],[Team]],Table4334[Team],Table4334[OPP])</f>
        <v>SEA</v>
      </c>
      <c r="G384" s="148" t="str" cm="1">
        <f t="array" ref="G384">IF(Table117821341[[#This Row],[Pos.]]="QB1",_xlfn.XLOOKUP(Table117821341[[#This Row],[Opp]],Table123[DEF],'2425'!$G$3:$G$34),"#N/A")</f>
        <v>#N/A</v>
      </c>
      <c r="H384" s="148" t="str" cm="1">
        <f t="array" ref="H384">IF(Table117821341[[#This Row],[Pos.]]="QB1",_xlfn.XLOOKUP(Table117821341[[#This Row],[Opp]],Table123[DEF],'2425'!$J$3:$J$34),"#N/A")</f>
        <v>#N/A</v>
      </c>
      <c r="I384" s="148" t="str" cm="1">
        <f t="array" ref="I384">IF(Table117821341[[#This Row],[Pos.]]="QB1",_xlfn.XLOOKUP(Table117821341[[#This Row],[Opp]],Table123[DEF],'2425'!$K$3:$K$34),"#N/A")</f>
        <v>#N/A</v>
      </c>
      <c r="J384" s="148" t="e" cm="1">
        <f t="array" ref="J38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4" s="148" t="e" cm="1">
        <f t="array" ref="K38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4" s="148" t="e" cm="1">
        <f t="array" ref="L38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4" s="148" t="e" cm="1">
        <f t="array" ref="M38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4" s="148" t="e" cm="1">
        <f t="array" ref="N38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4" s="149" t="str">
        <f>IF(Table117821341[[#This Row],[Pos.]]="QB1",_xlfn.XLOOKUP(Table117821341[[#This Row],[Opp]],Table123[DEF],Table123[P]),"#N/A")</f>
        <v>#N/A</v>
      </c>
      <c r="P384" s="149" t="str">
        <f>IF(Table117821341[[#This Row],[Pos.]]="QB1",_xlfn.XLOOKUP(Table117821341[[#This Row],[Opp]],Table123[DEF],Table123[P+R]),"#N/A")</f>
        <v>#N/A</v>
      </c>
      <c r="Q384" s="150" t="str">
        <f>IF(Table117821341[[#This Row],[Pos.]]="QB1",_xlfn.XLOOKUP(Table117821341[[#This Row],[Opp]],Table123[DEF],Table123[P TD]),"#N/A")</f>
        <v>#N/A</v>
      </c>
      <c r="R384" s="149" t="e" cm="1">
        <f t="array" ref="R38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4" s="150" t="e" cm="1">
        <f t="array" ref="S38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4" s="150" t="e" cm="1">
        <f t="array" ref="T38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4" s="150" t="e" cm="1">
        <f t="array" ref="U38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4" s="150" t="e" cm="1">
        <f t="array" ref="V38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4" s="148" t="e" cm="1">
        <f t="array" ref="W384">_xlfn.IFS(Table117821341[[#This Row],[Pos.]]="QB1",AVERAGE(G384,H384,I384,J384,N384),Table117821341[[#This Row],[Pos.]]="RB1",AVERAGE(J384,K384,N384),Table117821341[[#This Row],[Pos.]]="RB2",AVERAGE(J384,K384,N384),Table117821341[[#This Row],[Pos.]]="WR1",AVERAGE(L384,M384,N384),Table117821341[[#This Row],[Pos.]]="WR2",AVERAGE(L384,M384,N384),Table117821341[[#This Row],[Pos.]]="WR3",AVERAGE(L384,M384,N384),Table117821341[[#This Row],[Pos.]]="WR4",AVERAGE(L384,M384,N384),Table117821341[[#This Row],[Pos.]]="TE1",AVERAGE(L384,M384,N384),Table117821341[[#This Row],[Pos.]]="TE2",AVERAGE(L384,M384,N384),Table117821341[[#This Row],[Pos.]]="D/ST",AVERAGE(Table117821341[[#This Row],[*TD*]]))</f>
        <v>#N/A</v>
      </c>
      <c r="X384" s="94" t="e">
        <f t="shared" si="6"/>
        <v>#N/A</v>
      </c>
    </row>
    <row r="385" spans="2:24" hidden="1" x14ac:dyDescent="0.35">
      <c r="B385" s="6" t="s">
        <v>413</v>
      </c>
      <c r="C385" s="97" t="s">
        <v>46</v>
      </c>
      <c r="D385" s="97" t="s">
        <v>441</v>
      </c>
      <c r="E385" s="23" t="str" cm="1">
        <f t="array" ref="E385">_xlfn.XLOOKUP(Table117821341[[#This Row],[Team]],Table4334[Team],'2425'!$C$3:$C$34)</f>
        <v>SB LX</v>
      </c>
      <c r="F385" s="97" t="str">
        <f>_xlfn.XLOOKUP(Table117821341[[#This Row],[Team]],Table4334[Team],Table4334[OPP])</f>
        <v>SEA</v>
      </c>
      <c r="G385" s="148" t="str" cm="1">
        <f t="array" ref="G385">IF(Table117821341[[#This Row],[Pos.]]="QB1",_xlfn.XLOOKUP(Table117821341[[#This Row],[Opp]],Table123[DEF],'2425'!$G$3:$G$34),"#N/A")</f>
        <v>#N/A</v>
      </c>
      <c r="H385" s="148" t="str" cm="1">
        <f t="array" ref="H385">IF(Table117821341[[#This Row],[Pos.]]="QB1",_xlfn.XLOOKUP(Table117821341[[#This Row],[Opp]],Table123[DEF],'2425'!$J$3:$J$34),"#N/A")</f>
        <v>#N/A</v>
      </c>
      <c r="I385" s="148" t="str" cm="1">
        <f t="array" ref="I385">IF(Table117821341[[#This Row],[Pos.]]="QB1",_xlfn.XLOOKUP(Table117821341[[#This Row],[Opp]],Table123[DEF],'2425'!$K$3:$K$34),"#N/A")</f>
        <v>#N/A</v>
      </c>
      <c r="J385" s="148" t="e" cm="1">
        <f t="array" ref="J38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5" s="148" t="e" cm="1">
        <f t="array" ref="K38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5" s="148" t="e" cm="1">
        <f t="array" ref="L38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5" s="148" t="e" cm="1">
        <f t="array" ref="M38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5" s="148" t="e" cm="1">
        <f t="array" ref="N38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5" s="149" t="str">
        <f>IF(Table117821341[[#This Row],[Pos.]]="QB1",_xlfn.XLOOKUP(Table117821341[[#This Row],[Opp]],Table123[DEF],Table123[P]),"#N/A")</f>
        <v>#N/A</v>
      </c>
      <c r="P385" s="149" t="str">
        <f>IF(Table117821341[[#This Row],[Pos.]]="QB1",_xlfn.XLOOKUP(Table117821341[[#This Row],[Opp]],Table123[DEF],Table123[P+R]),"#N/A")</f>
        <v>#N/A</v>
      </c>
      <c r="Q385" s="150" t="str">
        <f>IF(Table117821341[[#This Row],[Pos.]]="QB1",_xlfn.XLOOKUP(Table117821341[[#This Row],[Opp]],Table123[DEF],Table123[P TD]),"#N/A")</f>
        <v>#N/A</v>
      </c>
      <c r="R385" s="149" t="e" cm="1">
        <f t="array" ref="R38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5" s="150" t="e" cm="1">
        <f t="array" ref="S38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5" s="150" t="e" cm="1">
        <f t="array" ref="T38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5" s="150" t="e" cm="1">
        <f t="array" ref="U38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5" s="150" t="e" cm="1">
        <f t="array" ref="V38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5" s="148" t="e" cm="1">
        <f t="array" ref="W385">_xlfn.IFS(Table117821341[[#This Row],[Pos.]]="QB1",AVERAGE(G385,H385,I385,J385,N385),Table117821341[[#This Row],[Pos.]]="RB1",AVERAGE(J385,K385,N385),Table117821341[[#This Row],[Pos.]]="RB2",AVERAGE(J385,K385,N385),Table117821341[[#This Row],[Pos.]]="WR1",AVERAGE(L385,M385,N385),Table117821341[[#This Row],[Pos.]]="WR2",AVERAGE(L385,M385,N385),Table117821341[[#This Row],[Pos.]]="WR3",AVERAGE(L385,M385,N385),Table117821341[[#This Row],[Pos.]]="WR4",AVERAGE(L385,M385,N385),Table117821341[[#This Row],[Pos.]]="TE1",AVERAGE(L385,M385,N385),Table117821341[[#This Row],[Pos.]]="TE2",AVERAGE(L385,M385,N385),Table117821341[[#This Row],[Pos.]]="D/ST",AVERAGE(Table117821341[[#This Row],[*TD*]]))</f>
        <v>#N/A</v>
      </c>
      <c r="X385" s="94" t="e">
        <f t="shared" si="6"/>
        <v>#N/A</v>
      </c>
    </row>
    <row r="386" spans="2:24" x14ac:dyDescent="0.35">
      <c r="B386" s="6" t="s">
        <v>154</v>
      </c>
      <c r="C386" s="97" t="s">
        <v>30</v>
      </c>
      <c r="D386" s="97" t="s">
        <v>397</v>
      </c>
      <c r="E386" s="23" t="str" cm="1">
        <f t="array" ref="E386">_xlfn.XLOOKUP(Table117821341[[#This Row],[Team]],Table4334[Team],'2425'!$C$3:$C$34)</f>
        <v>n/a</v>
      </c>
      <c r="F386" s="97" t="str">
        <f>_xlfn.XLOOKUP(Table117821341[[#This Row],[Team]],Table4334[Team],Table4334[OPP])</f>
        <v>n/a</v>
      </c>
      <c r="G386" s="148" t="str" cm="1">
        <f t="array" ref="G386">IF(Table117821341[[#This Row],[Pos.]]="QB1",_xlfn.XLOOKUP(Table117821341[[#This Row],[Opp]],Table123[DEF],'2425'!$G$3:$G$34),"#N/A")</f>
        <v>#N/A</v>
      </c>
      <c r="H386" s="148" t="str" cm="1">
        <f t="array" ref="H386">IF(Table117821341[[#This Row],[Pos.]]="QB1",_xlfn.XLOOKUP(Table117821341[[#This Row],[Opp]],Table123[DEF],'2425'!$J$3:$J$34),"#N/A")</f>
        <v>#N/A</v>
      </c>
      <c r="I386" s="148" t="str" cm="1">
        <f t="array" ref="I386">IF(Table117821341[[#This Row],[Pos.]]="QB1",_xlfn.XLOOKUP(Table117821341[[#This Row],[Opp]],Table123[DEF],'2425'!$K$3:$K$34),"#N/A")</f>
        <v>#N/A</v>
      </c>
      <c r="J386" s="148" t="e" cm="1">
        <f t="array" ref="J38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6" s="148" t="e" cm="1">
        <f t="array" ref="K38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6" s="148" t="e" cm="1">
        <f t="array" ref="L38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6" s="148" t="e" cm="1">
        <f t="array" ref="M38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6" s="148" t="e" cm="1">
        <f t="array" ref="N38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6" s="149" t="str">
        <f>IF(Table117821341[[#This Row],[Pos.]]="QB1",_xlfn.XLOOKUP(Table117821341[[#This Row],[Opp]],Table123[DEF],Table123[P]),"#N/A")</f>
        <v>#N/A</v>
      </c>
      <c r="P386" s="149" t="str">
        <f>IF(Table117821341[[#This Row],[Pos.]]="QB1",_xlfn.XLOOKUP(Table117821341[[#This Row],[Opp]],Table123[DEF],Table123[P+R]),"#N/A")</f>
        <v>#N/A</v>
      </c>
      <c r="Q386" s="150" t="str">
        <f>IF(Table117821341[[#This Row],[Pos.]]="QB1",_xlfn.XLOOKUP(Table117821341[[#This Row],[Opp]],Table123[DEF],Table123[P TD]),"#N/A")</f>
        <v>#N/A</v>
      </c>
      <c r="R386" s="149" t="e" cm="1">
        <f t="array" ref="R38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6" s="150" t="e" cm="1">
        <f t="array" ref="S38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6" s="150" t="e" cm="1">
        <f t="array" ref="T38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6" s="150" t="e" cm="1">
        <f t="array" ref="U38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6" s="162" t="e" cm="1">
        <f t="array" ref="V38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6" s="148" t="e" cm="1">
        <f t="array" ref="W386">_xlfn.IFS(Table117821341[[#This Row],[Pos.]]="QB1",AVERAGE(G386,H386,I386,J386,N386),Table117821341[[#This Row],[Pos.]]="RB1",AVERAGE(J386,K386,N386),Table117821341[[#This Row],[Pos.]]="RB2",AVERAGE(J386,K386,N386),Table117821341[[#This Row],[Pos.]]="WR1",AVERAGE(L386,M386,N386),Table117821341[[#This Row],[Pos.]]="WR2",AVERAGE(L386,M386,N386),Table117821341[[#This Row],[Pos.]]="WR3",AVERAGE(L386,M386,N386),Table117821341[[#This Row],[Pos.]]="WR4",AVERAGE(L386,M386,N386),Table117821341[[#This Row],[Pos.]]="TE1",AVERAGE(L386,M386,N386),Table117821341[[#This Row],[Pos.]]="TE2",AVERAGE(L386,M386,N386),Table117821341[[#This Row],[Pos.]]="D/ST",AVERAGE(Table117821341[[#This Row],[*TD*]]))</f>
        <v>#N/A</v>
      </c>
      <c r="X386" s="94" t="e">
        <f t="shared" si="6"/>
        <v>#N/A</v>
      </c>
    </row>
    <row r="387" spans="2:24" hidden="1" x14ac:dyDescent="0.35">
      <c r="B387" s="6" t="s">
        <v>341</v>
      </c>
      <c r="C387" s="97" t="s">
        <v>50</v>
      </c>
      <c r="D387" s="97" t="s">
        <v>67</v>
      </c>
      <c r="E387" s="23" t="str" cm="1">
        <f t="array" ref="E387">_xlfn.XLOOKUP(Table117821341[[#This Row],[Team]],Table4334[Team],'2425'!$C$3:$C$34)</f>
        <v>n/a</v>
      </c>
      <c r="F387" s="97" t="str">
        <f>_xlfn.XLOOKUP(Table117821341[[#This Row],[Team]],Table4334[Team],Table4334[OPP])</f>
        <v>n/a</v>
      </c>
      <c r="G387" s="148" t="str" cm="1">
        <f t="array" ref="G387">IF(Table117821341[[#This Row],[Pos.]]="QB1",_xlfn.XLOOKUP(Table117821341[[#This Row],[Opp]],Table123[DEF],'2425'!$G$3:$G$34),"#N/A")</f>
        <v>#N/A</v>
      </c>
      <c r="H387" s="148" t="str" cm="1">
        <f t="array" ref="H387">IF(Table117821341[[#This Row],[Pos.]]="QB1",_xlfn.XLOOKUP(Table117821341[[#This Row],[Opp]],Table123[DEF],'2425'!$J$3:$J$34),"#N/A")</f>
        <v>#N/A</v>
      </c>
      <c r="I387" s="148" t="str" cm="1">
        <f t="array" ref="I387">IF(Table117821341[[#This Row],[Pos.]]="QB1",_xlfn.XLOOKUP(Table117821341[[#This Row],[Opp]],Table123[DEF],'2425'!$K$3:$K$34),"#N/A")</f>
        <v>#N/A</v>
      </c>
      <c r="J387" s="148" t="e" cm="1">
        <f t="array" ref="J38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7" s="148" t="e" cm="1">
        <f t="array" ref="K38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7" s="148" t="e" cm="1">
        <f t="array" ref="L38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7" s="148" t="e" cm="1">
        <f t="array" ref="M38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7" s="148" t="e" cm="1">
        <f t="array" ref="N38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7" s="149" t="str">
        <f>IF(Table117821341[[#This Row],[Pos.]]="QB1",_xlfn.XLOOKUP(Table117821341[[#This Row],[Opp]],Table123[DEF],Table123[P]),"#N/A")</f>
        <v>#N/A</v>
      </c>
      <c r="P387" s="149" t="str">
        <f>IF(Table117821341[[#This Row],[Pos.]]="QB1",_xlfn.XLOOKUP(Table117821341[[#This Row],[Opp]],Table123[DEF],Table123[P+R]),"#N/A")</f>
        <v>#N/A</v>
      </c>
      <c r="Q387" s="150" t="str">
        <f>IF(Table117821341[[#This Row],[Pos.]]="QB1",_xlfn.XLOOKUP(Table117821341[[#This Row],[Opp]],Table123[DEF],Table123[P TD]),"#N/A")</f>
        <v>#N/A</v>
      </c>
      <c r="R387" s="149" t="e" cm="1">
        <f t="array" ref="R38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7" s="150" t="e" cm="1">
        <f t="array" ref="S38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7" s="150" t="e" cm="1">
        <f t="array" ref="T38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7" s="150" t="e" cm="1">
        <f t="array" ref="U38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7" s="162" t="e" cm="1">
        <f t="array" ref="V38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7" s="148" t="e" cm="1">
        <f t="array" ref="W387">_xlfn.IFS(Table117821341[[#This Row],[Pos.]]="QB1",AVERAGE(G387,H387,I387,J387,N387),Table117821341[[#This Row],[Pos.]]="RB1",AVERAGE(J387,K387,N387),Table117821341[[#This Row],[Pos.]]="RB2",AVERAGE(J387,K387,N387),Table117821341[[#This Row],[Pos.]]="WR1",AVERAGE(L387,M387,N387),Table117821341[[#This Row],[Pos.]]="WR2",AVERAGE(L387,M387,N387),Table117821341[[#This Row],[Pos.]]="WR3",AVERAGE(L387,M387,N387),Table117821341[[#This Row],[Pos.]]="WR4",AVERAGE(L387,M387,N387),Table117821341[[#This Row],[Pos.]]="TE1",AVERAGE(L387,M387,N387),Table117821341[[#This Row],[Pos.]]="TE2",AVERAGE(L387,M387,N387),Table117821341[[#This Row],[Pos.]]="D/ST",AVERAGE(Table117821341[[#This Row],[*TD*]]))</f>
        <v>#N/A</v>
      </c>
      <c r="X387" s="94" t="e">
        <f t="shared" si="6"/>
        <v>#N/A</v>
      </c>
    </row>
    <row r="388" spans="2:24" hidden="1" x14ac:dyDescent="0.35">
      <c r="B388" s="6" t="s">
        <v>312</v>
      </c>
      <c r="C388" s="97" t="s">
        <v>47</v>
      </c>
      <c r="D388" s="97" t="s">
        <v>405</v>
      </c>
      <c r="E388" s="23" t="str" cm="1">
        <f t="array" ref="E388">_xlfn.XLOOKUP(Table117821341[[#This Row],[Team]],Table4334[Team],'2425'!$C$3:$C$34)</f>
        <v>n/a</v>
      </c>
      <c r="F388" s="97" t="str">
        <f>_xlfn.XLOOKUP(Table117821341[[#This Row],[Team]],Table4334[Team],Table4334[OPP])</f>
        <v>n/a</v>
      </c>
      <c r="G388" s="148" t="str" cm="1">
        <f t="array" ref="G388">IF(Table117821341[[#This Row],[Pos.]]="QB1",_xlfn.XLOOKUP(Table117821341[[#This Row],[Opp]],Table123[DEF],'2425'!$G$3:$G$34),"#N/A")</f>
        <v>#N/A</v>
      </c>
      <c r="H388" s="148" t="str" cm="1">
        <f t="array" ref="H388">IF(Table117821341[[#This Row],[Pos.]]="QB1",_xlfn.XLOOKUP(Table117821341[[#This Row],[Opp]],Table123[DEF],'2425'!$J$3:$J$34),"#N/A")</f>
        <v>#N/A</v>
      </c>
      <c r="I388" s="148" t="str" cm="1">
        <f t="array" ref="I388">IF(Table117821341[[#This Row],[Pos.]]="QB1",_xlfn.XLOOKUP(Table117821341[[#This Row],[Opp]],Table123[DEF],'2425'!$K$3:$K$34),"#N/A")</f>
        <v>#N/A</v>
      </c>
      <c r="J388" s="148" t="e" cm="1">
        <f t="array" ref="J38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8" s="148" t="e" cm="1">
        <f t="array" ref="K38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8" s="148" t="e" cm="1">
        <f t="array" ref="L38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8" s="148" t="e" cm="1">
        <f t="array" ref="M38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8" s="148" t="e" cm="1">
        <f t="array" ref="N38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8" s="149" t="str">
        <f>IF(Table117821341[[#This Row],[Pos.]]="QB1",_xlfn.XLOOKUP(Table117821341[[#This Row],[Opp]],Table123[DEF],Table123[P]),"#N/A")</f>
        <v>#N/A</v>
      </c>
      <c r="P388" s="149" t="str">
        <f>IF(Table117821341[[#This Row],[Pos.]]="QB1",_xlfn.XLOOKUP(Table117821341[[#This Row],[Opp]],Table123[DEF],Table123[P+R]),"#N/A")</f>
        <v>#N/A</v>
      </c>
      <c r="Q388" s="150" t="str">
        <f>IF(Table117821341[[#This Row],[Pos.]]="QB1",_xlfn.XLOOKUP(Table117821341[[#This Row],[Opp]],Table123[DEF],Table123[P TD]),"#N/A")</f>
        <v>#N/A</v>
      </c>
      <c r="R388" s="149" t="e" cm="1">
        <f t="array" ref="R38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8" s="150" t="e" cm="1">
        <f t="array" ref="S38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8" s="150" t="e" cm="1">
        <f t="array" ref="T38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8" s="150" t="e" cm="1">
        <f t="array" ref="U38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8" s="150" t="e" cm="1">
        <f t="array" ref="V38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8" s="148" t="e" cm="1">
        <f t="array" ref="W388">_xlfn.IFS(Table117821341[[#This Row],[Pos.]]="QB1",AVERAGE(G388,H388,I388,J388,N388),Table117821341[[#This Row],[Pos.]]="RB1",AVERAGE(J388,K388,N388),Table117821341[[#This Row],[Pos.]]="RB2",AVERAGE(J388,K388,N388),Table117821341[[#This Row],[Pos.]]="WR1",AVERAGE(L388,M388,N388),Table117821341[[#This Row],[Pos.]]="WR2",AVERAGE(L388,M388,N388),Table117821341[[#This Row],[Pos.]]="WR3",AVERAGE(L388,M388,N388),Table117821341[[#This Row],[Pos.]]="WR4",AVERAGE(L388,M388,N388),Table117821341[[#This Row],[Pos.]]="TE1",AVERAGE(L388,M388,N388),Table117821341[[#This Row],[Pos.]]="TE2",AVERAGE(L388,M388,N388),Table117821341[[#This Row],[Pos.]]="D/ST",AVERAGE(Table117821341[[#This Row],[*TD*]]))</f>
        <v>#N/A</v>
      </c>
      <c r="X388" s="94" t="e">
        <f t="shared" si="6"/>
        <v>#N/A</v>
      </c>
    </row>
    <row r="389" spans="2:24" hidden="1" x14ac:dyDescent="0.35">
      <c r="B389" s="6" t="s">
        <v>617</v>
      </c>
      <c r="C389" s="97" t="s">
        <v>47</v>
      </c>
      <c r="D389" s="97" t="s">
        <v>425</v>
      </c>
      <c r="E389" s="23" t="str" cm="1">
        <f t="array" ref="E389">_xlfn.XLOOKUP(Table117821341[[#This Row],[Team]],Table4334[Team],'2425'!$C$3:$C$34)</f>
        <v>n/a</v>
      </c>
      <c r="F389" s="97" t="str">
        <f>_xlfn.XLOOKUP(Table117821341[[#This Row],[Team]],Table4334[Team],Table4334[OPP])</f>
        <v>n/a</v>
      </c>
      <c r="G389" s="148" t="str" cm="1">
        <f t="array" ref="G389">IF(Table117821341[[#This Row],[Pos.]]="QB1",_xlfn.XLOOKUP(Table117821341[[#This Row],[Opp]],Table123[DEF],'2425'!$G$3:$G$34),"#N/A")</f>
        <v>#N/A</v>
      </c>
      <c r="H389" s="148" t="str" cm="1">
        <f t="array" ref="H389">IF(Table117821341[[#This Row],[Pos.]]="QB1",_xlfn.XLOOKUP(Table117821341[[#This Row],[Opp]],Table123[DEF],'2425'!$J$3:$J$34),"#N/A")</f>
        <v>#N/A</v>
      </c>
      <c r="I389" s="148" t="str" cm="1">
        <f t="array" ref="I389">IF(Table117821341[[#This Row],[Pos.]]="QB1",_xlfn.XLOOKUP(Table117821341[[#This Row],[Opp]],Table123[DEF],'2425'!$K$3:$K$34),"#N/A")</f>
        <v>#N/A</v>
      </c>
      <c r="J389" s="148" t="e" cm="1">
        <f t="array" ref="J38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89" s="148" t="e" cm="1">
        <f t="array" ref="K38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89" s="148" t="e" cm="1">
        <f t="array" ref="L38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89" s="148" t="e" cm="1">
        <f t="array" ref="M38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89" s="148" t="e" cm="1">
        <f t="array" ref="N38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89" s="149" t="str">
        <f>IF(Table117821341[[#This Row],[Pos.]]="QB1",_xlfn.XLOOKUP(Table117821341[[#This Row],[Opp]],Table123[DEF],Table123[P]),"#N/A")</f>
        <v>#N/A</v>
      </c>
      <c r="P389" s="149" t="str">
        <f>IF(Table117821341[[#This Row],[Pos.]]="QB1",_xlfn.XLOOKUP(Table117821341[[#This Row],[Opp]],Table123[DEF],Table123[P+R]),"#N/A")</f>
        <v>#N/A</v>
      </c>
      <c r="Q389" s="150" t="str">
        <f>IF(Table117821341[[#This Row],[Pos.]]="QB1",_xlfn.XLOOKUP(Table117821341[[#This Row],[Opp]],Table123[DEF],Table123[P TD]),"#N/A")</f>
        <v>#N/A</v>
      </c>
      <c r="R389" s="149" t="e" cm="1">
        <f t="array" ref="R38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89" s="150" t="e" cm="1">
        <f t="array" ref="S38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89" s="150" t="e" cm="1">
        <f t="array" ref="T38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89" s="150" t="e" cm="1">
        <f t="array" ref="U38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89" s="150" t="e" cm="1">
        <f t="array" ref="V38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89" s="148" t="e" cm="1">
        <f t="array" ref="W389">_xlfn.IFS(Table117821341[[#This Row],[Pos.]]="QB1",AVERAGE(G389,H389,I389,J389,N389),Table117821341[[#This Row],[Pos.]]="RB1",AVERAGE(J389,K389,N389),Table117821341[[#This Row],[Pos.]]="RB2",AVERAGE(J389,K389,N389),Table117821341[[#This Row],[Pos.]]="WR1",AVERAGE(L389,M389,N389),Table117821341[[#This Row],[Pos.]]="WR2",AVERAGE(L389,M389,N389),Table117821341[[#This Row],[Pos.]]="WR3",AVERAGE(L389,M389,N389),Table117821341[[#This Row],[Pos.]]="WR4",AVERAGE(L389,M389,N389),Table117821341[[#This Row],[Pos.]]="TE1",AVERAGE(L389,M389,N389),Table117821341[[#This Row],[Pos.]]="TE2",AVERAGE(L389,M389,N389),Table117821341[[#This Row],[Pos.]]="D/ST",AVERAGE(Table117821341[[#This Row],[*TD*]]))</f>
        <v>#N/A</v>
      </c>
      <c r="X389" s="94" t="e">
        <f t="shared" si="6"/>
        <v>#N/A</v>
      </c>
    </row>
    <row r="390" spans="2:24" hidden="1" x14ac:dyDescent="0.35">
      <c r="B390" s="179" t="s">
        <v>339</v>
      </c>
      <c r="C390" s="97" t="s">
        <v>50</v>
      </c>
      <c r="D390" s="97" t="s">
        <v>397</v>
      </c>
      <c r="E390" s="23" t="str" cm="1">
        <f t="array" ref="E390">_xlfn.XLOOKUP(Table117821341[[#This Row],[Team]],Table4334[Team],'2425'!$C$3:$C$34)</f>
        <v>n/a</v>
      </c>
      <c r="F390" s="97" t="str">
        <f>_xlfn.XLOOKUP(Table117821341[[#This Row],[Team]],Table4334[Team],Table4334[OPP])</f>
        <v>n/a</v>
      </c>
      <c r="G390" s="148" t="str" cm="1">
        <f t="array" ref="G390">IF(Table117821341[[#This Row],[Pos.]]="QB1",_xlfn.XLOOKUP(Table117821341[[#This Row],[Opp]],Table123[DEF],'2425'!$G$3:$G$34),"#N/A")</f>
        <v>#N/A</v>
      </c>
      <c r="H390" s="148" t="str" cm="1">
        <f t="array" ref="H390">IF(Table117821341[[#This Row],[Pos.]]="QB1",_xlfn.XLOOKUP(Table117821341[[#This Row],[Opp]],Table123[DEF],'2425'!$J$3:$J$34),"#N/A")</f>
        <v>#N/A</v>
      </c>
      <c r="I390" s="148" t="str" cm="1">
        <f t="array" ref="I390">IF(Table117821341[[#This Row],[Pos.]]="QB1",_xlfn.XLOOKUP(Table117821341[[#This Row],[Opp]],Table123[DEF],'2425'!$K$3:$K$34),"#N/A")</f>
        <v>#N/A</v>
      </c>
      <c r="J390" s="148" t="e" cm="1">
        <f t="array" ref="J39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0" s="148" t="e" cm="1">
        <f t="array" ref="K39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0" s="148" t="e" cm="1">
        <f t="array" ref="L39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0" s="148" t="e" cm="1">
        <f t="array" ref="M39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0" s="148" t="e" cm="1">
        <f t="array" ref="N39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0" s="149" t="str">
        <f>IF(Table117821341[[#This Row],[Pos.]]="QB1",_xlfn.XLOOKUP(Table117821341[[#This Row],[Opp]],Table123[DEF],Table123[P]),"#N/A")</f>
        <v>#N/A</v>
      </c>
      <c r="P390" s="149" t="str">
        <f>IF(Table117821341[[#This Row],[Pos.]]="QB1",_xlfn.XLOOKUP(Table117821341[[#This Row],[Opp]],Table123[DEF],Table123[P+R]),"#N/A")</f>
        <v>#N/A</v>
      </c>
      <c r="Q390" s="150" t="str">
        <f>IF(Table117821341[[#This Row],[Pos.]]="QB1",_xlfn.XLOOKUP(Table117821341[[#This Row],[Opp]],Table123[DEF],Table123[P TD]),"#N/A")</f>
        <v>#N/A</v>
      </c>
      <c r="R390" s="149" t="e" cm="1">
        <f t="array" ref="R39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0" s="150" t="e" cm="1">
        <f t="array" ref="S39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0" s="150" t="e" cm="1">
        <f t="array" ref="T39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0" s="150" t="e" cm="1">
        <f t="array" ref="U39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0" s="162" t="e" cm="1">
        <f t="array" ref="V39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0" s="148" t="e" cm="1">
        <f t="array" ref="W390">_xlfn.IFS(Table117821341[[#This Row],[Pos.]]="QB1",AVERAGE(G390,H390,I390,J390,N390),Table117821341[[#This Row],[Pos.]]="RB1",AVERAGE(J390,K390,N390),Table117821341[[#This Row],[Pos.]]="RB2",AVERAGE(J390,K390,N390),Table117821341[[#This Row],[Pos.]]="WR1",AVERAGE(L390,M390,N390),Table117821341[[#This Row],[Pos.]]="WR2",AVERAGE(L390,M390,N390),Table117821341[[#This Row],[Pos.]]="WR3",AVERAGE(L390,M390,N390),Table117821341[[#This Row],[Pos.]]="WR4",AVERAGE(L390,M390,N390),Table117821341[[#This Row],[Pos.]]="TE1",AVERAGE(L390,M390,N390),Table117821341[[#This Row],[Pos.]]="TE2",AVERAGE(L390,M390,N390),Table117821341[[#This Row],[Pos.]]="D/ST",AVERAGE(Table117821341[[#This Row],[*TD*]]))</f>
        <v>#N/A</v>
      </c>
      <c r="X390" s="94" t="e">
        <f t="shared" si="6"/>
        <v>#N/A</v>
      </c>
    </row>
    <row r="391" spans="2:24" hidden="1" x14ac:dyDescent="0.35">
      <c r="B391" s="6" t="s">
        <v>316</v>
      </c>
      <c r="C391" s="97" t="s">
        <v>47</v>
      </c>
      <c r="D391" s="97" t="s">
        <v>394</v>
      </c>
      <c r="E391" s="23" t="str" cm="1">
        <f t="array" ref="E391">_xlfn.XLOOKUP(Table117821341[[#This Row],[Team]],Table4334[Team],'2425'!$C$3:$C$34)</f>
        <v>n/a</v>
      </c>
      <c r="F391" s="97" t="str">
        <f>_xlfn.XLOOKUP(Table117821341[[#This Row],[Team]],Table4334[Team],Table4334[OPP])</f>
        <v>n/a</v>
      </c>
      <c r="G391" s="148" t="str" cm="1">
        <f t="array" ref="G391">IF(Table117821341[[#This Row],[Pos.]]="QB1",_xlfn.XLOOKUP(Table117821341[[#This Row],[Opp]],Table123[DEF],'2425'!$G$3:$G$34),"#N/A")</f>
        <v>#N/A</v>
      </c>
      <c r="H391" s="148" t="str" cm="1">
        <f t="array" ref="H391">IF(Table117821341[[#This Row],[Pos.]]="QB1",_xlfn.XLOOKUP(Table117821341[[#This Row],[Opp]],Table123[DEF],'2425'!$J$3:$J$34),"#N/A")</f>
        <v>#N/A</v>
      </c>
      <c r="I391" s="148" t="str" cm="1">
        <f t="array" ref="I391">IF(Table117821341[[#This Row],[Pos.]]="QB1",_xlfn.XLOOKUP(Table117821341[[#This Row],[Opp]],Table123[DEF],'2425'!$K$3:$K$34),"#N/A")</f>
        <v>#N/A</v>
      </c>
      <c r="J391" s="148" t="e" cm="1">
        <f t="array" ref="J39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1" s="148" t="e" cm="1">
        <f t="array" ref="K39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1" s="148" t="e" cm="1">
        <f t="array" ref="L39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1" s="148" t="e" cm="1">
        <f t="array" ref="M39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1" s="148" t="e" cm="1">
        <f t="array" ref="N39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1" s="149" t="str">
        <f>IF(Table117821341[[#This Row],[Pos.]]="QB1",_xlfn.XLOOKUP(Table117821341[[#This Row],[Opp]],Table123[DEF],Table123[P]),"#N/A")</f>
        <v>#N/A</v>
      </c>
      <c r="P391" s="149" t="str">
        <f>IF(Table117821341[[#This Row],[Pos.]]="QB1",_xlfn.XLOOKUP(Table117821341[[#This Row],[Opp]],Table123[DEF],Table123[P+R]),"#N/A")</f>
        <v>#N/A</v>
      </c>
      <c r="Q391" s="150" t="str">
        <f>IF(Table117821341[[#This Row],[Pos.]]="QB1",_xlfn.XLOOKUP(Table117821341[[#This Row],[Opp]],Table123[DEF],Table123[P TD]),"#N/A")</f>
        <v>#N/A</v>
      </c>
      <c r="R391" s="149" t="e" cm="1">
        <f t="array" ref="R39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1" s="150" t="e" cm="1">
        <f t="array" ref="S39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1" s="150" t="e" cm="1">
        <f t="array" ref="T39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1" s="150" t="e" cm="1">
        <f t="array" ref="U39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1" s="150" t="e" cm="1">
        <f t="array" ref="V39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1" s="148" t="e" cm="1">
        <f t="array" ref="W391">_xlfn.IFS(Table117821341[[#This Row],[Pos.]]="QB1",AVERAGE(G391,H391,I391,J391,N391),Table117821341[[#This Row],[Pos.]]="RB1",AVERAGE(J391,K391,N391),Table117821341[[#This Row],[Pos.]]="RB2",AVERAGE(J391,K391,N391),Table117821341[[#This Row],[Pos.]]="WR1",AVERAGE(L391,M391,N391),Table117821341[[#This Row],[Pos.]]="WR2",AVERAGE(L391,M391,N391),Table117821341[[#This Row],[Pos.]]="WR3",AVERAGE(L391,M391,N391),Table117821341[[#This Row],[Pos.]]="WR4",AVERAGE(L391,M391,N391),Table117821341[[#This Row],[Pos.]]="TE1",AVERAGE(L391,M391,N391),Table117821341[[#This Row],[Pos.]]="TE2",AVERAGE(L391,M391,N391),Table117821341[[#This Row],[Pos.]]="D/ST",AVERAGE(Table117821341[[#This Row],[*TD*]]))</f>
        <v>#N/A</v>
      </c>
      <c r="X391" s="94" t="e">
        <f t="shared" si="6"/>
        <v>#N/A</v>
      </c>
    </row>
    <row r="392" spans="2:24" hidden="1" x14ac:dyDescent="0.35">
      <c r="B392" s="6" t="s">
        <v>315</v>
      </c>
      <c r="C392" s="97" t="s">
        <v>47</v>
      </c>
      <c r="D392" s="97" t="s">
        <v>396</v>
      </c>
      <c r="E392" s="23" t="str" cm="1">
        <f t="array" ref="E392">_xlfn.XLOOKUP(Table117821341[[#This Row],[Team]],Table4334[Team],'2425'!$C$3:$C$34)</f>
        <v>n/a</v>
      </c>
      <c r="F392" s="97" t="str">
        <f>_xlfn.XLOOKUP(Table117821341[[#This Row],[Team]],Table4334[Team],Table4334[OPP])</f>
        <v>n/a</v>
      </c>
      <c r="G392" s="148" t="str" cm="1">
        <f t="array" ref="G392">IF(Table117821341[[#This Row],[Pos.]]="QB1",_xlfn.XLOOKUP(Table117821341[[#This Row],[Opp]],Table123[DEF],'2425'!$G$3:$G$34),"#N/A")</f>
        <v>#N/A</v>
      </c>
      <c r="H392" s="148" t="str" cm="1">
        <f t="array" ref="H392">IF(Table117821341[[#This Row],[Pos.]]="QB1",_xlfn.XLOOKUP(Table117821341[[#This Row],[Opp]],Table123[DEF],'2425'!$J$3:$J$34),"#N/A")</f>
        <v>#N/A</v>
      </c>
      <c r="I392" s="148" t="str" cm="1">
        <f t="array" ref="I392">IF(Table117821341[[#This Row],[Pos.]]="QB1",_xlfn.XLOOKUP(Table117821341[[#This Row],[Opp]],Table123[DEF],'2425'!$K$3:$K$34),"#N/A")</f>
        <v>#N/A</v>
      </c>
      <c r="J392" s="148" t="e" cm="1">
        <f t="array" ref="J39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2" s="148" t="e" cm="1">
        <f t="array" ref="K39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2" s="148" t="e" cm="1">
        <f t="array" ref="L39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2" s="148" t="e" cm="1">
        <f t="array" ref="M39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2" s="148" t="e" cm="1">
        <f t="array" ref="N39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2" s="149" t="str">
        <f>IF(Table117821341[[#This Row],[Pos.]]="QB1",_xlfn.XLOOKUP(Table117821341[[#This Row],[Opp]],Table123[DEF],Table123[P]),"#N/A")</f>
        <v>#N/A</v>
      </c>
      <c r="P392" s="149" t="str">
        <f>IF(Table117821341[[#This Row],[Pos.]]="QB1",_xlfn.XLOOKUP(Table117821341[[#This Row],[Opp]],Table123[DEF],Table123[P+R]),"#N/A")</f>
        <v>#N/A</v>
      </c>
      <c r="Q392" s="150" t="str">
        <f>IF(Table117821341[[#This Row],[Pos.]]="QB1",_xlfn.XLOOKUP(Table117821341[[#This Row],[Opp]],Table123[DEF],Table123[P TD]),"#N/A")</f>
        <v>#N/A</v>
      </c>
      <c r="R392" s="149" t="e" cm="1">
        <f t="array" ref="R39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2" s="150" t="e" cm="1">
        <f t="array" ref="S39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2" s="150" t="e" cm="1">
        <f t="array" ref="T39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2" s="150" t="e" cm="1">
        <f t="array" ref="U39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2" s="150" t="e" cm="1">
        <f t="array" ref="V39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2" s="148" t="e" cm="1">
        <f t="array" ref="W392">_xlfn.IFS(Table117821341[[#This Row],[Pos.]]="QB1",AVERAGE(G392,H392,I392,J392,N392),Table117821341[[#This Row],[Pos.]]="RB1",AVERAGE(J392,K392,N392),Table117821341[[#This Row],[Pos.]]="RB2",AVERAGE(J392,K392,N392),Table117821341[[#This Row],[Pos.]]="WR1",AVERAGE(L392,M392,N392),Table117821341[[#This Row],[Pos.]]="WR2",AVERAGE(L392,M392,N392),Table117821341[[#This Row],[Pos.]]="WR3",AVERAGE(L392,M392,N392),Table117821341[[#This Row],[Pos.]]="WR4",AVERAGE(L392,M392,N392),Table117821341[[#This Row],[Pos.]]="TE1",AVERAGE(L392,M392,N392),Table117821341[[#This Row],[Pos.]]="TE2",AVERAGE(L392,M392,N392),Table117821341[[#This Row],[Pos.]]="D/ST",AVERAGE(Table117821341[[#This Row],[*TD*]]))</f>
        <v>#N/A</v>
      </c>
      <c r="X392" s="94" t="e">
        <f t="shared" si="6"/>
        <v>#N/A</v>
      </c>
    </row>
    <row r="393" spans="2:24" hidden="1" x14ac:dyDescent="0.35">
      <c r="B393" s="6" t="s">
        <v>616</v>
      </c>
      <c r="C393" s="97" t="s">
        <v>47</v>
      </c>
      <c r="D393" s="97" t="s">
        <v>407</v>
      </c>
      <c r="E393" s="23" t="str" cm="1">
        <f t="array" ref="E393">_xlfn.XLOOKUP(Table117821341[[#This Row],[Team]],Table4334[Team],'2425'!$C$3:$C$34)</f>
        <v>n/a</v>
      </c>
      <c r="F393" s="97" t="str">
        <f>_xlfn.XLOOKUP(Table117821341[[#This Row],[Team]],Table4334[Team],Table4334[OPP])</f>
        <v>n/a</v>
      </c>
      <c r="G393" s="148" t="str" cm="1">
        <f t="array" ref="G393">IF(Table117821341[[#This Row],[Pos.]]="QB1",_xlfn.XLOOKUP(Table117821341[[#This Row],[Opp]],Table123[DEF],'2425'!$G$3:$G$34),"#N/A")</f>
        <v>#N/A</v>
      </c>
      <c r="H393" s="148" t="str" cm="1">
        <f t="array" ref="H393">IF(Table117821341[[#This Row],[Pos.]]="QB1",_xlfn.XLOOKUP(Table117821341[[#This Row],[Opp]],Table123[DEF],'2425'!$J$3:$J$34),"#N/A")</f>
        <v>#N/A</v>
      </c>
      <c r="I393" s="148" t="str" cm="1">
        <f t="array" ref="I393">IF(Table117821341[[#This Row],[Pos.]]="QB1",_xlfn.XLOOKUP(Table117821341[[#This Row],[Opp]],Table123[DEF],'2425'!$K$3:$K$34),"#N/A")</f>
        <v>#N/A</v>
      </c>
      <c r="J393" s="148" t="e" cm="1">
        <f t="array" ref="J39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3" s="148" t="e" cm="1">
        <f t="array" ref="K39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3" s="148" t="e" cm="1">
        <f t="array" ref="L39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3" s="148" t="e" cm="1">
        <f t="array" ref="M39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3" s="148" t="e" cm="1">
        <f t="array" ref="N39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3" s="149" t="str">
        <f>IF(Table117821341[[#This Row],[Pos.]]="QB1",_xlfn.XLOOKUP(Table117821341[[#This Row],[Opp]],Table123[DEF],Table123[P]),"#N/A")</f>
        <v>#N/A</v>
      </c>
      <c r="P393" s="149" t="str">
        <f>IF(Table117821341[[#This Row],[Pos.]]="QB1",_xlfn.XLOOKUP(Table117821341[[#This Row],[Opp]],Table123[DEF],Table123[P+R]),"#N/A")</f>
        <v>#N/A</v>
      </c>
      <c r="Q393" s="150" t="str">
        <f>IF(Table117821341[[#This Row],[Pos.]]="QB1",_xlfn.XLOOKUP(Table117821341[[#This Row],[Opp]],Table123[DEF],Table123[P TD]),"#N/A")</f>
        <v>#N/A</v>
      </c>
      <c r="R393" s="149" t="e" cm="1">
        <f t="array" ref="R39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3" s="150" t="e" cm="1">
        <f t="array" ref="S39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3" s="150" t="e" cm="1">
        <f t="array" ref="T39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3" s="150" t="e" cm="1">
        <f t="array" ref="U39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3" s="150" t="e" cm="1">
        <f t="array" ref="V39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3" s="148" t="e" cm="1">
        <f t="array" ref="W393">_xlfn.IFS(Table117821341[[#This Row],[Pos.]]="QB1",AVERAGE(G393,H393,I393,J393,N393),Table117821341[[#This Row],[Pos.]]="RB1",AVERAGE(J393,K393,N393),Table117821341[[#This Row],[Pos.]]="RB2",AVERAGE(J393,K393,N393),Table117821341[[#This Row],[Pos.]]="WR1",AVERAGE(L393,M393,N393),Table117821341[[#This Row],[Pos.]]="WR2",AVERAGE(L393,M393,N393),Table117821341[[#This Row],[Pos.]]="WR3",AVERAGE(L393,M393,N393),Table117821341[[#This Row],[Pos.]]="WR4",AVERAGE(L393,M393,N393),Table117821341[[#This Row],[Pos.]]="TE1",AVERAGE(L393,M393,N393),Table117821341[[#This Row],[Pos.]]="TE2",AVERAGE(L393,M393,N393),Table117821341[[#This Row],[Pos.]]="D/ST",AVERAGE(Table117821341[[#This Row],[*TD*]]))</f>
        <v>#N/A</v>
      </c>
      <c r="X393" s="94" t="e">
        <f t="shared" si="6"/>
        <v>#N/A</v>
      </c>
    </row>
    <row r="394" spans="2:24" hidden="1" x14ac:dyDescent="0.35">
      <c r="B394" s="6" t="s">
        <v>131</v>
      </c>
      <c r="C394" s="97" t="s">
        <v>29</v>
      </c>
      <c r="D394" s="97" t="s">
        <v>397</v>
      </c>
      <c r="E394" s="23" t="str" cm="1">
        <f t="array" ref="E394">_xlfn.XLOOKUP(Table117821341[[#This Row],[Team]],Table4334[Team],'2425'!$C$3:$C$34)</f>
        <v>n/a</v>
      </c>
      <c r="F394" s="97" t="str">
        <f>_xlfn.XLOOKUP(Table117821341[[#This Row],[Team]],Table4334[Team],Table4334[OPP])</f>
        <v>n/a</v>
      </c>
      <c r="G394" s="148" t="str" cm="1">
        <f t="array" ref="G394">IF(Table117821341[[#This Row],[Pos.]]="QB1",_xlfn.XLOOKUP(Table117821341[[#This Row],[Opp]],Table123[DEF],'2425'!$G$3:$G$34),"#N/A")</f>
        <v>#N/A</v>
      </c>
      <c r="H394" s="148" t="str" cm="1">
        <f t="array" ref="H394">IF(Table117821341[[#This Row],[Pos.]]="QB1",_xlfn.XLOOKUP(Table117821341[[#This Row],[Opp]],Table123[DEF],'2425'!$J$3:$J$34),"#N/A")</f>
        <v>#N/A</v>
      </c>
      <c r="I394" s="148" t="str" cm="1">
        <f t="array" ref="I394">IF(Table117821341[[#This Row],[Pos.]]="QB1",_xlfn.XLOOKUP(Table117821341[[#This Row],[Opp]],Table123[DEF],'2425'!$K$3:$K$34),"#N/A")</f>
        <v>#N/A</v>
      </c>
      <c r="J394" s="148" t="e" cm="1">
        <f t="array" ref="J39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4" s="148" t="e" cm="1">
        <f t="array" ref="K39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4" s="148" t="e" cm="1">
        <f t="array" ref="L39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4" s="148" t="e" cm="1">
        <f t="array" ref="M39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4" s="148" t="e" cm="1">
        <f t="array" ref="N39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4" s="149" t="str">
        <f>IF(Table117821341[[#This Row],[Pos.]]="QB1",_xlfn.XLOOKUP(Table117821341[[#This Row],[Opp]],Table123[DEF],Table123[P]),"#N/A")</f>
        <v>#N/A</v>
      </c>
      <c r="P394" s="149" t="str">
        <f>IF(Table117821341[[#This Row],[Pos.]]="QB1",_xlfn.XLOOKUP(Table117821341[[#This Row],[Opp]],Table123[DEF],Table123[P+R]),"#N/A")</f>
        <v>#N/A</v>
      </c>
      <c r="Q394" s="150" t="str">
        <f>IF(Table117821341[[#This Row],[Pos.]]="QB1",_xlfn.XLOOKUP(Table117821341[[#This Row],[Opp]],Table123[DEF],Table123[P TD]),"#N/A")</f>
        <v>#N/A</v>
      </c>
      <c r="R394" s="149" t="e" cm="1">
        <f t="array" ref="R39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4" s="150" t="e" cm="1">
        <f t="array" ref="S39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4" s="150" t="e" cm="1">
        <f t="array" ref="T39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4" s="150" t="e" cm="1">
        <f t="array" ref="U39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4" s="162" t="e" cm="1">
        <f t="array" ref="V39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4" s="148" t="e" cm="1">
        <f t="array" ref="W394">_xlfn.IFS(Table117821341[[#This Row],[Pos.]]="QB1",AVERAGE(G394,H394,I394,J394,N394),Table117821341[[#This Row],[Pos.]]="RB1",AVERAGE(J394,K394,N394),Table117821341[[#This Row],[Pos.]]="RB2",AVERAGE(J394,K394,N394),Table117821341[[#This Row],[Pos.]]="WR1",AVERAGE(L394,M394,N394),Table117821341[[#This Row],[Pos.]]="WR2",AVERAGE(L394,M394,N394),Table117821341[[#This Row],[Pos.]]="WR3",AVERAGE(L394,M394,N394),Table117821341[[#This Row],[Pos.]]="WR4",AVERAGE(L394,M394,N394),Table117821341[[#This Row],[Pos.]]="TE1",AVERAGE(L394,M394,N394),Table117821341[[#This Row],[Pos.]]="TE2",AVERAGE(L394,M394,N394),Table117821341[[#This Row],[Pos.]]="D/ST",AVERAGE(Table117821341[[#This Row],[*TD*]]))</f>
        <v>#N/A</v>
      </c>
      <c r="X394" s="94" t="e">
        <f t="shared" si="6"/>
        <v>#N/A</v>
      </c>
    </row>
    <row r="395" spans="2:24" hidden="1" x14ac:dyDescent="0.35">
      <c r="B395" s="6" t="s">
        <v>290</v>
      </c>
      <c r="C395" s="97" t="s">
        <v>47</v>
      </c>
      <c r="D395" s="97" t="s">
        <v>398</v>
      </c>
      <c r="E395" s="23" t="str" cm="1">
        <f t="array" ref="E395">_xlfn.XLOOKUP(Table117821341[[#This Row],[Team]],Table4334[Team],'2425'!$C$3:$C$34)</f>
        <v>n/a</v>
      </c>
      <c r="F395" s="97" t="str">
        <f>_xlfn.XLOOKUP(Table117821341[[#This Row],[Team]],Table4334[Team],Table4334[OPP])</f>
        <v>n/a</v>
      </c>
      <c r="G395" s="148" t="str" cm="1">
        <f t="array" ref="G395">IF(Table117821341[[#This Row],[Pos.]]="QB1",_xlfn.XLOOKUP(Table117821341[[#This Row],[Opp]],Table123[DEF],'2425'!$G$3:$G$34),"#N/A")</f>
        <v>#N/A</v>
      </c>
      <c r="H395" s="148" t="str" cm="1">
        <f t="array" ref="H395">IF(Table117821341[[#This Row],[Pos.]]="QB1",_xlfn.XLOOKUP(Table117821341[[#This Row],[Opp]],Table123[DEF],'2425'!$J$3:$J$34),"#N/A")</f>
        <v>#N/A</v>
      </c>
      <c r="I395" s="148" t="str" cm="1">
        <f t="array" ref="I395">IF(Table117821341[[#This Row],[Pos.]]="QB1",_xlfn.XLOOKUP(Table117821341[[#This Row],[Opp]],Table123[DEF],'2425'!$K$3:$K$34),"#N/A")</f>
        <v>#N/A</v>
      </c>
      <c r="J395" s="148" t="e" cm="1">
        <f t="array" ref="J39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5" s="148" t="e" cm="1">
        <f t="array" ref="K39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5" s="148" t="e" cm="1">
        <f t="array" ref="L39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5" s="148" t="e" cm="1">
        <f t="array" ref="M39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5" s="148" t="e" cm="1">
        <f t="array" ref="N39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5" s="149" t="str">
        <f>IF(Table117821341[[#This Row],[Pos.]]="QB1",_xlfn.XLOOKUP(Table117821341[[#This Row],[Opp]],Table123[DEF],Table123[P]),"#N/A")</f>
        <v>#N/A</v>
      </c>
      <c r="P395" s="149" t="str">
        <f>IF(Table117821341[[#This Row],[Pos.]]="QB1",_xlfn.XLOOKUP(Table117821341[[#This Row],[Opp]],Table123[DEF],Table123[P+R]),"#N/A")</f>
        <v>#N/A</v>
      </c>
      <c r="Q395" s="150" t="str">
        <f>IF(Table117821341[[#This Row],[Pos.]]="QB1",_xlfn.XLOOKUP(Table117821341[[#This Row],[Opp]],Table123[DEF],Table123[P TD]),"#N/A")</f>
        <v>#N/A</v>
      </c>
      <c r="R395" s="149" t="e" cm="1">
        <f t="array" ref="R39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5" s="150" t="e" cm="1">
        <f t="array" ref="S39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5" s="150" t="e" cm="1">
        <f t="array" ref="T39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5" s="150" t="e" cm="1">
        <f t="array" ref="U39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5" s="150" t="e" cm="1">
        <f t="array" ref="V39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5" s="148" t="e" cm="1">
        <f t="array" ref="W395">_xlfn.IFS(Table117821341[[#This Row],[Pos.]]="QB1",AVERAGE(G395,H395,I395,J395,N395),Table117821341[[#This Row],[Pos.]]="RB1",AVERAGE(J395,K395,N395),Table117821341[[#This Row],[Pos.]]="RB2",AVERAGE(J395,K395,N395),Table117821341[[#This Row],[Pos.]]="WR1",AVERAGE(L395,M395,N395),Table117821341[[#This Row],[Pos.]]="WR2",AVERAGE(L395,M395,N395),Table117821341[[#This Row],[Pos.]]="WR3",AVERAGE(L395,M395,N395),Table117821341[[#This Row],[Pos.]]="WR4",AVERAGE(L395,M395,N395),Table117821341[[#This Row],[Pos.]]="TE1",AVERAGE(L395,M395,N395),Table117821341[[#This Row],[Pos.]]="TE2",AVERAGE(L395,M395,N395),Table117821341[[#This Row],[Pos.]]="D/ST",AVERAGE(Table117821341[[#This Row],[*TD*]]))</f>
        <v>#N/A</v>
      </c>
      <c r="X395" s="94" t="e">
        <f t="shared" si="6"/>
        <v>#N/A</v>
      </c>
    </row>
    <row r="396" spans="2:24" hidden="1" x14ac:dyDescent="0.35">
      <c r="B396" s="6" t="s">
        <v>623</v>
      </c>
      <c r="C396" s="97" t="s">
        <v>47</v>
      </c>
      <c r="D396" s="97" t="s">
        <v>430</v>
      </c>
      <c r="E396" s="23" t="str" cm="1">
        <f t="array" ref="E396">_xlfn.XLOOKUP(Table117821341[[#This Row],[Team]],Table4334[Team],'2425'!$C$3:$C$34)</f>
        <v>n/a</v>
      </c>
      <c r="F396" s="97" t="str">
        <f>_xlfn.XLOOKUP(Table117821341[[#This Row],[Team]],Table4334[Team],Table4334[OPP])</f>
        <v>n/a</v>
      </c>
      <c r="G396" s="148" t="str" cm="1">
        <f t="array" ref="G396">IF(Table117821341[[#This Row],[Pos.]]="QB1",_xlfn.XLOOKUP(Table117821341[[#This Row],[Opp]],Table123[DEF],'2425'!$G$3:$G$34),"#N/A")</f>
        <v>#N/A</v>
      </c>
      <c r="H396" s="148" t="str" cm="1">
        <f t="array" ref="H396">IF(Table117821341[[#This Row],[Pos.]]="QB1",_xlfn.XLOOKUP(Table117821341[[#This Row],[Opp]],Table123[DEF],'2425'!$J$3:$J$34),"#N/A")</f>
        <v>#N/A</v>
      </c>
      <c r="I396" s="148" t="str" cm="1">
        <f t="array" ref="I396">IF(Table117821341[[#This Row],[Pos.]]="QB1",_xlfn.XLOOKUP(Table117821341[[#This Row],[Opp]],Table123[DEF],'2425'!$K$3:$K$34),"#N/A")</f>
        <v>#N/A</v>
      </c>
      <c r="J396" s="148" t="e" cm="1">
        <f t="array" ref="J39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6" s="148" t="e" cm="1">
        <f t="array" ref="K39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6" s="148" t="e" cm="1">
        <f t="array" ref="L39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6" s="148" t="e" cm="1">
        <f t="array" ref="M39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6" s="148" t="e" cm="1">
        <f t="array" ref="N39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6" s="149" t="str">
        <f>IF(Table117821341[[#This Row],[Pos.]]="QB1",_xlfn.XLOOKUP(Table117821341[[#This Row],[Opp]],Table123[DEF],Table123[P]),"#N/A")</f>
        <v>#N/A</v>
      </c>
      <c r="P396" s="149" t="str">
        <f>IF(Table117821341[[#This Row],[Pos.]]="QB1",_xlfn.XLOOKUP(Table117821341[[#This Row],[Opp]],Table123[DEF],Table123[P+R]),"#N/A")</f>
        <v>#N/A</v>
      </c>
      <c r="Q396" s="150" t="str">
        <f>IF(Table117821341[[#This Row],[Pos.]]="QB1",_xlfn.XLOOKUP(Table117821341[[#This Row],[Opp]],Table123[DEF],Table123[P TD]),"#N/A")</f>
        <v>#N/A</v>
      </c>
      <c r="R396" s="149" t="e" cm="1">
        <f t="array" ref="R39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6" s="150" t="e" cm="1">
        <f t="array" ref="S39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6" s="150" t="e" cm="1">
        <f t="array" ref="T39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6" s="150" t="e" cm="1">
        <f t="array" ref="U39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6" s="150" t="e" cm="1">
        <f t="array" ref="V39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6" s="148" t="e" cm="1">
        <f t="array" ref="W396">_xlfn.IFS(Table117821341[[#This Row],[Pos.]]="QB1",AVERAGE(G396,H396,I396,J396,N396),Table117821341[[#This Row],[Pos.]]="RB1",AVERAGE(J396,K396,N396),Table117821341[[#This Row],[Pos.]]="RB2",AVERAGE(J396,K396,N396),Table117821341[[#This Row],[Pos.]]="WR1",AVERAGE(L396,M396,N396),Table117821341[[#This Row],[Pos.]]="WR2",AVERAGE(L396,M396,N396),Table117821341[[#This Row],[Pos.]]="WR3",AVERAGE(L396,M396,N396),Table117821341[[#This Row],[Pos.]]="WR4",AVERAGE(L396,M396,N396),Table117821341[[#This Row],[Pos.]]="TE1",AVERAGE(L396,M396,N396),Table117821341[[#This Row],[Pos.]]="TE2",AVERAGE(L396,M396,N396),Table117821341[[#This Row],[Pos.]]="D/ST",AVERAGE(Table117821341[[#This Row],[*TD*]]))</f>
        <v>#N/A</v>
      </c>
      <c r="X396" s="94" t="e">
        <f t="shared" si="6"/>
        <v>#N/A</v>
      </c>
    </row>
    <row r="397" spans="2:24" hidden="1" x14ac:dyDescent="0.35">
      <c r="B397" s="6" t="s">
        <v>622</v>
      </c>
      <c r="C397" s="97" t="s">
        <v>47</v>
      </c>
      <c r="D397" s="97" t="s">
        <v>435</v>
      </c>
      <c r="E397" s="23" t="str" cm="1">
        <f t="array" ref="E397">_xlfn.XLOOKUP(Table117821341[[#This Row],[Team]],Table4334[Team],'2425'!$C$3:$C$34)</f>
        <v>n/a</v>
      </c>
      <c r="F397" s="97" t="str">
        <f>_xlfn.XLOOKUP(Table117821341[[#This Row],[Team]],Table4334[Team],Table4334[OPP])</f>
        <v>n/a</v>
      </c>
      <c r="G397" s="148" t="str" cm="1">
        <f t="array" ref="G397">IF(Table117821341[[#This Row],[Pos.]]="QB1",_xlfn.XLOOKUP(Table117821341[[#This Row],[Opp]],Table123[DEF],'2425'!$G$3:$G$34),"#N/A")</f>
        <v>#N/A</v>
      </c>
      <c r="H397" s="148" t="str" cm="1">
        <f t="array" ref="H397">IF(Table117821341[[#This Row],[Pos.]]="QB1",_xlfn.XLOOKUP(Table117821341[[#This Row],[Opp]],Table123[DEF],'2425'!$J$3:$J$34),"#N/A")</f>
        <v>#N/A</v>
      </c>
      <c r="I397" s="148" t="str" cm="1">
        <f t="array" ref="I397">IF(Table117821341[[#This Row],[Pos.]]="QB1",_xlfn.XLOOKUP(Table117821341[[#This Row],[Opp]],Table123[DEF],'2425'!$K$3:$K$34),"#N/A")</f>
        <v>#N/A</v>
      </c>
      <c r="J397" s="148" t="e" cm="1">
        <f t="array" ref="J39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7" s="148" t="e" cm="1">
        <f t="array" ref="K39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7" s="148" t="e" cm="1">
        <f t="array" ref="L39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7" s="148" t="e" cm="1">
        <f t="array" ref="M39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7" s="148" t="e" cm="1">
        <f t="array" ref="N39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7" s="149" t="str">
        <f>IF(Table117821341[[#This Row],[Pos.]]="QB1",_xlfn.XLOOKUP(Table117821341[[#This Row],[Opp]],Table123[DEF],Table123[P]),"#N/A")</f>
        <v>#N/A</v>
      </c>
      <c r="P397" s="149" t="str">
        <f>IF(Table117821341[[#This Row],[Pos.]]="QB1",_xlfn.XLOOKUP(Table117821341[[#This Row],[Opp]],Table123[DEF],Table123[P+R]),"#N/A")</f>
        <v>#N/A</v>
      </c>
      <c r="Q397" s="150" t="str">
        <f>IF(Table117821341[[#This Row],[Pos.]]="QB1",_xlfn.XLOOKUP(Table117821341[[#This Row],[Opp]],Table123[DEF],Table123[P TD]),"#N/A")</f>
        <v>#N/A</v>
      </c>
      <c r="R397" s="149" t="e" cm="1">
        <f t="array" ref="R39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7" s="150" t="e" cm="1">
        <f t="array" ref="S39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7" s="150" t="e" cm="1">
        <f t="array" ref="T39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7" s="150" t="e" cm="1">
        <f t="array" ref="U39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7" s="150" t="e" cm="1">
        <f t="array" ref="V39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7" s="148" t="e" cm="1">
        <f t="array" ref="W397">_xlfn.IFS(Table117821341[[#This Row],[Pos.]]="QB1",AVERAGE(G397,H397,I397,J397,N397),Table117821341[[#This Row],[Pos.]]="RB1",AVERAGE(J397,K397,N397),Table117821341[[#This Row],[Pos.]]="RB2",AVERAGE(J397,K397,N397),Table117821341[[#This Row],[Pos.]]="WR1",AVERAGE(L397,M397,N397),Table117821341[[#This Row],[Pos.]]="WR2",AVERAGE(L397,M397,N397),Table117821341[[#This Row],[Pos.]]="WR3",AVERAGE(L397,M397,N397),Table117821341[[#This Row],[Pos.]]="WR4",AVERAGE(L397,M397,N397),Table117821341[[#This Row],[Pos.]]="TE1",AVERAGE(L397,M397,N397),Table117821341[[#This Row],[Pos.]]="TE2",AVERAGE(L397,M397,N397),Table117821341[[#This Row],[Pos.]]="D/ST",AVERAGE(Table117821341[[#This Row],[*TD*]]))</f>
        <v>#N/A</v>
      </c>
      <c r="X397" s="94" t="e">
        <f t="shared" si="6"/>
        <v>#N/A</v>
      </c>
    </row>
    <row r="398" spans="2:24" x14ac:dyDescent="0.35">
      <c r="B398" s="6" t="s">
        <v>307</v>
      </c>
      <c r="C398" s="97" t="s">
        <v>46</v>
      </c>
      <c r="D398" s="97" t="s">
        <v>397</v>
      </c>
      <c r="E398" s="23" t="str" cm="1">
        <f t="array" ref="E398">_xlfn.XLOOKUP(Table117821341[[#This Row],[Team]],Table4334[Team],'2425'!$C$3:$C$34)</f>
        <v>SB LX</v>
      </c>
      <c r="F398" s="97" t="str">
        <f>_xlfn.XLOOKUP(Table117821341[[#This Row],[Team]],Table4334[Team],Table4334[OPP])</f>
        <v>SEA</v>
      </c>
      <c r="G398" s="148" t="str" cm="1">
        <f t="array" ref="G398">IF(Table117821341[[#This Row],[Pos.]]="QB1",_xlfn.XLOOKUP(Table117821341[[#This Row],[Opp]],Table123[DEF],'2425'!$G$3:$G$34),"#N/A")</f>
        <v>#N/A</v>
      </c>
      <c r="H398" s="148" t="str" cm="1">
        <f t="array" ref="H398">IF(Table117821341[[#This Row],[Pos.]]="QB1",_xlfn.XLOOKUP(Table117821341[[#This Row],[Opp]],Table123[DEF],'2425'!$J$3:$J$34),"#N/A")</f>
        <v>#N/A</v>
      </c>
      <c r="I398" s="148" t="str" cm="1">
        <f t="array" ref="I398">IF(Table117821341[[#This Row],[Pos.]]="QB1",_xlfn.XLOOKUP(Table117821341[[#This Row],[Opp]],Table123[DEF],'2425'!$K$3:$K$34),"#N/A")</f>
        <v>#N/A</v>
      </c>
      <c r="J398" s="148" t="e" cm="1">
        <f t="array" ref="J39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8" s="148" t="e" cm="1">
        <f t="array" ref="K39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8" s="148" cm="1">
        <f t="array" ref="L39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9</v>
      </c>
      <c r="M398" s="148" cm="1">
        <f t="array" ref="M39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7</v>
      </c>
      <c r="N398" s="148" cm="1">
        <f t="array" ref="N39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25</v>
      </c>
      <c r="O398" s="149" t="str">
        <f>IF(Table117821341[[#This Row],[Pos.]]="QB1",_xlfn.XLOOKUP(Table117821341[[#This Row],[Opp]],Table123[DEF],Table123[P]),"#N/A")</f>
        <v>#N/A</v>
      </c>
      <c r="P398" s="149" t="str">
        <f>IF(Table117821341[[#This Row],[Pos.]]="QB1",_xlfn.XLOOKUP(Table117821341[[#This Row],[Opp]],Table123[DEF],Table123[P+R]),"#N/A")</f>
        <v>#N/A</v>
      </c>
      <c r="Q398" s="150" t="str">
        <f>IF(Table117821341[[#This Row],[Pos.]]="QB1",_xlfn.XLOOKUP(Table117821341[[#This Row],[Opp]],Table123[DEF],Table123[P TD]),"#N/A")</f>
        <v>#N/A</v>
      </c>
      <c r="R398" s="149" t="e" cm="1">
        <f t="array" ref="R39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8" s="150" t="e" cm="1">
        <f t="array" ref="S39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8" s="150" cm="1">
        <f t="array" ref="T39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5.617647058823529</v>
      </c>
      <c r="U398" s="150" cm="1">
        <f t="array" ref="U39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57.941176470588232</v>
      </c>
      <c r="V398" s="162" cm="1">
        <f t="array" ref="V39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0.29411764705882348</v>
      </c>
      <c r="W398" s="148" cm="1">
        <f t="array" ref="W398">_xlfn.IFS(Table117821341[[#This Row],[Pos.]]="QB1",AVERAGE(G398,H398,I398,J398,N398),Table117821341[[#This Row],[Pos.]]="RB1",AVERAGE(J398,K398,N398),Table117821341[[#This Row],[Pos.]]="RB2",AVERAGE(J398,K398,N398),Table117821341[[#This Row],[Pos.]]="WR1",AVERAGE(L398,M398,N398),Table117821341[[#This Row],[Pos.]]="WR2",AVERAGE(L398,M398,N398),Table117821341[[#This Row],[Pos.]]="WR3",AVERAGE(L398,M398,N398),Table117821341[[#This Row],[Pos.]]="WR4",AVERAGE(L398,M398,N398),Table117821341[[#This Row],[Pos.]]="TE1",AVERAGE(L398,M398,N398),Table117821341[[#This Row],[Pos.]]="TE2",AVERAGE(L398,M398,N398),Table117821341[[#This Row],[Pos.]]="D/ST",AVERAGE(Table117821341[[#This Row],[*TD*]]))</f>
        <v>13.666666666666666</v>
      </c>
      <c r="X398" s="94">
        <f t="shared" si="6"/>
        <v>19.333333333333332</v>
      </c>
    </row>
    <row r="399" spans="2:24" hidden="1" x14ac:dyDescent="0.35">
      <c r="B399" s="6" t="s">
        <v>281</v>
      </c>
      <c r="C399" s="97" t="s">
        <v>39</v>
      </c>
      <c r="D399" s="97" t="s">
        <v>67</v>
      </c>
      <c r="E399" s="23" t="str" cm="1">
        <f t="array" ref="E399">_xlfn.XLOOKUP(Table117821341[[#This Row],[Team]],Table4334[Team],'2425'!$C$3:$C$34)</f>
        <v>n/a</v>
      </c>
      <c r="F399" s="97" t="str">
        <f>_xlfn.XLOOKUP(Table117821341[[#This Row],[Team]],Table4334[Team],Table4334[OPP])</f>
        <v>n/a</v>
      </c>
      <c r="G399" s="148" t="str" cm="1">
        <f t="array" ref="G399">IF(Table117821341[[#This Row],[Pos.]]="QB1",_xlfn.XLOOKUP(Table117821341[[#This Row],[Opp]],Table123[DEF],'2425'!$G$3:$G$34),"#N/A")</f>
        <v>#N/A</v>
      </c>
      <c r="H399" s="148" t="str" cm="1">
        <f t="array" ref="H399">IF(Table117821341[[#This Row],[Pos.]]="QB1",_xlfn.XLOOKUP(Table117821341[[#This Row],[Opp]],Table123[DEF],'2425'!$J$3:$J$34),"#N/A")</f>
        <v>#N/A</v>
      </c>
      <c r="I399" s="148" t="str" cm="1">
        <f t="array" ref="I399">IF(Table117821341[[#This Row],[Pos.]]="QB1",_xlfn.XLOOKUP(Table117821341[[#This Row],[Opp]],Table123[DEF],'2425'!$K$3:$K$34),"#N/A")</f>
        <v>#N/A</v>
      </c>
      <c r="J399" s="148" t="e" cm="1">
        <f t="array" ref="J39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399" s="148" t="e" cm="1">
        <f t="array" ref="K39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399" s="148" t="e" cm="1">
        <f t="array" ref="L39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399" s="148" t="e" cm="1">
        <f t="array" ref="M39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399" s="148" t="e" cm="1">
        <f t="array" ref="N39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399" s="149" t="str">
        <f>IF(Table117821341[[#This Row],[Pos.]]="QB1",_xlfn.XLOOKUP(Table117821341[[#This Row],[Opp]],Table123[DEF],Table123[P]),"#N/A")</f>
        <v>#N/A</v>
      </c>
      <c r="P399" s="149" t="str">
        <f>IF(Table117821341[[#This Row],[Pos.]]="QB1",_xlfn.XLOOKUP(Table117821341[[#This Row],[Opp]],Table123[DEF],Table123[P+R]),"#N/A")</f>
        <v>#N/A</v>
      </c>
      <c r="Q399" s="150" t="str">
        <f>IF(Table117821341[[#This Row],[Pos.]]="QB1",_xlfn.XLOOKUP(Table117821341[[#This Row],[Opp]],Table123[DEF],Table123[P TD]),"#N/A")</f>
        <v>#N/A</v>
      </c>
      <c r="R399" s="149" t="e" cm="1">
        <f t="array" ref="R39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399" s="150" t="e" cm="1">
        <f t="array" ref="S39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399" s="150" t="e" cm="1">
        <f t="array" ref="T39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399" s="150" t="e" cm="1">
        <f t="array" ref="U39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399" s="162" t="e" cm="1">
        <f t="array" ref="V39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399" s="148" t="e" cm="1">
        <f t="array" ref="W399">_xlfn.IFS(Table117821341[[#This Row],[Pos.]]="QB1",AVERAGE(G399,H399,I399,J399,N399),Table117821341[[#This Row],[Pos.]]="RB1",AVERAGE(J399,K399,N399),Table117821341[[#This Row],[Pos.]]="RB2",AVERAGE(J399,K399,N399),Table117821341[[#This Row],[Pos.]]="WR1",AVERAGE(L399,M399,N399),Table117821341[[#This Row],[Pos.]]="WR2",AVERAGE(L399,M399,N399),Table117821341[[#This Row],[Pos.]]="WR3",AVERAGE(L399,M399,N399),Table117821341[[#This Row],[Pos.]]="WR4",AVERAGE(L399,M399,N399),Table117821341[[#This Row],[Pos.]]="TE1",AVERAGE(L399,M399,N399),Table117821341[[#This Row],[Pos.]]="TE2",AVERAGE(L399,M399,N399),Table117821341[[#This Row],[Pos.]]="D/ST",AVERAGE(Table117821341[[#This Row],[*TD*]]))</f>
        <v>#N/A</v>
      </c>
      <c r="X399" s="94" t="e">
        <f t="shared" si="6"/>
        <v>#N/A</v>
      </c>
    </row>
    <row r="400" spans="2:24" hidden="1" x14ac:dyDescent="0.35">
      <c r="B400" s="6" t="s">
        <v>346</v>
      </c>
      <c r="C400" s="97" t="s">
        <v>51</v>
      </c>
      <c r="D400" s="97" t="s">
        <v>397</v>
      </c>
      <c r="E400" s="23" t="str" cm="1">
        <f t="array" ref="E400">_xlfn.XLOOKUP(Table117821341[[#This Row],[Team]],Table4334[Team],'2425'!$C$3:$C$34)</f>
        <v>n/a</v>
      </c>
      <c r="F400" s="97" t="str">
        <f>_xlfn.XLOOKUP(Table117821341[[#This Row],[Team]],Table4334[Team],Table4334[OPP])</f>
        <v>n/a</v>
      </c>
      <c r="G400" s="148" t="str" cm="1">
        <f t="array" ref="G400">IF(Table117821341[[#This Row],[Pos.]]="QB1",_xlfn.XLOOKUP(Table117821341[[#This Row],[Opp]],Table123[DEF],'2425'!$G$3:$G$34),"#N/A")</f>
        <v>#N/A</v>
      </c>
      <c r="H400" s="148" t="str" cm="1">
        <f t="array" ref="H400">IF(Table117821341[[#This Row],[Pos.]]="QB1",_xlfn.XLOOKUP(Table117821341[[#This Row],[Opp]],Table123[DEF],'2425'!$J$3:$J$34),"#N/A")</f>
        <v>#N/A</v>
      </c>
      <c r="I400" s="148" t="str" cm="1">
        <f t="array" ref="I400">IF(Table117821341[[#This Row],[Pos.]]="QB1",_xlfn.XLOOKUP(Table117821341[[#This Row],[Opp]],Table123[DEF],'2425'!$K$3:$K$34),"#N/A")</f>
        <v>#N/A</v>
      </c>
      <c r="J400" s="148" t="e" cm="1">
        <f t="array" ref="J40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0" s="148" t="e" cm="1">
        <f t="array" ref="K40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0" s="148" t="e" cm="1">
        <f t="array" ref="L40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0" s="148" t="e" cm="1">
        <f t="array" ref="M40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0" s="148" t="e" cm="1">
        <f t="array" ref="N40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0" s="149" t="str">
        <f>IF(Table117821341[[#This Row],[Pos.]]="QB1",_xlfn.XLOOKUP(Table117821341[[#This Row],[Opp]],Table123[DEF],Table123[P]),"#N/A")</f>
        <v>#N/A</v>
      </c>
      <c r="P400" s="149" t="str">
        <f>IF(Table117821341[[#This Row],[Pos.]]="QB1",_xlfn.XLOOKUP(Table117821341[[#This Row],[Opp]],Table123[DEF],Table123[P+R]),"#N/A")</f>
        <v>#N/A</v>
      </c>
      <c r="Q400" s="150" t="str">
        <f>IF(Table117821341[[#This Row],[Pos.]]="QB1",_xlfn.XLOOKUP(Table117821341[[#This Row],[Opp]],Table123[DEF],Table123[P TD]),"#N/A")</f>
        <v>#N/A</v>
      </c>
      <c r="R400" s="149" t="e" cm="1">
        <f t="array" ref="R40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0" s="150" t="e" cm="1">
        <f t="array" ref="S40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0" s="150" t="e" cm="1">
        <f t="array" ref="T40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0" s="150" t="e" cm="1">
        <f t="array" ref="U40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0" s="162" t="e" cm="1">
        <f t="array" ref="V40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0" s="148" t="e" cm="1">
        <f t="array" ref="W400">_xlfn.IFS(Table117821341[[#This Row],[Pos.]]="QB1",AVERAGE(G400,H400,I400,J400,N400),Table117821341[[#This Row],[Pos.]]="RB1",AVERAGE(J400,K400,N400),Table117821341[[#This Row],[Pos.]]="RB2",AVERAGE(J400,K400,N400),Table117821341[[#This Row],[Pos.]]="WR1",AVERAGE(L400,M400,N400),Table117821341[[#This Row],[Pos.]]="WR2",AVERAGE(L400,M400,N400),Table117821341[[#This Row],[Pos.]]="WR3",AVERAGE(L400,M400,N400),Table117821341[[#This Row],[Pos.]]="WR4",AVERAGE(L400,M400,N400),Table117821341[[#This Row],[Pos.]]="TE1",AVERAGE(L400,M400,N400),Table117821341[[#This Row],[Pos.]]="TE2",AVERAGE(L400,M400,N400),Table117821341[[#This Row],[Pos.]]="D/ST",AVERAGE(Table117821341[[#This Row],[*TD*]]))</f>
        <v>#N/A</v>
      </c>
      <c r="X400" s="94" t="e">
        <f t="shared" si="6"/>
        <v>#N/A</v>
      </c>
    </row>
    <row r="401" spans="2:24" hidden="1" x14ac:dyDescent="0.35">
      <c r="B401" s="6" t="s">
        <v>262</v>
      </c>
      <c r="C401" s="97" t="s">
        <v>41</v>
      </c>
      <c r="D401" s="97" t="s">
        <v>66</v>
      </c>
      <c r="E401" s="23" t="str" cm="1">
        <f t="array" ref="E401">_xlfn.XLOOKUP(Table117821341[[#This Row],[Team]],Table4334[Team],'2425'!$C$3:$C$34)</f>
        <v>n/a</v>
      </c>
      <c r="F401" s="97" t="str">
        <f>_xlfn.XLOOKUP(Table117821341[[#This Row],[Team]],Table4334[Team],Table4334[OPP])</f>
        <v>n/a</v>
      </c>
      <c r="G401" s="148" t="str" cm="1">
        <f t="array" ref="G401">IF(Table117821341[[#This Row],[Pos.]]="QB1",_xlfn.XLOOKUP(Table117821341[[#This Row],[Opp]],Table123[DEF],'2425'!$G$3:$G$34),"#N/A")</f>
        <v>#N/A</v>
      </c>
      <c r="H401" s="148" t="str" cm="1">
        <f t="array" ref="H401">IF(Table117821341[[#This Row],[Pos.]]="QB1",_xlfn.XLOOKUP(Table117821341[[#This Row],[Opp]],Table123[DEF],'2425'!$J$3:$J$34),"#N/A")</f>
        <v>#N/A</v>
      </c>
      <c r="I401" s="148" t="str" cm="1">
        <f t="array" ref="I401">IF(Table117821341[[#This Row],[Pos.]]="QB1",_xlfn.XLOOKUP(Table117821341[[#This Row],[Opp]],Table123[DEF],'2425'!$K$3:$K$34),"#N/A")</f>
        <v>#N/A</v>
      </c>
      <c r="J401" s="148" t="e" cm="1">
        <f t="array" ref="J40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1" s="148" t="e" cm="1">
        <f t="array" ref="K40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1" s="148" t="e" cm="1">
        <f t="array" ref="L40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1" s="148" t="e" cm="1">
        <f t="array" ref="M40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1" s="148" t="e" cm="1">
        <f t="array" ref="N40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1" s="149" t="str">
        <f>IF(Table117821341[[#This Row],[Pos.]]="QB1",_xlfn.XLOOKUP(Table117821341[[#This Row],[Opp]],Table123[DEF],Table123[P]),"#N/A")</f>
        <v>#N/A</v>
      </c>
      <c r="P401" s="149" t="str">
        <f>IF(Table117821341[[#This Row],[Pos.]]="QB1",_xlfn.XLOOKUP(Table117821341[[#This Row],[Opp]],Table123[DEF],Table123[P+R]),"#N/A")</f>
        <v>#N/A</v>
      </c>
      <c r="Q401" s="150" t="str">
        <f>IF(Table117821341[[#This Row],[Pos.]]="QB1",_xlfn.XLOOKUP(Table117821341[[#This Row],[Opp]],Table123[DEF],Table123[P TD]),"#N/A")</f>
        <v>#N/A</v>
      </c>
      <c r="R401" s="149" t="e" cm="1">
        <f t="array" ref="R40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1" s="150" t="e" cm="1">
        <f t="array" ref="S40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1" s="150" t="e" cm="1">
        <f t="array" ref="T40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1" s="150" t="e" cm="1">
        <f t="array" ref="U40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1" s="162" t="e" cm="1">
        <f t="array" ref="V40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1" s="148" t="e" cm="1">
        <f t="array" ref="W401">_xlfn.IFS(Table117821341[[#This Row],[Pos.]]="QB1",AVERAGE(G401,H401,I401,J401,N401),Table117821341[[#This Row],[Pos.]]="RB1",AVERAGE(J401,K401,N401),Table117821341[[#This Row],[Pos.]]="RB2",AVERAGE(J401,K401,N401),Table117821341[[#This Row],[Pos.]]="WR1",AVERAGE(L401,M401,N401),Table117821341[[#This Row],[Pos.]]="WR2",AVERAGE(L401,M401,N401),Table117821341[[#This Row],[Pos.]]="WR3",AVERAGE(L401,M401,N401),Table117821341[[#This Row],[Pos.]]="WR4",AVERAGE(L401,M401,N401),Table117821341[[#This Row],[Pos.]]="TE1",AVERAGE(L401,M401,N401),Table117821341[[#This Row],[Pos.]]="TE2",AVERAGE(L401,M401,N401),Table117821341[[#This Row],[Pos.]]="D/ST",AVERAGE(Table117821341[[#This Row],[*TD*]]))</f>
        <v>#N/A</v>
      </c>
      <c r="X401" s="94" t="e">
        <f t="shared" si="6"/>
        <v>#N/A</v>
      </c>
    </row>
    <row r="402" spans="2:24" hidden="1" x14ac:dyDescent="0.35">
      <c r="B402" s="6" t="s">
        <v>618</v>
      </c>
      <c r="C402" s="97" t="s">
        <v>47</v>
      </c>
      <c r="D402" s="97" t="s">
        <v>403</v>
      </c>
      <c r="E402" s="23" t="str" cm="1">
        <f t="array" ref="E402">_xlfn.XLOOKUP(Table117821341[[#This Row],[Team]],Table4334[Team],'2425'!$C$3:$C$34)</f>
        <v>n/a</v>
      </c>
      <c r="F402" s="97" t="str">
        <f>_xlfn.XLOOKUP(Table117821341[[#This Row],[Team]],Table4334[Team],Table4334[OPP])</f>
        <v>n/a</v>
      </c>
      <c r="G402" s="148" t="str" cm="1">
        <f t="array" ref="G402">IF(Table117821341[[#This Row],[Pos.]]="QB1",_xlfn.XLOOKUP(Table117821341[[#This Row],[Opp]],Table123[DEF],'2425'!$G$3:$G$34),"#N/A")</f>
        <v>#N/A</v>
      </c>
      <c r="H402" s="148" t="str" cm="1">
        <f t="array" ref="H402">IF(Table117821341[[#This Row],[Pos.]]="QB1",_xlfn.XLOOKUP(Table117821341[[#This Row],[Opp]],Table123[DEF],'2425'!$J$3:$J$34),"#N/A")</f>
        <v>#N/A</v>
      </c>
      <c r="I402" s="148" t="str" cm="1">
        <f t="array" ref="I402">IF(Table117821341[[#This Row],[Pos.]]="QB1",_xlfn.XLOOKUP(Table117821341[[#This Row],[Opp]],Table123[DEF],'2425'!$K$3:$K$34),"#N/A")</f>
        <v>#N/A</v>
      </c>
      <c r="J402" s="148" t="e" cm="1">
        <f t="array" ref="J40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2" s="148" t="e" cm="1">
        <f t="array" ref="K40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2" s="148" t="e" cm="1">
        <f t="array" ref="L40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2" s="148" t="e" cm="1">
        <f t="array" ref="M40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2" s="148" t="e" cm="1">
        <f t="array" ref="N40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2" s="149" t="str">
        <f>IF(Table117821341[[#This Row],[Pos.]]="QB1",_xlfn.XLOOKUP(Table117821341[[#This Row],[Opp]],Table123[DEF],Table123[P]),"#N/A")</f>
        <v>#N/A</v>
      </c>
      <c r="P402" s="149" t="str">
        <f>IF(Table117821341[[#This Row],[Pos.]]="QB1",_xlfn.XLOOKUP(Table117821341[[#This Row],[Opp]],Table123[DEF],Table123[P+R]),"#N/A")</f>
        <v>#N/A</v>
      </c>
      <c r="Q402" s="150" t="str">
        <f>IF(Table117821341[[#This Row],[Pos.]]="QB1",_xlfn.XLOOKUP(Table117821341[[#This Row],[Opp]],Table123[DEF],Table123[P TD]),"#N/A")</f>
        <v>#N/A</v>
      </c>
      <c r="R402" s="149" t="e" cm="1">
        <f t="array" ref="R40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2" s="150" t="e" cm="1">
        <f t="array" ref="S40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2" s="150" t="e" cm="1">
        <f t="array" ref="T40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2" s="150" t="e" cm="1">
        <f t="array" ref="U40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2" s="150" t="e" cm="1">
        <f t="array" ref="V40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2" s="148" t="e" cm="1">
        <f t="array" ref="W402">_xlfn.IFS(Table117821341[[#This Row],[Pos.]]="QB1",AVERAGE(G402,H402,I402,J402,N402),Table117821341[[#This Row],[Pos.]]="RB1",AVERAGE(J402,K402,N402),Table117821341[[#This Row],[Pos.]]="RB2",AVERAGE(J402,K402,N402),Table117821341[[#This Row],[Pos.]]="WR1",AVERAGE(L402,M402,N402),Table117821341[[#This Row],[Pos.]]="WR2",AVERAGE(L402,M402,N402),Table117821341[[#This Row],[Pos.]]="WR3",AVERAGE(L402,M402,N402),Table117821341[[#This Row],[Pos.]]="WR4",AVERAGE(L402,M402,N402),Table117821341[[#This Row],[Pos.]]="TE1",AVERAGE(L402,M402,N402),Table117821341[[#This Row],[Pos.]]="TE2",AVERAGE(L402,M402,N402),Table117821341[[#This Row],[Pos.]]="D/ST",AVERAGE(Table117821341[[#This Row],[*TD*]]))</f>
        <v>#N/A</v>
      </c>
      <c r="X402" s="94" t="e">
        <f t="shared" si="6"/>
        <v>#N/A</v>
      </c>
    </row>
    <row r="403" spans="2:24" hidden="1" x14ac:dyDescent="0.35">
      <c r="B403" s="6" t="s">
        <v>619</v>
      </c>
      <c r="C403" s="97" t="s">
        <v>47</v>
      </c>
      <c r="D403" s="97" t="s">
        <v>411</v>
      </c>
      <c r="E403" s="23" t="str" cm="1">
        <f t="array" ref="E403">_xlfn.XLOOKUP(Table117821341[[#This Row],[Team]],Table4334[Team],'2425'!$C$3:$C$34)</f>
        <v>n/a</v>
      </c>
      <c r="F403" s="97" t="str">
        <f>_xlfn.XLOOKUP(Table117821341[[#This Row],[Team]],Table4334[Team],Table4334[OPP])</f>
        <v>n/a</v>
      </c>
      <c r="G403" s="148" t="str" cm="1">
        <f t="array" ref="G403">IF(Table117821341[[#This Row],[Pos.]]="QB1",_xlfn.XLOOKUP(Table117821341[[#This Row],[Opp]],Table123[DEF],'2425'!$G$3:$G$34),"#N/A")</f>
        <v>#N/A</v>
      </c>
      <c r="H403" s="148" t="str" cm="1">
        <f t="array" ref="H403">IF(Table117821341[[#This Row],[Pos.]]="QB1",_xlfn.XLOOKUP(Table117821341[[#This Row],[Opp]],Table123[DEF],'2425'!$J$3:$J$34),"#N/A")</f>
        <v>#N/A</v>
      </c>
      <c r="I403" s="148" t="str" cm="1">
        <f t="array" ref="I403">IF(Table117821341[[#This Row],[Pos.]]="QB1",_xlfn.XLOOKUP(Table117821341[[#This Row],[Opp]],Table123[DEF],'2425'!$K$3:$K$34),"#N/A")</f>
        <v>#N/A</v>
      </c>
      <c r="J403" s="148" t="e" cm="1">
        <f t="array" ref="J40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3" s="148" t="e" cm="1">
        <f t="array" ref="K40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3" s="148" t="e" cm="1">
        <f t="array" ref="L40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3" s="148" t="e" cm="1">
        <f t="array" ref="M40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3" s="148" t="e" cm="1">
        <f t="array" ref="N40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3" s="149" t="str">
        <f>IF(Table117821341[[#This Row],[Pos.]]="QB1",_xlfn.XLOOKUP(Table117821341[[#This Row],[Opp]],Table123[DEF],Table123[P]),"#N/A")</f>
        <v>#N/A</v>
      </c>
      <c r="P403" s="149" t="str">
        <f>IF(Table117821341[[#This Row],[Pos.]]="QB1",_xlfn.XLOOKUP(Table117821341[[#This Row],[Opp]],Table123[DEF],Table123[P+R]),"#N/A")</f>
        <v>#N/A</v>
      </c>
      <c r="Q403" s="150" t="str">
        <f>IF(Table117821341[[#This Row],[Pos.]]="QB1",_xlfn.XLOOKUP(Table117821341[[#This Row],[Opp]],Table123[DEF],Table123[P TD]),"#N/A")</f>
        <v>#N/A</v>
      </c>
      <c r="R403" s="149" t="e" cm="1">
        <f t="array" ref="R40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3" s="150" t="e" cm="1">
        <f t="array" ref="S40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3" s="150" t="e" cm="1">
        <f t="array" ref="T40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3" s="150" t="e" cm="1">
        <f t="array" ref="U40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3" s="150" t="e" cm="1">
        <f t="array" ref="V40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3" s="148" t="e" cm="1">
        <f t="array" ref="W403">_xlfn.IFS(Table117821341[[#This Row],[Pos.]]="QB1",AVERAGE(G403,H403,I403,J403,N403),Table117821341[[#This Row],[Pos.]]="RB1",AVERAGE(J403,K403,N403),Table117821341[[#This Row],[Pos.]]="RB2",AVERAGE(J403,K403,N403),Table117821341[[#This Row],[Pos.]]="WR1",AVERAGE(L403,M403,N403),Table117821341[[#This Row],[Pos.]]="WR2",AVERAGE(L403,M403,N403),Table117821341[[#This Row],[Pos.]]="WR3",AVERAGE(L403,M403,N403),Table117821341[[#This Row],[Pos.]]="WR4",AVERAGE(L403,M403,N403),Table117821341[[#This Row],[Pos.]]="TE1",AVERAGE(L403,M403,N403),Table117821341[[#This Row],[Pos.]]="TE2",AVERAGE(L403,M403,N403),Table117821341[[#This Row],[Pos.]]="D/ST",AVERAGE(Table117821341[[#This Row],[*TD*]]))</f>
        <v>#N/A</v>
      </c>
      <c r="X403" s="94" t="e">
        <f t="shared" si="6"/>
        <v>#N/A</v>
      </c>
    </row>
    <row r="404" spans="2:24" hidden="1" x14ac:dyDescent="0.35">
      <c r="B404" s="6" t="s">
        <v>621</v>
      </c>
      <c r="C404" s="97" t="s">
        <v>47</v>
      </c>
      <c r="D404" s="97" t="s">
        <v>441</v>
      </c>
      <c r="E404" s="23" t="str" cm="1">
        <f t="array" ref="E404">_xlfn.XLOOKUP(Table117821341[[#This Row],[Team]],Table4334[Team],'2425'!$C$3:$C$34)</f>
        <v>n/a</v>
      </c>
      <c r="F404" s="97" t="str">
        <f>_xlfn.XLOOKUP(Table117821341[[#This Row],[Team]],Table4334[Team],Table4334[OPP])</f>
        <v>n/a</v>
      </c>
      <c r="G404" s="148" t="str" cm="1">
        <f t="array" ref="G404">IF(Table117821341[[#This Row],[Pos.]]="QB1",_xlfn.XLOOKUP(Table117821341[[#This Row],[Opp]],Table123[DEF],'2425'!$G$3:$G$34),"#N/A")</f>
        <v>#N/A</v>
      </c>
      <c r="H404" s="148" t="str" cm="1">
        <f t="array" ref="H404">IF(Table117821341[[#This Row],[Pos.]]="QB1",_xlfn.XLOOKUP(Table117821341[[#This Row],[Opp]],Table123[DEF],'2425'!$J$3:$J$34),"#N/A")</f>
        <v>#N/A</v>
      </c>
      <c r="I404" s="148" t="str" cm="1">
        <f t="array" ref="I404">IF(Table117821341[[#This Row],[Pos.]]="QB1",_xlfn.XLOOKUP(Table117821341[[#This Row],[Opp]],Table123[DEF],'2425'!$K$3:$K$34),"#N/A")</f>
        <v>#N/A</v>
      </c>
      <c r="J404" s="148" t="e" cm="1">
        <f t="array" ref="J40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4" s="148" t="e" cm="1">
        <f t="array" ref="K40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4" s="148" t="e" cm="1">
        <f t="array" ref="L40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4" s="148" t="e" cm="1">
        <f t="array" ref="M40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4" s="148" t="e" cm="1">
        <f t="array" ref="N40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4" s="149" t="str">
        <f>IF(Table117821341[[#This Row],[Pos.]]="QB1",_xlfn.XLOOKUP(Table117821341[[#This Row],[Opp]],Table123[DEF],Table123[P]),"#N/A")</f>
        <v>#N/A</v>
      </c>
      <c r="P404" s="149" t="str">
        <f>IF(Table117821341[[#This Row],[Pos.]]="QB1",_xlfn.XLOOKUP(Table117821341[[#This Row],[Opp]],Table123[DEF],Table123[P+R]),"#N/A")</f>
        <v>#N/A</v>
      </c>
      <c r="Q404" s="150" t="str">
        <f>IF(Table117821341[[#This Row],[Pos.]]="QB1",_xlfn.XLOOKUP(Table117821341[[#This Row],[Opp]],Table123[DEF],Table123[P TD]),"#N/A")</f>
        <v>#N/A</v>
      </c>
      <c r="R404" s="149" t="e" cm="1">
        <f t="array" ref="R40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4" s="150" t="e" cm="1">
        <f t="array" ref="S40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4" s="150" t="e" cm="1">
        <f t="array" ref="T40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4" s="150" t="e" cm="1">
        <f t="array" ref="U40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4" s="150" t="e" cm="1">
        <f t="array" ref="V40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4" s="148" t="e" cm="1">
        <f t="array" ref="W404">_xlfn.IFS(Table117821341[[#This Row],[Pos.]]="QB1",AVERAGE(G404,H404,I404,J404,N404),Table117821341[[#This Row],[Pos.]]="RB1",AVERAGE(J404,K404,N404),Table117821341[[#This Row],[Pos.]]="RB2",AVERAGE(J404,K404,N404),Table117821341[[#This Row],[Pos.]]="WR1",AVERAGE(L404,M404,N404),Table117821341[[#This Row],[Pos.]]="WR2",AVERAGE(L404,M404,N404),Table117821341[[#This Row],[Pos.]]="WR3",AVERAGE(L404,M404,N404),Table117821341[[#This Row],[Pos.]]="WR4",AVERAGE(L404,M404,N404),Table117821341[[#This Row],[Pos.]]="TE1",AVERAGE(L404,M404,N404),Table117821341[[#This Row],[Pos.]]="TE2",AVERAGE(L404,M404,N404),Table117821341[[#This Row],[Pos.]]="D/ST",AVERAGE(Table117821341[[#This Row],[*TD*]]))</f>
        <v>#N/A</v>
      </c>
      <c r="X404" s="94" t="e">
        <f t="shared" si="6"/>
        <v>#N/A</v>
      </c>
    </row>
    <row r="405" spans="2:24" x14ac:dyDescent="0.35">
      <c r="B405" s="6" t="s">
        <v>224</v>
      </c>
      <c r="C405" s="97" t="s">
        <v>37</v>
      </c>
      <c r="D405" s="97" t="s">
        <v>66</v>
      </c>
      <c r="E405" s="23" t="str" cm="1">
        <f t="array" ref="E405">_xlfn.XLOOKUP(Table117821341[[#This Row],[Team]],Table4334[Team],'2425'!$C$3:$C$34)</f>
        <v>n/a</v>
      </c>
      <c r="F405" s="97" t="str">
        <f>_xlfn.XLOOKUP(Table117821341[[#This Row],[Team]],Table4334[Team],Table4334[OPP])</f>
        <v>n/a</v>
      </c>
      <c r="G405" s="148" t="str" cm="1">
        <f t="array" ref="G405">IF(Table117821341[[#This Row],[Pos.]]="QB1",_xlfn.XLOOKUP(Table117821341[[#This Row],[Opp]],Table123[DEF],'2425'!$G$3:$G$34),"#N/A")</f>
        <v>#N/A</v>
      </c>
      <c r="H405" s="148" t="str" cm="1">
        <f t="array" ref="H405">IF(Table117821341[[#This Row],[Pos.]]="QB1",_xlfn.XLOOKUP(Table117821341[[#This Row],[Opp]],Table123[DEF],'2425'!$J$3:$J$34),"#N/A")</f>
        <v>#N/A</v>
      </c>
      <c r="I405" s="148" t="str" cm="1">
        <f t="array" ref="I405">IF(Table117821341[[#This Row],[Pos.]]="QB1",_xlfn.XLOOKUP(Table117821341[[#This Row],[Opp]],Table123[DEF],'2425'!$K$3:$K$34),"#N/A")</f>
        <v>#N/A</v>
      </c>
      <c r="J405" s="148" t="e" cm="1">
        <f t="array" ref="J40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5" s="148" t="e" cm="1">
        <f t="array" ref="K40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5" s="148" t="e" cm="1">
        <f t="array" ref="L40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5" s="148" t="e" cm="1">
        <f t="array" ref="M40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5" s="148" t="e" cm="1">
        <f t="array" ref="N40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5" s="149" t="str">
        <f>IF(Table117821341[[#This Row],[Pos.]]="QB1",_xlfn.XLOOKUP(Table117821341[[#This Row],[Opp]],Table123[DEF],Table123[P]),"#N/A")</f>
        <v>#N/A</v>
      </c>
      <c r="P405" s="149" t="str">
        <f>IF(Table117821341[[#This Row],[Pos.]]="QB1",_xlfn.XLOOKUP(Table117821341[[#This Row],[Opp]],Table123[DEF],Table123[P+R]),"#N/A")</f>
        <v>#N/A</v>
      </c>
      <c r="Q405" s="150" t="str">
        <f>IF(Table117821341[[#This Row],[Pos.]]="QB1",_xlfn.XLOOKUP(Table117821341[[#This Row],[Opp]],Table123[DEF],Table123[P TD]),"#N/A")</f>
        <v>#N/A</v>
      </c>
      <c r="R405" s="149" t="e" cm="1">
        <f t="array" ref="R40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5" s="150" t="e" cm="1">
        <f t="array" ref="S40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5" s="150" t="e" cm="1">
        <f t="array" ref="T40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5" s="150" t="e" cm="1">
        <f t="array" ref="U40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5" s="162" t="e" cm="1">
        <f t="array" ref="V40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5" s="148" t="e" cm="1">
        <f t="array" ref="W405">_xlfn.IFS(Table117821341[[#This Row],[Pos.]]="QB1",AVERAGE(G405,H405,I405,J405,N405),Table117821341[[#This Row],[Pos.]]="RB1",AVERAGE(J405,K405,N405),Table117821341[[#This Row],[Pos.]]="RB2",AVERAGE(J405,K405,N405),Table117821341[[#This Row],[Pos.]]="WR1",AVERAGE(L405,M405,N405),Table117821341[[#This Row],[Pos.]]="WR2",AVERAGE(L405,M405,N405),Table117821341[[#This Row],[Pos.]]="WR3",AVERAGE(L405,M405,N405),Table117821341[[#This Row],[Pos.]]="WR4",AVERAGE(L405,M405,N405),Table117821341[[#This Row],[Pos.]]="TE1",AVERAGE(L405,M405,N405),Table117821341[[#This Row],[Pos.]]="TE2",AVERAGE(L405,M405,N405),Table117821341[[#This Row],[Pos.]]="D/ST",AVERAGE(Table117821341[[#This Row],[*TD*]]))</f>
        <v>#N/A</v>
      </c>
      <c r="X405" s="94" t="e">
        <f t="shared" si="6"/>
        <v>#N/A</v>
      </c>
    </row>
    <row r="406" spans="2:24" hidden="1" x14ac:dyDescent="0.35">
      <c r="B406" s="6" t="s">
        <v>349</v>
      </c>
      <c r="C406" s="97" t="s">
        <v>51</v>
      </c>
      <c r="D406" s="97" t="s">
        <v>67</v>
      </c>
      <c r="E406" s="23" t="str" cm="1">
        <f t="array" ref="E406">_xlfn.XLOOKUP(Table117821341[[#This Row],[Team]],Table4334[Team],'2425'!$C$3:$C$34)</f>
        <v>n/a</v>
      </c>
      <c r="F406" s="97" t="str">
        <f>_xlfn.XLOOKUP(Table117821341[[#This Row],[Team]],Table4334[Team],Table4334[OPP])</f>
        <v>n/a</v>
      </c>
      <c r="G406" s="148" t="str" cm="1">
        <f t="array" ref="G406">IF(Table117821341[[#This Row],[Pos.]]="QB1",_xlfn.XLOOKUP(Table117821341[[#This Row],[Opp]],Table123[DEF],'2425'!$G$3:$G$34),"#N/A")</f>
        <v>#N/A</v>
      </c>
      <c r="H406" s="148" t="str" cm="1">
        <f t="array" ref="H406">IF(Table117821341[[#This Row],[Pos.]]="QB1",_xlfn.XLOOKUP(Table117821341[[#This Row],[Opp]],Table123[DEF],'2425'!$J$3:$J$34),"#N/A")</f>
        <v>#N/A</v>
      </c>
      <c r="I406" s="148" t="str" cm="1">
        <f t="array" ref="I406">IF(Table117821341[[#This Row],[Pos.]]="QB1",_xlfn.XLOOKUP(Table117821341[[#This Row],[Opp]],Table123[DEF],'2425'!$K$3:$K$34),"#N/A")</f>
        <v>#N/A</v>
      </c>
      <c r="J406" s="148" t="e" cm="1">
        <f t="array" ref="J40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6" s="148" t="e" cm="1">
        <f t="array" ref="K40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6" s="148" t="e" cm="1">
        <f t="array" ref="L40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6" s="148" t="e" cm="1">
        <f t="array" ref="M40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6" s="148" t="e" cm="1">
        <f t="array" ref="N40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6" s="149" t="str">
        <f>IF(Table117821341[[#This Row],[Pos.]]="QB1",_xlfn.XLOOKUP(Table117821341[[#This Row],[Opp]],Table123[DEF],Table123[P]),"#N/A")</f>
        <v>#N/A</v>
      </c>
      <c r="P406" s="149" t="str">
        <f>IF(Table117821341[[#This Row],[Pos.]]="QB1",_xlfn.XLOOKUP(Table117821341[[#This Row],[Opp]],Table123[DEF],Table123[P+R]),"#N/A")</f>
        <v>#N/A</v>
      </c>
      <c r="Q406" s="150" t="str">
        <f>IF(Table117821341[[#This Row],[Pos.]]="QB1",_xlfn.XLOOKUP(Table117821341[[#This Row],[Opp]],Table123[DEF],Table123[P TD]),"#N/A")</f>
        <v>#N/A</v>
      </c>
      <c r="R406" s="149" t="e" cm="1">
        <f t="array" ref="R40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6" s="150" t="e" cm="1">
        <f t="array" ref="S40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6" s="150" t="e" cm="1">
        <f t="array" ref="T40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6" s="150" t="e" cm="1">
        <f t="array" ref="U40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6" s="162" t="e" cm="1">
        <f t="array" ref="V40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6" s="148" t="e" cm="1">
        <f t="array" ref="W406">_xlfn.IFS(Table117821341[[#This Row],[Pos.]]="QB1",AVERAGE(G406,H406,I406,J406,N406),Table117821341[[#This Row],[Pos.]]="RB1",AVERAGE(J406,K406,N406),Table117821341[[#This Row],[Pos.]]="RB2",AVERAGE(J406,K406,N406),Table117821341[[#This Row],[Pos.]]="WR1",AVERAGE(L406,M406,N406),Table117821341[[#This Row],[Pos.]]="WR2",AVERAGE(L406,M406,N406),Table117821341[[#This Row],[Pos.]]="WR3",AVERAGE(L406,M406,N406),Table117821341[[#This Row],[Pos.]]="WR4",AVERAGE(L406,M406,N406),Table117821341[[#This Row],[Pos.]]="TE1",AVERAGE(L406,M406,N406),Table117821341[[#This Row],[Pos.]]="TE2",AVERAGE(L406,M406,N406),Table117821341[[#This Row],[Pos.]]="D/ST",AVERAGE(Table117821341[[#This Row],[*TD*]]))</f>
        <v>#N/A</v>
      </c>
      <c r="X406" s="94" t="e">
        <f t="shared" si="6"/>
        <v>#N/A</v>
      </c>
    </row>
    <row r="407" spans="2:24" hidden="1" x14ac:dyDescent="0.35">
      <c r="B407" s="6" t="s">
        <v>321</v>
      </c>
      <c r="C407" s="97" t="s">
        <v>48</v>
      </c>
      <c r="D407" s="97" t="s">
        <v>405</v>
      </c>
      <c r="E407" s="23" t="str" cm="1">
        <f t="array" ref="E407">_xlfn.XLOOKUP(Table117821341[[#This Row],[Team]],Table4334[Team],'2425'!$C$3:$C$34)</f>
        <v>n/a</v>
      </c>
      <c r="F407" s="97" t="str">
        <f>_xlfn.XLOOKUP(Table117821341[[#This Row],[Team]],Table4334[Team],Table4334[OPP])</f>
        <v>n/a</v>
      </c>
      <c r="G407" s="148" t="str" cm="1">
        <f t="array" ref="G407">IF(Table117821341[[#This Row],[Pos.]]="QB1",_xlfn.XLOOKUP(Table117821341[[#This Row],[Opp]],Table123[DEF],'2425'!$G$3:$G$34),"#N/A")</f>
        <v>#N/A</v>
      </c>
      <c r="H407" s="148" t="str" cm="1">
        <f t="array" ref="H407">IF(Table117821341[[#This Row],[Pos.]]="QB1",_xlfn.XLOOKUP(Table117821341[[#This Row],[Opp]],Table123[DEF],'2425'!$J$3:$J$34),"#N/A")</f>
        <v>#N/A</v>
      </c>
      <c r="I407" s="148" t="str" cm="1">
        <f t="array" ref="I407">IF(Table117821341[[#This Row],[Pos.]]="QB1",_xlfn.XLOOKUP(Table117821341[[#This Row],[Opp]],Table123[DEF],'2425'!$K$3:$K$34),"#N/A")</f>
        <v>#N/A</v>
      </c>
      <c r="J407" s="148" t="e" cm="1">
        <f t="array" ref="J40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7" s="148" t="e" cm="1">
        <f t="array" ref="K40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7" s="148" t="e" cm="1">
        <f t="array" ref="L40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7" s="148" t="e" cm="1">
        <f t="array" ref="M40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7" s="148" t="e" cm="1">
        <f t="array" ref="N40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7" s="149" t="str">
        <f>IF(Table117821341[[#This Row],[Pos.]]="QB1",_xlfn.XLOOKUP(Table117821341[[#This Row],[Opp]],Table123[DEF],Table123[P]),"#N/A")</f>
        <v>#N/A</v>
      </c>
      <c r="P407" s="149" t="str">
        <f>IF(Table117821341[[#This Row],[Pos.]]="QB1",_xlfn.XLOOKUP(Table117821341[[#This Row],[Opp]],Table123[DEF],Table123[P+R]),"#N/A")</f>
        <v>#N/A</v>
      </c>
      <c r="Q407" s="150" t="str">
        <f>IF(Table117821341[[#This Row],[Pos.]]="QB1",_xlfn.XLOOKUP(Table117821341[[#This Row],[Opp]],Table123[DEF],Table123[P TD]),"#N/A")</f>
        <v>#N/A</v>
      </c>
      <c r="R407" s="149" t="e" cm="1">
        <f t="array" ref="R40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7" s="150" t="e" cm="1">
        <f t="array" ref="S40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7" s="150" t="e" cm="1">
        <f t="array" ref="T40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7" s="150" t="e" cm="1">
        <f t="array" ref="U40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7" s="150" t="e" cm="1">
        <f t="array" ref="V40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7" s="148" t="e" cm="1">
        <f t="array" ref="W407">_xlfn.IFS(Table117821341[[#This Row],[Pos.]]="QB1",AVERAGE(G407,H407,I407,J407,N407),Table117821341[[#This Row],[Pos.]]="RB1",AVERAGE(J407,K407,N407),Table117821341[[#This Row],[Pos.]]="RB2",AVERAGE(J407,K407,N407),Table117821341[[#This Row],[Pos.]]="WR1",AVERAGE(L407,M407,N407),Table117821341[[#This Row],[Pos.]]="WR2",AVERAGE(L407,M407,N407),Table117821341[[#This Row],[Pos.]]="WR3",AVERAGE(L407,M407,N407),Table117821341[[#This Row],[Pos.]]="WR4",AVERAGE(L407,M407,N407),Table117821341[[#This Row],[Pos.]]="TE1",AVERAGE(L407,M407,N407),Table117821341[[#This Row],[Pos.]]="TE2",AVERAGE(L407,M407,N407),Table117821341[[#This Row],[Pos.]]="D/ST",AVERAGE(Table117821341[[#This Row],[*TD*]]))</f>
        <v>#N/A</v>
      </c>
      <c r="X407" s="94" t="e">
        <f t="shared" si="6"/>
        <v>#N/A</v>
      </c>
    </row>
    <row r="408" spans="2:24" hidden="1" x14ac:dyDescent="0.35">
      <c r="B408" s="6" t="s">
        <v>322</v>
      </c>
      <c r="C408" s="97" t="s">
        <v>48</v>
      </c>
      <c r="D408" s="97" t="s">
        <v>425</v>
      </c>
      <c r="E408" s="23" t="str" cm="1">
        <f t="array" ref="E408">_xlfn.XLOOKUP(Table117821341[[#This Row],[Team]],Table4334[Team],'2425'!$C$3:$C$34)</f>
        <v>n/a</v>
      </c>
      <c r="F408" s="97" t="str">
        <f>_xlfn.XLOOKUP(Table117821341[[#This Row],[Team]],Table4334[Team],Table4334[OPP])</f>
        <v>n/a</v>
      </c>
      <c r="G408" s="148" t="str" cm="1">
        <f t="array" ref="G408">IF(Table117821341[[#This Row],[Pos.]]="QB1",_xlfn.XLOOKUP(Table117821341[[#This Row],[Opp]],Table123[DEF],'2425'!$G$3:$G$34),"#N/A")</f>
        <v>#N/A</v>
      </c>
      <c r="H408" s="148" t="str" cm="1">
        <f t="array" ref="H408">IF(Table117821341[[#This Row],[Pos.]]="QB1",_xlfn.XLOOKUP(Table117821341[[#This Row],[Opp]],Table123[DEF],'2425'!$J$3:$J$34),"#N/A")</f>
        <v>#N/A</v>
      </c>
      <c r="I408" s="148" t="str" cm="1">
        <f t="array" ref="I408">IF(Table117821341[[#This Row],[Pos.]]="QB1",_xlfn.XLOOKUP(Table117821341[[#This Row],[Opp]],Table123[DEF],'2425'!$K$3:$K$34),"#N/A")</f>
        <v>#N/A</v>
      </c>
      <c r="J408" s="148" t="e" cm="1">
        <f t="array" ref="J40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8" s="148" t="e" cm="1">
        <f t="array" ref="K40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8" s="148" t="e" cm="1">
        <f t="array" ref="L40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8" s="148" t="e" cm="1">
        <f t="array" ref="M40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8" s="148" t="e" cm="1">
        <f t="array" ref="N40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8" s="149" t="str">
        <f>IF(Table117821341[[#This Row],[Pos.]]="QB1",_xlfn.XLOOKUP(Table117821341[[#This Row],[Opp]],Table123[DEF],Table123[P]),"#N/A")</f>
        <v>#N/A</v>
      </c>
      <c r="P408" s="149" t="str">
        <f>IF(Table117821341[[#This Row],[Pos.]]="QB1",_xlfn.XLOOKUP(Table117821341[[#This Row],[Opp]],Table123[DEF],Table123[P+R]),"#N/A")</f>
        <v>#N/A</v>
      </c>
      <c r="Q408" s="150" t="str">
        <f>IF(Table117821341[[#This Row],[Pos.]]="QB1",_xlfn.XLOOKUP(Table117821341[[#This Row],[Opp]],Table123[DEF],Table123[P TD]),"#N/A")</f>
        <v>#N/A</v>
      </c>
      <c r="R408" s="149" t="e" cm="1">
        <f t="array" ref="R40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8" s="150" t="e" cm="1">
        <f t="array" ref="S40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8" s="150" t="e" cm="1">
        <f t="array" ref="T40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8" s="150" t="e" cm="1">
        <f t="array" ref="U40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8" s="150" t="e" cm="1">
        <f t="array" ref="V40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8" s="148" t="e" cm="1">
        <f t="array" ref="W408">_xlfn.IFS(Table117821341[[#This Row],[Pos.]]="QB1",AVERAGE(G408,H408,I408,J408,N408),Table117821341[[#This Row],[Pos.]]="RB1",AVERAGE(J408,K408,N408),Table117821341[[#This Row],[Pos.]]="RB2",AVERAGE(J408,K408,N408),Table117821341[[#This Row],[Pos.]]="WR1",AVERAGE(L408,M408,N408),Table117821341[[#This Row],[Pos.]]="WR2",AVERAGE(L408,M408,N408),Table117821341[[#This Row],[Pos.]]="WR3",AVERAGE(L408,M408,N408),Table117821341[[#This Row],[Pos.]]="WR4",AVERAGE(L408,M408,N408),Table117821341[[#This Row],[Pos.]]="TE1",AVERAGE(L408,M408,N408),Table117821341[[#This Row],[Pos.]]="TE2",AVERAGE(L408,M408,N408),Table117821341[[#This Row],[Pos.]]="D/ST",AVERAGE(Table117821341[[#This Row],[*TD*]]))</f>
        <v>#N/A</v>
      </c>
      <c r="X408" s="94" t="e">
        <f t="shared" si="6"/>
        <v>#N/A</v>
      </c>
    </row>
    <row r="409" spans="2:24" hidden="1" x14ac:dyDescent="0.35">
      <c r="B409" s="6" t="s">
        <v>264</v>
      </c>
      <c r="C409" s="97" t="s">
        <v>41</v>
      </c>
      <c r="D409" s="97" t="s">
        <v>67</v>
      </c>
      <c r="E409" s="23" t="str" cm="1">
        <f t="array" ref="E409">_xlfn.XLOOKUP(Table117821341[[#This Row],[Team]],Table4334[Team],'2425'!$C$3:$C$34)</f>
        <v>n/a</v>
      </c>
      <c r="F409" s="97" t="str">
        <f>_xlfn.XLOOKUP(Table117821341[[#This Row],[Team]],Table4334[Team],Table4334[OPP])</f>
        <v>n/a</v>
      </c>
      <c r="G409" s="148" t="str" cm="1">
        <f t="array" ref="G409">IF(Table117821341[[#This Row],[Pos.]]="QB1",_xlfn.XLOOKUP(Table117821341[[#This Row],[Opp]],Table123[DEF],'2425'!$G$3:$G$34),"#N/A")</f>
        <v>#N/A</v>
      </c>
      <c r="H409" s="148" t="str" cm="1">
        <f t="array" ref="H409">IF(Table117821341[[#This Row],[Pos.]]="QB1",_xlfn.XLOOKUP(Table117821341[[#This Row],[Opp]],Table123[DEF],'2425'!$J$3:$J$34),"#N/A")</f>
        <v>#N/A</v>
      </c>
      <c r="I409" s="148" t="str" cm="1">
        <f t="array" ref="I409">IF(Table117821341[[#This Row],[Pos.]]="QB1",_xlfn.XLOOKUP(Table117821341[[#This Row],[Opp]],Table123[DEF],'2425'!$K$3:$K$34),"#N/A")</f>
        <v>#N/A</v>
      </c>
      <c r="J409" s="148" t="e" cm="1">
        <f t="array" ref="J40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09" s="148" t="e" cm="1">
        <f t="array" ref="K40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09" s="148" t="e" cm="1">
        <f t="array" ref="L40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09" s="148" t="e" cm="1">
        <f t="array" ref="M40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09" s="148" t="e" cm="1">
        <f t="array" ref="N40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09" s="149" t="str">
        <f>IF(Table117821341[[#This Row],[Pos.]]="QB1",_xlfn.XLOOKUP(Table117821341[[#This Row],[Opp]],Table123[DEF],Table123[P]),"#N/A")</f>
        <v>#N/A</v>
      </c>
      <c r="P409" s="149" t="str">
        <f>IF(Table117821341[[#This Row],[Pos.]]="QB1",_xlfn.XLOOKUP(Table117821341[[#This Row],[Opp]],Table123[DEF],Table123[P+R]),"#N/A")</f>
        <v>#N/A</v>
      </c>
      <c r="Q409" s="150" t="str">
        <f>IF(Table117821341[[#This Row],[Pos.]]="QB1",_xlfn.XLOOKUP(Table117821341[[#This Row],[Opp]],Table123[DEF],Table123[P TD]),"#N/A")</f>
        <v>#N/A</v>
      </c>
      <c r="R409" s="149" t="e" cm="1">
        <f t="array" ref="R40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09" s="150" t="e" cm="1">
        <f t="array" ref="S40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09" s="150" t="e" cm="1">
        <f t="array" ref="T40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09" s="150" t="e" cm="1">
        <f t="array" ref="U40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09" s="162" t="e" cm="1">
        <f t="array" ref="V40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09" s="148" t="e" cm="1">
        <f t="array" ref="W409">_xlfn.IFS(Table117821341[[#This Row],[Pos.]]="QB1",AVERAGE(G409,H409,I409,J409,N409),Table117821341[[#This Row],[Pos.]]="RB1",AVERAGE(J409,K409,N409),Table117821341[[#This Row],[Pos.]]="RB2",AVERAGE(J409,K409,N409),Table117821341[[#This Row],[Pos.]]="WR1",AVERAGE(L409,M409,N409),Table117821341[[#This Row],[Pos.]]="WR2",AVERAGE(L409,M409,N409),Table117821341[[#This Row],[Pos.]]="WR3",AVERAGE(L409,M409,N409),Table117821341[[#This Row],[Pos.]]="WR4",AVERAGE(L409,M409,N409),Table117821341[[#This Row],[Pos.]]="TE1",AVERAGE(L409,M409,N409),Table117821341[[#This Row],[Pos.]]="TE2",AVERAGE(L409,M409,N409),Table117821341[[#This Row],[Pos.]]="D/ST",AVERAGE(Table117821341[[#This Row],[*TD*]]))</f>
        <v>#N/A</v>
      </c>
      <c r="X409" s="94" t="e">
        <f t="shared" si="6"/>
        <v>#N/A</v>
      </c>
    </row>
    <row r="410" spans="2:24" hidden="1" x14ac:dyDescent="0.35">
      <c r="B410" s="6" t="s">
        <v>324</v>
      </c>
      <c r="C410" s="97" t="s">
        <v>48</v>
      </c>
      <c r="D410" s="97" t="s">
        <v>394</v>
      </c>
      <c r="E410" s="23" t="str" cm="1">
        <f t="array" ref="E410">_xlfn.XLOOKUP(Table117821341[[#This Row],[Team]],Table4334[Team],'2425'!$C$3:$C$34)</f>
        <v>n/a</v>
      </c>
      <c r="F410" s="97" t="str">
        <f>_xlfn.XLOOKUP(Table117821341[[#This Row],[Team]],Table4334[Team],Table4334[OPP])</f>
        <v>n/a</v>
      </c>
      <c r="G410" s="148" t="str" cm="1">
        <f t="array" ref="G410">IF(Table117821341[[#This Row],[Pos.]]="QB1",_xlfn.XLOOKUP(Table117821341[[#This Row],[Opp]],Table123[DEF],'2425'!$G$3:$G$34),"#N/A")</f>
        <v>#N/A</v>
      </c>
      <c r="H410" s="148" t="str" cm="1">
        <f t="array" ref="H410">IF(Table117821341[[#This Row],[Pos.]]="QB1",_xlfn.XLOOKUP(Table117821341[[#This Row],[Opp]],Table123[DEF],'2425'!$J$3:$J$34),"#N/A")</f>
        <v>#N/A</v>
      </c>
      <c r="I410" s="148" t="str" cm="1">
        <f t="array" ref="I410">IF(Table117821341[[#This Row],[Pos.]]="QB1",_xlfn.XLOOKUP(Table117821341[[#This Row],[Opp]],Table123[DEF],'2425'!$K$3:$K$34),"#N/A")</f>
        <v>#N/A</v>
      </c>
      <c r="J410" s="148" t="e" cm="1">
        <f t="array" ref="J41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0" s="148" t="e" cm="1">
        <f t="array" ref="K41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0" s="148" t="e" cm="1">
        <f t="array" ref="L41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0" s="148" t="e" cm="1">
        <f t="array" ref="M41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0" s="148" t="e" cm="1">
        <f t="array" ref="N41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0" s="149" t="str">
        <f>IF(Table117821341[[#This Row],[Pos.]]="QB1",_xlfn.XLOOKUP(Table117821341[[#This Row],[Opp]],Table123[DEF],Table123[P]),"#N/A")</f>
        <v>#N/A</v>
      </c>
      <c r="P410" s="149" t="str">
        <f>IF(Table117821341[[#This Row],[Pos.]]="QB1",_xlfn.XLOOKUP(Table117821341[[#This Row],[Opp]],Table123[DEF],Table123[P+R]),"#N/A")</f>
        <v>#N/A</v>
      </c>
      <c r="Q410" s="150" t="str">
        <f>IF(Table117821341[[#This Row],[Pos.]]="QB1",_xlfn.XLOOKUP(Table117821341[[#This Row],[Opp]],Table123[DEF],Table123[P TD]),"#N/A")</f>
        <v>#N/A</v>
      </c>
      <c r="R410" s="149" t="e" cm="1">
        <f t="array" ref="R41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0" s="150" t="e" cm="1">
        <f t="array" ref="S41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0" s="150" t="e" cm="1">
        <f t="array" ref="T41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0" s="150" t="e" cm="1">
        <f t="array" ref="U41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0" s="150" t="e" cm="1">
        <f t="array" ref="V41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0" s="148" t="e" cm="1">
        <f t="array" ref="W410">_xlfn.IFS(Table117821341[[#This Row],[Pos.]]="QB1",AVERAGE(G410,H410,I410,J410,N410),Table117821341[[#This Row],[Pos.]]="RB1",AVERAGE(J410,K410,N410),Table117821341[[#This Row],[Pos.]]="RB2",AVERAGE(J410,K410,N410),Table117821341[[#This Row],[Pos.]]="WR1",AVERAGE(L410,M410,N410),Table117821341[[#This Row],[Pos.]]="WR2",AVERAGE(L410,M410,N410),Table117821341[[#This Row],[Pos.]]="WR3",AVERAGE(L410,M410,N410),Table117821341[[#This Row],[Pos.]]="WR4",AVERAGE(L410,M410,N410),Table117821341[[#This Row],[Pos.]]="TE1",AVERAGE(L410,M410,N410),Table117821341[[#This Row],[Pos.]]="TE2",AVERAGE(L410,M410,N410),Table117821341[[#This Row],[Pos.]]="D/ST",AVERAGE(Table117821341[[#This Row],[*TD*]]))</f>
        <v>#N/A</v>
      </c>
      <c r="X410" s="94" t="e">
        <f t="shared" si="6"/>
        <v>#N/A</v>
      </c>
    </row>
    <row r="411" spans="2:24" hidden="1" x14ac:dyDescent="0.35">
      <c r="B411" s="6" t="s">
        <v>326</v>
      </c>
      <c r="C411" s="97" t="s">
        <v>48</v>
      </c>
      <c r="D411" s="97" t="s">
        <v>396</v>
      </c>
      <c r="E411" s="23" t="str" cm="1">
        <f t="array" ref="E411">_xlfn.XLOOKUP(Table117821341[[#This Row],[Team]],Table4334[Team],'2425'!$C$3:$C$34)</f>
        <v>n/a</v>
      </c>
      <c r="F411" s="97" t="str">
        <f>_xlfn.XLOOKUP(Table117821341[[#This Row],[Team]],Table4334[Team],Table4334[OPP])</f>
        <v>n/a</v>
      </c>
      <c r="G411" s="148" t="str" cm="1">
        <f t="array" ref="G411">IF(Table117821341[[#This Row],[Pos.]]="QB1",_xlfn.XLOOKUP(Table117821341[[#This Row],[Opp]],Table123[DEF],'2425'!$G$3:$G$34),"#N/A")</f>
        <v>#N/A</v>
      </c>
      <c r="H411" s="148" t="str" cm="1">
        <f t="array" ref="H411">IF(Table117821341[[#This Row],[Pos.]]="QB1",_xlfn.XLOOKUP(Table117821341[[#This Row],[Opp]],Table123[DEF],'2425'!$J$3:$J$34),"#N/A")</f>
        <v>#N/A</v>
      </c>
      <c r="I411" s="148" t="str" cm="1">
        <f t="array" ref="I411">IF(Table117821341[[#This Row],[Pos.]]="QB1",_xlfn.XLOOKUP(Table117821341[[#This Row],[Opp]],Table123[DEF],'2425'!$K$3:$K$34),"#N/A")</f>
        <v>#N/A</v>
      </c>
      <c r="J411" s="148" t="e" cm="1">
        <f t="array" ref="J41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1" s="148" t="e" cm="1">
        <f t="array" ref="K41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1" s="148" t="e" cm="1">
        <f t="array" ref="L41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1" s="148" t="e" cm="1">
        <f t="array" ref="M41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1" s="148" t="e" cm="1">
        <f t="array" ref="N41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1" s="149" t="str">
        <f>IF(Table117821341[[#This Row],[Pos.]]="QB1",_xlfn.XLOOKUP(Table117821341[[#This Row],[Opp]],Table123[DEF],Table123[P]),"#N/A")</f>
        <v>#N/A</v>
      </c>
      <c r="P411" s="149" t="str">
        <f>IF(Table117821341[[#This Row],[Pos.]]="QB1",_xlfn.XLOOKUP(Table117821341[[#This Row],[Opp]],Table123[DEF],Table123[P+R]),"#N/A")</f>
        <v>#N/A</v>
      </c>
      <c r="Q411" s="150" t="str">
        <f>IF(Table117821341[[#This Row],[Pos.]]="QB1",_xlfn.XLOOKUP(Table117821341[[#This Row],[Opp]],Table123[DEF],Table123[P TD]),"#N/A")</f>
        <v>#N/A</v>
      </c>
      <c r="R411" s="149" t="e" cm="1">
        <f t="array" ref="R41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1" s="150" t="e" cm="1">
        <f t="array" ref="S41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1" s="150" t="e" cm="1">
        <f t="array" ref="T41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1" s="150" t="e" cm="1">
        <f t="array" ref="U41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1" s="150" t="e" cm="1">
        <f t="array" ref="V41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1" s="148" t="e" cm="1">
        <f t="array" ref="W411">_xlfn.IFS(Table117821341[[#This Row],[Pos.]]="QB1",AVERAGE(G411,H411,I411,J411,N411),Table117821341[[#This Row],[Pos.]]="RB1",AVERAGE(J411,K411,N411),Table117821341[[#This Row],[Pos.]]="RB2",AVERAGE(J411,K411,N411),Table117821341[[#This Row],[Pos.]]="WR1",AVERAGE(L411,M411,N411),Table117821341[[#This Row],[Pos.]]="WR2",AVERAGE(L411,M411,N411),Table117821341[[#This Row],[Pos.]]="WR3",AVERAGE(L411,M411,N411),Table117821341[[#This Row],[Pos.]]="WR4",AVERAGE(L411,M411,N411),Table117821341[[#This Row],[Pos.]]="TE1",AVERAGE(L411,M411,N411),Table117821341[[#This Row],[Pos.]]="TE2",AVERAGE(L411,M411,N411),Table117821341[[#This Row],[Pos.]]="D/ST",AVERAGE(Table117821341[[#This Row],[*TD*]]))</f>
        <v>#N/A</v>
      </c>
      <c r="X411" s="94" t="e">
        <f t="shared" si="6"/>
        <v>#N/A</v>
      </c>
    </row>
    <row r="412" spans="2:24" hidden="1" x14ac:dyDescent="0.35">
      <c r="B412" s="6" t="s">
        <v>438</v>
      </c>
      <c r="C412" s="97" t="s">
        <v>48</v>
      </c>
      <c r="D412" s="97" t="s">
        <v>407</v>
      </c>
      <c r="E412" s="23" t="str" cm="1">
        <f t="array" ref="E412">_xlfn.XLOOKUP(Table117821341[[#This Row],[Team]],Table4334[Team],'2425'!$C$3:$C$34)</f>
        <v>n/a</v>
      </c>
      <c r="F412" s="97" t="str">
        <f>_xlfn.XLOOKUP(Table117821341[[#This Row],[Team]],Table4334[Team],Table4334[OPP])</f>
        <v>n/a</v>
      </c>
      <c r="G412" s="148" t="str" cm="1">
        <f t="array" ref="G412">IF(Table117821341[[#This Row],[Pos.]]="QB1",_xlfn.XLOOKUP(Table117821341[[#This Row],[Opp]],Table123[DEF],'2425'!$G$3:$G$34),"#N/A")</f>
        <v>#N/A</v>
      </c>
      <c r="H412" s="148" t="str" cm="1">
        <f t="array" ref="H412">IF(Table117821341[[#This Row],[Pos.]]="QB1",_xlfn.XLOOKUP(Table117821341[[#This Row],[Opp]],Table123[DEF],'2425'!$J$3:$J$34),"#N/A")</f>
        <v>#N/A</v>
      </c>
      <c r="I412" s="148" t="str" cm="1">
        <f t="array" ref="I412">IF(Table117821341[[#This Row],[Pos.]]="QB1",_xlfn.XLOOKUP(Table117821341[[#This Row],[Opp]],Table123[DEF],'2425'!$K$3:$K$34),"#N/A")</f>
        <v>#N/A</v>
      </c>
      <c r="J412" s="148" t="e" cm="1">
        <f t="array" ref="J41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2" s="148" t="e" cm="1">
        <f t="array" ref="K41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2" s="148" t="e" cm="1">
        <f t="array" ref="L41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2" s="148" t="e" cm="1">
        <f t="array" ref="M41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2" s="148" t="e" cm="1">
        <f t="array" ref="N41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2" s="149" t="str">
        <f>IF(Table117821341[[#This Row],[Pos.]]="QB1",_xlfn.XLOOKUP(Table117821341[[#This Row],[Opp]],Table123[DEF],Table123[P]),"#N/A")</f>
        <v>#N/A</v>
      </c>
      <c r="P412" s="149" t="str">
        <f>IF(Table117821341[[#This Row],[Pos.]]="QB1",_xlfn.XLOOKUP(Table117821341[[#This Row],[Opp]],Table123[DEF],Table123[P+R]),"#N/A")</f>
        <v>#N/A</v>
      </c>
      <c r="Q412" s="150" t="str">
        <f>IF(Table117821341[[#This Row],[Pos.]]="QB1",_xlfn.XLOOKUP(Table117821341[[#This Row],[Opp]],Table123[DEF],Table123[P TD]),"#N/A")</f>
        <v>#N/A</v>
      </c>
      <c r="R412" s="149" t="e" cm="1">
        <f t="array" ref="R41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2" s="150" t="e" cm="1">
        <f t="array" ref="S41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2" s="150" t="e" cm="1">
        <f t="array" ref="T41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2" s="150" t="e" cm="1">
        <f t="array" ref="U41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2" s="150" t="e" cm="1">
        <f t="array" ref="V41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2" s="148" t="e" cm="1">
        <f t="array" ref="W412">_xlfn.IFS(Table117821341[[#This Row],[Pos.]]="QB1",AVERAGE(G412,H412,I412,J412,N412),Table117821341[[#This Row],[Pos.]]="RB1",AVERAGE(J412,K412,N412),Table117821341[[#This Row],[Pos.]]="RB2",AVERAGE(J412,K412,N412),Table117821341[[#This Row],[Pos.]]="WR1",AVERAGE(L412,M412,N412),Table117821341[[#This Row],[Pos.]]="WR2",AVERAGE(L412,M412,N412),Table117821341[[#This Row],[Pos.]]="WR3",AVERAGE(L412,M412,N412),Table117821341[[#This Row],[Pos.]]="WR4",AVERAGE(L412,M412,N412),Table117821341[[#This Row],[Pos.]]="TE1",AVERAGE(L412,M412,N412),Table117821341[[#This Row],[Pos.]]="TE2",AVERAGE(L412,M412,N412),Table117821341[[#This Row],[Pos.]]="D/ST",AVERAGE(Table117821341[[#This Row],[*TD*]]))</f>
        <v>#N/A</v>
      </c>
      <c r="X412" s="94" t="e">
        <f t="shared" si="6"/>
        <v>#N/A</v>
      </c>
    </row>
    <row r="413" spans="2:24" x14ac:dyDescent="0.35">
      <c r="B413" s="6" t="s">
        <v>364</v>
      </c>
      <c r="C413" s="97" t="s">
        <v>53</v>
      </c>
      <c r="D413" s="97" t="s">
        <v>66</v>
      </c>
      <c r="E413" s="23" t="str" cm="1">
        <f t="array" ref="E413">_xlfn.XLOOKUP(Table117821341[[#This Row],[Team]],Table4334[Team],'2425'!$C$3:$C$34)</f>
        <v>n/a</v>
      </c>
      <c r="F413" s="97" t="str">
        <f>_xlfn.XLOOKUP(Table117821341[[#This Row],[Team]],Table4334[Team],Table4334[OPP])</f>
        <v>n/a</v>
      </c>
      <c r="G413" s="148" t="str" cm="1">
        <f t="array" ref="G413">IF(Table117821341[[#This Row],[Pos.]]="QB1",_xlfn.XLOOKUP(Table117821341[[#This Row],[Opp]],Table123[DEF],'2425'!$G$3:$G$34),"#N/A")</f>
        <v>#N/A</v>
      </c>
      <c r="H413" s="148" t="str" cm="1">
        <f t="array" ref="H413">IF(Table117821341[[#This Row],[Pos.]]="QB1",_xlfn.XLOOKUP(Table117821341[[#This Row],[Opp]],Table123[DEF],'2425'!$J$3:$J$34),"#N/A")</f>
        <v>#N/A</v>
      </c>
      <c r="I413" s="148" t="str" cm="1">
        <f t="array" ref="I413">IF(Table117821341[[#This Row],[Pos.]]="QB1",_xlfn.XLOOKUP(Table117821341[[#This Row],[Opp]],Table123[DEF],'2425'!$K$3:$K$34),"#N/A")</f>
        <v>#N/A</v>
      </c>
      <c r="J413" s="148" t="e" cm="1">
        <f t="array" ref="J41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3" s="148" t="e" cm="1">
        <f t="array" ref="K41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3" s="148" t="e" cm="1">
        <f t="array" ref="L41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3" s="148" t="e" cm="1">
        <f t="array" ref="M41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3" s="148" t="e" cm="1">
        <f t="array" ref="N41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3" s="149" t="str">
        <f>IF(Table117821341[[#This Row],[Pos.]]="QB1",_xlfn.XLOOKUP(Table117821341[[#This Row],[Opp]],Table123[DEF],Table123[P]),"#N/A")</f>
        <v>#N/A</v>
      </c>
      <c r="P413" s="149" t="str">
        <f>IF(Table117821341[[#This Row],[Pos.]]="QB1",_xlfn.XLOOKUP(Table117821341[[#This Row],[Opp]],Table123[DEF],Table123[P+R]),"#N/A")</f>
        <v>#N/A</v>
      </c>
      <c r="Q413" s="150" t="str">
        <f>IF(Table117821341[[#This Row],[Pos.]]="QB1",_xlfn.XLOOKUP(Table117821341[[#This Row],[Opp]],Table123[DEF],Table123[P TD]),"#N/A")</f>
        <v>#N/A</v>
      </c>
      <c r="R413" s="149" t="e" cm="1">
        <f t="array" ref="R41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3" s="150" t="e" cm="1">
        <f t="array" ref="S41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3" s="150" t="e" cm="1">
        <f t="array" ref="T41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3" s="150" t="e" cm="1">
        <f t="array" ref="U41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3" s="162" t="e" cm="1">
        <f t="array" ref="V41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3" s="148" t="e" cm="1">
        <f t="array" ref="W413">_xlfn.IFS(Table117821341[[#This Row],[Pos.]]="QB1",AVERAGE(G413,H413,I413,J413,N413),Table117821341[[#This Row],[Pos.]]="RB1",AVERAGE(J413,K413,N413),Table117821341[[#This Row],[Pos.]]="RB2",AVERAGE(J413,K413,N413),Table117821341[[#This Row],[Pos.]]="WR1",AVERAGE(L413,M413,N413),Table117821341[[#This Row],[Pos.]]="WR2",AVERAGE(L413,M413,N413),Table117821341[[#This Row],[Pos.]]="WR3",AVERAGE(L413,M413,N413),Table117821341[[#This Row],[Pos.]]="WR4",AVERAGE(L413,M413,N413),Table117821341[[#This Row],[Pos.]]="TE1",AVERAGE(L413,M413,N413),Table117821341[[#This Row],[Pos.]]="TE2",AVERAGE(L413,M413,N413),Table117821341[[#This Row],[Pos.]]="D/ST",AVERAGE(Table117821341[[#This Row],[*TD*]]))</f>
        <v>#N/A</v>
      </c>
      <c r="X413" s="94" t="e">
        <f t="shared" si="6"/>
        <v>#N/A</v>
      </c>
    </row>
    <row r="414" spans="2:24" hidden="1" x14ac:dyDescent="0.35">
      <c r="B414" s="6" t="s">
        <v>427</v>
      </c>
      <c r="C414" s="97" t="s">
        <v>48</v>
      </c>
      <c r="D414" s="97" t="s">
        <v>398</v>
      </c>
      <c r="E414" s="23" t="str" cm="1">
        <f t="array" ref="E414">_xlfn.XLOOKUP(Table117821341[[#This Row],[Team]],Table4334[Team],'2425'!$C$3:$C$34)</f>
        <v>n/a</v>
      </c>
      <c r="F414" s="97" t="str">
        <f>_xlfn.XLOOKUP(Table117821341[[#This Row],[Team]],Table4334[Team],Table4334[OPP])</f>
        <v>n/a</v>
      </c>
      <c r="G414" s="148" t="str" cm="1">
        <f t="array" ref="G414">IF(Table117821341[[#This Row],[Pos.]]="QB1",_xlfn.XLOOKUP(Table117821341[[#This Row],[Opp]],Table123[DEF],'2425'!$G$3:$G$34),"#N/A")</f>
        <v>#N/A</v>
      </c>
      <c r="H414" s="148" t="str" cm="1">
        <f t="array" ref="H414">IF(Table117821341[[#This Row],[Pos.]]="QB1",_xlfn.XLOOKUP(Table117821341[[#This Row],[Opp]],Table123[DEF],'2425'!$J$3:$J$34),"#N/A")</f>
        <v>#N/A</v>
      </c>
      <c r="I414" s="148" t="str" cm="1">
        <f t="array" ref="I414">IF(Table117821341[[#This Row],[Pos.]]="QB1",_xlfn.XLOOKUP(Table117821341[[#This Row],[Opp]],Table123[DEF],'2425'!$K$3:$K$34),"#N/A")</f>
        <v>#N/A</v>
      </c>
      <c r="J414" s="148" t="e" cm="1">
        <f t="array" ref="J41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4" s="148" t="e" cm="1">
        <f t="array" ref="K41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4" s="148" t="e" cm="1">
        <f t="array" ref="L41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4" s="148" t="e" cm="1">
        <f t="array" ref="M41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4" s="148" t="e" cm="1">
        <f t="array" ref="N41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4" s="149" t="str">
        <f>IF(Table117821341[[#This Row],[Pos.]]="QB1",_xlfn.XLOOKUP(Table117821341[[#This Row],[Opp]],Table123[DEF],Table123[P]),"#N/A")</f>
        <v>#N/A</v>
      </c>
      <c r="P414" s="149" t="str">
        <f>IF(Table117821341[[#This Row],[Pos.]]="QB1",_xlfn.XLOOKUP(Table117821341[[#This Row],[Opp]],Table123[DEF],Table123[P+R]),"#N/A")</f>
        <v>#N/A</v>
      </c>
      <c r="Q414" s="150" t="str">
        <f>IF(Table117821341[[#This Row],[Pos.]]="QB1",_xlfn.XLOOKUP(Table117821341[[#This Row],[Opp]],Table123[DEF],Table123[P TD]),"#N/A")</f>
        <v>#N/A</v>
      </c>
      <c r="R414" s="149" t="e" cm="1">
        <f t="array" ref="R41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4" s="150" t="e" cm="1">
        <f t="array" ref="S41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4" s="150" t="e" cm="1">
        <f t="array" ref="T41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4" s="150" t="e" cm="1">
        <f t="array" ref="U41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4" s="150" t="e" cm="1">
        <f t="array" ref="V41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4" s="148" t="e" cm="1">
        <f t="array" ref="W414">_xlfn.IFS(Table117821341[[#This Row],[Pos.]]="QB1",AVERAGE(G414,H414,I414,J414,N414),Table117821341[[#This Row],[Pos.]]="RB1",AVERAGE(J414,K414,N414),Table117821341[[#This Row],[Pos.]]="RB2",AVERAGE(J414,K414,N414),Table117821341[[#This Row],[Pos.]]="WR1",AVERAGE(L414,M414,N414),Table117821341[[#This Row],[Pos.]]="WR2",AVERAGE(L414,M414,N414),Table117821341[[#This Row],[Pos.]]="WR3",AVERAGE(L414,M414,N414),Table117821341[[#This Row],[Pos.]]="WR4",AVERAGE(L414,M414,N414),Table117821341[[#This Row],[Pos.]]="TE1",AVERAGE(L414,M414,N414),Table117821341[[#This Row],[Pos.]]="TE2",AVERAGE(L414,M414,N414),Table117821341[[#This Row],[Pos.]]="D/ST",AVERAGE(Table117821341[[#This Row],[*TD*]]))</f>
        <v>#N/A</v>
      </c>
      <c r="X414" s="94" t="e">
        <f t="shared" si="6"/>
        <v>#N/A</v>
      </c>
    </row>
    <row r="415" spans="2:24" hidden="1" x14ac:dyDescent="0.35">
      <c r="B415" s="6" t="s">
        <v>444</v>
      </c>
      <c r="C415" s="97" t="s">
        <v>48</v>
      </c>
      <c r="D415" s="97" t="s">
        <v>430</v>
      </c>
      <c r="E415" s="23" t="str" cm="1">
        <f t="array" ref="E415">_xlfn.XLOOKUP(Table117821341[[#This Row],[Team]],Table4334[Team],'2425'!$C$3:$C$34)</f>
        <v>n/a</v>
      </c>
      <c r="F415" s="97" t="str">
        <f>_xlfn.XLOOKUP(Table117821341[[#This Row],[Team]],Table4334[Team],Table4334[OPP])</f>
        <v>n/a</v>
      </c>
      <c r="G415" s="148" t="str" cm="1">
        <f t="array" ref="G415">IF(Table117821341[[#This Row],[Pos.]]="QB1",_xlfn.XLOOKUP(Table117821341[[#This Row],[Opp]],Table123[DEF],'2425'!$G$3:$G$34),"#N/A")</f>
        <v>#N/A</v>
      </c>
      <c r="H415" s="148" t="str" cm="1">
        <f t="array" ref="H415">IF(Table117821341[[#This Row],[Pos.]]="QB1",_xlfn.XLOOKUP(Table117821341[[#This Row],[Opp]],Table123[DEF],'2425'!$J$3:$J$34),"#N/A")</f>
        <v>#N/A</v>
      </c>
      <c r="I415" s="148" t="str" cm="1">
        <f t="array" ref="I415">IF(Table117821341[[#This Row],[Pos.]]="QB1",_xlfn.XLOOKUP(Table117821341[[#This Row],[Opp]],Table123[DEF],'2425'!$K$3:$K$34),"#N/A")</f>
        <v>#N/A</v>
      </c>
      <c r="J415" s="148" t="e" cm="1">
        <f t="array" ref="J41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5" s="148" t="e" cm="1">
        <f t="array" ref="K41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5" s="148" t="e" cm="1">
        <f t="array" ref="L41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5" s="148" t="e" cm="1">
        <f t="array" ref="M41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5" s="148" t="e" cm="1">
        <f t="array" ref="N41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5" s="149" t="str">
        <f>IF(Table117821341[[#This Row],[Pos.]]="QB1",_xlfn.XLOOKUP(Table117821341[[#This Row],[Opp]],Table123[DEF],Table123[P]),"#N/A")</f>
        <v>#N/A</v>
      </c>
      <c r="P415" s="149" t="str">
        <f>IF(Table117821341[[#This Row],[Pos.]]="QB1",_xlfn.XLOOKUP(Table117821341[[#This Row],[Opp]],Table123[DEF],Table123[P+R]),"#N/A")</f>
        <v>#N/A</v>
      </c>
      <c r="Q415" s="150" t="str">
        <f>IF(Table117821341[[#This Row],[Pos.]]="QB1",_xlfn.XLOOKUP(Table117821341[[#This Row],[Opp]],Table123[DEF],Table123[P TD]),"#N/A")</f>
        <v>#N/A</v>
      </c>
      <c r="R415" s="149" t="e" cm="1">
        <f t="array" ref="R41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5" s="150" t="e" cm="1">
        <f t="array" ref="S41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5" s="150" t="e" cm="1">
        <f t="array" ref="T41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5" s="150" t="e" cm="1">
        <f t="array" ref="U41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5" s="150" t="e" cm="1">
        <f t="array" ref="V41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5" s="148" t="e" cm="1">
        <f t="array" ref="W415">_xlfn.IFS(Table117821341[[#This Row],[Pos.]]="QB1",AVERAGE(G415,H415,I415,J415,N415),Table117821341[[#This Row],[Pos.]]="RB1",AVERAGE(J415,K415,N415),Table117821341[[#This Row],[Pos.]]="RB2",AVERAGE(J415,K415,N415),Table117821341[[#This Row],[Pos.]]="WR1",AVERAGE(L415,M415,N415),Table117821341[[#This Row],[Pos.]]="WR2",AVERAGE(L415,M415,N415),Table117821341[[#This Row],[Pos.]]="WR3",AVERAGE(L415,M415,N415),Table117821341[[#This Row],[Pos.]]="WR4",AVERAGE(L415,M415,N415),Table117821341[[#This Row],[Pos.]]="TE1",AVERAGE(L415,M415,N415),Table117821341[[#This Row],[Pos.]]="TE2",AVERAGE(L415,M415,N415),Table117821341[[#This Row],[Pos.]]="D/ST",AVERAGE(Table117821341[[#This Row],[*TD*]]))</f>
        <v>#N/A</v>
      </c>
      <c r="X415" s="94" t="e">
        <f t="shared" ref="X415:X478" si="7">AVERAGE(N415,W415)</f>
        <v>#N/A</v>
      </c>
    </row>
    <row r="416" spans="2:24" hidden="1" x14ac:dyDescent="0.35">
      <c r="B416" s="6" t="s">
        <v>445</v>
      </c>
      <c r="C416" s="97" t="s">
        <v>48</v>
      </c>
      <c r="D416" s="97" t="s">
        <v>435</v>
      </c>
      <c r="E416" s="23" t="str" cm="1">
        <f t="array" ref="E416">_xlfn.XLOOKUP(Table117821341[[#This Row],[Team]],Table4334[Team],'2425'!$C$3:$C$34)</f>
        <v>n/a</v>
      </c>
      <c r="F416" s="97" t="str">
        <f>_xlfn.XLOOKUP(Table117821341[[#This Row],[Team]],Table4334[Team],Table4334[OPP])</f>
        <v>n/a</v>
      </c>
      <c r="G416" s="148" t="str" cm="1">
        <f t="array" ref="G416">IF(Table117821341[[#This Row],[Pos.]]="QB1",_xlfn.XLOOKUP(Table117821341[[#This Row],[Opp]],Table123[DEF],'2425'!$G$3:$G$34),"#N/A")</f>
        <v>#N/A</v>
      </c>
      <c r="H416" s="148" t="str" cm="1">
        <f t="array" ref="H416">IF(Table117821341[[#This Row],[Pos.]]="QB1",_xlfn.XLOOKUP(Table117821341[[#This Row],[Opp]],Table123[DEF],'2425'!$J$3:$J$34),"#N/A")</f>
        <v>#N/A</v>
      </c>
      <c r="I416" s="148" t="str" cm="1">
        <f t="array" ref="I416">IF(Table117821341[[#This Row],[Pos.]]="QB1",_xlfn.XLOOKUP(Table117821341[[#This Row],[Opp]],Table123[DEF],'2425'!$K$3:$K$34),"#N/A")</f>
        <v>#N/A</v>
      </c>
      <c r="J416" s="148" t="e" cm="1">
        <f t="array" ref="J41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6" s="148" t="e" cm="1">
        <f t="array" ref="K41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6" s="148" t="e" cm="1">
        <f t="array" ref="L41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6" s="148" t="e" cm="1">
        <f t="array" ref="M41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6" s="148" t="e" cm="1">
        <f t="array" ref="N41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6" s="149" t="str">
        <f>IF(Table117821341[[#This Row],[Pos.]]="QB1",_xlfn.XLOOKUP(Table117821341[[#This Row],[Opp]],Table123[DEF],Table123[P]),"#N/A")</f>
        <v>#N/A</v>
      </c>
      <c r="P416" s="149" t="str">
        <f>IF(Table117821341[[#This Row],[Pos.]]="QB1",_xlfn.XLOOKUP(Table117821341[[#This Row],[Opp]],Table123[DEF],Table123[P+R]),"#N/A")</f>
        <v>#N/A</v>
      </c>
      <c r="Q416" s="150" t="str">
        <f>IF(Table117821341[[#This Row],[Pos.]]="QB1",_xlfn.XLOOKUP(Table117821341[[#This Row],[Opp]],Table123[DEF],Table123[P TD]),"#N/A")</f>
        <v>#N/A</v>
      </c>
      <c r="R416" s="149" t="e" cm="1">
        <f t="array" ref="R41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6" s="150" t="e" cm="1">
        <f t="array" ref="S41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6" s="150" t="e" cm="1">
        <f t="array" ref="T41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6" s="150" t="e" cm="1">
        <f t="array" ref="U41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6" s="150" t="e" cm="1">
        <f t="array" ref="V41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6" s="148" t="e" cm="1">
        <f t="array" ref="W416">_xlfn.IFS(Table117821341[[#This Row],[Pos.]]="QB1",AVERAGE(G416,H416,I416,J416,N416),Table117821341[[#This Row],[Pos.]]="RB1",AVERAGE(J416,K416,N416),Table117821341[[#This Row],[Pos.]]="RB2",AVERAGE(J416,K416,N416),Table117821341[[#This Row],[Pos.]]="WR1",AVERAGE(L416,M416,N416),Table117821341[[#This Row],[Pos.]]="WR2",AVERAGE(L416,M416,N416),Table117821341[[#This Row],[Pos.]]="WR3",AVERAGE(L416,M416,N416),Table117821341[[#This Row],[Pos.]]="WR4",AVERAGE(L416,M416,N416),Table117821341[[#This Row],[Pos.]]="TE1",AVERAGE(L416,M416,N416),Table117821341[[#This Row],[Pos.]]="TE2",AVERAGE(L416,M416,N416),Table117821341[[#This Row],[Pos.]]="D/ST",AVERAGE(Table117821341[[#This Row],[*TD*]]))</f>
        <v>#N/A</v>
      </c>
      <c r="X416" s="94" t="e">
        <f t="shared" si="7"/>
        <v>#N/A</v>
      </c>
    </row>
    <row r="417" spans="2:24" x14ac:dyDescent="0.35">
      <c r="B417" s="6" t="s">
        <v>311</v>
      </c>
      <c r="C417" s="97" t="s">
        <v>46</v>
      </c>
      <c r="D417" s="97" t="s">
        <v>67</v>
      </c>
      <c r="E417" s="23" t="str" cm="1">
        <f t="array" ref="E417">_xlfn.XLOOKUP(Table117821341[[#This Row],[Team]],Table4334[Team],'2425'!$C$3:$C$34)</f>
        <v>SB LX</v>
      </c>
      <c r="F417" s="97" t="str">
        <f>_xlfn.XLOOKUP(Table117821341[[#This Row],[Team]],Table4334[Team],Table4334[OPP])</f>
        <v>SEA</v>
      </c>
      <c r="G417" s="148" t="str" cm="1">
        <f t="array" ref="G417">IF(Table117821341[[#This Row],[Pos.]]="QB1",_xlfn.XLOOKUP(Table117821341[[#This Row],[Opp]],Table123[DEF],'2425'!$G$3:$G$34),"#N/A")</f>
        <v>#N/A</v>
      </c>
      <c r="H417" s="148" t="str" cm="1">
        <f t="array" ref="H417">IF(Table117821341[[#This Row],[Pos.]]="QB1",_xlfn.XLOOKUP(Table117821341[[#This Row],[Opp]],Table123[DEF],'2425'!$J$3:$J$34),"#N/A")</f>
        <v>#N/A</v>
      </c>
      <c r="I417" s="148" t="str" cm="1">
        <f t="array" ref="I417">IF(Table117821341[[#This Row],[Pos.]]="QB1",_xlfn.XLOOKUP(Table117821341[[#This Row],[Opp]],Table123[DEF],'2425'!$K$3:$K$34),"#N/A")</f>
        <v>#N/A</v>
      </c>
      <c r="J417" s="148" t="e" cm="1">
        <f t="array" ref="J41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7" s="148" t="e" cm="1">
        <f t="array" ref="K41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7" s="148" cm="1">
        <f t="array" ref="L41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16</v>
      </c>
      <c r="M417" s="148" cm="1">
        <f t="array" ref="M41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22</v>
      </c>
      <c r="N417" s="148" cm="1">
        <f t="array" ref="N41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30</v>
      </c>
      <c r="O417" s="149" t="str">
        <f>IF(Table117821341[[#This Row],[Pos.]]="QB1",_xlfn.XLOOKUP(Table117821341[[#This Row],[Opp]],Table123[DEF],Table123[P]),"#N/A")</f>
        <v>#N/A</v>
      </c>
      <c r="P417" s="149" t="str">
        <f>IF(Table117821341[[#This Row],[Pos.]]="QB1",_xlfn.XLOOKUP(Table117821341[[#This Row],[Opp]],Table123[DEF],Table123[P+R]),"#N/A")</f>
        <v>#N/A</v>
      </c>
      <c r="Q417" s="150" t="str">
        <f>IF(Table117821341[[#This Row],[Pos.]]="QB1",_xlfn.XLOOKUP(Table117821341[[#This Row],[Opp]],Table123[DEF],Table123[P TD]),"#N/A")</f>
        <v>#N/A</v>
      </c>
      <c r="R417" s="149" t="e" cm="1">
        <f t="array" ref="R41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7" s="150" t="e" cm="1">
        <f t="array" ref="S41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7" s="150" cm="1">
        <f t="array" ref="T41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3.5588235294117649</v>
      </c>
      <c r="U417" s="150" cm="1">
        <f t="array" ref="U41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42.764705882352942</v>
      </c>
      <c r="V417" s="162" cm="1">
        <f t="array" ref="V41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0.20588235294117649</v>
      </c>
      <c r="W417" s="148" cm="1">
        <f t="array" ref="W417">_xlfn.IFS(Table117821341[[#This Row],[Pos.]]="QB1",AVERAGE(G417,H417,I417,J417,N417),Table117821341[[#This Row],[Pos.]]="RB1",AVERAGE(J417,K417,N417),Table117821341[[#This Row],[Pos.]]="RB2",AVERAGE(J417,K417,N417),Table117821341[[#This Row],[Pos.]]="WR1",AVERAGE(L417,M417,N417),Table117821341[[#This Row],[Pos.]]="WR2",AVERAGE(L417,M417,N417),Table117821341[[#This Row],[Pos.]]="WR3",AVERAGE(L417,M417,N417),Table117821341[[#This Row],[Pos.]]="WR4",AVERAGE(L417,M417,N417),Table117821341[[#This Row],[Pos.]]="TE1",AVERAGE(L417,M417,N417),Table117821341[[#This Row],[Pos.]]="TE2",AVERAGE(L417,M417,N417),Table117821341[[#This Row],[Pos.]]="D/ST",AVERAGE(Table117821341[[#This Row],[*TD*]]))</f>
        <v>22.666666666666668</v>
      </c>
      <c r="X417" s="94">
        <f t="shared" si="7"/>
        <v>26.333333333333336</v>
      </c>
    </row>
    <row r="418" spans="2:24" x14ac:dyDescent="0.35">
      <c r="B418" s="6" t="s">
        <v>222</v>
      </c>
      <c r="C418" s="97" t="s">
        <v>37</v>
      </c>
      <c r="D418" s="97" t="s">
        <v>67</v>
      </c>
      <c r="E418" s="23" t="str" cm="1">
        <f t="array" ref="E418">_xlfn.XLOOKUP(Table117821341[[#This Row],[Team]],Table4334[Team],'2425'!$C$3:$C$34)</f>
        <v>n/a</v>
      </c>
      <c r="F418" s="97" t="str">
        <f>_xlfn.XLOOKUP(Table117821341[[#This Row],[Team]],Table4334[Team],Table4334[OPP])</f>
        <v>n/a</v>
      </c>
      <c r="G418" s="148" t="str" cm="1">
        <f t="array" ref="G418">IF(Table117821341[[#This Row],[Pos.]]="QB1",_xlfn.XLOOKUP(Table117821341[[#This Row],[Opp]],Table123[DEF],'2425'!$G$3:$G$34),"#N/A")</f>
        <v>#N/A</v>
      </c>
      <c r="H418" s="148" t="str" cm="1">
        <f t="array" ref="H418">IF(Table117821341[[#This Row],[Pos.]]="QB1",_xlfn.XLOOKUP(Table117821341[[#This Row],[Opp]],Table123[DEF],'2425'!$J$3:$J$34),"#N/A")</f>
        <v>#N/A</v>
      </c>
      <c r="I418" s="148" t="str" cm="1">
        <f t="array" ref="I418">IF(Table117821341[[#This Row],[Pos.]]="QB1",_xlfn.XLOOKUP(Table117821341[[#This Row],[Opp]],Table123[DEF],'2425'!$K$3:$K$34),"#N/A")</f>
        <v>#N/A</v>
      </c>
      <c r="J418" s="148" t="e" cm="1">
        <f t="array" ref="J41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8" s="148" t="e" cm="1">
        <f t="array" ref="K41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8" s="148" t="e" cm="1">
        <f t="array" ref="L41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8" s="148" t="e" cm="1">
        <f t="array" ref="M41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8" s="148" t="e" cm="1">
        <f t="array" ref="N41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8" s="149" t="str">
        <f>IF(Table117821341[[#This Row],[Pos.]]="QB1",_xlfn.XLOOKUP(Table117821341[[#This Row],[Opp]],Table123[DEF],Table123[P]),"#N/A")</f>
        <v>#N/A</v>
      </c>
      <c r="P418" s="149" t="str">
        <f>IF(Table117821341[[#This Row],[Pos.]]="QB1",_xlfn.XLOOKUP(Table117821341[[#This Row],[Opp]],Table123[DEF],Table123[P+R]),"#N/A")</f>
        <v>#N/A</v>
      </c>
      <c r="Q418" s="150" t="str">
        <f>IF(Table117821341[[#This Row],[Pos.]]="QB1",_xlfn.XLOOKUP(Table117821341[[#This Row],[Opp]],Table123[DEF],Table123[P TD]),"#N/A")</f>
        <v>#N/A</v>
      </c>
      <c r="R418" s="149" t="e" cm="1">
        <f t="array" ref="R41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8" s="150" t="e" cm="1">
        <f t="array" ref="S41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8" s="150" t="e" cm="1">
        <f t="array" ref="T41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8" s="150" t="e" cm="1">
        <f t="array" ref="U41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8" s="162" t="e" cm="1">
        <f t="array" ref="V41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8" s="148" t="e" cm="1">
        <f t="array" ref="W418">_xlfn.IFS(Table117821341[[#This Row],[Pos.]]="QB1",AVERAGE(G418,H418,I418,J418,N418),Table117821341[[#This Row],[Pos.]]="RB1",AVERAGE(J418,K418,N418),Table117821341[[#This Row],[Pos.]]="RB2",AVERAGE(J418,K418,N418),Table117821341[[#This Row],[Pos.]]="WR1",AVERAGE(L418,M418,N418),Table117821341[[#This Row],[Pos.]]="WR2",AVERAGE(L418,M418,N418),Table117821341[[#This Row],[Pos.]]="WR3",AVERAGE(L418,M418,N418),Table117821341[[#This Row],[Pos.]]="WR4",AVERAGE(L418,M418,N418),Table117821341[[#This Row],[Pos.]]="TE1",AVERAGE(L418,M418,N418),Table117821341[[#This Row],[Pos.]]="TE2",AVERAGE(L418,M418,N418),Table117821341[[#This Row],[Pos.]]="D/ST",AVERAGE(Table117821341[[#This Row],[*TD*]]))</f>
        <v>#N/A</v>
      </c>
      <c r="X418" s="94" t="e">
        <f t="shared" si="7"/>
        <v>#N/A</v>
      </c>
    </row>
    <row r="419" spans="2:24" x14ac:dyDescent="0.35">
      <c r="B419" s="6" t="s">
        <v>269</v>
      </c>
      <c r="C419" s="97" t="s">
        <v>42</v>
      </c>
      <c r="D419" s="97" t="s">
        <v>397</v>
      </c>
      <c r="E419" s="23" t="str" cm="1">
        <f t="array" ref="E419">_xlfn.XLOOKUP(Table117821341[[#This Row],[Team]],Table4334[Team],'2425'!$C$3:$C$34)</f>
        <v>n/a</v>
      </c>
      <c r="F419" s="97" t="str">
        <f>_xlfn.XLOOKUP(Table117821341[[#This Row],[Team]],Table4334[Team],Table4334[OPP])</f>
        <v>n/a</v>
      </c>
      <c r="G419" s="148" t="str" cm="1">
        <f t="array" ref="G419">IF(Table117821341[[#This Row],[Pos.]]="QB1",_xlfn.XLOOKUP(Table117821341[[#This Row],[Opp]],Table123[DEF],'2425'!$G$3:$G$34),"#N/A")</f>
        <v>#N/A</v>
      </c>
      <c r="H419" s="148" t="str" cm="1">
        <f t="array" ref="H419">IF(Table117821341[[#This Row],[Pos.]]="QB1",_xlfn.XLOOKUP(Table117821341[[#This Row],[Opp]],Table123[DEF],'2425'!$J$3:$J$34),"#N/A")</f>
        <v>#N/A</v>
      </c>
      <c r="I419" s="148" t="str" cm="1">
        <f t="array" ref="I419">IF(Table117821341[[#This Row],[Pos.]]="QB1",_xlfn.XLOOKUP(Table117821341[[#This Row],[Opp]],Table123[DEF],'2425'!$K$3:$K$34),"#N/A")</f>
        <v>#N/A</v>
      </c>
      <c r="J419" s="148" t="e" cm="1">
        <f t="array" ref="J41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19" s="148" t="e" cm="1">
        <f t="array" ref="K41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19" s="148" t="e" cm="1">
        <f t="array" ref="L41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19" s="148" t="e" cm="1">
        <f t="array" ref="M41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19" s="148" t="e" cm="1">
        <f t="array" ref="N41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19" s="149" t="str">
        <f>IF(Table117821341[[#This Row],[Pos.]]="QB1",_xlfn.XLOOKUP(Table117821341[[#This Row],[Opp]],Table123[DEF],Table123[P]),"#N/A")</f>
        <v>#N/A</v>
      </c>
      <c r="P419" s="149" t="str">
        <f>IF(Table117821341[[#This Row],[Pos.]]="QB1",_xlfn.XLOOKUP(Table117821341[[#This Row],[Opp]],Table123[DEF],Table123[P+R]),"#N/A")</f>
        <v>#N/A</v>
      </c>
      <c r="Q419" s="150" t="str">
        <f>IF(Table117821341[[#This Row],[Pos.]]="QB1",_xlfn.XLOOKUP(Table117821341[[#This Row],[Opp]],Table123[DEF],Table123[P TD]),"#N/A")</f>
        <v>#N/A</v>
      </c>
      <c r="R419" s="149" t="e" cm="1">
        <f t="array" ref="R41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19" s="150" t="e" cm="1">
        <f t="array" ref="S41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19" s="150" t="e" cm="1">
        <f t="array" ref="T41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19" s="150" t="e" cm="1">
        <f t="array" ref="U41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19" s="162" t="e" cm="1">
        <f t="array" ref="V41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19" s="148" t="e" cm="1">
        <f t="array" ref="W419">_xlfn.IFS(Table117821341[[#This Row],[Pos.]]="QB1",AVERAGE(G419,H419,I419,J419,N419),Table117821341[[#This Row],[Pos.]]="RB1",AVERAGE(J419,K419,N419),Table117821341[[#This Row],[Pos.]]="RB2",AVERAGE(J419,K419,N419),Table117821341[[#This Row],[Pos.]]="WR1",AVERAGE(L419,M419,N419),Table117821341[[#This Row],[Pos.]]="WR2",AVERAGE(L419,M419,N419),Table117821341[[#This Row],[Pos.]]="WR3",AVERAGE(L419,M419,N419),Table117821341[[#This Row],[Pos.]]="WR4",AVERAGE(L419,M419,N419),Table117821341[[#This Row],[Pos.]]="TE1",AVERAGE(L419,M419,N419),Table117821341[[#This Row],[Pos.]]="TE2",AVERAGE(L419,M419,N419),Table117821341[[#This Row],[Pos.]]="D/ST",AVERAGE(Table117821341[[#This Row],[*TD*]]))</f>
        <v>#N/A</v>
      </c>
      <c r="X419" s="94" t="e">
        <f t="shared" si="7"/>
        <v>#N/A</v>
      </c>
    </row>
    <row r="420" spans="2:24" x14ac:dyDescent="0.35">
      <c r="B420" s="6" t="s">
        <v>221</v>
      </c>
      <c r="C420" s="97" t="s">
        <v>37</v>
      </c>
      <c r="D420" s="97" t="s">
        <v>397</v>
      </c>
      <c r="E420" s="23" t="str" cm="1">
        <f t="array" ref="E420">_xlfn.XLOOKUP(Table117821341[[#This Row],[Team]],Table4334[Team],'2425'!$C$3:$C$34)</f>
        <v>n/a</v>
      </c>
      <c r="F420" s="97" t="str">
        <f>_xlfn.XLOOKUP(Table117821341[[#This Row],[Team]],Table4334[Team],Table4334[OPP])</f>
        <v>n/a</v>
      </c>
      <c r="G420" s="148" t="str" cm="1">
        <f t="array" ref="G420">IF(Table117821341[[#This Row],[Pos.]]="QB1",_xlfn.XLOOKUP(Table117821341[[#This Row],[Opp]],Table123[DEF],'2425'!$G$3:$G$34),"#N/A")</f>
        <v>#N/A</v>
      </c>
      <c r="H420" s="148" t="str" cm="1">
        <f t="array" ref="H420">IF(Table117821341[[#This Row],[Pos.]]="QB1",_xlfn.XLOOKUP(Table117821341[[#This Row],[Opp]],Table123[DEF],'2425'!$J$3:$J$34),"#N/A")</f>
        <v>#N/A</v>
      </c>
      <c r="I420" s="148" t="str" cm="1">
        <f t="array" ref="I420">IF(Table117821341[[#This Row],[Pos.]]="QB1",_xlfn.XLOOKUP(Table117821341[[#This Row],[Opp]],Table123[DEF],'2425'!$K$3:$K$34),"#N/A")</f>
        <v>#N/A</v>
      </c>
      <c r="J420" s="148" t="e" cm="1">
        <f t="array" ref="J42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0" s="148" t="e" cm="1">
        <f t="array" ref="K42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0" s="148" t="e" cm="1">
        <f t="array" ref="L42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0" s="148" t="e" cm="1">
        <f t="array" ref="M42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0" s="148" t="e" cm="1">
        <f t="array" ref="N42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0" s="149" t="str">
        <f>IF(Table117821341[[#This Row],[Pos.]]="QB1",_xlfn.XLOOKUP(Table117821341[[#This Row],[Opp]],Table123[DEF],Table123[P]),"#N/A")</f>
        <v>#N/A</v>
      </c>
      <c r="P420" s="149" t="str">
        <f>IF(Table117821341[[#This Row],[Pos.]]="QB1",_xlfn.XLOOKUP(Table117821341[[#This Row],[Opp]],Table123[DEF],Table123[P+R]),"#N/A")</f>
        <v>#N/A</v>
      </c>
      <c r="Q420" s="150" t="str">
        <f>IF(Table117821341[[#This Row],[Pos.]]="QB1",_xlfn.XLOOKUP(Table117821341[[#This Row],[Opp]],Table123[DEF],Table123[P TD]),"#N/A")</f>
        <v>#N/A</v>
      </c>
      <c r="R420" s="149" t="e" cm="1">
        <f t="array" ref="R42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0" s="150" t="e" cm="1">
        <f t="array" ref="S42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0" s="150" t="e" cm="1">
        <f t="array" ref="T42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0" s="150" t="e" cm="1">
        <f t="array" ref="U42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0" s="162" t="e" cm="1">
        <f t="array" ref="V42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0" s="148" t="e" cm="1">
        <f t="array" ref="W420">_xlfn.IFS(Table117821341[[#This Row],[Pos.]]="QB1",AVERAGE(G420,H420,I420,J420,N420),Table117821341[[#This Row],[Pos.]]="RB1",AVERAGE(J420,K420,N420),Table117821341[[#This Row],[Pos.]]="RB2",AVERAGE(J420,K420,N420),Table117821341[[#This Row],[Pos.]]="WR1",AVERAGE(L420,M420,N420),Table117821341[[#This Row],[Pos.]]="WR2",AVERAGE(L420,M420,N420),Table117821341[[#This Row],[Pos.]]="WR3",AVERAGE(L420,M420,N420),Table117821341[[#This Row],[Pos.]]="WR4",AVERAGE(L420,M420,N420),Table117821341[[#This Row],[Pos.]]="TE1",AVERAGE(L420,M420,N420),Table117821341[[#This Row],[Pos.]]="TE2",AVERAGE(L420,M420,N420),Table117821341[[#This Row],[Pos.]]="D/ST",AVERAGE(Table117821341[[#This Row],[*TD*]]))</f>
        <v>#N/A</v>
      </c>
      <c r="X420" s="94" t="e">
        <f t="shared" si="7"/>
        <v>#N/A</v>
      </c>
    </row>
    <row r="421" spans="2:24" hidden="1" x14ac:dyDescent="0.35">
      <c r="B421" s="6" t="s">
        <v>428</v>
      </c>
      <c r="C421" s="97" t="s">
        <v>48</v>
      </c>
      <c r="D421" s="143" t="s">
        <v>403</v>
      </c>
      <c r="E421" s="23" t="str" cm="1">
        <f t="array" ref="E421">_xlfn.XLOOKUP(Table117821341[[#This Row],[Team]],Table4334[Team],'2425'!$C$3:$C$34)</f>
        <v>n/a</v>
      </c>
      <c r="F421" s="97" t="str">
        <f>_xlfn.XLOOKUP(Table117821341[[#This Row],[Team]],Table4334[Team],Table4334[OPP])</f>
        <v>n/a</v>
      </c>
      <c r="G421" s="148" t="str" cm="1">
        <f t="array" ref="G421">IF(Table117821341[[#This Row],[Pos.]]="QB1",_xlfn.XLOOKUP(Table117821341[[#This Row],[Opp]],Table123[DEF],'2425'!$G$3:$G$34),"#N/A")</f>
        <v>#N/A</v>
      </c>
      <c r="H421" s="148" t="str" cm="1">
        <f t="array" ref="H421">IF(Table117821341[[#This Row],[Pos.]]="QB1",_xlfn.XLOOKUP(Table117821341[[#This Row],[Opp]],Table123[DEF],'2425'!$J$3:$J$34),"#N/A")</f>
        <v>#N/A</v>
      </c>
      <c r="I421" s="148" t="str" cm="1">
        <f t="array" ref="I421">IF(Table117821341[[#This Row],[Pos.]]="QB1",_xlfn.XLOOKUP(Table117821341[[#This Row],[Opp]],Table123[DEF],'2425'!$K$3:$K$34),"#N/A")</f>
        <v>#N/A</v>
      </c>
      <c r="J421" s="148" t="e" cm="1">
        <f t="array" ref="J42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1" s="148" t="e" cm="1">
        <f t="array" ref="K42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1" s="148" t="e" cm="1">
        <f t="array" ref="L42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1" s="148" t="e" cm="1">
        <f t="array" ref="M42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1" s="148" t="e" cm="1">
        <f t="array" ref="N42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1" s="149" t="str">
        <f>IF(Table117821341[[#This Row],[Pos.]]="QB1",_xlfn.XLOOKUP(Table117821341[[#This Row],[Opp]],Table123[DEF],Table123[P]),"#N/A")</f>
        <v>#N/A</v>
      </c>
      <c r="P421" s="149" t="str">
        <f>IF(Table117821341[[#This Row],[Pos.]]="QB1",_xlfn.XLOOKUP(Table117821341[[#This Row],[Opp]],Table123[DEF],Table123[P+R]),"#N/A")</f>
        <v>#N/A</v>
      </c>
      <c r="Q421" s="150" t="str">
        <f>IF(Table117821341[[#This Row],[Pos.]]="QB1",_xlfn.XLOOKUP(Table117821341[[#This Row],[Opp]],Table123[DEF],Table123[P TD]),"#N/A")</f>
        <v>#N/A</v>
      </c>
      <c r="R421" s="149" t="e" cm="1">
        <f t="array" ref="R42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1" s="150" t="e" cm="1">
        <f t="array" ref="S42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1" s="150" t="e" cm="1">
        <f t="array" ref="T42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1" s="150" t="e" cm="1">
        <f t="array" ref="U42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1" s="150" t="e" cm="1">
        <f t="array" ref="V42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1" s="148" t="e" cm="1">
        <f t="array" ref="W421">_xlfn.IFS(Table117821341[[#This Row],[Pos.]]="QB1",AVERAGE(G421,H421,I421,J421,N421),Table117821341[[#This Row],[Pos.]]="RB1",AVERAGE(J421,K421,N421),Table117821341[[#This Row],[Pos.]]="RB2",AVERAGE(J421,K421,N421),Table117821341[[#This Row],[Pos.]]="WR1",AVERAGE(L421,M421,N421),Table117821341[[#This Row],[Pos.]]="WR2",AVERAGE(L421,M421,N421),Table117821341[[#This Row],[Pos.]]="WR3",AVERAGE(L421,M421,N421),Table117821341[[#This Row],[Pos.]]="WR4",AVERAGE(L421,M421,N421),Table117821341[[#This Row],[Pos.]]="TE1",AVERAGE(L421,M421,N421),Table117821341[[#This Row],[Pos.]]="TE2",AVERAGE(L421,M421,N421),Table117821341[[#This Row],[Pos.]]="D/ST",AVERAGE(Table117821341[[#This Row],[*TD*]]))</f>
        <v>#N/A</v>
      </c>
      <c r="X421" s="94" t="e">
        <f t="shared" si="7"/>
        <v>#N/A</v>
      </c>
    </row>
    <row r="422" spans="2:24" hidden="1" x14ac:dyDescent="0.35">
      <c r="B422" s="142" t="s">
        <v>439</v>
      </c>
      <c r="C422" s="143" t="s">
        <v>48</v>
      </c>
      <c r="D422" s="97" t="s">
        <v>411</v>
      </c>
      <c r="E422" s="23" t="str" cm="1">
        <f t="array" ref="E422">_xlfn.XLOOKUP(Table117821341[[#This Row],[Team]],Table4334[Team],'2425'!$C$3:$C$34)</f>
        <v>n/a</v>
      </c>
      <c r="F422" s="97" t="str">
        <f>_xlfn.XLOOKUP(Table117821341[[#This Row],[Team]],Table4334[Team],Table4334[OPP])</f>
        <v>n/a</v>
      </c>
      <c r="G422" s="148" t="str" cm="1">
        <f t="array" ref="G422">IF(Table117821341[[#This Row],[Pos.]]="QB1",_xlfn.XLOOKUP(Table117821341[[#This Row],[Opp]],Table123[DEF],'2425'!$G$3:$G$34),"#N/A")</f>
        <v>#N/A</v>
      </c>
      <c r="H422" s="148" t="str" cm="1">
        <f t="array" ref="H422">IF(Table117821341[[#This Row],[Pos.]]="QB1",_xlfn.XLOOKUP(Table117821341[[#This Row],[Opp]],Table123[DEF],'2425'!$J$3:$J$34),"#N/A")</f>
        <v>#N/A</v>
      </c>
      <c r="I422" s="148" t="str" cm="1">
        <f t="array" ref="I422">IF(Table117821341[[#This Row],[Pos.]]="QB1",_xlfn.XLOOKUP(Table117821341[[#This Row],[Opp]],Table123[DEF],'2425'!$K$3:$K$34),"#N/A")</f>
        <v>#N/A</v>
      </c>
      <c r="J422" s="148" t="e" cm="1">
        <f t="array" ref="J42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2" s="148" t="e" cm="1">
        <f t="array" ref="K42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2" s="148" t="e" cm="1">
        <f t="array" ref="L42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2" s="148" t="e" cm="1">
        <f t="array" ref="M42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2" s="148" t="e" cm="1">
        <f t="array" ref="N42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2" s="149" t="str">
        <f>IF(Table117821341[[#This Row],[Pos.]]="QB1",_xlfn.XLOOKUP(Table117821341[[#This Row],[Opp]],Table123[DEF],Table123[P]),"#N/A")</f>
        <v>#N/A</v>
      </c>
      <c r="P422" s="149" t="str">
        <f>IF(Table117821341[[#This Row],[Pos.]]="QB1",_xlfn.XLOOKUP(Table117821341[[#This Row],[Opp]],Table123[DEF],Table123[P+R]),"#N/A")</f>
        <v>#N/A</v>
      </c>
      <c r="Q422" s="150" t="str">
        <f>IF(Table117821341[[#This Row],[Pos.]]="QB1",_xlfn.XLOOKUP(Table117821341[[#This Row],[Opp]],Table123[DEF],Table123[P TD]),"#N/A")</f>
        <v>#N/A</v>
      </c>
      <c r="R422" s="149" t="e" cm="1">
        <f t="array" ref="R42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2" s="150" t="e" cm="1">
        <f t="array" ref="S42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2" s="150" t="e" cm="1">
        <f t="array" ref="T42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2" s="150" t="e" cm="1">
        <f t="array" ref="U42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2" s="150" t="e" cm="1">
        <f t="array" ref="V42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2" s="148" t="e" cm="1">
        <f t="array" ref="W422">_xlfn.IFS(Table117821341[[#This Row],[Pos.]]="QB1",AVERAGE(G422,H422,I422,J422,N422),Table117821341[[#This Row],[Pos.]]="RB1",AVERAGE(J422,K422,N422),Table117821341[[#This Row],[Pos.]]="RB2",AVERAGE(J422,K422,N422),Table117821341[[#This Row],[Pos.]]="WR1",AVERAGE(L422,M422,N422),Table117821341[[#This Row],[Pos.]]="WR2",AVERAGE(L422,M422,N422),Table117821341[[#This Row],[Pos.]]="WR3",AVERAGE(L422,M422,N422),Table117821341[[#This Row],[Pos.]]="WR4",AVERAGE(L422,M422,N422),Table117821341[[#This Row],[Pos.]]="TE1",AVERAGE(L422,M422,N422),Table117821341[[#This Row],[Pos.]]="TE2",AVERAGE(L422,M422,N422),Table117821341[[#This Row],[Pos.]]="D/ST",AVERAGE(Table117821341[[#This Row],[*TD*]]))</f>
        <v>#N/A</v>
      </c>
      <c r="X422" s="94" t="e">
        <f t="shared" si="7"/>
        <v>#N/A</v>
      </c>
    </row>
    <row r="423" spans="2:24" hidden="1" x14ac:dyDescent="0.35">
      <c r="B423" s="6" t="s">
        <v>440</v>
      </c>
      <c r="C423" s="97" t="s">
        <v>48</v>
      </c>
      <c r="D423" s="97" t="s">
        <v>441</v>
      </c>
      <c r="E423" s="23" t="str" cm="1">
        <f t="array" ref="E423">_xlfn.XLOOKUP(Table117821341[[#This Row],[Team]],Table4334[Team],'2425'!$C$3:$C$34)</f>
        <v>n/a</v>
      </c>
      <c r="F423" s="97" t="str">
        <f>_xlfn.XLOOKUP(Table117821341[[#This Row],[Team]],Table4334[Team],Table4334[OPP])</f>
        <v>n/a</v>
      </c>
      <c r="G423" s="148" t="str" cm="1">
        <f t="array" ref="G423">IF(Table117821341[[#This Row],[Pos.]]="QB1",_xlfn.XLOOKUP(Table117821341[[#This Row],[Opp]],Table123[DEF],'2425'!$G$3:$G$34),"#N/A")</f>
        <v>#N/A</v>
      </c>
      <c r="H423" s="148" t="str" cm="1">
        <f t="array" ref="H423">IF(Table117821341[[#This Row],[Pos.]]="QB1",_xlfn.XLOOKUP(Table117821341[[#This Row],[Opp]],Table123[DEF],'2425'!$J$3:$J$34),"#N/A")</f>
        <v>#N/A</v>
      </c>
      <c r="I423" s="148" t="str" cm="1">
        <f t="array" ref="I423">IF(Table117821341[[#This Row],[Pos.]]="QB1",_xlfn.XLOOKUP(Table117821341[[#This Row],[Opp]],Table123[DEF],'2425'!$K$3:$K$34),"#N/A")</f>
        <v>#N/A</v>
      </c>
      <c r="J423" s="148" t="e" cm="1">
        <f t="array" ref="J42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3" s="148" t="e" cm="1">
        <f t="array" ref="K42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3" s="148" t="e" cm="1">
        <f t="array" ref="L42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3" s="148" t="e" cm="1">
        <f t="array" ref="M42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3" s="148" t="e" cm="1">
        <f t="array" ref="N42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3" s="149" t="str">
        <f>IF(Table117821341[[#This Row],[Pos.]]="QB1",_xlfn.XLOOKUP(Table117821341[[#This Row],[Opp]],Table123[DEF],Table123[P]),"#N/A")</f>
        <v>#N/A</v>
      </c>
      <c r="P423" s="149" t="str">
        <f>IF(Table117821341[[#This Row],[Pos.]]="QB1",_xlfn.XLOOKUP(Table117821341[[#This Row],[Opp]],Table123[DEF],Table123[P+R]),"#N/A")</f>
        <v>#N/A</v>
      </c>
      <c r="Q423" s="150" t="str">
        <f>IF(Table117821341[[#This Row],[Pos.]]="QB1",_xlfn.XLOOKUP(Table117821341[[#This Row],[Opp]],Table123[DEF],Table123[P TD]),"#N/A")</f>
        <v>#N/A</v>
      </c>
      <c r="R423" s="149" t="e" cm="1">
        <f t="array" ref="R42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3" s="150" t="e" cm="1">
        <f t="array" ref="S42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3" s="150" t="e" cm="1">
        <f t="array" ref="T42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3" s="150" t="e" cm="1">
        <f t="array" ref="U42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3" s="150" t="e" cm="1">
        <f t="array" ref="V42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3" s="148" t="e" cm="1">
        <f t="array" ref="W423">_xlfn.IFS(Table117821341[[#This Row],[Pos.]]="QB1",AVERAGE(G423,H423,I423,J423,N423),Table117821341[[#This Row],[Pos.]]="RB1",AVERAGE(J423,K423,N423),Table117821341[[#This Row],[Pos.]]="RB2",AVERAGE(J423,K423,N423),Table117821341[[#This Row],[Pos.]]="WR1",AVERAGE(L423,M423,N423),Table117821341[[#This Row],[Pos.]]="WR2",AVERAGE(L423,M423,N423),Table117821341[[#This Row],[Pos.]]="WR3",AVERAGE(L423,M423,N423),Table117821341[[#This Row],[Pos.]]="WR4",AVERAGE(L423,M423,N423),Table117821341[[#This Row],[Pos.]]="TE1",AVERAGE(L423,M423,N423),Table117821341[[#This Row],[Pos.]]="TE2",AVERAGE(L423,M423,N423),Table117821341[[#This Row],[Pos.]]="D/ST",AVERAGE(Table117821341[[#This Row],[*TD*]]))</f>
        <v>#N/A</v>
      </c>
      <c r="X423" s="94" t="e">
        <f t="shared" si="7"/>
        <v>#N/A</v>
      </c>
    </row>
    <row r="424" spans="2:24" hidden="1" x14ac:dyDescent="0.35">
      <c r="B424" s="6" t="s">
        <v>442</v>
      </c>
      <c r="C424" s="97" t="s">
        <v>48</v>
      </c>
      <c r="D424" s="97" t="s">
        <v>443</v>
      </c>
      <c r="E424" s="23" t="str" cm="1">
        <f t="array" ref="E424">_xlfn.XLOOKUP(Table117821341[[#This Row],[Team]],Table4334[Team],'2425'!$C$3:$C$34)</f>
        <v>n/a</v>
      </c>
      <c r="F424" s="97" t="str">
        <f>_xlfn.XLOOKUP(Table117821341[[#This Row],[Team]],Table4334[Team],Table4334[OPP])</f>
        <v>n/a</v>
      </c>
      <c r="G424" s="148" t="str" cm="1">
        <f t="array" ref="G424">IF(Table117821341[[#This Row],[Pos.]]="QB1",_xlfn.XLOOKUP(Table117821341[[#This Row],[Opp]],Table123[DEF],'2425'!$G$3:$G$34),"#N/A")</f>
        <v>#N/A</v>
      </c>
      <c r="H424" s="148" t="str" cm="1">
        <f t="array" ref="H424">IF(Table117821341[[#This Row],[Pos.]]="QB1",_xlfn.XLOOKUP(Table117821341[[#This Row],[Opp]],Table123[DEF],'2425'!$J$3:$J$34),"#N/A")</f>
        <v>#N/A</v>
      </c>
      <c r="I424" s="148" t="str" cm="1">
        <f t="array" ref="I424">IF(Table117821341[[#This Row],[Pos.]]="QB1",_xlfn.XLOOKUP(Table117821341[[#This Row],[Opp]],Table123[DEF],'2425'!$K$3:$K$34),"#N/A")</f>
        <v>#N/A</v>
      </c>
      <c r="J424" s="148" t="e" cm="1">
        <f t="array" ref="J42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4" s="148" t="e" cm="1">
        <f t="array" ref="K42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4" s="148" t="e" cm="1">
        <f t="array" ref="L42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4" s="148" t="e" cm="1">
        <f t="array" ref="M42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4" s="148" t="e" cm="1">
        <f t="array" ref="N42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4" s="149" t="str">
        <f>IF(Table117821341[[#This Row],[Pos.]]="QB1",_xlfn.XLOOKUP(Table117821341[[#This Row],[Opp]],Table123[DEF],Table123[P]),"#N/A")</f>
        <v>#N/A</v>
      </c>
      <c r="P424" s="149" t="str">
        <f>IF(Table117821341[[#This Row],[Pos.]]="QB1",_xlfn.XLOOKUP(Table117821341[[#This Row],[Opp]],Table123[DEF],Table123[P+R]),"#N/A")</f>
        <v>#N/A</v>
      </c>
      <c r="Q424" s="150" t="str">
        <f>IF(Table117821341[[#This Row],[Pos.]]="QB1",_xlfn.XLOOKUP(Table117821341[[#This Row],[Opp]],Table123[DEF],Table123[P TD]),"#N/A")</f>
        <v>#N/A</v>
      </c>
      <c r="R424" s="149" t="e" cm="1">
        <f t="array" ref="R42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4" s="150" t="e" cm="1">
        <f t="array" ref="S42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4" s="150" t="e" cm="1">
        <f t="array" ref="T42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4" s="150" t="e" cm="1">
        <f t="array" ref="U42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4" s="150" t="e" cm="1">
        <f t="array" ref="V42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4" s="148" t="e" cm="1">
        <f t="array" ref="W424">_xlfn.IFS(Table117821341[[#This Row],[Pos.]]="QB1",AVERAGE(G424,H424,I424,J424,N424),Table117821341[[#This Row],[Pos.]]="RB1",AVERAGE(J424,K424,N424),Table117821341[[#This Row],[Pos.]]="RB2",AVERAGE(J424,K424,N424),Table117821341[[#This Row],[Pos.]]="WR1",AVERAGE(L424,M424,N424),Table117821341[[#This Row],[Pos.]]="WR2",AVERAGE(L424,M424,N424),Table117821341[[#This Row],[Pos.]]="WR3",AVERAGE(L424,M424,N424),Table117821341[[#This Row],[Pos.]]="WR4",AVERAGE(L424,M424,N424),Table117821341[[#This Row],[Pos.]]="TE1",AVERAGE(L424,M424,N424),Table117821341[[#This Row],[Pos.]]="TE2",AVERAGE(L424,M424,N424),Table117821341[[#This Row],[Pos.]]="D/ST",AVERAGE(Table117821341[[#This Row],[*TD*]]))</f>
        <v>#N/A</v>
      </c>
      <c r="X424" s="94" t="e">
        <f t="shared" si="7"/>
        <v>#N/A</v>
      </c>
    </row>
    <row r="425" spans="2:24" hidden="1" x14ac:dyDescent="0.35">
      <c r="B425" s="6" t="s">
        <v>239</v>
      </c>
      <c r="C425" s="97" t="s">
        <v>39</v>
      </c>
      <c r="D425" s="97" t="s">
        <v>397</v>
      </c>
      <c r="E425" s="23" t="str" cm="1">
        <f t="array" ref="E425">_xlfn.XLOOKUP(Table117821341[[#This Row],[Team]],Table4334[Team],'2425'!$C$3:$C$34)</f>
        <v>n/a</v>
      </c>
      <c r="F425" s="97" t="str">
        <f>_xlfn.XLOOKUP(Table117821341[[#This Row],[Team]],Table4334[Team],Table4334[OPP])</f>
        <v>n/a</v>
      </c>
      <c r="G425" s="148" t="str" cm="1">
        <f t="array" ref="G425">IF(Table117821341[[#This Row],[Pos.]]="QB1",_xlfn.XLOOKUP(Table117821341[[#This Row],[Opp]],Table123[DEF],'2425'!$G$3:$G$34),"#N/A")</f>
        <v>#N/A</v>
      </c>
      <c r="H425" s="148" t="str" cm="1">
        <f t="array" ref="H425">IF(Table117821341[[#This Row],[Pos.]]="QB1",_xlfn.XLOOKUP(Table117821341[[#This Row],[Opp]],Table123[DEF],'2425'!$J$3:$J$34),"#N/A")</f>
        <v>#N/A</v>
      </c>
      <c r="I425" s="148" t="str" cm="1">
        <f t="array" ref="I425">IF(Table117821341[[#This Row],[Pos.]]="QB1",_xlfn.XLOOKUP(Table117821341[[#This Row],[Opp]],Table123[DEF],'2425'!$K$3:$K$34),"#N/A")</f>
        <v>#N/A</v>
      </c>
      <c r="J425" s="148" t="e" cm="1">
        <f t="array" ref="J42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5" s="148" t="e" cm="1">
        <f t="array" ref="K42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5" s="148" t="e" cm="1">
        <f t="array" ref="L42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5" s="148" t="e" cm="1">
        <f t="array" ref="M42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5" s="148" t="e" cm="1">
        <f t="array" ref="N42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5" s="149" t="str">
        <f>IF(Table117821341[[#This Row],[Pos.]]="QB1",_xlfn.XLOOKUP(Table117821341[[#This Row],[Opp]],Table123[DEF],Table123[P]),"#N/A")</f>
        <v>#N/A</v>
      </c>
      <c r="P425" s="149" t="str">
        <f>IF(Table117821341[[#This Row],[Pos.]]="QB1",_xlfn.XLOOKUP(Table117821341[[#This Row],[Opp]],Table123[DEF],Table123[P+R]),"#N/A")</f>
        <v>#N/A</v>
      </c>
      <c r="Q425" s="150" t="str">
        <f>IF(Table117821341[[#This Row],[Pos.]]="QB1",_xlfn.XLOOKUP(Table117821341[[#This Row],[Opp]],Table123[DEF],Table123[P TD]),"#N/A")</f>
        <v>#N/A</v>
      </c>
      <c r="R425" s="149" t="e" cm="1">
        <f t="array" ref="R42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5" s="150" t="e" cm="1">
        <f t="array" ref="S42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5" s="150" t="e" cm="1">
        <f t="array" ref="T42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5" s="150" t="e" cm="1">
        <f t="array" ref="U42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5" s="162" t="e" cm="1">
        <f t="array" ref="V42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5" s="148" t="e" cm="1">
        <f t="array" ref="W425">_xlfn.IFS(Table117821341[[#This Row],[Pos.]]="QB1",AVERAGE(G425,H425,I425,J425,N425),Table117821341[[#This Row],[Pos.]]="RB1",AVERAGE(J425,K425,N425),Table117821341[[#This Row],[Pos.]]="RB2",AVERAGE(J425,K425,N425),Table117821341[[#This Row],[Pos.]]="WR1",AVERAGE(L425,M425,N425),Table117821341[[#This Row],[Pos.]]="WR2",AVERAGE(L425,M425,N425),Table117821341[[#This Row],[Pos.]]="WR3",AVERAGE(L425,M425,N425),Table117821341[[#This Row],[Pos.]]="WR4",AVERAGE(L425,M425,N425),Table117821341[[#This Row],[Pos.]]="TE1",AVERAGE(L425,M425,N425),Table117821341[[#This Row],[Pos.]]="TE2",AVERAGE(L425,M425,N425),Table117821341[[#This Row],[Pos.]]="D/ST",AVERAGE(Table117821341[[#This Row],[*TD*]]))</f>
        <v>#N/A</v>
      </c>
      <c r="X425" s="94" t="e">
        <f t="shared" si="7"/>
        <v>#N/A</v>
      </c>
    </row>
    <row r="426" spans="2:24" hidden="1" x14ac:dyDescent="0.35">
      <c r="B426" s="6" t="s">
        <v>260</v>
      </c>
      <c r="C426" s="97" t="s">
        <v>41</v>
      </c>
      <c r="D426" s="97" t="s">
        <v>397</v>
      </c>
      <c r="E426" s="23" t="str" cm="1">
        <f t="array" ref="E426">_xlfn.XLOOKUP(Table117821341[[#This Row],[Team]],Table4334[Team],'2425'!$C$3:$C$34)</f>
        <v>n/a</v>
      </c>
      <c r="F426" s="97" t="str">
        <f>_xlfn.XLOOKUP(Table117821341[[#This Row],[Team]],Table4334[Team],Table4334[OPP])</f>
        <v>n/a</v>
      </c>
      <c r="G426" s="148" t="str" cm="1">
        <f t="array" ref="G426">IF(Table117821341[[#This Row],[Pos.]]="QB1",_xlfn.XLOOKUP(Table117821341[[#This Row],[Opp]],Table123[DEF],'2425'!$G$3:$G$34),"#N/A")</f>
        <v>#N/A</v>
      </c>
      <c r="H426" s="148" t="str" cm="1">
        <f t="array" ref="H426">IF(Table117821341[[#This Row],[Pos.]]="QB1",_xlfn.XLOOKUP(Table117821341[[#This Row],[Opp]],Table123[DEF],'2425'!$J$3:$J$34),"#N/A")</f>
        <v>#N/A</v>
      </c>
      <c r="I426" s="148" t="str" cm="1">
        <f t="array" ref="I426">IF(Table117821341[[#This Row],[Pos.]]="QB1",_xlfn.XLOOKUP(Table117821341[[#This Row],[Opp]],Table123[DEF],'2425'!$K$3:$K$34),"#N/A")</f>
        <v>#N/A</v>
      </c>
      <c r="J426" s="148" t="e" cm="1">
        <f t="array" ref="J42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6" s="148" t="e" cm="1">
        <f t="array" ref="K42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6" s="148" t="e" cm="1">
        <f t="array" ref="L42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6" s="148" t="e" cm="1">
        <f t="array" ref="M42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6" s="148" t="e" cm="1">
        <f t="array" ref="N42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6" s="149" t="str">
        <f>IF(Table117821341[[#This Row],[Pos.]]="QB1",_xlfn.XLOOKUP(Table117821341[[#This Row],[Opp]],Table123[DEF],Table123[P]),"#N/A")</f>
        <v>#N/A</v>
      </c>
      <c r="P426" s="149" t="str">
        <f>IF(Table117821341[[#This Row],[Pos.]]="QB1",_xlfn.XLOOKUP(Table117821341[[#This Row],[Opp]],Table123[DEF],Table123[P+R]),"#N/A")</f>
        <v>#N/A</v>
      </c>
      <c r="Q426" s="150" t="str">
        <f>IF(Table117821341[[#This Row],[Pos.]]="QB1",_xlfn.XLOOKUP(Table117821341[[#This Row],[Opp]],Table123[DEF],Table123[P TD]),"#N/A")</f>
        <v>#N/A</v>
      </c>
      <c r="R426" s="149" t="e" cm="1">
        <f t="array" ref="R42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6" s="150" t="e" cm="1">
        <f t="array" ref="S42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6" s="150" t="e" cm="1">
        <f t="array" ref="T42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6" s="150" t="e" cm="1">
        <f t="array" ref="U42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6" s="162" t="e" cm="1">
        <f t="array" ref="V42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6" s="148" t="e" cm="1">
        <f t="array" ref="W426">_xlfn.IFS(Table117821341[[#This Row],[Pos.]]="QB1",AVERAGE(G426,H426,I426,J426,N426),Table117821341[[#This Row],[Pos.]]="RB1",AVERAGE(J426,K426,N426),Table117821341[[#This Row],[Pos.]]="RB2",AVERAGE(J426,K426,N426),Table117821341[[#This Row],[Pos.]]="WR1",AVERAGE(L426,M426,N426),Table117821341[[#This Row],[Pos.]]="WR2",AVERAGE(L426,M426,N426),Table117821341[[#This Row],[Pos.]]="WR3",AVERAGE(L426,M426,N426),Table117821341[[#This Row],[Pos.]]="WR4",AVERAGE(L426,M426,N426),Table117821341[[#This Row],[Pos.]]="TE1",AVERAGE(L426,M426,N426),Table117821341[[#This Row],[Pos.]]="TE2",AVERAGE(L426,M426,N426),Table117821341[[#This Row],[Pos.]]="D/ST",AVERAGE(Table117821341[[#This Row],[*TD*]]))</f>
        <v>#N/A</v>
      </c>
      <c r="X426" s="94" t="e">
        <f t="shared" si="7"/>
        <v>#N/A</v>
      </c>
    </row>
    <row r="427" spans="2:24" hidden="1" x14ac:dyDescent="0.35">
      <c r="B427" s="6" t="s">
        <v>414</v>
      </c>
      <c r="C427" s="97" t="s">
        <v>49</v>
      </c>
      <c r="D427" s="97" t="s">
        <v>405</v>
      </c>
      <c r="E427" s="23" t="str" cm="1">
        <f t="array" ref="E427">_xlfn.XLOOKUP(Table117821341[[#This Row],[Team]],Table4334[Team],'2425'!$C$3:$C$34)</f>
        <v>n/a</v>
      </c>
      <c r="F427" s="97" t="str">
        <f>_xlfn.XLOOKUP(Table117821341[[#This Row],[Team]],Table4334[Team],Table4334[OPP])</f>
        <v>n/a</v>
      </c>
      <c r="G427" s="148" t="str" cm="1">
        <f t="array" ref="G427">IF(Table117821341[[#This Row],[Pos.]]="QB1",_xlfn.XLOOKUP(Table117821341[[#This Row],[Opp]],Table123[DEF],'2425'!$G$3:$G$34),"#N/A")</f>
        <v>#N/A</v>
      </c>
      <c r="H427" s="148" t="str" cm="1">
        <f t="array" ref="H427">IF(Table117821341[[#This Row],[Pos.]]="QB1",_xlfn.XLOOKUP(Table117821341[[#This Row],[Opp]],Table123[DEF],'2425'!$J$3:$J$34),"#N/A")</f>
        <v>#N/A</v>
      </c>
      <c r="I427" s="148" t="str" cm="1">
        <f t="array" ref="I427">IF(Table117821341[[#This Row],[Pos.]]="QB1",_xlfn.XLOOKUP(Table117821341[[#This Row],[Opp]],Table123[DEF],'2425'!$K$3:$K$34),"#N/A")</f>
        <v>#N/A</v>
      </c>
      <c r="J427" s="148" t="e" cm="1">
        <f t="array" ref="J42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7" s="148" t="e" cm="1">
        <f t="array" ref="K42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7" s="148" t="e" cm="1">
        <f t="array" ref="L42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7" s="148" t="e" cm="1">
        <f t="array" ref="M42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7" s="148" t="e" cm="1">
        <f t="array" ref="N42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7" s="149" t="str">
        <f>IF(Table117821341[[#This Row],[Pos.]]="QB1",_xlfn.XLOOKUP(Table117821341[[#This Row],[Opp]],Table123[DEF],Table123[P]),"#N/A")</f>
        <v>#N/A</v>
      </c>
      <c r="P427" s="149" t="str">
        <f>IF(Table117821341[[#This Row],[Pos.]]="QB1",_xlfn.XLOOKUP(Table117821341[[#This Row],[Opp]],Table123[DEF],Table123[P+R]),"#N/A")</f>
        <v>#N/A</v>
      </c>
      <c r="Q427" s="150" t="str">
        <f>IF(Table117821341[[#This Row],[Pos.]]="QB1",_xlfn.XLOOKUP(Table117821341[[#This Row],[Opp]],Table123[DEF],Table123[P TD]),"#N/A")</f>
        <v>#N/A</v>
      </c>
      <c r="R427" s="149" t="e" cm="1">
        <f t="array" ref="R42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7" s="150" t="e" cm="1">
        <f t="array" ref="S42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7" s="150" t="e" cm="1">
        <f t="array" ref="T42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7" s="150" t="e" cm="1">
        <f t="array" ref="U42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7" s="150" t="e" cm="1">
        <f t="array" ref="V42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7" s="148" t="e" cm="1">
        <f t="array" ref="W427">_xlfn.IFS(Table117821341[[#This Row],[Pos.]]="QB1",AVERAGE(G427,H427,I427,J427,N427),Table117821341[[#This Row],[Pos.]]="RB1",AVERAGE(J427,K427,N427),Table117821341[[#This Row],[Pos.]]="RB2",AVERAGE(J427,K427,N427),Table117821341[[#This Row],[Pos.]]="WR1",AVERAGE(L427,M427,N427),Table117821341[[#This Row],[Pos.]]="WR2",AVERAGE(L427,M427,N427),Table117821341[[#This Row],[Pos.]]="WR3",AVERAGE(L427,M427,N427),Table117821341[[#This Row],[Pos.]]="WR4",AVERAGE(L427,M427,N427),Table117821341[[#This Row],[Pos.]]="TE1",AVERAGE(L427,M427,N427),Table117821341[[#This Row],[Pos.]]="TE2",AVERAGE(L427,M427,N427),Table117821341[[#This Row],[Pos.]]="D/ST",AVERAGE(Table117821341[[#This Row],[*TD*]]))</f>
        <v>#N/A</v>
      </c>
      <c r="X427" s="94" t="e">
        <f t="shared" si="7"/>
        <v>#N/A</v>
      </c>
    </row>
    <row r="428" spans="2:24" hidden="1" x14ac:dyDescent="0.35">
      <c r="B428" s="6" t="s">
        <v>209</v>
      </c>
      <c r="C428" s="97" t="s">
        <v>36</v>
      </c>
      <c r="D428" s="97" t="s">
        <v>397</v>
      </c>
      <c r="E428" s="23" t="str" cm="1">
        <f t="array" ref="E428">_xlfn.XLOOKUP(Table117821341[[#This Row],[Team]],Table4334[Team],'2425'!$C$3:$C$34)</f>
        <v>n/a</v>
      </c>
      <c r="F428" s="97" t="str">
        <f>_xlfn.XLOOKUP(Table117821341[[#This Row],[Team]],Table4334[Team],Table4334[OPP])</f>
        <v>n/a</v>
      </c>
      <c r="G428" s="148" t="str" cm="1">
        <f t="array" ref="G428">IF(Table117821341[[#This Row],[Pos.]]="QB1",_xlfn.XLOOKUP(Table117821341[[#This Row],[Opp]],Table123[DEF],'2425'!$G$3:$G$34),"#N/A")</f>
        <v>#N/A</v>
      </c>
      <c r="H428" s="148" t="str" cm="1">
        <f t="array" ref="H428">IF(Table117821341[[#This Row],[Pos.]]="QB1",_xlfn.XLOOKUP(Table117821341[[#This Row],[Opp]],Table123[DEF],'2425'!$J$3:$J$34),"#N/A")</f>
        <v>#N/A</v>
      </c>
      <c r="I428" s="148" t="str" cm="1">
        <f t="array" ref="I428">IF(Table117821341[[#This Row],[Pos.]]="QB1",_xlfn.XLOOKUP(Table117821341[[#This Row],[Opp]],Table123[DEF],'2425'!$K$3:$K$34),"#N/A")</f>
        <v>#N/A</v>
      </c>
      <c r="J428" s="148" t="e" cm="1">
        <f t="array" ref="J42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8" s="148" t="e" cm="1">
        <f t="array" ref="K42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8" s="148" t="e" cm="1">
        <f t="array" ref="L42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8" s="148" t="e" cm="1">
        <f t="array" ref="M42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8" s="148" t="e" cm="1">
        <f t="array" ref="N42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8" s="149" t="str">
        <f>IF(Table117821341[[#This Row],[Pos.]]="QB1",_xlfn.XLOOKUP(Table117821341[[#This Row],[Opp]],Table123[DEF],Table123[P]),"#N/A")</f>
        <v>#N/A</v>
      </c>
      <c r="P428" s="149" t="str">
        <f>IF(Table117821341[[#This Row],[Pos.]]="QB1",_xlfn.XLOOKUP(Table117821341[[#This Row],[Opp]],Table123[DEF],Table123[P+R]),"#N/A")</f>
        <v>#N/A</v>
      </c>
      <c r="Q428" s="150" t="str">
        <f>IF(Table117821341[[#This Row],[Pos.]]="QB1",_xlfn.XLOOKUP(Table117821341[[#This Row],[Opp]],Table123[DEF],Table123[P TD]),"#N/A")</f>
        <v>#N/A</v>
      </c>
      <c r="R428" s="149" t="e" cm="1">
        <f t="array" ref="R42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8" s="150" t="e" cm="1">
        <f t="array" ref="S42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8" s="150" t="e" cm="1">
        <f t="array" ref="T42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8" s="150" t="e" cm="1">
        <f t="array" ref="U42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8" s="162" t="e" cm="1">
        <f t="array" ref="V42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8" s="148" t="e" cm="1">
        <f t="array" ref="W428">_xlfn.IFS(Table117821341[[#This Row],[Pos.]]="QB1",AVERAGE(G428,H428,I428,J428,N428),Table117821341[[#This Row],[Pos.]]="RB1",AVERAGE(J428,K428,N428),Table117821341[[#This Row],[Pos.]]="RB2",AVERAGE(J428,K428,N428),Table117821341[[#This Row],[Pos.]]="WR1",AVERAGE(L428,M428,N428),Table117821341[[#This Row],[Pos.]]="WR2",AVERAGE(L428,M428,N428),Table117821341[[#This Row],[Pos.]]="WR3",AVERAGE(L428,M428,N428),Table117821341[[#This Row],[Pos.]]="WR4",AVERAGE(L428,M428,N428),Table117821341[[#This Row],[Pos.]]="TE1",AVERAGE(L428,M428,N428),Table117821341[[#This Row],[Pos.]]="TE2",AVERAGE(L428,M428,N428),Table117821341[[#This Row],[Pos.]]="D/ST",AVERAGE(Table117821341[[#This Row],[*TD*]]))</f>
        <v>#N/A</v>
      </c>
      <c r="X428" s="94" t="e">
        <f t="shared" si="7"/>
        <v>#N/A</v>
      </c>
    </row>
    <row r="429" spans="2:24" hidden="1" x14ac:dyDescent="0.35">
      <c r="B429" s="6" t="s">
        <v>331</v>
      </c>
      <c r="C429" s="97" t="s">
        <v>49</v>
      </c>
      <c r="D429" s="97" t="s">
        <v>394</v>
      </c>
      <c r="E429" s="23" t="str" cm="1">
        <f t="array" ref="E429">_xlfn.XLOOKUP(Table117821341[[#This Row],[Team]],Table4334[Team],'2425'!$C$3:$C$34)</f>
        <v>n/a</v>
      </c>
      <c r="F429" s="97" t="str">
        <f>_xlfn.XLOOKUP(Table117821341[[#This Row],[Team]],Table4334[Team],Table4334[OPP])</f>
        <v>n/a</v>
      </c>
      <c r="G429" s="148" t="str" cm="1">
        <f t="array" ref="G429">IF(Table117821341[[#This Row],[Pos.]]="QB1",_xlfn.XLOOKUP(Table117821341[[#This Row],[Opp]],Table123[DEF],'2425'!$G$3:$G$34),"#N/A")</f>
        <v>#N/A</v>
      </c>
      <c r="H429" s="148" t="str" cm="1">
        <f t="array" ref="H429">IF(Table117821341[[#This Row],[Pos.]]="QB1",_xlfn.XLOOKUP(Table117821341[[#This Row],[Opp]],Table123[DEF],'2425'!$J$3:$J$34),"#N/A")</f>
        <v>#N/A</v>
      </c>
      <c r="I429" s="148" t="str" cm="1">
        <f t="array" ref="I429">IF(Table117821341[[#This Row],[Pos.]]="QB1",_xlfn.XLOOKUP(Table117821341[[#This Row],[Opp]],Table123[DEF],'2425'!$K$3:$K$34),"#N/A")</f>
        <v>#N/A</v>
      </c>
      <c r="J429" s="148" t="e" cm="1">
        <f t="array" ref="J42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29" s="148" t="e" cm="1">
        <f t="array" ref="K42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29" s="148" t="e" cm="1">
        <f t="array" ref="L42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29" s="148" t="e" cm="1">
        <f t="array" ref="M42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29" s="148" t="e" cm="1">
        <f t="array" ref="N42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29" s="149" t="str">
        <f>IF(Table117821341[[#This Row],[Pos.]]="QB1",_xlfn.XLOOKUP(Table117821341[[#This Row],[Opp]],Table123[DEF],Table123[P]),"#N/A")</f>
        <v>#N/A</v>
      </c>
      <c r="P429" s="149" t="str">
        <f>IF(Table117821341[[#This Row],[Pos.]]="QB1",_xlfn.XLOOKUP(Table117821341[[#This Row],[Opp]],Table123[DEF],Table123[P+R]),"#N/A")</f>
        <v>#N/A</v>
      </c>
      <c r="Q429" s="150" t="str">
        <f>IF(Table117821341[[#This Row],[Pos.]]="QB1",_xlfn.XLOOKUP(Table117821341[[#This Row],[Opp]],Table123[DEF],Table123[P TD]),"#N/A")</f>
        <v>#N/A</v>
      </c>
      <c r="R429" s="149" t="e" cm="1">
        <f t="array" ref="R42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29" s="150" t="e" cm="1">
        <f t="array" ref="S42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29" s="150" t="e" cm="1">
        <f t="array" ref="T42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29" s="150" t="e" cm="1">
        <f t="array" ref="U42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29" s="150" t="e" cm="1">
        <f t="array" ref="V42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29" s="148" t="e" cm="1">
        <f t="array" ref="W429">_xlfn.IFS(Table117821341[[#This Row],[Pos.]]="QB1",AVERAGE(G429,H429,I429,J429,N429),Table117821341[[#This Row],[Pos.]]="RB1",AVERAGE(J429,K429,N429),Table117821341[[#This Row],[Pos.]]="RB2",AVERAGE(J429,K429,N429),Table117821341[[#This Row],[Pos.]]="WR1",AVERAGE(L429,M429,N429),Table117821341[[#This Row],[Pos.]]="WR2",AVERAGE(L429,M429,N429),Table117821341[[#This Row],[Pos.]]="WR3",AVERAGE(L429,M429,N429),Table117821341[[#This Row],[Pos.]]="WR4",AVERAGE(L429,M429,N429),Table117821341[[#This Row],[Pos.]]="TE1",AVERAGE(L429,M429,N429),Table117821341[[#This Row],[Pos.]]="TE2",AVERAGE(L429,M429,N429),Table117821341[[#This Row],[Pos.]]="D/ST",AVERAGE(Table117821341[[#This Row],[*TD*]]))</f>
        <v>#N/A</v>
      </c>
      <c r="X429" s="94" t="e">
        <f t="shared" si="7"/>
        <v>#N/A</v>
      </c>
    </row>
    <row r="430" spans="2:24" hidden="1" x14ac:dyDescent="0.35">
      <c r="B430" s="6" t="s">
        <v>333</v>
      </c>
      <c r="C430" s="97" t="s">
        <v>49</v>
      </c>
      <c r="D430" s="97" t="s">
        <v>396</v>
      </c>
      <c r="E430" s="23" t="str" cm="1">
        <f t="array" ref="E430">_xlfn.XLOOKUP(Table117821341[[#This Row],[Team]],Table4334[Team],'2425'!$C$3:$C$34)</f>
        <v>n/a</v>
      </c>
      <c r="F430" s="97" t="str">
        <f>_xlfn.XLOOKUP(Table117821341[[#This Row],[Team]],Table4334[Team],Table4334[OPP])</f>
        <v>n/a</v>
      </c>
      <c r="G430" s="148" t="str" cm="1">
        <f t="array" ref="G430">IF(Table117821341[[#This Row],[Pos.]]="QB1",_xlfn.XLOOKUP(Table117821341[[#This Row],[Opp]],Table123[DEF],'2425'!$G$3:$G$34),"#N/A")</f>
        <v>#N/A</v>
      </c>
      <c r="H430" s="148" t="str" cm="1">
        <f t="array" ref="H430">IF(Table117821341[[#This Row],[Pos.]]="QB1",_xlfn.XLOOKUP(Table117821341[[#This Row],[Opp]],Table123[DEF],'2425'!$J$3:$J$34),"#N/A")</f>
        <v>#N/A</v>
      </c>
      <c r="I430" s="148" t="str" cm="1">
        <f t="array" ref="I430">IF(Table117821341[[#This Row],[Pos.]]="QB1",_xlfn.XLOOKUP(Table117821341[[#This Row],[Opp]],Table123[DEF],'2425'!$K$3:$K$34),"#N/A")</f>
        <v>#N/A</v>
      </c>
      <c r="J430" s="148" t="e" cm="1">
        <f t="array" ref="J43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0" s="148" t="e" cm="1">
        <f t="array" ref="K43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0" s="148" t="e" cm="1">
        <f t="array" ref="L43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0" s="148" t="e" cm="1">
        <f t="array" ref="M43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0" s="148" t="e" cm="1">
        <f t="array" ref="N43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0" s="149" t="str">
        <f>IF(Table117821341[[#This Row],[Pos.]]="QB1",_xlfn.XLOOKUP(Table117821341[[#This Row],[Opp]],Table123[DEF],Table123[P]),"#N/A")</f>
        <v>#N/A</v>
      </c>
      <c r="P430" s="149" t="str">
        <f>IF(Table117821341[[#This Row],[Pos.]]="QB1",_xlfn.XLOOKUP(Table117821341[[#This Row],[Opp]],Table123[DEF],Table123[P+R]),"#N/A")</f>
        <v>#N/A</v>
      </c>
      <c r="Q430" s="150" t="str">
        <f>IF(Table117821341[[#This Row],[Pos.]]="QB1",_xlfn.XLOOKUP(Table117821341[[#This Row],[Opp]],Table123[DEF],Table123[P TD]),"#N/A")</f>
        <v>#N/A</v>
      </c>
      <c r="R430" s="149" t="e" cm="1">
        <f t="array" ref="R43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0" s="150" t="e" cm="1">
        <f t="array" ref="S43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0" s="150" t="e" cm="1">
        <f t="array" ref="T43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0" s="150" t="e" cm="1">
        <f t="array" ref="U43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0" s="150" t="e" cm="1">
        <f t="array" ref="V43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0" s="148" t="e" cm="1">
        <f t="array" ref="W430">_xlfn.IFS(Table117821341[[#This Row],[Pos.]]="QB1",AVERAGE(G430,H430,I430,J430,N430),Table117821341[[#This Row],[Pos.]]="RB1",AVERAGE(J430,K430,N430),Table117821341[[#This Row],[Pos.]]="RB2",AVERAGE(J430,K430,N430),Table117821341[[#This Row],[Pos.]]="WR1",AVERAGE(L430,M430,N430),Table117821341[[#This Row],[Pos.]]="WR2",AVERAGE(L430,M430,N430),Table117821341[[#This Row],[Pos.]]="WR3",AVERAGE(L430,M430,N430),Table117821341[[#This Row],[Pos.]]="WR4",AVERAGE(L430,M430,N430),Table117821341[[#This Row],[Pos.]]="TE1",AVERAGE(L430,M430,N430),Table117821341[[#This Row],[Pos.]]="TE2",AVERAGE(L430,M430,N430),Table117821341[[#This Row],[Pos.]]="D/ST",AVERAGE(Table117821341[[#This Row],[*TD*]]))</f>
        <v>#N/A</v>
      </c>
      <c r="X430" s="94" t="e">
        <f t="shared" si="7"/>
        <v>#N/A</v>
      </c>
    </row>
    <row r="431" spans="2:24" hidden="1" x14ac:dyDescent="0.35">
      <c r="B431" s="6" t="s">
        <v>419</v>
      </c>
      <c r="C431" s="97" t="s">
        <v>49</v>
      </c>
      <c r="D431" s="97" t="s">
        <v>407</v>
      </c>
      <c r="E431" s="23" t="str" cm="1">
        <f t="array" ref="E431">_xlfn.XLOOKUP(Table117821341[[#This Row],[Team]],Table4334[Team],'2425'!$C$3:$C$34)</f>
        <v>n/a</v>
      </c>
      <c r="F431" s="97" t="str">
        <f>_xlfn.XLOOKUP(Table117821341[[#This Row],[Team]],Table4334[Team],Table4334[OPP])</f>
        <v>n/a</v>
      </c>
      <c r="G431" s="148" t="str" cm="1">
        <f t="array" ref="G431">IF(Table117821341[[#This Row],[Pos.]]="QB1",_xlfn.XLOOKUP(Table117821341[[#This Row],[Opp]],Table123[DEF],'2425'!$G$3:$G$34),"#N/A")</f>
        <v>#N/A</v>
      </c>
      <c r="H431" s="148" t="str" cm="1">
        <f t="array" ref="H431">IF(Table117821341[[#This Row],[Pos.]]="QB1",_xlfn.XLOOKUP(Table117821341[[#This Row],[Opp]],Table123[DEF],'2425'!$J$3:$J$34),"#N/A")</f>
        <v>#N/A</v>
      </c>
      <c r="I431" s="148" t="str" cm="1">
        <f t="array" ref="I431">IF(Table117821341[[#This Row],[Pos.]]="QB1",_xlfn.XLOOKUP(Table117821341[[#This Row],[Opp]],Table123[DEF],'2425'!$K$3:$K$34),"#N/A")</f>
        <v>#N/A</v>
      </c>
      <c r="J431" s="148" t="e" cm="1">
        <f t="array" ref="J43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1" s="148" t="e" cm="1">
        <f t="array" ref="K43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1" s="148" t="e" cm="1">
        <f t="array" ref="L43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1" s="148" t="e" cm="1">
        <f t="array" ref="M43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1" s="148" t="e" cm="1">
        <f t="array" ref="N43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1" s="149" t="str">
        <f>IF(Table117821341[[#This Row],[Pos.]]="QB1",_xlfn.XLOOKUP(Table117821341[[#This Row],[Opp]],Table123[DEF],Table123[P]),"#N/A")</f>
        <v>#N/A</v>
      </c>
      <c r="P431" s="149" t="str">
        <f>IF(Table117821341[[#This Row],[Pos.]]="QB1",_xlfn.XLOOKUP(Table117821341[[#This Row],[Opp]],Table123[DEF],Table123[P+R]),"#N/A")</f>
        <v>#N/A</v>
      </c>
      <c r="Q431" s="150" t="str">
        <f>IF(Table117821341[[#This Row],[Pos.]]="QB1",_xlfn.XLOOKUP(Table117821341[[#This Row],[Opp]],Table123[DEF],Table123[P TD]),"#N/A")</f>
        <v>#N/A</v>
      </c>
      <c r="R431" s="149" t="e" cm="1">
        <f t="array" ref="R43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1" s="150" t="e" cm="1">
        <f t="array" ref="S43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1" s="150" t="e" cm="1">
        <f t="array" ref="T43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1" s="150" t="e" cm="1">
        <f t="array" ref="U43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1" s="150" t="e" cm="1">
        <f t="array" ref="V43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1" s="148" t="e" cm="1">
        <f t="array" ref="W431">_xlfn.IFS(Table117821341[[#This Row],[Pos.]]="QB1",AVERAGE(G431,H431,I431,J431,N431),Table117821341[[#This Row],[Pos.]]="RB1",AVERAGE(J431,K431,N431),Table117821341[[#This Row],[Pos.]]="RB2",AVERAGE(J431,K431,N431),Table117821341[[#This Row],[Pos.]]="WR1",AVERAGE(L431,M431,N431),Table117821341[[#This Row],[Pos.]]="WR2",AVERAGE(L431,M431,N431),Table117821341[[#This Row],[Pos.]]="WR3",AVERAGE(L431,M431,N431),Table117821341[[#This Row],[Pos.]]="WR4",AVERAGE(L431,M431,N431),Table117821341[[#This Row],[Pos.]]="TE1",AVERAGE(L431,M431,N431),Table117821341[[#This Row],[Pos.]]="TE2",AVERAGE(L431,M431,N431),Table117821341[[#This Row],[Pos.]]="D/ST",AVERAGE(Table117821341[[#This Row],[*TD*]]))</f>
        <v>#N/A</v>
      </c>
      <c r="X431" s="94" t="e">
        <f t="shared" si="7"/>
        <v>#N/A</v>
      </c>
    </row>
    <row r="432" spans="2:24" x14ac:dyDescent="0.35">
      <c r="B432" s="6" t="s">
        <v>130</v>
      </c>
      <c r="C432" s="97" t="s">
        <v>17</v>
      </c>
      <c r="D432" s="97" t="s">
        <v>397</v>
      </c>
      <c r="E432" s="23" t="str" cm="1">
        <f t="array" ref="E432">_xlfn.XLOOKUP(Table117821341[[#This Row],[Team]],Table4334[Team],'2425'!$C$3:$C$34)</f>
        <v>n/a</v>
      </c>
      <c r="F432" s="97" t="str">
        <f>_xlfn.XLOOKUP(Table117821341[[#This Row],[Team]],Table4334[Team],Table4334[OPP])</f>
        <v>n/a</v>
      </c>
      <c r="G432" s="148" t="str" cm="1">
        <f t="array" ref="G432">IF(Table117821341[[#This Row],[Pos.]]="QB1",_xlfn.XLOOKUP(Table117821341[[#This Row],[Opp]],Table123[DEF],'2425'!$G$3:$G$34),"#N/A")</f>
        <v>#N/A</v>
      </c>
      <c r="H432" s="148" t="str" cm="1">
        <f t="array" ref="H432">IF(Table117821341[[#This Row],[Pos.]]="QB1",_xlfn.XLOOKUP(Table117821341[[#This Row],[Opp]],Table123[DEF],'2425'!$J$3:$J$34),"#N/A")</f>
        <v>#N/A</v>
      </c>
      <c r="I432" s="148" t="str" cm="1">
        <f t="array" ref="I432">IF(Table117821341[[#This Row],[Pos.]]="QB1",_xlfn.XLOOKUP(Table117821341[[#This Row],[Opp]],Table123[DEF],'2425'!$K$3:$K$34),"#N/A")</f>
        <v>#N/A</v>
      </c>
      <c r="J432" s="148" t="e" cm="1">
        <f t="array" ref="J43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2" s="148" t="e" cm="1">
        <f t="array" ref="K43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2" s="148" t="e" cm="1">
        <f t="array" ref="L43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2" s="148" t="e" cm="1">
        <f t="array" ref="M43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2" s="148" t="e" cm="1">
        <f t="array" ref="N43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2" s="149" t="str">
        <f>IF(Table117821341[[#This Row],[Pos.]]="QB1",_xlfn.XLOOKUP(Table117821341[[#This Row],[Opp]],Table123[DEF],Table123[P]),"#N/A")</f>
        <v>#N/A</v>
      </c>
      <c r="P432" s="149" t="str">
        <f>IF(Table117821341[[#This Row],[Pos.]]="QB1",_xlfn.XLOOKUP(Table117821341[[#This Row],[Opp]],Table123[DEF],Table123[P+R]),"#N/A")</f>
        <v>#N/A</v>
      </c>
      <c r="Q432" s="150" t="str">
        <f>IF(Table117821341[[#This Row],[Pos.]]="QB1",_xlfn.XLOOKUP(Table117821341[[#This Row],[Opp]],Table123[DEF],Table123[P TD]),"#N/A")</f>
        <v>#N/A</v>
      </c>
      <c r="R432" s="149" t="e" cm="1">
        <f t="array" ref="R43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2" s="150" t="e" cm="1">
        <f t="array" ref="S43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2" s="150" t="e" cm="1">
        <f t="array" ref="T43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2" s="150" t="e" cm="1">
        <f t="array" ref="U43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2" s="162" t="e" cm="1">
        <f t="array" ref="V43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2" s="148" t="e" cm="1">
        <f t="array" ref="W432">_xlfn.IFS(Table117821341[[#This Row],[Pos.]]="QB1",AVERAGE(G432,H432,I432,J432,N432),Table117821341[[#This Row],[Pos.]]="RB1",AVERAGE(J432,K432,N432),Table117821341[[#This Row],[Pos.]]="RB2",AVERAGE(J432,K432,N432),Table117821341[[#This Row],[Pos.]]="WR1",AVERAGE(L432,M432,N432),Table117821341[[#This Row],[Pos.]]="WR2",AVERAGE(L432,M432,N432),Table117821341[[#This Row],[Pos.]]="WR3",AVERAGE(L432,M432,N432),Table117821341[[#This Row],[Pos.]]="WR4",AVERAGE(L432,M432,N432),Table117821341[[#This Row],[Pos.]]="TE1",AVERAGE(L432,M432,N432),Table117821341[[#This Row],[Pos.]]="TE2",AVERAGE(L432,M432,N432),Table117821341[[#This Row],[Pos.]]="D/ST",AVERAGE(Table117821341[[#This Row],[*TD*]]))</f>
        <v>#N/A</v>
      </c>
      <c r="X432" s="94" t="e">
        <f t="shared" si="7"/>
        <v>#N/A</v>
      </c>
    </row>
    <row r="433" spans="2:24" hidden="1" x14ac:dyDescent="0.35">
      <c r="B433" s="6" t="s">
        <v>418</v>
      </c>
      <c r="C433" s="97" t="s">
        <v>49</v>
      </c>
      <c r="D433" s="97" t="s">
        <v>398</v>
      </c>
      <c r="E433" s="23" t="str" cm="1">
        <f t="array" ref="E433">_xlfn.XLOOKUP(Table117821341[[#This Row],[Team]],Table4334[Team],'2425'!$C$3:$C$34)</f>
        <v>n/a</v>
      </c>
      <c r="F433" s="97" t="str">
        <f>_xlfn.XLOOKUP(Table117821341[[#This Row],[Team]],Table4334[Team],Table4334[OPP])</f>
        <v>n/a</v>
      </c>
      <c r="G433" s="148" t="str" cm="1">
        <f t="array" ref="G433">IF(Table117821341[[#This Row],[Pos.]]="QB1",_xlfn.XLOOKUP(Table117821341[[#This Row],[Opp]],Table123[DEF],'2425'!$G$3:$G$34),"#N/A")</f>
        <v>#N/A</v>
      </c>
      <c r="H433" s="148" t="str" cm="1">
        <f t="array" ref="H433">IF(Table117821341[[#This Row],[Pos.]]="QB1",_xlfn.XLOOKUP(Table117821341[[#This Row],[Opp]],Table123[DEF],'2425'!$J$3:$J$34),"#N/A")</f>
        <v>#N/A</v>
      </c>
      <c r="I433" s="148" t="str" cm="1">
        <f t="array" ref="I433">IF(Table117821341[[#This Row],[Pos.]]="QB1",_xlfn.XLOOKUP(Table117821341[[#This Row],[Opp]],Table123[DEF],'2425'!$K$3:$K$34),"#N/A")</f>
        <v>#N/A</v>
      </c>
      <c r="J433" s="148" t="e" cm="1">
        <f t="array" ref="J43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3" s="148" t="e" cm="1">
        <f t="array" ref="K43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3" s="148" t="e" cm="1">
        <f t="array" ref="L43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3" s="148" t="e" cm="1">
        <f t="array" ref="M43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3" s="148" t="e" cm="1">
        <f t="array" ref="N43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3" s="149" t="str">
        <f>IF(Table117821341[[#This Row],[Pos.]]="QB1",_xlfn.XLOOKUP(Table117821341[[#This Row],[Opp]],Table123[DEF],Table123[P]),"#N/A")</f>
        <v>#N/A</v>
      </c>
      <c r="P433" s="149" t="str">
        <f>IF(Table117821341[[#This Row],[Pos.]]="QB1",_xlfn.XLOOKUP(Table117821341[[#This Row],[Opp]],Table123[DEF],Table123[P+R]),"#N/A")</f>
        <v>#N/A</v>
      </c>
      <c r="Q433" s="150" t="str">
        <f>IF(Table117821341[[#This Row],[Pos.]]="QB1",_xlfn.XLOOKUP(Table117821341[[#This Row],[Opp]],Table123[DEF],Table123[P TD]),"#N/A")</f>
        <v>#N/A</v>
      </c>
      <c r="R433" s="149" t="e" cm="1">
        <f t="array" ref="R43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3" s="150" t="e" cm="1">
        <f t="array" ref="S43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3" s="150" t="e" cm="1">
        <f t="array" ref="T43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3" s="150" t="e" cm="1">
        <f t="array" ref="U43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3" s="150" t="e" cm="1">
        <f t="array" ref="V43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3" s="148" t="e" cm="1">
        <f t="array" ref="W433">_xlfn.IFS(Table117821341[[#This Row],[Pos.]]="QB1",AVERAGE(G433,H433,I433,J433,N433),Table117821341[[#This Row],[Pos.]]="RB1",AVERAGE(J433,K433,N433),Table117821341[[#This Row],[Pos.]]="RB2",AVERAGE(J433,K433,N433),Table117821341[[#This Row],[Pos.]]="WR1",AVERAGE(L433,M433,N433),Table117821341[[#This Row],[Pos.]]="WR2",AVERAGE(L433,M433,N433),Table117821341[[#This Row],[Pos.]]="WR3",AVERAGE(L433,M433,N433),Table117821341[[#This Row],[Pos.]]="WR4",AVERAGE(L433,M433,N433),Table117821341[[#This Row],[Pos.]]="TE1",AVERAGE(L433,M433,N433),Table117821341[[#This Row],[Pos.]]="TE2",AVERAGE(L433,M433,N433),Table117821341[[#This Row],[Pos.]]="D/ST",AVERAGE(Table117821341[[#This Row],[*TD*]]))</f>
        <v>#N/A</v>
      </c>
      <c r="X433" s="94" t="e">
        <f t="shared" si="7"/>
        <v>#N/A</v>
      </c>
    </row>
    <row r="434" spans="2:24" hidden="1" x14ac:dyDescent="0.35">
      <c r="B434" s="6" t="s">
        <v>446</v>
      </c>
      <c r="C434" s="97" t="s">
        <v>49</v>
      </c>
      <c r="D434" s="97" t="s">
        <v>430</v>
      </c>
      <c r="E434" s="23" t="str" cm="1">
        <f t="array" ref="E434">_xlfn.XLOOKUP(Table117821341[[#This Row],[Team]],Table4334[Team],'2425'!$C$3:$C$34)</f>
        <v>n/a</v>
      </c>
      <c r="F434" s="97" t="str">
        <f>_xlfn.XLOOKUP(Table117821341[[#This Row],[Team]],Table4334[Team],Table4334[OPP])</f>
        <v>n/a</v>
      </c>
      <c r="G434" s="148" t="str" cm="1">
        <f t="array" ref="G434">IF(Table117821341[[#This Row],[Pos.]]="QB1",_xlfn.XLOOKUP(Table117821341[[#This Row],[Opp]],Table123[DEF],'2425'!$G$3:$G$34),"#N/A")</f>
        <v>#N/A</v>
      </c>
      <c r="H434" s="148" t="str" cm="1">
        <f t="array" ref="H434">IF(Table117821341[[#This Row],[Pos.]]="QB1",_xlfn.XLOOKUP(Table117821341[[#This Row],[Opp]],Table123[DEF],'2425'!$J$3:$J$34),"#N/A")</f>
        <v>#N/A</v>
      </c>
      <c r="I434" s="148" t="str" cm="1">
        <f t="array" ref="I434">IF(Table117821341[[#This Row],[Pos.]]="QB1",_xlfn.XLOOKUP(Table117821341[[#This Row],[Opp]],Table123[DEF],'2425'!$K$3:$K$34),"#N/A")</f>
        <v>#N/A</v>
      </c>
      <c r="J434" s="148" t="e" cm="1">
        <f t="array" ref="J43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4" s="148" t="e" cm="1">
        <f t="array" ref="K43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4" s="148" t="e" cm="1">
        <f t="array" ref="L43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4" s="148" t="e" cm="1">
        <f t="array" ref="M43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4" s="148" t="e" cm="1">
        <f t="array" ref="N43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4" s="149" t="str">
        <f>IF(Table117821341[[#This Row],[Pos.]]="QB1",_xlfn.XLOOKUP(Table117821341[[#This Row],[Opp]],Table123[DEF],Table123[P]),"#N/A")</f>
        <v>#N/A</v>
      </c>
      <c r="P434" s="149" t="str">
        <f>IF(Table117821341[[#This Row],[Pos.]]="QB1",_xlfn.XLOOKUP(Table117821341[[#This Row],[Opp]],Table123[DEF],Table123[P+R]),"#N/A")</f>
        <v>#N/A</v>
      </c>
      <c r="Q434" s="150" t="str">
        <f>IF(Table117821341[[#This Row],[Pos.]]="QB1",_xlfn.XLOOKUP(Table117821341[[#This Row],[Opp]],Table123[DEF],Table123[P TD]),"#N/A")</f>
        <v>#N/A</v>
      </c>
      <c r="R434" s="149" t="e" cm="1">
        <f t="array" ref="R43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4" s="150" t="e" cm="1">
        <f t="array" ref="S43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4" s="150" t="e" cm="1">
        <f t="array" ref="T43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4" s="150" t="e" cm="1">
        <f t="array" ref="U43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4" s="150" t="e" cm="1">
        <f t="array" ref="V43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4" s="148" t="e" cm="1">
        <f t="array" ref="W434">_xlfn.IFS(Table117821341[[#This Row],[Pos.]]="QB1",AVERAGE(G434,H434,I434,J434,N434),Table117821341[[#This Row],[Pos.]]="RB1",AVERAGE(J434,K434,N434),Table117821341[[#This Row],[Pos.]]="RB2",AVERAGE(J434,K434,N434),Table117821341[[#This Row],[Pos.]]="WR1",AVERAGE(L434,M434,N434),Table117821341[[#This Row],[Pos.]]="WR2",AVERAGE(L434,M434,N434),Table117821341[[#This Row],[Pos.]]="WR3",AVERAGE(L434,M434,N434),Table117821341[[#This Row],[Pos.]]="WR4",AVERAGE(L434,M434,N434),Table117821341[[#This Row],[Pos.]]="TE1",AVERAGE(L434,M434,N434),Table117821341[[#This Row],[Pos.]]="TE2",AVERAGE(L434,M434,N434),Table117821341[[#This Row],[Pos.]]="D/ST",AVERAGE(Table117821341[[#This Row],[*TD*]]))</f>
        <v>#N/A</v>
      </c>
      <c r="X434" s="94" t="e">
        <f t="shared" si="7"/>
        <v>#N/A</v>
      </c>
    </row>
    <row r="435" spans="2:24" hidden="1" x14ac:dyDescent="0.35">
      <c r="B435" s="6" t="s">
        <v>447</v>
      </c>
      <c r="C435" s="97" t="s">
        <v>49</v>
      </c>
      <c r="D435" s="97" t="s">
        <v>435</v>
      </c>
      <c r="E435" s="23" t="str" cm="1">
        <f t="array" ref="E435">_xlfn.XLOOKUP(Table117821341[[#This Row],[Team]],Table4334[Team],'2425'!$C$3:$C$34)</f>
        <v>n/a</v>
      </c>
      <c r="F435" s="97" t="str">
        <f>_xlfn.XLOOKUP(Table117821341[[#This Row],[Team]],Table4334[Team],Table4334[OPP])</f>
        <v>n/a</v>
      </c>
      <c r="G435" s="148" t="str" cm="1">
        <f t="array" ref="G435">IF(Table117821341[[#This Row],[Pos.]]="QB1",_xlfn.XLOOKUP(Table117821341[[#This Row],[Opp]],Table123[DEF],'2425'!$G$3:$G$34),"#N/A")</f>
        <v>#N/A</v>
      </c>
      <c r="H435" s="148" t="str" cm="1">
        <f t="array" ref="H435">IF(Table117821341[[#This Row],[Pos.]]="QB1",_xlfn.XLOOKUP(Table117821341[[#This Row],[Opp]],Table123[DEF],'2425'!$J$3:$J$34),"#N/A")</f>
        <v>#N/A</v>
      </c>
      <c r="I435" s="148" t="str" cm="1">
        <f t="array" ref="I435">IF(Table117821341[[#This Row],[Pos.]]="QB1",_xlfn.XLOOKUP(Table117821341[[#This Row],[Opp]],Table123[DEF],'2425'!$K$3:$K$34),"#N/A")</f>
        <v>#N/A</v>
      </c>
      <c r="J435" s="148" t="e" cm="1">
        <f t="array" ref="J43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5" s="148" t="e" cm="1">
        <f t="array" ref="K43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5" s="148" t="e" cm="1">
        <f t="array" ref="L43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5" s="148" t="e" cm="1">
        <f t="array" ref="M43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5" s="148" t="e" cm="1">
        <f t="array" ref="N43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5" s="149" t="str">
        <f>IF(Table117821341[[#This Row],[Pos.]]="QB1",_xlfn.XLOOKUP(Table117821341[[#This Row],[Opp]],Table123[DEF],Table123[P]),"#N/A")</f>
        <v>#N/A</v>
      </c>
      <c r="P435" s="149" t="str">
        <f>IF(Table117821341[[#This Row],[Pos.]]="QB1",_xlfn.XLOOKUP(Table117821341[[#This Row],[Opp]],Table123[DEF],Table123[P+R]),"#N/A")</f>
        <v>#N/A</v>
      </c>
      <c r="Q435" s="150" t="str">
        <f>IF(Table117821341[[#This Row],[Pos.]]="QB1",_xlfn.XLOOKUP(Table117821341[[#This Row],[Opp]],Table123[DEF],Table123[P TD]),"#N/A")</f>
        <v>#N/A</v>
      </c>
      <c r="R435" s="149" t="e" cm="1">
        <f t="array" ref="R43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5" s="150" t="e" cm="1">
        <f t="array" ref="S43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5" s="150" t="e" cm="1">
        <f t="array" ref="T43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5" s="150" t="e" cm="1">
        <f t="array" ref="U43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5" s="150" t="e" cm="1">
        <f t="array" ref="V43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5" s="148" t="e" cm="1">
        <f t="array" ref="W435">_xlfn.IFS(Table117821341[[#This Row],[Pos.]]="QB1",AVERAGE(G435,H435,I435,J435,N435),Table117821341[[#This Row],[Pos.]]="RB1",AVERAGE(J435,K435,N435),Table117821341[[#This Row],[Pos.]]="RB2",AVERAGE(J435,K435,N435),Table117821341[[#This Row],[Pos.]]="WR1",AVERAGE(L435,M435,N435),Table117821341[[#This Row],[Pos.]]="WR2",AVERAGE(L435,M435,N435),Table117821341[[#This Row],[Pos.]]="WR3",AVERAGE(L435,M435,N435),Table117821341[[#This Row],[Pos.]]="WR4",AVERAGE(L435,M435,N435),Table117821341[[#This Row],[Pos.]]="TE1",AVERAGE(L435,M435,N435),Table117821341[[#This Row],[Pos.]]="TE2",AVERAGE(L435,M435,N435),Table117821341[[#This Row],[Pos.]]="D/ST",AVERAGE(Table117821341[[#This Row],[*TD*]]))</f>
        <v>#N/A</v>
      </c>
      <c r="X435" s="94" t="e">
        <f t="shared" si="7"/>
        <v>#N/A</v>
      </c>
    </row>
    <row r="436" spans="2:24" hidden="1" x14ac:dyDescent="0.35">
      <c r="B436" s="6" t="s">
        <v>240</v>
      </c>
      <c r="C436" s="97" t="s">
        <v>39</v>
      </c>
      <c r="D436" s="97" t="s">
        <v>66</v>
      </c>
      <c r="E436" s="23" t="str" cm="1">
        <f t="array" ref="E436">_xlfn.XLOOKUP(Table117821341[[#This Row],[Team]],Table4334[Team],'2425'!$C$3:$C$34)</f>
        <v>n/a</v>
      </c>
      <c r="F436" s="97" t="str">
        <f>_xlfn.XLOOKUP(Table117821341[[#This Row],[Team]],Table4334[Team],Table4334[OPP])</f>
        <v>n/a</v>
      </c>
      <c r="G436" s="148" t="str" cm="1">
        <f t="array" ref="G436">IF(Table117821341[[#This Row],[Pos.]]="QB1",_xlfn.XLOOKUP(Table117821341[[#This Row],[Opp]],Table123[DEF],'2425'!$G$3:$G$34),"#N/A")</f>
        <v>#N/A</v>
      </c>
      <c r="H436" s="148" t="str" cm="1">
        <f t="array" ref="H436">IF(Table117821341[[#This Row],[Pos.]]="QB1",_xlfn.XLOOKUP(Table117821341[[#This Row],[Opp]],Table123[DEF],'2425'!$J$3:$J$34),"#N/A")</f>
        <v>#N/A</v>
      </c>
      <c r="I436" s="148" t="str" cm="1">
        <f t="array" ref="I436">IF(Table117821341[[#This Row],[Pos.]]="QB1",_xlfn.XLOOKUP(Table117821341[[#This Row],[Opp]],Table123[DEF],'2425'!$K$3:$K$34),"#N/A")</f>
        <v>#N/A</v>
      </c>
      <c r="J436" s="148" t="e" cm="1">
        <f t="array" ref="J43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6" s="148" t="e" cm="1">
        <f t="array" ref="K43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6" s="148" t="e" cm="1">
        <f t="array" ref="L43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6" s="148" t="e" cm="1">
        <f t="array" ref="M43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6" s="148" t="e" cm="1">
        <f t="array" ref="N43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6" s="149" t="str">
        <f>IF(Table117821341[[#This Row],[Pos.]]="QB1",_xlfn.XLOOKUP(Table117821341[[#This Row],[Opp]],Table123[DEF],Table123[P]),"#N/A")</f>
        <v>#N/A</v>
      </c>
      <c r="P436" s="149" t="str">
        <f>IF(Table117821341[[#This Row],[Pos.]]="QB1",_xlfn.XLOOKUP(Table117821341[[#This Row],[Opp]],Table123[DEF],Table123[P+R]),"#N/A")</f>
        <v>#N/A</v>
      </c>
      <c r="Q436" s="150" t="str">
        <f>IF(Table117821341[[#This Row],[Pos.]]="QB1",_xlfn.XLOOKUP(Table117821341[[#This Row],[Opp]],Table123[DEF],Table123[P TD]),"#N/A")</f>
        <v>#N/A</v>
      </c>
      <c r="R436" s="149" t="e" cm="1">
        <f t="array" ref="R43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6" s="150" t="e" cm="1">
        <f t="array" ref="S43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6" s="150" t="e" cm="1">
        <f t="array" ref="T43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6" s="150" t="e" cm="1">
        <f t="array" ref="U43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6" s="162" t="e" cm="1">
        <f t="array" ref="V43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6" s="148" t="e" cm="1">
        <f t="array" ref="W436">_xlfn.IFS(Table117821341[[#This Row],[Pos.]]="QB1",AVERAGE(G436,H436,I436,J436,N436),Table117821341[[#This Row],[Pos.]]="RB1",AVERAGE(J436,K436,N436),Table117821341[[#This Row],[Pos.]]="RB2",AVERAGE(J436,K436,N436),Table117821341[[#This Row],[Pos.]]="WR1",AVERAGE(L436,M436,N436),Table117821341[[#This Row],[Pos.]]="WR2",AVERAGE(L436,M436,N436),Table117821341[[#This Row],[Pos.]]="WR3",AVERAGE(L436,M436,N436),Table117821341[[#This Row],[Pos.]]="WR4",AVERAGE(L436,M436,N436),Table117821341[[#This Row],[Pos.]]="TE1",AVERAGE(L436,M436,N436),Table117821341[[#This Row],[Pos.]]="TE2",AVERAGE(L436,M436,N436),Table117821341[[#This Row],[Pos.]]="D/ST",AVERAGE(Table117821341[[#This Row],[*TD*]]))</f>
        <v>#N/A</v>
      </c>
      <c r="X436" s="94" t="e">
        <f t="shared" si="7"/>
        <v>#N/A</v>
      </c>
    </row>
    <row r="437" spans="2:24" x14ac:dyDescent="0.35">
      <c r="B437" s="6" t="s">
        <v>309</v>
      </c>
      <c r="C437" s="97" t="s">
        <v>46</v>
      </c>
      <c r="D437" s="97" t="s">
        <v>66</v>
      </c>
      <c r="E437" s="23" t="str" cm="1">
        <f t="array" ref="E437">_xlfn.XLOOKUP(Table117821341[[#This Row],[Team]],Table4334[Team],'2425'!$C$3:$C$34)</f>
        <v>SB LX</v>
      </c>
      <c r="F437" s="97" t="str">
        <f>_xlfn.XLOOKUP(Table117821341[[#This Row],[Team]],Table4334[Team],Table4334[OPP])</f>
        <v>SEA</v>
      </c>
      <c r="G437" s="148" t="str" cm="1">
        <f t="array" ref="G437">IF(Table117821341[[#This Row],[Pos.]]="QB1",_xlfn.XLOOKUP(Table117821341[[#This Row],[Opp]],Table123[DEF],'2425'!$G$3:$G$34),"#N/A")</f>
        <v>#N/A</v>
      </c>
      <c r="H437" s="148" t="str" cm="1">
        <f t="array" ref="H437">IF(Table117821341[[#This Row],[Pos.]]="QB1",_xlfn.XLOOKUP(Table117821341[[#This Row],[Opp]],Table123[DEF],'2425'!$J$3:$J$34),"#N/A")</f>
        <v>#N/A</v>
      </c>
      <c r="I437" s="148" t="str" cm="1">
        <f t="array" ref="I437">IF(Table117821341[[#This Row],[Pos.]]="QB1",_xlfn.XLOOKUP(Table117821341[[#This Row],[Opp]],Table123[DEF],'2425'!$K$3:$K$34),"#N/A")</f>
        <v>#N/A</v>
      </c>
      <c r="J437" s="148" t="e" cm="1">
        <f t="array" ref="J43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7" s="148" t="e" cm="1">
        <f t="array" ref="K43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7" s="148" cm="1">
        <f t="array" ref="L43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19</v>
      </c>
      <c r="M437" s="148" cm="1">
        <f t="array" ref="M43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31</v>
      </c>
      <c r="N437" s="148" cm="1">
        <f t="array" ref="N43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16</v>
      </c>
      <c r="O437" s="149" t="str">
        <f>IF(Table117821341[[#This Row],[Pos.]]="QB1",_xlfn.XLOOKUP(Table117821341[[#This Row],[Opp]],Table123[DEF],Table123[P]),"#N/A")</f>
        <v>#N/A</v>
      </c>
      <c r="P437" s="149" t="str">
        <f>IF(Table117821341[[#This Row],[Pos.]]="QB1",_xlfn.XLOOKUP(Table117821341[[#This Row],[Opp]],Table123[DEF],Table123[P+R]),"#N/A")</f>
        <v>#N/A</v>
      </c>
      <c r="Q437" s="150" t="str">
        <f>IF(Table117821341[[#This Row],[Pos.]]="QB1",_xlfn.XLOOKUP(Table117821341[[#This Row],[Opp]],Table123[DEF],Table123[P TD]),"#N/A")</f>
        <v>#N/A</v>
      </c>
      <c r="R437" s="149" t="e" cm="1">
        <f t="array" ref="R43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7" s="150" t="e" cm="1">
        <f t="array" ref="S43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7" s="150" cm="1">
        <f t="array" ref="T43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4.764705882352942</v>
      </c>
      <c r="U437" s="150" cm="1">
        <f t="array" ref="U43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52.558823529411768</v>
      </c>
      <c r="V437" s="162" cm="1">
        <f t="array" ref="V43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0.41176470588235292</v>
      </c>
      <c r="W437" s="148" cm="1">
        <f t="array" ref="W437">_xlfn.IFS(Table117821341[[#This Row],[Pos.]]="QB1",AVERAGE(G437,H437,I437,J437,N437),Table117821341[[#This Row],[Pos.]]="RB1",AVERAGE(J437,K437,N437),Table117821341[[#This Row],[Pos.]]="RB2",AVERAGE(J437,K437,N437),Table117821341[[#This Row],[Pos.]]="WR1",AVERAGE(L437,M437,N437),Table117821341[[#This Row],[Pos.]]="WR2",AVERAGE(L437,M437,N437),Table117821341[[#This Row],[Pos.]]="WR3",AVERAGE(L437,M437,N437),Table117821341[[#This Row],[Pos.]]="WR4",AVERAGE(L437,M437,N437),Table117821341[[#This Row],[Pos.]]="TE1",AVERAGE(L437,M437,N437),Table117821341[[#This Row],[Pos.]]="TE2",AVERAGE(L437,M437,N437),Table117821341[[#This Row],[Pos.]]="D/ST",AVERAGE(Table117821341[[#This Row],[*TD*]]))</f>
        <v>22</v>
      </c>
      <c r="X437" s="94">
        <f t="shared" si="7"/>
        <v>19</v>
      </c>
    </row>
    <row r="438" spans="2:24" hidden="1" x14ac:dyDescent="0.35">
      <c r="B438" s="6" t="s">
        <v>340</v>
      </c>
      <c r="C438" s="97" t="s">
        <v>50</v>
      </c>
      <c r="D438" s="97" t="s">
        <v>66</v>
      </c>
      <c r="E438" s="23" t="str" cm="1">
        <f t="array" ref="E438">_xlfn.XLOOKUP(Table117821341[[#This Row],[Team]],Table4334[Team],'2425'!$C$3:$C$34)</f>
        <v>n/a</v>
      </c>
      <c r="F438" s="97" t="str">
        <f>_xlfn.XLOOKUP(Table117821341[[#This Row],[Team]],Table4334[Team],Table4334[OPP])</f>
        <v>n/a</v>
      </c>
      <c r="G438" s="148" t="str" cm="1">
        <f t="array" ref="G438">IF(Table117821341[[#This Row],[Pos.]]="QB1",_xlfn.XLOOKUP(Table117821341[[#This Row],[Opp]],Table123[DEF],'2425'!$G$3:$G$34),"#N/A")</f>
        <v>#N/A</v>
      </c>
      <c r="H438" s="148" t="str" cm="1">
        <f t="array" ref="H438">IF(Table117821341[[#This Row],[Pos.]]="QB1",_xlfn.XLOOKUP(Table117821341[[#This Row],[Opp]],Table123[DEF],'2425'!$J$3:$J$34),"#N/A")</f>
        <v>#N/A</v>
      </c>
      <c r="I438" s="148" t="str" cm="1">
        <f t="array" ref="I438">IF(Table117821341[[#This Row],[Pos.]]="QB1",_xlfn.XLOOKUP(Table117821341[[#This Row],[Opp]],Table123[DEF],'2425'!$K$3:$K$34),"#N/A")</f>
        <v>#N/A</v>
      </c>
      <c r="J438" s="148" t="e" cm="1">
        <f t="array" ref="J43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8" s="148" t="e" cm="1">
        <f t="array" ref="K43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8" s="148" t="e" cm="1">
        <f t="array" ref="L43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8" s="148" t="e" cm="1">
        <f t="array" ref="M43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8" s="148" t="e" cm="1">
        <f t="array" ref="N43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8" s="149" t="str">
        <f>IF(Table117821341[[#This Row],[Pos.]]="QB1",_xlfn.XLOOKUP(Table117821341[[#This Row],[Opp]],Table123[DEF],Table123[P]),"#N/A")</f>
        <v>#N/A</v>
      </c>
      <c r="P438" s="149" t="str">
        <f>IF(Table117821341[[#This Row],[Pos.]]="QB1",_xlfn.XLOOKUP(Table117821341[[#This Row],[Opp]],Table123[DEF],Table123[P+R]),"#N/A")</f>
        <v>#N/A</v>
      </c>
      <c r="Q438" s="150" t="str">
        <f>IF(Table117821341[[#This Row],[Pos.]]="QB1",_xlfn.XLOOKUP(Table117821341[[#This Row],[Opp]],Table123[DEF],Table123[P TD]),"#N/A")</f>
        <v>#N/A</v>
      </c>
      <c r="R438" s="149" t="e" cm="1">
        <f t="array" ref="R43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8" s="150" t="e" cm="1">
        <f t="array" ref="S43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8" s="150" t="e" cm="1">
        <f t="array" ref="T43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8" s="150" t="e" cm="1">
        <f t="array" ref="U43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8" s="162" t="e" cm="1">
        <f t="array" ref="V43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8" s="148" t="e" cm="1">
        <f t="array" ref="W438">_xlfn.IFS(Table117821341[[#This Row],[Pos.]]="QB1",AVERAGE(G438,H438,I438,J438,N438),Table117821341[[#This Row],[Pos.]]="RB1",AVERAGE(J438,K438,N438),Table117821341[[#This Row],[Pos.]]="RB2",AVERAGE(J438,K438,N438),Table117821341[[#This Row],[Pos.]]="WR1",AVERAGE(L438,M438,N438),Table117821341[[#This Row],[Pos.]]="WR2",AVERAGE(L438,M438,N438),Table117821341[[#This Row],[Pos.]]="WR3",AVERAGE(L438,M438,N438),Table117821341[[#This Row],[Pos.]]="WR4",AVERAGE(L438,M438,N438),Table117821341[[#This Row],[Pos.]]="TE1",AVERAGE(L438,M438,N438),Table117821341[[#This Row],[Pos.]]="TE2",AVERAGE(L438,M438,N438),Table117821341[[#This Row],[Pos.]]="D/ST",AVERAGE(Table117821341[[#This Row],[*TD*]]))</f>
        <v>#N/A</v>
      </c>
      <c r="X438" s="94" t="e">
        <f t="shared" si="7"/>
        <v>#N/A</v>
      </c>
    </row>
    <row r="439" spans="2:24" hidden="1" x14ac:dyDescent="0.35">
      <c r="B439" s="6" t="s">
        <v>348</v>
      </c>
      <c r="C439" s="97" t="s">
        <v>51</v>
      </c>
      <c r="D439" s="97" t="s">
        <v>66</v>
      </c>
      <c r="E439" s="23" t="str" cm="1">
        <f t="array" ref="E439">_xlfn.XLOOKUP(Table117821341[[#This Row],[Team]],Table4334[Team],'2425'!$C$3:$C$34)</f>
        <v>n/a</v>
      </c>
      <c r="F439" s="97" t="str">
        <f>_xlfn.XLOOKUP(Table117821341[[#This Row],[Team]],Table4334[Team],Table4334[OPP])</f>
        <v>n/a</v>
      </c>
      <c r="G439" s="148" t="str" cm="1">
        <f t="array" ref="G439">IF(Table117821341[[#This Row],[Pos.]]="QB1",_xlfn.XLOOKUP(Table117821341[[#This Row],[Opp]],Table123[DEF],'2425'!$G$3:$G$34),"#N/A")</f>
        <v>#N/A</v>
      </c>
      <c r="H439" s="148" t="str" cm="1">
        <f t="array" ref="H439">IF(Table117821341[[#This Row],[Pos.]]="QB1",_xlfn.XLOOKUP(Table117821341[[#This Row],[Opp]],Table123[DEF],'2425'!$J$3:$J$34),"#N/A")</f>
        <v>#N/A</v>
      </c>
      <c r="I439" s="148" t="str" cm="1">
        <f t="array" ref="I439">IF(Table117821341[[#This Row],[Pos.]]="QB1",_xlfn.XLOOKUP(Table117821341[[#This Row],[Opp]],Table123[DEF],'2425'!$K$3:$K$34),"#N/A")</f>
        <v>#N/A</v>
      </c>
      <c r="J439" s="148" t="e" cm="1">
        <f t="array" ref="J43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39" s="148" t="e" cm="1">
        <f t="array" ref="K43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39" s="148" t="e" cm="1">
        <f t="array" ref="L43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39" s="148" t="e" cm="1">
        <f t="array" ref="M43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39" s="148" t="e" cm="1">
        <f t="array" ref="N43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39" s="149" t="str">
        <f>IF(Table117821341[[#This Row],[Pos.]]="QB1",_xlfn.XLOOKUP(Table117821341[[#This Row],[Opp]],Table123[DEF],Table123[P]),"#N/A")</f>
        <v>#N/A</v>
      </c>
      <c r="P439" s="149" t="str">
        <f>IF(Table117821341[[#This Row],[Pos.]]="QB1",_xlfn.XLOOKUP(Table117821341[[#This Row],[Opp]],Table123[DEF],Table123[P+R]),"#N/A")</f>
        <v>#N/A</v>
      </c>
      <c r="Q439" s="150" t="str">
        <f>IF(Table117821341[[#This Row],[Pos.]]="QB1",_xlfn.XLOOKUP(Table117821341[[#This Row],[Opp]],Table123[DEF],Table123[P TD]),"#N/A")</f>
        <v>#N/A</v>
      </c>
      <c r="R439" s="149" t="e" cm="1">
        <f t="array" ref="R43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39" s="150" t="e" cm="1">
        <f t="array" ref="S43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39" s="150" t="e" cm="1">
        <f t="array" ref="T43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39" s="150" t="e" cm="1">
        <f t="array" ref="U43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39" s="162" t="e" cm="1">
        <f t="array" ref="V43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39" s="148" t="e" cm="1">
        <f t="array" ref="W439">_xlfn.IFS(Table117821341[[#This Row],[Pos.]]="QB1",AVERAGE(G439,H439,I439,J439,N439),Table117821341[[#This Row],[Pos.]]="RB1",AVERAGE(J439,K439,N439),Table117821341[[#This Row],[Pos.]]="RB2",AVERAGE(J439,K439,N439),Table117821341[[#This Row],[Pos.]]="WR1",AVERAGE(L439,M439,N439),Table117821341[[#This Row],[Pos.]]="WR2",AVERAGE(L439,M439,N439),Table117821341[[#This Row],[Pos.]]="WR3",AVERAGE(L439,M439,N439),Table117821341[[#This Row],[Pos.]]="WR4",AVERAGE(L439,M439,N439),Table117821341[[#This Row],[Pos.]]="TE1",AVERAGE(L439,M439,N439),Table117821341[[#This Row],[Pos.]]="TE2",AVERAGE(L439,M439,N439),Table117821341[[#This Row],[Pos.]]="D/ST",AVERAGE(Table117821341[[#This Row],[*TD*]]))</f>
        <v>#N/A</v>
      </c>
      <c r="X439" s="94" t="e">
        <f t="shared" si="7"/>
        <v>#N/A</v>
      </c>
    </row>
    <row r="440" spans="2:24" hidden="1" x14ac:dyDescent="0.35">
      <c r="B440" s="6" t="s">
        <v>690</v>
      </c>
      <c r="C440" s="97" t="s">
        <v>49</v>
      </c>
      <c r="D440" s="97" t="s">
        <v>403</v>
      </c>
      <c r="E440" s="23" t="str" cm="1">
        <f t="array" ref="E440">_xlfn.XLOOKUP(Table117821341[[#This Row],[Team]],Table4334[Team],'2425'!$C$3:$C$34)</f>
        <v>n/a</v>
      </c>
      <c r="F440" s="97" t="str">
        <f>_xlfn.XLOOKUP(Table117821341[[#This Row],[Team]],Table4334[Team],Table4334[OPP])</f>
        <v>n/a</v>
      </c>
      <c r="G440" s="148" t="str" cm="1">
        <f t="array" ref="G440">IF(Table117821341[[#This Row],[Pos.]]="QB1",_xlfn.XLOOKUP(Table117821341[[#This Row],[Opp]],Table123[DEF],'2425'!$G$3:$G$34),"#N/A")</f>
        <v>#N/A</v>
      </c>
      <c r="H440" s="148" t="str" cm="1">
        <f t="array" ref="H440">IF(Table117821341[[#This Row],[Pos.]]="QB1",_xlfn.XLOOKUP(Table117821341[[#This Row],[Opp]],Table123[DEF],'2425'!$J$3:$J$34),"#N/A")</f>
        <v>#N/A</v>
      </c>
      <c r="I440" s="148" t="str" cm="1">
        <f t="array" ref="I440">IF(Table117821341[[#This Row],[Pos.]]="QB1",_xlfn.XLOOKUP(Table117821341[[#This Row],[Opp]],Table123[DEF],'2425'!$K$3:$K$34),"#N/A")</f>
        <v>#N/A</v>
      </c>
      <c r="J440" s="148" t="e" cm="1">
        <f t="array" ref="J44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0" s="148" t="e" cm="1">
        <f t="array" ref="K44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0" s="148" t="e" cm="1">
        <f t="array" ref="L44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0" s="148" t="e" cm="1">
        <f t="array" ref="M44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0" s="148" t="e" cm="1">
        <f t="array" ref="N44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0" s="149" t="str">
        <f>IF(Table117821341[[#This Row],[Pos.]]="QB1",_xlfn.XLOOKUP(Table117821341[[#This Row],[Opp]],Table123[DEF],Table123[P]),"#N/A")</f>
        <v>#N/A</v>
      </c>
      <c r="P440" s="149" t="str">
        <f>IF(Table117821341[[#This Row],[Pos.]]="QB1",_xlfn.XLOOKUP(Table117821341[[#This Row],[Opp]],Table123[DEF],Table123[P+R]),"#N/A")</f>
        <v>#N/A</v>
      </c>
      <c r="Q440" s="150" t="str">
        <f>IF(Table117821341[[#This Row],[Pos.]]="QB1",_xlfn.XLOOKUP(Table117821341[[#This Row],[Opp]],Table123[DEF],Table123[P TD]),"#N/A")</f>
        <v>#N/A</v>
      </c>
      <c r="R440" s="149" t="e" cm="1">
        <f t="array" ref="R44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0" s="150" t="e" cm="1">
        <f t="array" ref="S44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0" s="150" t="e" cm="1">
        <f t="array" ref="T44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0" s="150" t="e" cm="1">
        <f t="array" ref="U44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0" s="150" t="e" cm="1">
        <f t="array" ref="V44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0" s="148" t="e" cm="1">
        <f t="array" ref="W440">_xlfn.IFS(Table117821341[[#This Row],[Pos.]]="QB1",AVERAGE(G440,H440,I440,J440,N440),Table117821341[[#This Row],[Pos.]]="RB1",AVERAGE(J440,K440,N440),Table117821341[[#This Row],[Pos.]]="RB2",AVERAGE(J440,K440,N440),Table117821341[[#This Row],[Pos.]]="WR1",AVERAGE(L440,M440,N440),Table117821341[[#This Row],[Pos.]]="WR2",AVERAGE(L440,M440,N440),Table117821341[[#This Row],[Pos.]]="WR3",AVERAGE(L440,M440,N440),Table117821341[[#This Row],[Pos.]]="WR4",AVERAGE(L440,M440,N440),Table117821341[[#This Row],[Pos.]]="TE1",AVERAGE(L440,M440,N440),Table117821341[[#This Row],[Pos.]]="TE2",AVERAGE(L440,M440,N440),Table117821341[[#This Row],[Pos.]]="D/ST",AVERAGE(Table117821341[[#This Row],[*TD*]]))</f>
        <v>#N/A</v>
      </c>
      <c r="X440" s="94" t="e">
        <f t="shared" si="7"/>
        <v>#N/A</v>
      </c>
    </row>
    <row r="441" spans="2:24" hidden="1" x14ac:dyDescent="0.35">
      <c r="B441" s="6" t="s">
        <v>126</v>
      </c>
      <c r="C441" s="97" t="s">
        <v>49</v>
      </c>
      <c r="D441" s="97" t="s">
        <v>411</v>
      </c>
      <c r="E441" s="23" t="str" cm="1">
        <f t="array" ref="E441">_xlfn.XLOOKUP(Table117821341[[#This Row],[Team]],Table4334[Team],'2425'!$C$3:$C$34)</f>
        <v>n/a</v>
      </c>
      <c r="F441" s="97" t="str">
        <f>_xlfn.XLOOKUP(Table117821341[[#This Row],[Team]],Table4334[Team],Table4334[OPP])</f>
        <v>n/a</v>
      </c>
      <c r="G441" s="148" t="str" cm="1">
        <f t="array" ref="G441">IF(Table117821341[[#This Row],[Pos.]]="QB1",_xlfn.XLOOKUP(Table117821341[[#This Row],[Opp]],Table123[DEF],'2425'!$G$3:$G$34),"#N/A")</f>
        <v>#N/A</v>
      </c>
      <c r="H441" s="148" t="str" cm="1">
        <f t="array" ref="H441">IF(Table117821341[[#This Row],[Pos.]]="QB1",_xlfn.XLOOKUP(Table117821341[[#This Row],[Opp]],Table123[DEF],'2425'!$J$3:$J$34),"#N/A")</f>
        <v>#N/A</v>
      </c>
      <c r="I441" s="148" t="str" cm="1">
        <f t="array" ref="I441">IF(Table117821341[[#This Row],[Pos.]]="QB1",_xlfn.XLOOKUP(Table117821341[[#This Row],[Opp]],Table123[DEF],'2425'!$K$3:$K$34),"#N/A")</f>
        <v>#N/A</v>
      </c>
      <c r="J441" s="148" t="e" cm="1">
        <f t="array" ref="J44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1" s="148" t="e" cm="1">
        <f t="array" ref="K44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1" s="148" t="e" cm="1">
        <f t="array" ref="L44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1" s="148" t="e" cm="1">
        <f t="array" ref="M44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1" s="148" t="e" cm="1">
        <f t="array" ref="N44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1" s="149" t="str">
        <f>IF(Table117821341[[#This Row],[Pos.]]="QB1",_xlfn.XLOOKUP(Table117821341[[#This Row],[Opp]],Table123[DEF],Table123[P]),"#N/A")</f>
        <v>#N/A</v>
      </c>
      <c r="P441" s="149" t="str">
        <f>IF(Table117821341[[#This Row],[Pos.]]="QB1",_xlfn.XLOOKUP(Table117821341[[#This Row],[Opp]],Table123[DEF],Table123[P+R]),"#N/A")</f>
        <v>#N/A</v>
      </c>
      <c r="Q441" s="150" t="str">
        <f>IF(Table117821341[[#This Row],[Pos.]]="QB1",_xlfn.XLOOKUP(Table117821341[[#This Row],[Opp]],Table123[DEF],Table123[P TD]),"#N/A")</f>
        <v>#N/A</v>
      </c>
      <c r="R441" s="149" t="e" cm="1">
        <f t="array" ref="R44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1" s="150" t="e" cm="1">
        <f t="array" ref="S44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1" s="150" t="e" cm="1">
        <f t="array" ref="T44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1" s="150" t="e" cm="1">
        <f t="array" ref="U44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1" s="150" t="e" cm="1">
        <f t="array" ref="V44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1" s="148" t="e" cm="1">
        <f t="array" ref="W441">_xlfn.IFS(Table117821341[[#This Row],[Pos.]]="QB1",AVERAGE(G441,H441,I441,J441,N441),Table117821341[[#This Row],[Pos.]]="RB1",AVERAGE(J441,K441,N441),Table117821341[[#This Row],[Pos.]]="RB2",AVERAGE(J441,K441,N441),Table117821341[[#This Row],[Pos.]]="WR1",AVERAGE(L441,M441,N441),Table117821341[[#This Row],[Pos.]]="WR2",AVERAGE(L441,M441,N441),Table117821341[[#This Row],[Pos.]]="WR3",AVERAGE(L441,M441,N441),Table117821341[[#This Row],[Pos.]]="WR4",AVERAGE(L441,M441,N441),Table117821341[[#This Row],[Pos.]]="TE1",AVERAGE(L441,M441,N441),Table117821341[[#This Row],[Pos.]]="TE2",AVERAGE(L441,M441,N441),Table117821341[[#This Row],[Pos.]]="D/ST",AVERAGE(Table117821341[[#This Row],[*TD*]]))</f>
        <v>#N/A</v>
      </c>
      <c r="X441" s="94" t="e">
        <f t="shared" si="7"/>
        <v>#N/A</v>
      </c>
    </row>
    <row r="442" spans="2:24" x14ac:dyDescent="0.35">
      <c r="B442" s="6" t="s">
        <v>157</v>
      </c>
      <c r="C442" s="97" t="s">
        <v>30</v>
      </c>
      <c r="D442" s="97" t="s">
        <v>67</v>
      </c>
      <c r="E442" s="23" t="str" cm="1">
        <f t="array" ref="E442">_xlfn.XLOOKUP(Table117821341[[#This Row],[Team]],Table4334[Team],'2425'!$C$3:$C$34)</f>
        <v>n/a</v>
      </c>
      <c r="F442" s="97" t="str">
        <f>_xlfn.XLOOKUP(Table117821341[[#This Row],[Team]],Table4334[Team],Table4334[OPP])</f>
        <v>n/a</v>
      </c>
      <c r="G442" s="148" t="str" cm="1">
        <f t="array" ref="G442">IF(Table117821341[[#This Row],[Pos.]]="QB1",_xlfn.XLOOKUP(Table117821341[[#This Row],[Opp]],Table123[DEF],'2425'!$G$3:$G$34),"#N/A")</f>
        <v>#N/A</v>
      </c>
      <c r="H442" s="148" t="str" cm="1">
        <f t="array" ref="H442">IF(Table117821341[[#This Row],[Pos.]]="QB1",_xlfn.XLOOKUP(Table117821341[[#This Row],[Opp]],Table123[DEF],'2425'!$J$3:$J$34),"#N/A")</f>
        <v>#N/A</v>
      </c>
      <c r="I442" s="148" t="str" cm="1">
        <f t="array" ref="I442">IF(Table117821341[[#This Row],[Pos.]]="QB1",_xlfn.XLOOKUP(Table117821341[[#This Row],[Opp]],Table123[DEF],'2425'!$K$3:$K$34),"#N/A")</f>
        <v>#N/A</v>
      </c>
      <c r="J442" s="148" t="e" cm="1">
        <f t="array" ref="J44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2" s="148" t="e" cm="1">
        <f t="array" ref="K44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2" s="148" t="e" cm="1">
        <f t="array" ref="L44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2" s="148" t="e" cm="1">
        <f t="array" ref="M44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2" s="148" t="e" cm="1">
        <f t="array" ref="N44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2" s="149" t="str">
        <f>IF(Table117821341[[#This Row],[Pos.]]="QB1",_xlfn.XLOOKUP(Table117821341[[#This Row],[Opp]],Table123[DEF],Table123[P]),"#N/A")</f>
        <v>#N/A</v>
      </c>
      <c r="P442" s="149" t="str">
        <f>IF(Table117821341[[#This Row],[Pos.]]="QB1",_xlfn.XLOOKUP(Table117821341[[#This Row],[Opp]],Table123[DEF],Table123[P+R]),"#N/A")</f>
        <v>#N/A</v>
      </c>
      <c r="Q442" s="150" t="str">
        <f>IF(Table117821341[[#This Row],[Pos.]]="QB1",_xlfn.XLOOKUP(Table117821341[[#This Row],[Opp]],Table123[DEF],Table123[P TD]),"#N/A")</f>
        <v>#N/A</v>
      </c>
      <c r="R442" s="149" t="e" cm="1">
        <f t="array" ref="R44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2" s="150" t="e" cm="1">
        <f t="array" ref="S44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2" s="150" t="e" cm="1">
        <f t="array" ref="T44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2" s="150" t="e" cm="1">
        <f t="array" ref="U44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2" s="162" t="e" cm="1">
        <f t="array" ref="V44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2" s="148" t="e" cm="1">
        <f t="array" ref="W442">_xlfn.IFS(Table117821341[[#This Row],[Pos.]]="QB1",AVERAGE(G442,H442,I442,J442,N442),Table117821341[[#This Row],[Pos.]]="RB1",AVERAGE(J442,K442,N442),Table117821341[[#This Row],[Pos.]]="RB2",AVERAGE(J442,K442,N442),Table117821341[[#This Row],[Pos.]]="WR1",AVERAGE(L442,M442,N442),Table117821341[[#This Row],[Pos.]]="WR2",AVERAGE(L442,M442,N442),Table117821341[[#This Row],[Pos.]]="WR3",AVERAGE(L442,M442,N442),Table117821341[[#This Row],[Pos.]]="WR4",AVERAGE(L442,M442,N442),Table117821341[[#This Row],[Pos.]]="TE1",AVERAGE(L442,M442,N442),Table117821341[[#This Row],[Pos.]]="TE2",AVERAGE(L442,M442,N442),Table117821341[[#This Row],[Pos.]]="D/ST",AVERAGE(Table117821341[[#This Row],[*TD*]]))</f>
        <v>#N/A</v>
      </c>
      <c r="X442" s="94" t="e">
        <f t="shared" si="7"/>
        <v>#N/A</v>
      </c>
    </row>
    <row r="443" spans="2:24" x14ac:dyDescent="0.35">
      <c r="B443" s="6" t="s">
        <v>363</v>
      </c>
      <c r="C443" s="97" t="s">
        <v>53</v>
      </c>
      <c r="D443" s="97" t="s">
        <v>397</v>
      </c>
      <c r="E443" s="23" t="str" cm="1">
        <f t="array" ref="E443">_xlfn.XLOOKUP(Table117821341[[#This Row],[Team]],Table4334[Team],'2425'!$C$3:$C$34)</f>
        <v>n/a</v>
      </c>
      <c r="F443" s="97" t="str">
        <f>_xlfn.XLOOKUP(Table117821341[[#This Row],[Team]],Table4334[Team],Table4334[OPP])</f>
        <v>n/a</v>
      </c>
      <c r="G443" s="148" t="str" cm="1">
        <f t="array" ref="G443">IF(Table117821341[[#This Row],[Pos.]]="QB1",_xlfn.XLOOKUP(Table117821341[[#This Row],[Opp]],Table123[DEF],'2425'!$G$3:$G$34),"#N/A")</f>
        <v>#N/A</v>
      </c>
      <c r="H443" s="148" t="str" cm="1">
        <f t="array" ref="H443">IF(Table117821341[[#This Row],[Pos.]]="QB1",_xlfn.XLOOKUP(Table117821341[[#This Row],[Opp]],Table123[DEF],'2425'!$J$3:$J$34),"#N/A")</f>
        <v>#N/A</v>
      </c>
      <c r="I443" s="148" t="str" cm="1">
        <f t="array" ref="I443">IF(Table117821341[[#This Row],[Pos.]]="QB1",_xlfn.XLOOKUP(Table117821341[[#This Row],[Opp]],Table123[DEF],'2425'!$K$3:$K$34),"#N/A")</f>
        <v>#N/A</v>
      </c>
      <c r="J443" s="148" t="e" cm="1">
        <f t="array" ref="J44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3" s="148" t="e" cm="1">
        <f t="array" ref="K44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3" s="148" t="e" cm="1">
        <f t="array" ref="L44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3" s="148" t="e" cm="1">
        <f t="array" ref="M44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3" s="148" t="e" cm="1">
        <f t="array" ref="N44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3" s="149" t="str">
        <f>IF(Table117821341[[#This Row],[Pos.]]="QB1",_xlfn.XLOOKUP(Table117821341[[#This Row],[Opp]],Table123[DEF],Table123[P]),"#N/A")</f>
        <v>#N/A</v>
      </c>
      <c r="P443" s="149" t="str">
        <f>IF(Table117821341[[#This Row],[Pos.]]="QB1",_xlfn.XLOOKUP(Table117821341[[#This Row],[Opp]],Table123[DEF],Table123[P+R]),"#N/A")</f>
        <v>#N/A</v>
      </c>
      <c r="Q443" s="150" t="str">
        <f>IF(Table117821341[[#This Row],[Pos.]]="QB1",_xlfn.XLOOKUP(Table117821341[[#This Row],[Opp]],Table123[DEF],Table123[P TD]),"#N/A")</f>
        <v>#N/A</v>
      </c>
      <c r="R443" s="149" t="e" cm="1">
        <f t="array" ref="R44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3" s="150" t="e" cm="1">
        <f t="array" ref="S44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3" s="150" t="e" cm="1">
        <f t="array" ref="T44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3" s="150" t="e" cm="1">
        <f t="array" ref="U44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3" s="162" t="e" cm="1">
        <f t="array" ref="V44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3" s="148" t="e" cm="1">
        <f t="array" ref="W443">_xlfn.IFS(Table117821341[[#This Row],[Pos.]]="QB1",AVERAGE(G443,H443,I443,J443,N443),Table117821341[[#This Row],[Pos.]]="RB1",AVERAGE(J443,K443,N443),Table117821341[[#This Row],[Pos.]]="RB2",AVERAGE(J443,K443,N443),Table117821341[[#This Row],[Pos.]]="WR1",AVERAGE(L443,M443,N443),Table117821341[[#This Row],[Pos.]]="WR2",AVERAGE(L443,M443,N443),Table117821341[[#This Row],[Pos.]]="WR3",AVERAGE(L443,M443,N443),Table117821341[[#This Row],[Pos.]]="WR4",AVERAGE(L443,M443,N443),Table117821341[[#This Row],[Pos.]]="TE1",AVERAGE(L443,M443,N443),Table117821341[[#This Row],[Pos.]]="TE2",AVERAGE(L443,M443,N443),Table117821341[[#This Row],[Pos.]]="D/ST",AVERAGE(Table117821341[[#This Row],[*TD*]]))</f>
        <v>#N/A</v>
      </c>
      <c r="X443" s="94" t="e">
        <f t="shared" si="7"/>
        <v>#N/A</v>
      </c>
    </row>
    <row r="444" spans="2:24" hidden="1" x14ac:dyDescent="0.35">
      <c r="B444" s="6" t="s">
        <v>451</v>
      </c>
      <c r="C444" s="97" t="s">
        <v>50</v>
      </c>
      <c r="D444" s="97" t="s">
        <v>405</v>
      </c>
      <c r="E444" s="23" t="str" cm="1">
        <f t="array" ref="E444">_xlfn.XLOOKUP(Table117821341[[#This Row],[Team]],Table4334[Team],'2425'!$C$3:$C$34)</f>
        <v>n/a</v>
      </c>
      <c r="F444" s="97" t="str">
        <f>_xlfn.XLOOKUP(Table117821341[[#This Row],[Team]],Table4334[Team],Table4334[OPP])</f>
        <v>n/a</v>
      </c>
      <c r="G444" s="148" t="str" cm="1">
        <f t="array" ref="G444">IF(Table117821341[[#This Row],[Pos.]]="QB1",_xlfn.XLOOKUP(Table117821341[[#This Row],[Opp]],Table123[DEF],'2425'!$G$3:$G$34),"#N/A")</f>
        <v>#N/A</v>
      </c>
      <c r="H444" s="148" t="str" cm="1">
        <f t="array" ref="H444">IF(Table117821341[[#This Row],[Pos.]]="QB1",_xlfn.XLOOKUP(Table117821341[[#This Row],[Opp]],Table123[DEF],'2425'!$J$3:$J$34),"#N/A")</f>
        <v>#N/A</v>
      </c>
      <c r="I444" s="148" t="str" cm="1">
        <f t="array" ref="I444">IF(Table117821341[[#This Row],[Pos.]]="QB1",_xlfn.XLOOKUP(Table117821341[[#This Row],[Opp]],Table123[DEF],'2425'!$K$3:$K$34),"#N/A")</f>
        <v>#N/A</v>
      </c>
      <c r="J444" s="148" t="e" cm="1">
        <f t="array" ref="J44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4" s="148" t="e" cm="1">
        <f t="array" ref="K44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4" s="148" t="e" cm="1">
        <f t="array" ref="L44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4" s="148" t="e" cm="1">
        <f t="array" ref="M44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4" s="148" t="e" cm="1">
        <f t="array" ref="N44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4" s="149" t="str">
        <f>IF(Table117821341[[#This Row],[Pos.]]="QB1",_xlfn.XLOOKUP(Table117821341[[#This Row],[Opp]],Table123[DEF],Table123[P]),"#N/A")</f>
        <v>#N/A</v>
      </c>
      <c r="P444" s="149" t="str">
        <f>IF(Table117821341[[#This Row],[Pos.]]="QB1",_xlfn.XLOOKUP(Table117821341[[#This Row],[Opp]],Table123[DEF],Table123[P+R]),"#N/A")</f>
        <v>#N/A</v>
      </c>
      <c r="Q444" s="150" t="str">
        <f>IF(Table117821341[[#This Row],[Pos.]]="QB1",_xlfn.XLOOKUP(Table117821341[[#This Row],[Opp]],Table123[DEF],Table123[P TD]),"#N/A")</f>
        <v>#N/A</v>
      </c>
      <c r="R444" s="149" t="e" cm="1">
        <f t="array" ref="R44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4" s="150" t="e" cm="1">
        <f t="array" ref="S44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4" s="150" t="e" cm="1">
        <f t="array" ref="T44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4" s="150" t="e" cm="1">
        <f t="array" ref="U44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4" s="150" t="e" cm="1">
        <f t="array" ref="V44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4" s="148" t="e" cm="1">
        <f t="array" ref="W444">_xlfn.IFS(Table117821341[[#This Row],[Pos.]]="QB1",AVERAGE(G444,H444,I444,J444,N444),Table117821341[[#This Row],[Pos.]]="RB1",AVERAGE(J444,K444,N444),Table117821341[[#This Row],[Pos.]]="RB2",AVERAGE(J444,K444,N444),Table117821341[[#This Row],[Pos.]]="WR1",AVERAGE(L444,M444,N444),Table117821341[[#This Row],[Pos.]]="WR2",AVERAGE(L444,M444,N444),Table117821341[[#This Row],[Pos.]]="WR3",AVERAGE(L444,M444,N444),Table117821341[[#This Row],[Pos.]]="WR4",AVERAGE(L444,M444,N444),Table117821341[[#This Row],[Pos.]]="TE1",AVERAGE(L444,M444,N444),Table117821341[[#This Row],[Pos.]]="TE2",AVERAGE(L444,M444,N444),Table117821341[[#This Row],[Pos.]]="D/ST",AVERAGE(Table117821341[[#This Row],[*TD*]]))</f>
        <v>#N/A</v>
      </c>
      <c r="X444" s="94" t="e">
        <f t="shared" si="7"/>
        <v>#N/A</v>
      </c>
    </row>
    <row r="445" spans="2:24" hidden="1" x14ac:dyDescent="0.35">
      <c r="B445" s="6" t="s">
        <v>452</v>
      </c>
      <c r="C445" s="97" t="s">
        <v>50</v>
      </c>
      <c r="D445" s="97" t="s">
        <v>425</v>
      </c>
      <c r="E445" s="23" t="str" cm="1">
        <f t="array" ref="E445">_xlfn.XLOOKUP(Table117821341[[#This Row],[Team]],Table4334[Team],'2425'!$C$3:$C$34)</f>
        <v>n/a</v>
      </c>
      <c r="F445" s="97" t="str">
        <f>_xlfn.XLOOKUP(Table117821341[[#This Row],[Team]],Table4334[Team],Table4334[OPP])</f>
        <v>n/a</v>
      </c>
      <c r="G445" s="148" t="str" cm="1">
        <f t="array" ref="G445">IF(Table117821341[[#This Row],[Pos.]]="QB1",_xlfn.XLOOKUP(Table117821341[[#This Row],[Opp]],Table123[DEF],'2425'!$G$3:$G$34),"#N/A")</f>
        <v>#N/A</v>
      </c>
      <c r="H445" s="148" t="str" cm="1">
        <f t="array" ref="H445">IF(Table117821341[[#This Row],[Pos.]]="QB1",_xlfn.XLOOKUP(Table117821341[[#This Row],[Opp]],Table123[DEF],'2425'!$J$3:$J$34),"#N/A")</f>
        <v>#N/A</v>
      </c>
      <c r="I445" s="148" t="str" cm="1">
        <f t="array" ref="I445">IF(Table117821341[[#This Row],[Pos.]]="QB1",_xlfn.XLOOKUP(Table117821341[[#This Row],[Opp]],Table123[DEF],'2425'!$K$3:$K$34),"#N/A")</f>
        <v>#N/A</v>
      </c>
      <c r="J445" s="148" t="e" cm="1">
        <f t="array" ref="J44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5" s="148" t="e" cm="1">
        <f t="array" ref="K44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5" s="148" t="e" cm="1">
        <f t="array" ref="L44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5" s="148" t="e" cm="1">
        <f t="array" ref="M44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5" s="148" t="e" cm="1">
        <f t="array" ref="N44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5" s="149" t="str">
        <f>IF(Table117821341[[#This Row],[Pos.]]="QB1",_xlfn.XLOOKUP(Table117821341[[#This Row],[Opp]],Table123[DEF],Table123[P]),"#N/A")</f>
        <v>#N/A</v>
      </c>
      <c r="P445" s="149" t="str">
        <f>IF(Table117821341[[#This Row],[Pos.]]="QB1",_xlfn.XLOOKUP(Table117821341[[#This Row],[Opp]],Table123[DEF],Table123[P+R]),"#N/A")</f>
        <v>#N/A</v>
      </c>
      <c r="Q445" s="150" t="str">
        <f>IF(Table117821341[[#This Row],[Pos.]]="QB1",_xlfn.XLOOKUP(Table117821341[[#This Row],[Opp]],Table123[DEF],Table123[P TD]),"#N/A")</f>
        <v>#N/A</v>
      </c>
      <c r="R445" s="149" t="e" cm="1">
        <f t="array" ref="R44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5" s="150" t="e" cm="1">
        <f t="array" ref="S44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5" s="150" t="e" cm="1">
        <f t="array" ref="T44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5" s="150" t="e" cm="1">
        <f t="array" ref="U44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5" s="150" t="e" cm="1">
        <f t="array" ref="V44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5" s="148" t="e" cm="1">
        <f t="array" ref="W445">_xlfn.IFS(Table117821341[[#This Row],[Pos.]]="QB1",AVERAGE(G445,H445,I445,J445,N445),Table117821341[[#This Row],[Pos.]]="RB1",AVERAGE(J445,K445,N445),Table117821341[[#This Row],[Pos.]]="RB2",AVERAGE(J445,K445,N445),Table117821341[[#This Row],[Pos.]]="WR1",AVERAGE(L445,M445,N445),Table117821341[[#This Row],[Pos.]]="WR2",AVERAGE(L445,M445,N445),Table117821341[[#This Row],[Pos.]]="WR3",AVERAGE(L445,M445,N445),Table117821341[[#This Row],[Pos.]]="WR4",AVERAGE(L445,M445,N445),Table117821341[[#This Row],[Pos.]]="TE1",AVERAGE(L445,M445,N445),Table117821341[[#This Row],[Pos.]]="TE2",AVERAGE(L445,M445,N445),Table117821341[[#This Row],[Pos.]]="D/ST",AVERAGE(Table117821341[[#This Row],[*TD*]]))</f>
        <v>#N/A</v>
      </c>
      <c r="X445" s="94" t="e">
        <f t="shared" si="7"/>
        <v>#N/A</v>
      </c>
    </row>
    <row r="446" spans="2:24" hidden="1" x14ac:dyDescent="0.35">
      <c r="B446" s="6" t="s">
        <v>145</v>
      </c>
      <c r="C446" s="97" t="s">
        <v>29</v>
      </c>
      <c r="D446" s="97" t="s">
        <v>67</v>
      </c>
      <c r="E446" s="23" t="str" cm="1">
        <f t="array" ref="E446">_xlfn.XLOOKUP(Table117821341[[#This Row],[Team]],Table4334[Team],'2425'!$C$3:$C$34)</f>
        <v>n/a</v>
      </c>
      <c r="F446" s="97" t="str">
        <f>_xlfn.XLOOKUP(Table117821341[[#This Row],[Team]],Table4334[Team],Table4334[OPP])</f>
        <v>n/a</v>
      </c>
      <c r="G446" s="148" t="str" cm="1">
        <f t="array" ref="G446">IF(Table117821341[[#This Row],[Pos.]]="QB1",_xlfn.XLOOKUP(Table117821341[[#This Row],[Opp]],Table123[DEF],'2425'!$G$3:$G$34),"#N/A")</f>
        <v>#N/A</v>
      </c>
      <c r="H446" s="148" t="str" cm="1">
        <f t="array" ref="H446">IF(Table117821341[[#This Row],[Pos.]]="QB1",_xlfn.XLOOKUP(Table117821341[[#This Row],[Opp]],Table123[DEF],'2425'!$J$3:$J$34),"#N/A")</f>
        <v>#N/A</v>
      </c>
      <c r="I446" s="148" t="str" cm="1">
        <f t="array" ref="I446">IF(Table117821341[[#This Row],[Pos.]]="QB1",_xlfn.XLOOKUP(Table117821341[[#This Row],[Opp]],Table123[DEF],'2425'!$K$3:$K$34),"#N/A")</f>
        <v>#N/A</v>
      </c>
      <c r="J446" s="148" t="e" cm="1">
        <f t="array" ref="J44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6" s="148" t="e" cm="1">
        <f t="array" ref="K44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6" s="148" t="e" cm="1">
        <f t="array" ref="L44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6" s="148" t="e" cm="1">
        <f t="array" ref="M44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6" s="148" t="e" cm="1">
        <f t="array" ref="N44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6" s="149" t="str">
        <f>IF(Table117821341[[#This Row],[Pos.]]="QB1",_xlfn.XLOOKUP(Table117821341[[#This Row],[Opp]],Table123[DEF],Table123[P]),"#N/A")</f>
        <v>#N/A</v>
      </c>
      <c r="P446" s="149" t="str">
        <f>IF(Table117821341[[#This Row],[Pos.]]="QB1",_xlfn.XLOOKUP(Table117821341[[#This Row],[Opp]],Table123[DEF],Table123[P+R]),"#N/A")</f>
        <v>#N/A</v>
      </c>
      <c r="Q446" s="150" t="str">
        <f>IF(Table117821341[[#This Row],[Pos.]]="QB1",_xlfn.XLOOKUP(Table117821341[[#This Row],[Opp]],Table123[DEF],Table123[P TD]),"#N/A")</f>
        <v>#N/A</v>
      </c>
      <c r="R446" s="149" t="e" cm="1">
        <f t="array" ref="R44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6" s="150" t="e" cm="1">
        <f t="array" ref="S44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6" s="150" t="e" cm="1">
        <f t="array" ref="T44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6" s="150" t="e" cm="1">
        <f t="array" ref="U44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6" s="162" t="e" cm="1">
        <f t="array" ref="V44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6" s="148" t="e" cm="1">
        <f t="array" ref="W446">_xlfn.IFS(Table117821341[[#This Row],[Pos.]]="QB1",AVERAGE(G446,H446,I446,J446,N446),Table117821341[[#This Row],[Pos.]]="RB1",AVERAGE(J446,K446,N446),Table117821341[[#This Row],[Pos.]]="RB2",AVERAGE(J446,K446,N446),Table117821341[[#This Row],[Pos.]]="WR1",AVERAGE(L446,M446,N446),Table117821341[[#This Row],[Pos.]]="WR2",AVERAGE(L446,M446,N446),Table117821341[[#This Row],[Pos.]]="WR3",AVERAGE(L446,M446,N446),Table117821341[[#This Row],[Pos.]]="WR4",AVERAGE(L446,M446,N446),Table117821341[[#This Row],[Pos.]]="TE1",AVERAGE(L446,M446,N446),Table117821341[[#This Row],[Pos.]]="TE2",AVERAGE(L446,M446,N446),Table117821341[[#This Row],[Pos.]]="D/ST",AVERAGE(Table117821341[[#This Row],[*TD*]]))</f>
        <v>#N/A</v>
      </c>
      <c r="X446" s="94" t="e">
        <f t="shared" si="7"/>
        <v>#N/A</v>
      </c>
    </row>
    <row r="447" spans="2:24" hidden="1" x14ac:dyDescent="0.35">
      <c r="B447" s="6" t="s">
        <v>238</v>
      </c>
      <c r="C447" s="97" t="s">
        <v>50</v>
      </c>
      <c r="D447" s="97" t="s">
        <v>394</v>
      </c>
      <c r="E447" s="23" t="str" cm="1">
        <f t="array" ref="E447">_xlfn.XLOOKUP(Table117821341[[#This Row],[Team]],Table4334[Team],'2425'!$C$3:$C$34)</f>
        <v>n/a</v>
      </c>
      <c r="F447" s="97" t="str">
        <f>_xlfn.XLOOKUP(Table117821341[[#This Row],[Team]],Table4334[Team],Table4334[OPP])</f>
        <v>n/a</v>
      </c>
      <c r="G447" s="148" t="str" cm="1">
        <f t="array" ref="G447">IF(Table117821341[[#This Row],[Pos.]]="QB1",_xlfn.XLOOKUP(Table117821341[[#This Row],[Opp]],Table123[DEF],'2425'!$G$3:$G$34),"#N/A")</f>
        <v>#N/A</v>
      </c>
      <c r="H447" s="148" t="str" cm="1">
        <f t="array" ref="H447">IF(Table117821341[[#This Row],[Pos.]]="QB1",_xlfn.XLOOKUP(Table117821341[[#This Row],[Opp]],Table123[DEF],'2425'!$J$3:$J$34),"#N/A")</f>
        <v>#N/A</v>
      </c>
      <c r="I447" s="148" t="str" cm="1">
        <f t="array" ref="I447">IF(Table117821341[[#This Row],[Pos.]]="QB1",_xlfn.XLOOKUP(Table117821341[[#This Row],[Opp]],Table123[DEF],'2425'!$K$3:$K$34),"#N/A")</f>
        <v>#N/A</v>
      </c>
      <c r="J447" s="148" t="e" cm="1">
        <f t="array" ref="J44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7" s="148" t="e" cm="1">
        <f t="array" ref="K44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7" s="148" t="e" cm="1">
        <f t="array" ref="L44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7" s="148" t="e" cm="1">
        <f t="array" ref="M44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7" s="148" t="e" cm="1">
        <f t="array" ref="N44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7" s="149" t="str">
        <f>IF(Table117821341[[#This Row],[Pos.]]="QB1",_xlfn.XLOOKUP(Table117821341[[#This Row],[Opp]],Table123[DEF],Table123[P]),"#N/A")</f>
        <v>#N/A</v>
      </c>
      <c r="P447" s="149" t="str">
        <f>IF(Table117821341[[#This Row],[Pos.]]="QB1",_xlfn.XLOOKUP(Table117821341[[#This Row],[Opp]],Table123[DEF],Table123[P+R]),"#N/A")</f>
        <v>#N/A</v>
      </c>
      <c r="Q447" s="150" t="str">
        <f>IF(Table117821341[[#This Row],[Pos.]]="QB1",_xlfn.XLOOKUP(Table117821341[[#This Row],[Opp]],Table123[DEF],Table123[P TD]),"#N/A")</f>
        <v>#N/A</v>
      </c>
      <c r="R447" s="149" t="e" cm="1">
        <f t="array" ref="R44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7" s="150" t="e" cm="1">
        <f t="array" ref="S44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7" s="150" t="e" cm="1">
        <f t="array" ref="T44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7" s="150" t="e" cm="1">
        <f t="array" ref="U44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7" s="150" t="e" cm="1">
        <f t="array" ref="V44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7" s="148" t="e" cm="1">
        <f t="array" ref="W447">_xlfn.IFS(Table117821341[[#This Row],[Pos.]]="QB1",AVERAGE(G447,H447,I447,J447,N447),Table117821341[[#This Row],[Pos.]]="RB1",AVERAGE(J447,K447,N447),Table117821341[[#This Row],[Pos.]]="RB2",AVERAGE(J447,K447,N447),Table117821341[[#This Row],[Pos.]]="WR1",AVERAGE(L447,M447,N447),Table117821341[[#This Row],[Pos.]]="WR2",AVERAGE(L447,M447,N447),Table117821341[[#This Row],[Pos.]]="WR3",AVERAGE(L447,M447,N447),Table117821341[[#This Row],[Pos.]]="WR4",AVERAGE(L447,M447,N447),Table117821341[[#This Row],[Pos.]]="TE1",AVERAGE(L447,M447,N447),Table117821341[[#This Row],[Pos.]]="TE2",AVERAGE(L447,M447,N447),Table117821341[[#This Row],[Pos.]]="D/ST",AVERAGE(Table117821341[[#This Row],[*TD*]]))</f>
        <v>#N/A</v>
      </c>
      <c r="X447" s="94" t="e">
        <f t="shared" si="7"/>
        <v>#N/A</v>
      </c>
    </row>
    <row r="448" spans="2:24" hidden="1" x14ac:dyDescent="0.35">
      <c r="B448" s="6" t="s">
        <v>453</v>
      </c>
      <c r="C448" s="97" t="s">
        <v>50</v>
      </c>
      <c r="D448" s="97" t="s">
        <v>396</v>
      </c>
      <c r="E448" s="23" t="str" cm="1">
        <f t="array" ref="E448">_xlfn.XLOOKUP(Table117821341[[#This Row],[Team]],Table4334[Team],'2425'!$C$3:$C$34)</f>
        <v>n/a</v>
      </c>
      <c r="F448" s="97" t="str">
        <f>_xlfn.XLOOKUP(Table117821341[[#This Row],[Team]],Table4334[Team],Table4334[OPP])</f>
        <v>n/a</v>
      </c>
      <c r="G448" s="148" t="str" cm="1">
        <f t="array" ref="G448">IF(Table117821341[[#This Row],[Pos.]]="QB1",_xlfn.XLOOKUP(Table117821341[[#This Row],[Opp]],Table123[DEF],'2425'!$G$3:$G$34),"#N/A")</f>
        <v>#N/A</v>
      </c>
      <c r="H448" s="148" t="str" cm="1">
        <f t="array" ref="H448">IF(Table117821341[[#This Row],[Pos.]]="QB1",_xlfn.XLOOKUP(Table117821341[[#This Row],[Opp]],Table123[DEF],'2425'!$J$3:$J$34),"#N/A")</f>
        <v>#N/A</v>
      </c>
      <c r="I448" s="148" t="str" cm="1">
        <f t="array" ref="I448">IF(Table117821341[[#This Row],[Pos.]]="QB1",_xlfn.XLOOKUP(Table117821341[[#This Row],[Opp]],Table123[DEF],'2425'!$K$3:$K$34),"#N/A")</f>
        <v>#N/A</v>
      </c>
      <c r="J448" s="148" t="e" cm="1">
        <f t="array" ref="J44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8" s="148" t="e" cm="1">
        <f t="array" ref="K44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8" s="148" t="e" cm="1">
        <f t="array" ref="L44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8" s="148" t="e" cm="1">
        <f t="array" ref="M44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8" s="148" t="e" cm="1">
        <f t="array" ref="N44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8" s="149" t="str">
        <f>IF(Table117821341[[#This Row],[Pos.]]="QB1",_xlfn.XLOOKUP(Table117821341[[#This Row],[Opp]],Table123[DEF],Table123[P]),"#N/A")</f>
        <v>#N/A</v>
      </c>
      <c r="P448" s="149" t="str">
        <f>IF(Table117821341[[#This Row],[Pos.]]="QB1",_xlfn.XLOOKUP(Table117821341[[#This Row],[Opp]],Table123[DEF],Table123[P+R]),"#N/A")</f>
        <v>#N/A</v>
      </c>
      <c r="Q448" s="150" t="str">
        <f>IF(Table117821341[[#This Row],[Pos.]]="QB1",_xlfn.XLOOKUP(Table117821341[[#This Row],[Opp]],Table123[DEF],Table123[P TD]),"#N/A")</f>
        <v>#N/A</v>
      </c>
      <c r="R448" s="149" t="e" cm="1">
        <f t="array" ref="R44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8" s="150" t="e" cm="1">
        <f t="array" ref="S44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8" s="150" t="e" cm="1">
        <f t="array" ref="T44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8" s="150" t="e" cm="1">
        <f t="array" ref="U44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8" s="150" t="e" cm="1">
        <f t="array" ref="V44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8" s="148" t="e" cm="1">
        <f t="array" ref="W448">_xlfn.IFS(Table117821341[[#This Row],[Pos.]]="QB1",AVERAGE(G448,H448,I448,J448,N448),Table117821341[[#This Row],[Pos.]]="RB1",AVERAGE(J448,K448,N448),Table117821341[[#This Row],[Pos.]]="RB2",AVERAGE(J448,K448,N448),Table117821341[[#This Row],[Pos.]]="WR1",AVERAGE(L448,M448,N448),Table117821341[[#This Row],[Pos.]]="WR2",AVERAGE(L448,M448,N448),Table117821341[[#This Row],[Pos.]]="WR3",AVERAGE(L448,M448,N448),Table117821341[[#This Row],[Pos.]]="WR4",AVERAGE(L448,M448,N448),Table117821341[[#This Row],[Pos.]]="TE1",AVERAGE(L448,M448,N448),Table117821341[[#This Row],[Pos.]]="TE2",AVERAGE(L448,M448,N448),Table117821341[[#This Row],[Pos.]]="D/ST",AVERAGE(Table117821341[[#This Row],[*TD*]]))</f>
        <v>#N/A</v>
      </c>
      <c r="X448" s="94" t="e">
        <f t="shared" si="7"/>
        <v>#N/A</v>
      </c>
    </row>
    <row r="449" spans="2:24" hidden="1" x14ac:dyDescent="0.35">
      <c r="B449" s="6" t="s">
        <v>338</v>
      </c>
      <c r="C449" s="97" t="s">
        <v>50</v>
      </c>
      <c r="D449" s="97" t="s">
        <v>407</v>
      </c>
      <c r="E449" s="23" t="str" cm="1">
        <f t="array" ref="E449">_xlfn.XLOOKUP(Table117821341[[#This Row],[Team]],Table4334[Team],'2425'!$C$3:$C$34)</f>
        <v>n/a</v>
      </c>
      <c r="F449" s="97" t="str">
        <f>_xlfn.XLOOKUP(Table117821341[[#This Row],[Team]],Table4334[Team],Table4334[OPP])</f>
        <v>n/a</v>
      </c>
      <c r="G449" s="148" t="str" cm="1">
        <f t="array" ref="G449">IF(Table117821341[[#This Row],[Pos.]]="QB1",_xlfn.XLOOKUP(Table117821341[[#This Row],[Opp]],Table123[DEF],'2425'!$G$3:$G$34),"#N/A")</f>
        <v>#N/A</v>
      </c>
      <c r="H449" s="148" t="str" cm="1">
        <f t="array" ref="H449">IF(Table117821341[[#This Row],[Pos.]]="QB1",_xlfn.XLOOKUP(Table117821341[[#This Row],[Opp]],Table123[DEF],'2425'!$J$3:$J$34),"#N/A")</f>
        <v>#N/A</v>
      </c>
      <c r="I449" s="148" t="str" cm="1">
        <f t="array" ref="I449">IF(Table117821341[[#This Row],[Pos.]]="QB1",_xlfn.XLOOKUP(Table117821341[[#This Row],[Opp]],Table123[DEF],'2425'!$K$3:$K$34),"#N/A")</f>
        <v>#N/A</v>
      </c>
      <c r="J449" s="148" t="e" cm="1">
        <f t="array" ref="J44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49" s="148" t="e" cm="1">
        <f t="array" ref="K44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49" s="148" t="e" cm="1">
        <f t="array" ref="L44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49" s="148" t="e" cm="1">
        <f t="array" ref="M44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49" s="148" t="e" cm="1">
        <f t="array" ref="N44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49" s="149" t="str">
        <f>IF(Table117821341[[#This Row],[Pos.]]="QB1",_xlfn.XLOOKUP(Table117821341[[#This Row],[Opp]],Table123[DEF],Table123[P]),"#N/A")</f>
        <v>#N/A</v>
      </c>
      <c r="P449" s="149" t="str">
        <f>IF(Table117821341[[#This Row],[Pos.]]="QB1",_xlfn.XLOOKUP(Table117821341[[#This Row],[Opp]],Table123[DEF],Table123[P+R]),"#N/A")</f>
        <v>#N/A</v>
      </c>
      <c r="Q449" s="150" t="str">
        <f>IF(Table117821341[[#This Row],[Pos.]]="QB1",_xlfn.XLOOKUP(Table117821341[[#This Row],[Opp]],Table123[DEF],Table123[P TD]),"#N/A")</f>
        <v>#N/A</v>
      </c>
      <c r="R449" s="149" t="e" cm="1">
        <f t="array" ref="R44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49" s="150" t="e" cm="1">
        <f t="array" ref="S44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49" s="150" t="e" cm="1">
        <f t="array" ref="T44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49" s="150" t="e" cm="1">
        <f t="array" ref="U44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49" s="150" t="e" cm="1">
        <f t="array" ref="V44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49" s="148" t="e" cm="1">
        <f t="array" ref="W449">_xlfn.IFS(Table117821341[[#This Row],[Pos.]]="QB1",AVERAGE(G449,H449,I449,J449,N449),Table117821341[[#This Row],[Pos.]]="RB1",AVERAGE(J449,K449,N449),Table117821341[[#This Row],[Pos.]]="RB2",AVERAGE(J449,K449,N449),Table117821341[[#This Row],[Pos.]]="WR1",AVERAGE(L449,M449,N449),Table117821341[[#This Row],[Pos.]]="WR2",AVERAGE(L449,M449,N449),Table117821341[[#This Row],[Pos.]]="WR3",AVERAGE(L449,M449,N449),Table117821341[[#This Row],[Pos.]]="WR4",AVERAGE(L449,M449,N449),Table117821341[[#This Row],[Pos.]]="TE1",AVERAGE(L449,M449,N449),Table117821341[[#This Row],[Pos.]]="TE2",AVERAGE(L449,M449,N449),Table117821341[[#This Row],[Pos.]]="D/ST",AVERAGE(Table117821341[[#This Row],[*TD*]]))</f>
        <v>#N/A</v>
      </c>
      <c r="X449" s="94" t="e">
        <f t="shared" si="7"/>
        <v>#N/A</v>
      </c>
    </row>
    <row r="450" spans="2:24" x14ac:dyDescent="0.35">
      <c r="B450" s="6" t="s">
        <v>691</v>
      </c>
      <c r="C450" s="97" t="s">
        <v>53</v>
      </c>
      <c r="D450" s="97" t="s">
        <v>68</v>
      </c>
      <c r="E450" s="23" t="str" cm="1">
        <f t="array" ref="E450">_xlfn.XLOOKUP(Table117821341[[#This Row],[Team]],Table4334[Team],'2425'!$C$3:$C$34)</f>
        <v>n/a</v>
      </c>
      <c r="F450" s="97" t="str">
        <f>_xlfn.XLOOKUP(Table117821341[[#This Row],[Team]],Table4334[Team],Table4334[OPP])</f>
        <v>n/a</v>
      </c>
      <c r="G450" s="148" t="str" cm="1">
        <f t="array" ref="G450">IF(Table117821341[[#This Row],[Pos.]]="QB1",_xlfn.XLOOKUP(Table117821341[[#This Row],[Opp]],Table123[DEF],'2425'!$G$3:$G$34),"#N/A")</f>
        <v>#N/A</v>
      </c>
      <c r="H450" s="148" t="str" cm="1">
        <f t="array" ref="H450">IF(Table117821341[[#This Row],[Pos.]]="QB1",_xlfn.XLOOKUP(Table117821341[[#This Row],[Opp]],Table123[DEF],'2425'!$J$3:$J$34),"#N/A")</f>
        <v>#N/A</v>
      </c>
      <c r="I450" s="148" t="str" cm="1">
        <f t="array" ref="I450">IF(Table117821341[[#This Row],[Pos.]]="QB1",_xlfn.XLOOKUP(Table117821341[[#This Row],[Opp]],Table123[DEF],'2425'!$K$3:$K$34),"#N/A")</f>
        <v>#N/A</v>
      </c>
      <c r="J450" s="148" t="e" cm="1">
        <f t="array" ref="J45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0" s="148" t="e" cm="1">
        <f t="array" ref="K45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0" s="148" t="e" cm="1">
        <f t="array" ref="L45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0" s="148" t="e" cm="1">
        <f t="array" ref="M45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0" s="148" t="e" cm="1">
        <f t="array" ref="N45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0" s="149" t="str">
        <f>IF(Table117821341[[#This Row],[Pos.]]="QB1",_xlfn.XLOOKUP(Table117821341[[#This Row],[Opp]],Table123[DEF],Table123[P]),"#N/A")</f>
        <v>#N/A</v>
      </c>
      <c r="P450" s="149" t="str">
        <f>IF(Table117821341[[#This Row],[Pos.]]="QB1",_xlfn.XLOOKUP(Table117821341[[#This Row],[Opp]],Table123[DEF],Table123[P+R]),"#N/A")</f>
        <v>#N/A</v>
      </c>
      <c r="Q450" s="150" t="str">
        <f>IF(Table117821341[[#This Row],[Pos.]]="QB1",_xlfn.XLOOKUP(Table117821341[[#This Row],[Opp]],Table123[DEF],Table123[P TD]),"#N/A")</f>
        <v>#N/A</v>
      </c>
      <c r="R450" s="149" t="e" cm="1">
        <f t="array" ref="R45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0" s="150" t="e" cm="1">
        <f t="array" ref="S45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0" s="150" t="e" cm="1">
        <f t="array" ref="T45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0" s="150" t="e" cm="1">
        <f t="array" ref="U45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0" s="162" t="e" cm="1">
        <f t="array" ref="V45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0" s="148" t="e" cm="1">
        <f t="array" ref="W450">_xlfn.IFS(Table117821341[[#This Row],[Pos.]]="QB1",AVERAGE(G450,H450,I450,J450,N450),Table117821341[[#This Row],[Pos.]]="RB1",AVERAGE(J450,K450,N450),Table117821341[[#This Row],[Pos.]]="RB2",AVERAGE(J450,K450,N450),Table117821341[[#This Row],[Pos.]]="WR1",AVERAGE(L450,M450,N450),Table117821341[[#This Row],[Pos.]]="WR2",AVERAGE(L450,M450,N450),Table117821341[[#This Row],[Pos.]]="WR3",AVERAGE(L450,M450,N450),Table117821341[[#This Row],[Pos.]]="WR4",AVERAGE(L450,M450,N450),Table117821341[[#This Row],[Pos.]]="TE1",AVERAGE(L450,M450,N450),Table117821341[[#This Row],[Pos.]]="TE2",AVERAGE(L450,M450,N450),Table117821341[[#This Row],[Pos.]]="D/ST",AVERAGE(Table117821341[[#This Row],[*TD*]]))</f>
        <v>#N/A</v>
      </c>
      <c r="X450" s="94" t="e">
        <f t="shared" si="7"/>
        <v>#N/A</v>
      </c>
    </row>
    <row r="451" spans="2:24" hidden="1" x14ac:dyDescent="0.35">
      <c r="B451" s="6" t="s">
        <v>458</v>
      </c>
      <c r="C451" s="97" t="s">
        <v>50</v>
      </c>
      <c r="D451" s="97" t="s">
        <v>398</v>
      </c>
      <c r="E451" s="23" t="str" cm="1">
        <f t="array" ref="E451">_xlfn.XLOOKUP(Table117821341[[#This Row],[Team]],Table4334[Team],'2425'!$C$3:$C$34)</f>
        <v>n/a</v>
      </c>
      <c r="F451" s="97" t="str">
        <f>_xlfn.XLOOKUP(Table117821341[[#This Row],[Team]],Table4334[Team],Table4334[OPP])</f>
        <v>n/a</v>
      </c>
      <c r="G451" s="148" t="str" cm="1">
        <f t="array" ref="G451">IF(Table117821341[[#This Row],[Pos.]]="QB1",_xlfn.XLOOKUP(Table117821341[[#This Row],[Opp]],Table123[DEF],'2425'!$G$3:$G$34),"#N/A")</f>
        <v>#N/A</v>
      </c>
      <c r="H451" s="148" t="str" cm="1">
        <f t="array" ref="H451">IF(Table117821341[[#This Row],[Pos.]]="QB1",_xlfn.XLOOKUP(Table117821341[[#This Row],[Opp]],Table123[DEF],'2425'!$J$3:$J$34),"#N/A")</f>
        <v>#N/A</v>
      </c>
      <c r="I451" s="148" t="str" cm="1">
        <f t="array" ref="I451">IF(Table117821341[[#This Row],[Pos.]]="QB1",_xlfn.XLOOKUP(Table117821341[[#This Row],[Opp]],Table123[DEF],'2425'!$K$3:$K$34),"#N/A")</f>
        <v>#N/A</v>
      </c>
      <c r="J451" s="148" t="e" cm="1">
        <f t="array" ref="J45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1" s="148" t="e" cm="1">
        <f t="array" ref="K45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1" s="148" t="e" cm="1">
        <f t="array" ref="L45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1" s="148" t="e" cm="1">
        <f t="array" ref="M45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1" s="148" t="e" cm="1">
        <f t="array" ref="N45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1" s="149" t="str">
        <f>IF(Table117821341[[#This Row],[Pos.]]="QB1",_xlfn.XLOOKUP(Table117821341[[#This Row],[Opp]],Table123[DEF],Table123[P]),"#N/A")</f>
        <v>#N/A</v>
      </c>
      <c r="P451" s="149" t="str">
        <f>IF(Table117821341[[#This Row],[Pos.]]="QB1",_xlfn.XLOOKUP(Table117821341[[#This Row],[Opp]],Table123[DEF],Table123[P+R]),"#N/A")</f>
        <v>#N/A</v>
      </c>
      <c r="Q451" s="150" t="str">
        <f>IF(Table117821341[[#This Row],[Pos.]]="QB1",_xlfn.XLOOKUP(Table117821341[[#This Row],[Opp]],Table123[DEF],Table123[P TD]),"#N/A")</f>
        <v>#N/A</v>
      </c>
      <c r="R451" s="149" t="e" cm="1">
        <f t="array" ref="R45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1" s="150" t="e" cm="1">
        <f t="array" ref="S45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1" s="150" t="e" cm="1">
        <f t="array" ref="T45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1" s="150" t="e" cm="1">
        <f t="array" ref="U45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1" s="150" t="e" cm="1">
        <f t="array" ref="V45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1" s="148" t="e" cm="1">
        <f t="array" ref="W451">_xlfn.IFS(Table117821341[[#This Row],[Pos.]]="QB1",AVERAGE(G451,H451,I451,J451,N451),Table117821341[[#This Row],[Pos.]]="RB1",AVERAGE(J451,K451,N451),Table117821341[[#This Row],[Pos.]]="RB2",AVERAGE(J451,K451,N451),Table117821341[[#This Row],[Pos.]]="WR1",AVERAGE(L451,M451,N451),Table117821341[[#This Row],[Pos.]]="WR2",AVERAGE(L451,M451,N451),Table117821341[[#This Row],[Pos.]]="WR3",AVERAGE(L451,M451,N451),Table117821341[[#This Row],[Pos.]]="WR4",AVERAGE(L451,M451,N451),Table117821341[[#This Row],[Pos.]]="TE1",AVERAGE(L451,M451,N451),Table117821341[[#This Row],[Pos.]]="TE2",AVERAGE(L451,M451,N451),Table117821341[[#This Row],[Pos.]]="D/ST",AVERAGE(Table117821341[[#This Row],[*TD*]]))</f>
        <v>#N/A</v>
      </c>
      <c r="X451" s="94" t="e">
        <f t="shared" si="7"/>
        <v>#N/A</v>
      </c>
    </row>
    <row r="452" spans="2:24" hidden="1" x14ac:dyDescent="0.35">
      <c r="B452" s="6" t="s">
        <v>459</v>
      </c>
      <c r="C452" s="97" t="s">
        <v>50</v>
      </c>
      <c r="D452" s="97" t="s">
        <v>430</v>
      </c>
      <c r="E452" s="23" t="str" cm="1">
        <f t="array" ref="E452">_xlfn.XLOOKUP(Table117821341[[#This Row],[Team]],Table4334[Team],'2425'!$C$3:$C$34)</f>
        <v>n/a</v>
      </c>
      <c r="F452" s="97" t="str">
        <f>_xlfn.XLOOKUP(Table117821341[[#This Row],[Team]],Table4334[Team],Table4334[OPP])</f>
        <v>n/a</v>
      </c>
      <c r="G452" s="148" t="str" cm="1">
        <f t="array" ref="G452">IF(Table117821341[[#This Row],[Pos.]]="QB1",_xlfn.XLOOKUP(Table117821341[[#This Row],[Opp]],Table123[DEF],'2425'!$G$3:$G$34),"#N/A")</f>
        <v>#N/A</v>
      </c>
      <c r="H452" s="148" t="str" cm="1">
        <f t="array" ref="H452">IF(Table117821341[[#This Row],[Pos.]]="QB1",_xlfn.XLOOKUP(Table117821341[[#This Row],[Opp]],Table123[DEF],'2425'!$J$3:$J$34),"#N/A")</f>
        <v>#N/A</v>
      </c>
      <c r="I452" s="148" t="str" cm="1">
        <f t="array" ref="I452">IF(Table117821341[[#This Row],[Pos.]]="QB1",_xlfn.XLOOKUP(Table117821341[[#This Row],[Opp]],Table123[DEF],'2425'!$K$3:$K$34),"#N/A")</f>
        <v>#N/A</v>
      </c>
      <c r="J452" s="148" t="e" cm="1">
        <f t="array" ref="J45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2" s="148" t="e" cm="1">
        <f t="array" ref="K45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2" s="148" t="e" cm="1">
        <f t="array" ref="L45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2" s="148" t="e" cm="1">
        <f t="array" ref="M45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2" s="148" t="e" cm="1">
        <f t="array" ref="N45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2" s="149" t="str">
        <f>IF(Table117821341[[#This Row],[Pos.]]="QB1",_xlfn.XLOOKUP(Table117821341[[#This Row],[Opp]],Table123[DEF],Table123[P]),"#N/A")</f>
        <v>#N/A</v>
      </c>
      <c r="P452" s="149" t="str">
        <f>IF(Table117821341[[#This Row],[Pos.]]="QB1",_xlfn.XLOOKUP(Table117821341[[#This Row],[Opp]],Table123[DEF],Table123[P+R]),"#N/A")</f>
        <v>#N/A</v>
      </c>
      <c r="Q452" s="150" t="str">
        <f>IF(Table117821341[[#This Row],[Pos.]]="QB1",_xlfn.XLOOKUP(Table117821341[[#This Row],[Opp]],Table123[DEF],Table123[P TD]),"#N/A")</f>
        <v>#N/A</v>
      </c>
      <c r="R452" s="149" t="e" cm="1">
        <f t="array" ref="R45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2" s="150" t="e" cm="1">
        <f t="array" ref="S45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2" s="150" t="e" cm="1">
        <f t="array" ref="T45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2" s="150" t="e" cm="1">
        <f t="array" ref="U45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2" s="150" t="e" cm="1">
        <f t="array" ref="V45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2" s="148" t="e" cm="1">
        <f t="array" ref="W452">_xlfn.IFS(Table117821341[[#This Row],[Pos.]]="QB1",AVERAGE(G452,H452,I452,J452,N452),Table117821341[[#This Row],[Pos.]]="RB1",AVERAGE(J452,K452,N452),Table117821341[[#This Row],[Pos.]]="RB2",AVERAGE(J452,K452,N452),Table117821341[[#This Row],[Pos.]]="WR1",AVERAGE(L452,M452,N452),Table117821341[[#This Row],[Pos.]]="WR2",AVERAGE(L452,M452,N452),Table117821341[[#This Row],[Pos.]]="WR3",AVERAGE(L452,M452,N452),Table117821341[[#This Row],[Pos.]]="WR4",AVERAGE(L452,M452,N452),Table117821341[[#This Row],[Pos.]]="TE1",AVERAGE(L452,M452,N452),Table117821341[[#This Row],[Pos.]]="TE2",AVERAGE(L452,M452,N452),Table117821341[[#This Row],[Pos.]]="D/ST",AVERAGE(Table117821341[[#This Row],[*TD*]]))</f>
        <v>#N/A</v>
      </c>
      <c r="X452" s="94" t="e">
        <f t="shared" si="7"/>
        <v>#N/A</v>
      </c>
    </row>
    <row r="453" spans="2:24" x14ac:dyDescent="0.35">
      <c r="B453" s="6" t="s">
        <v>271</v>
      </c>
      <c r="C453" s="97" t="s">
        <v>42</v>
      </c>
      <c r="D453" s="97" t="s">
        <v>67</v>
      </c>
      <c r="E453" s="23" t="str" cm="1">
        <f t="array" ref="E453">_xlfn.XLOOKUP(Table117821341[[#This Row],[Team]],Table4334[Team],'2425'!$C$3:$C$34)</f>
        <v>n/a</v>
      </c>
      <c r="F453" s="97" t="str">
        <f>_xlfn.XLOOKUP(Table117821341[[#This Row],[Team]],Table4334[Team],Table4334[OPP])</f>
        <v>n/a</v>
      </c>
      <c r="G453" s="148" t="str" cm="1">
        <f t="array" ref="G453">IF(Table117821341[[#This Row],[Pos.]]="QB1",_xlfn.XLOOKUP(Table117821341[[#This Row],[Opp]],Table123[DEF],'2425'!$G$3:$G$34),"#N/A")</f>
        <v>#N/A</v>
      </c>
      <c r="H453" s="148" t="str" cm="1">
        <f t="array" ref="H453">IF(Table117821341[[#This Row],[Pos.]]="QB1",_xlfn.XLOOKUP(Table117821341[[#This Row],[Opp]],Table123[DEF],'2425'!$J$3:$J$34),"#N/A")</f>
        <v>#N/A</v>
      </c>
      <c r="I453" s="148" t="str" cm="1">
        <f t="array" ref="I453">IF(Table117821341[[#This Row],[Pos.]]="QB1",_xlfn.XLOOKUP(Table117821341[[#This Row],[Opp]],Table123[DEF],'2425'!$K$3:$K$34),"#N/A")</f>
        <v>#N/A</v>
      </c>
      <c r="J453" s="148" t="e" cm="1">
        <f t="array" ref="J45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3" s="148" t="e" cm="1">
        <f t="array" ref="K45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3" s="148" t="e" cm="1">
        <f t="array" ref="L45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3" s="148" t="e" cm="1">
        <f t="array" ref="M45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3" s="148" t="e" cm="1">
        <f t="array" ref="N45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3" s="149" t="str">
        <f>IF(Table117821341[[#This Row],[Pos.]]="QB1",_xlfn.XLOOKUP(Table117821341[[#This Row],[Opp]],Table123[DEF],Table123[P]),"#N/A")</f>
        <v>#N/A</v>
      </c>
      <c r="P453" s="149" t="str">
        <f>IF(Table117821341[[#This Row],[Pos.]]="QB1",_xlfn.XLOOKUP(Table117821341[[#This Row],[Opp]],Table123[DEF],Table123[P+R]),"#N/A")</f>
        <v>#N/A</v>
      </c>
      <c r="Q453" s="150" t="str">
        <f>IF(Table117821341[[#This Row],[Pos.]]="QB1",_xlfn.XLOOKUP(Table117821341[[#This Row],[Opp]],Table123[DEF],Table123[P TD]),"#N/A")</f>
        <v>#N/A</v>
      </c>
      <c r="R453" s="149" t="e" cm="1">
        <f t="array" ref="R45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3" s="150" t="e" cm="1">
        <f t="array" ref="S45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3" s="150" t="e" cm="1">
        <f t="array" ref="T45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3" s="150" t="e" cm="1">
        <f t="array" ref="U45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3" s="162" t="e" cm="1">
        <f t="array" ref="V45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3" s="148" t="e" cm="1">
        <f t="array" ref="W453">_xlfn.IFS(Table117821341[[#This Row],[Pos.]]="QB1",AVERAGE(G453,H453,I453,J453,N453),Table117821341[[#This Row],[Pos.]]="RB1",AVERAGE(J453,K453,N453),Table117821341[[#This Row],[Pos.]]="RB2",AVERAGE(J453,K453,N453),Table117821341[[#This Row],[Pos.]]="WR1",AVERAGE(L453,M453,N453),Table117821341[[#This Row],[Pos.]]="WR2",AVERAGE(L453,M453,N453),Table117821341[[#This Row],[Pos.]]="WR3",AVERAGE(L453,M453,N453),Table117821341[[#This Row],[Pos.]]="WR4",AVERAGE(L453,M453,N453),Table117821341[[#This Row],[Pos.]]="TE1",AVERAGE(L453,M453,N453),Table117821341[[#This Row],[Pos.]]="TE2",AVERAGE(L453,M453,N453),Table117821341[[#This Row],[Pos.]]="D/ST",AVERAGE(Table117821341[[#This Row],[*TD*]]))</f>
        <v>#N/A</v>
      </c>
      <c r="X453" s="94" t="e">
        <f t="shared" si="7"/>
        <v>#N/A</v>
      </c>
    </row>
    <row r="454" spans="2:24" x14ac:dyDescent="0.35">
      <c r="B454" s="6" t="s">
        <v>365</v>
      </c>
      <c r="C454" s="97" t="s">
        <v>53</v>
      </c>
      <c r="D454" s="97" t="s">
        <v>67</v>
      </c>
      <c r="E454" s="23" t="str" cm="1">
        <f t="array" ref="E454">_xlfn.XLOOKUP(Table117821341[[#This Row],[Team]],Table4334[Team],'2425'!$C$3:$C$34)</f>
        <v>n/a</v>
      </c>
      <c r="F454" s="97" t="str">
        <f>_xlfn.XLOOKUP(Table117821341[[#This Row],[Team]],Table4334[Team],Table4334[OPP])</f>
        <v>n/a</v>
      </c>
      <c r="G454" s="148" t="str" cm="1">
        <f t="array" ref="G454">IF(Table117821341[[#This Row],[Pos.]]="QB1",_xlfn.XLOOKUP(Table117821341[[#This Row],[Opp]],Table123[DEF],'2425'!$G$3:$G$34),"#N/A")</f>
        <v>#N/A</v>
      </c>
      <c r="H454" s="148" t="str" cm="1">
        <f t="array" ref="H454">IF(Table117821341[[#This Row],[Pos.]]="QB1",_xlfn.XLOOKUP(Table117821341[[#This Row],[Opp]],Table123[DEF],'2425'!$J$3:$J$34),"#N/A")</f>
        <v>#N/A</v>
      </c>
      <c r="I454" s="148" t="str" cm="1">
        <f t="array" ref="I454">IF(Table117821341[[#This Row],[Pos.]]="QB1",_xlfn.XLOOKUP(Table117821341[[#This Row],[Opp]],Table123[DEF],'2425'!$K$3:$K$34),"#N/A")</f>
        <v>#N/A</v>
      </c>
      <c r="J454" s="148" t="e" cm="1">
        <f t="array" ref="J45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4" s="148" t="e" cm="1">
        <f t="array" ref="K45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4" s="148" t="e" cm="1">
        <f t="array" ref="L45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4" s="148" t="e" cm="1">
        <f t="array" ref="M45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4" s="148" t="e" cm="1">
        <f t="array" ref="N45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4" s="149" t="str">
        <f>IF(Table117821341[[#This Row],[Pos.]]="QB1",_xlfn.XLOOKUP(Table117821341[[#This Row],[Opp]],Table123[DEF],Table123[P]),"#N/A")</f>
        <v>#N/A</v>
      </c>
      <c r="P454" s="149" t="str">
        <f>IF(Table117821341[[#This Row],[Pos.]]="QB1",_xlfn.XLOOKUP(Table117821341[[#This Row],[Opp]],Table123[DEF],Table123[P+R]),"#N/A")</f>
        <v>#N/A</v>
      </c>
      <c r="Q454" s="150" t="str">
        <f>IF(Table117821341[[#This Row],[Pos.]]="QB1",_xlfn.XLOOKUP(Table117821341[[#This Row],[Opp]],Table123[DEF],Table123[P TD]),"#N/A")</f>
        <v>#N/A</v>
      </c>
      <c r="R454" s="149" t="e" cm="1">
        <f t="array" ref="R45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4" s="150" t="e" cm="1">
        <f t="array" ref="S45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4" s="150" t="e" cm="1">
        <f t="array" ref="T45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4" s="150" t="e" cm="1">
        <f t="array" ref="U45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4" s="162" t="e" cm="1">
        <f t="array" ref="V45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4" s="148" t="e" cm="1">
        <f t="array" ref="W454">_xlfn.IFS(Table117821341[[#This Row],[Pos.]]="QB1",AVERAGE(G454,H454,I454,J454,N454),Table117821341[[#This Row],[Pos.]]="RB1",AVERAGE(J454,K454,N454),Table117821341[[#This Row],[Pos.]]="RB2",AVERAGE(J454,K454,N454),Table117821341[[#This Row],[Pos.]]="WR1",AVERAGE(L454,M454,N454),Table117821341[[#This Row],[Pos.]]="WR2",AVERAGE(L454,M454,N454),Table117821341[[#This Row],[Pos.]]="WR3",AVERAGE(L454,M454,N454),Table117821341[[#This Row],[Pos.]]="WR4",AVERAGE(L454,M454,N454),Table117821341[[#This Row],[Pos.]]="TE1",AVERAGE(L454,M454,N454),Table117821341[[#This Row],[Pos.]]="TE2",AVERAGE(L454,M454,N454),Table117821341[[#This Row],[Pos.]]="D/ST",AVERAGE(Table117821341[[#This Row],[*TD*]]))</f>
        <v>#N/A</v>
      </c>
      <c r="X454" s="94" t="e">
        <f t="shared" si="7"/>
        <v>#N/A</v>
      </c>
    </row>
    <row r="455" spans="2:24" x14ac:dyDescent="0.35">
      <c r="B455" s="6" t="s">
        <v>140</v>
      </c>
      <c r="C455" s="97" t="s">
        <v>17</v>
      </c>
      <c r="D455" s="97" t="s">
        <v>67</v>
      </c>
      <c r="E455" s="23" t="str" cm="1">
        <f t="array" ref="E455">_xlfn.XLOOKUP(Table117821341[[#This Row],[Team]],Table4334[Team],'2425'!$C$3:$C$34)</f>
        <v>n/a</v>
      </c>
      <c r="F455" s="97" t="str">
        <f>_xlfn.XLOOKUP(Table117821341[[#This Row],[Team]],Table4334[Team],Table4334[OPP])</f>
        <v>n/a</v>
      </c>
      <c r="G455" s="148" t="str" cm="1">
        <f t="array" ref="G455">IF(Table117821341[[#This Row],[Pos.]]="QB1",_xlfn.XLOOKUP(Table117821341[[#This Row],[Opp]],Table123[DEF],'2425'!$G$3:$G$34),"#N/A")</f>
        <v>#N/A</v>
      </c>
      <c r="H455" s="148" t="str" cm="1">
        <f t="array" ref="H455">IF(Table117821341[[#This Row],[Pos.]]="QB1",_xlfn.XLOOKUP(Table117821341[[#This Row],[Opp]],Table123[DEF],'2425'!$J$3:$J$34),"#N/A")</f>
        <v>#N/A</v>
      </c>
      <c r="I455" s="148" t="str" cm="1">
        <f t="array" ref="I455">IF(Table117821341[[#This Row],[Pos.]]="QB1",_xlfn.XLOOKUP(Table117821341[[#This Row],[Opp]],Table123[DEF],'2425'!$K$3:$K$34),"#N/A")</f>
        <v>#N/A</v>
      </c>
      <c r="J455" s="148" t="e" cm="1">
        <f t="array" ref="J45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5" s="148" t="e" cm="1">
        <f t="array" ref="K45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5" s="148" t="e" cm="1">
        <f t="array" ref="L45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5" s="148" t="e" cm="1">
        <f t="array" ref="M45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5" s="148" t="e" cm="1">
        <f t="array" ref="N45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5" s="149" t="str">
        <f>IF(Table117821341[[#This Row],[Pos.]]="QB1",_xlfn.XLOOKUP(Table117821341[[#This Row],[Opp]],Table123[DEF],Table123[P]),"#N/A")</f>
        <v>#N/A</v>
      </c>
      <c r="P455" s="149" t="str">
        <f>IF(Table117821341[[#This Row],[Pos.]]="QB1",_xlfn.XLOOKUP(Table117821341[[#This Row],[Opp]],Table123[DEF],Table123[P+R]),"#N/A")</f>
        <v>#N/A</v>
      </c>
      <c r="Q455" s="150" t="str">
        <f>IF(Table117821341[[#This Row],[Pos.]]="QB1",_xlfn.XLOOKUP(Table117821341[[#This Row],[Opp]],Table123[DEF],Table123[P TD]),"#N/A")</f>
        <v>#N/A</v>
      </c>
      <c r="R455" s="149" t="e" cm="1">
        <f t="array" ref="R45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5" s="150" t="e" cm="1">
        <f t="array" ref="S45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5" s="150" t="e" cm="1">
        <f t="array" ref="T45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5" s="150" t="e" cm="1">
        <f t="array" ref="U45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5" s="162" t="e" cm="1">
        <f t="array" ref="V45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5" s="148" t="e" cm="1">
        <f t="array" ref="W455">_xlfn.IFS(Table117821341[[#This Row],[Pos.]]="QB1",AVERAGE(G455,H455,I455,J455,N455),Table117821341[[#This Row],[Pos.]]="RB1",AVERAGE(J455,K455,N455),Table117821341[[#This Row],[Pos.]]="RB2",AVERAGE(J455,K455,N455),Table117821341[[#This Row],[Pos.]]="WR1",AVERAGE(L455,M455,N455),Table117821341[[#This Row],[Pos.]]="WR2",AVERAGE(L455,M455,N455),Table117821341[[#This Row],[Pos.]]="WR3",AVERAGE(L455,M455,N455),Table117821341[[#This Row],[Pos.]]="WR4",AVERAGE(L455,M455,N455),Table117821341[[#This Row],[Pos.]]="TE1",AVERAGE(L455,M455,N455),Table117821341[[#This Row],[Pos.]]="TE2",AVERAGE(L455,M455,N455),Table117821341[[#This Row],[Pos.]]="D/ST",AVERAGE(Table117821341[[#This Row],[*TD*]]))</f>
        <v>#N/A</v>
      </c>
      <c r="X455" s="94" t="e">
        <f t="shared" si="7"/>
        <v>#N/A</v>
      </c>
    </row>
    <row r="456" spans="2:24" x14ac:dyDescent="0.35">
      <c r="B456" s="6" t="s">
        <v>357</v>
      </c>
      <c r="C456" s="97" t="s">
        <v>53</v>
      </c>
      <c r="D456" s="97" t="s">
        <v>399</v>
      </c>
      <c r="E456" s="23" t="str" cm="1">
        <f t="array" ref="E456">_xlfn.XLOOKUP(Table117821341[[#This Row],[Team]],Table4334[Team],'2425'!$C$3:$C$34)</f>
        <v>n/a</v>
      </c>
      <c r="F456" s="97" t="str">
        <f>_xlfn.XLOOKUP(Table117821341[[#This Row],[Team]],Table4334[Team],Table4334[OPP])</f>
        <v>n/a</v>
      </c>
      <c r="G456" s="148" t="e" cm="1">
        <f t="array" ref="G456">IF(Table117821341[[#This Row],[Pos.]]="QB1",_xlfn.XLOOKUP(Table117821341[[#This Row],[Opp]],Table123[DEF],'2425'!$G$3:$G$34),"#N/A")</f>
        <v>#N/A</v>
      </c>
      <c r="H456" s="148" t="e" cm="1">
        <f t="array" ref="H456">IF(Table117821341[[#This Row],[Pos.]]="QB1",_xlfn.XLOOKUP(Table117821341[[#This Row],[Opp]],Table123[DEF],'2425'!$J$3:$J$34),"#N/A")</f>
        <v>#N/A</v>
      </c>
      <c r="I456" s="148" t="e" cm="1">
        <f t="array" ref="I456">IF(Table117821341[[#This Row],[Pos.]]="QB1",_xlfn.XLOOKUP(Table117821341[[#This Row],[Opp]],Table123[DEF],'2425'!$K$3:$K$34),"#N/A")</f>
        <v>#N/A</v>
      </c>
      <c r="J456" s="148" t="e" cm="1">
        <f t="array" ref="J45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6" s="148" t="e" cm="1">
        <f t="array" ref="K45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6" s="148" t="e" cm="1">
        <f t="array" ref="L45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6" s="148" t="e" cm="1">
        <f t="array" ref="M45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6" s="148" t="e" cm="1">
        <f t="array" ref="N45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6" s="149" t="e">
        <f>IF(Table117821341[[#This Row],[Pos.]]="QB1",_xlfn.XLOOKUP(Table117821341[[#This Row],[Opp]],Table123[DEF],Table123[P]),"#N/A")</f>
        <v>#N/A</v>
      </c>
      <c r="P456" s="149" t="e">
        <f>IF(Table117821341[[#This Row],[Pos.]]="QB1",_xlfn.XLOOKUP(Table117821341[[#This Row],[Opp]],Table123[DEF],Table123[P+R]),"#N/A")</f>
        <v>#N/A</v>
      </c>
      <c r="Q456" s="150" t="e">
        <f>IF(Table117821341[[#This Row],[Pos.]]="QB1",_xlfn.XLOOKUP(Table117821341[[#This Row],[Opp]],Table123[DEF],Table123[P TD]),"#N/A")</f>
        <v>#N/A</v>
      </c>
      <c r="R456" s="149" t="e" cm="1">
        <f t="array" ref="R45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6" s="150" t="e" cm="1">
        <f t="array" ref="S45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6" s="150" t="e" cm="1">
        <f t="array" ref="T45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6" s="150" t="e" cm="1">
        <f t="array" ref="U45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6" s="162" t="e" cm="1">
        <f t="array" ref="V45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6" s="148" t="e" cm="1">
        <f t="array" ref="W456">_xlfn.IFS(Table117821341[[#This Row],[Pos.]]="QB1",AVERAGE(G456,H456,I456,J456,N456),Table117821341[[#This Row],[Pos.]]="RB1",AVERAGE(J456,K456,N456),Table117821341[[#This Row],[Pos.]]="RB2",AVERAGE(J456,K456,N456),Table117821341[[#This Row],[Pos.]]="WR1",AVERAGE(L456,M456,N456),Table117821341[[#This Row],[Pos.]]="WR2",AVERAGE(L456,M456,N456),Table117821341[[#This Row],[Pos.]]="WR3",AVERAGE(L456,M456,N456),Table117821341[[#This Row],[Pos.]]="WR4",AVERAGE(L456,M456,N456),Table117821341[[#This Row],[Pos.]]="TE1",AVERAGE(L456,M456,N456),Table117821341[[#This Row],[Pos.]]="TE2",AVERAGE(L456,M456,N456),Table117821341[[#This Row],[Pos.]]="D/ST",AVERAGE(Table117821341[[#This Row],[*TD*]]))</f>
        <v>#N/A</v>
      </c>
      <c r="X456" s="94" t="e">
        <f t="shared" si="7"/>
        <v>#N/A</v>
      </c>
    </row>
    <row r="457" spans="2:24" hidden="1" x14ac:dyDescent="0.35">
      <c r="B457" s="6" t="s">
        <v>456</v>
      </c>
      <c r="C457" s="97" t="s">
        <v>50</v>
      </c>
      <c r="D457" s="97" t="s">
        <v>403</v>
      </c>
      <c r="E457" s="23" t="str" cm="1">
        <f t="array" ref="E457">_xlfn.XLOOKUP(Table117821341[[#This Row],[Team]],Table4334[Team],'2425'!$C$3:$C$34)</f>
        <v>n/a</v>
      </c>
      <c r="F457" s="97" t="str">
        <f>_xlfn.XLOOKUP(Table117821341[[#This Row],[Team]],Table4334[Team],Table4334[OPP])</f>
        <v>n/a</v>
      </c>
      <c r="G457" s="148" t="str" cm="1">
        <f t="array" ref="G457">IF(Table117821341[[#This Row],[Pos.]]="QB1",_xlfn.XLOOKUP(Table117821341[[#This Row],[Opp]],Table123[DEF],'2425'!$G$3:$G$34),"#N/A")</f>
        <v>#N/A</v>
      </c>
      <c r="H457" s="148" t="str" cm="1">
        <f t="array" ref="H457">IF(Table117821341[[#This Row],[Pos.]]="QB1",_xlfn.XLOOKUP(Table117821341[[#This Row],[Opp]],Table123[DEF],'2425'!$J$3:$J$34),"#N/A")</f>
        <v>#N/A</v>
      </c>
      <c r="I457" s="148" t="str" cm="1">
        <f t="array" ref="I457">IF(Table117821341[[#This Row],[Pos.]]="QB1",_xlfn.XLOOKUP(Table117821341[[#This Row],[Opp]],Table123[DEF],'2425'!$K$3:$K$34),"#N/A")</f>
        <v>#N/A</v>
      </c>
      <c r="J457" s="148" t="e" cm="1">
        <f t="array" ref="J45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7" s="148" t="e" cm="1">
        <f t="array" ref="K45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7" s="148" t="e" cm="1">
        <f t="array" ref="L45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7" s="148" t="e" cm="1">
        <f t="array" ref="M45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7" s="148" t="e" cm="1">
        <f t="array" ref="N45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7" s="149" t="str">
        <f>IF(Table117821341[[#This Row],[Pos.]]="QB1",_xlfn.XLOOKUP(Table117821341[[#This Row],[Opp]],Table123[DEF],Table123[P]),"#N/A")</f>
        <v>#N/A</v>
      </c>
      <c r="P457" s="149" t="str">
        <f>IF(Table117821341[[#This Row],[Pos.]]="QB1",_xlfn.XLOOKUP(Table117821341[[#This Row],[Opp]],Table123[DEF],Table123[P+R]),"#N/A")</f>
        <v>#N/A</v>
      </c>
      <c r="Q457" s="150" t="str">
        <f>IF(Table117821341[[#This Row],[Pos.]]="QB1",_xlfn.XLOOKUP(Table117821341[[#This Row],[Opp]],Table123[DEF],Table123[P TD]),"#N/A")</f>
        <v>#N/A</v>
      </c>
      <c r="R457" s="149" t="e" cm="1">
        <f t="array" ref="R45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7" s="150" t="e" cm="1">
        <f t="array" ref="S45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7" s="150" t="e" cm="1">
        <f t="array" ref="T45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7" s="150" t="e" cm="1">
        <f t="array" ref="U45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7" s="150" t="e" cm="1">
        <f t="array" ref="V45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7" s="148" t="e" cm="1">
        <f t="array" ref="W457">_xlfn.IFS(Table117821341[[#This Row],[Pos.]]="QB1",AVERAGE(G457,H457,I457,J457,N457),Table117821341[[#This Row],[Pos.]]="RB1",AVERAGE(J457,K457,N457),Table117821341[[#This Row],[Pos.]]="RB2",AVERAGE(J457,K457,N457),Table117821341[[#This Row],[Pos.]]="WR1",AVERAGE(L457,M457,N457),Table117821341[[#This Row],[Pos.]]="WR2",AVERAGE(L457,M457,N457),Table117821341[[#This Row],[Pos.]]="WR3",AVERAGE(L457,M457,N457),Table117821341[[#This Row],[Pos.]]="WR4",AVERAGE(L457,M457,N457),Table117821341[[#This Row],[Pos.]]="TE1",AVERAGE(L457,M457,N457),Table117821341[[#This Row],[Pos.]]="TE2",AVERAGE(L457,M457,N457),Table117821341[[#This Row],[Pos.]]="D/ST",AVERAGE(Table117821341[[#This Row],[*TD*]]))</f>
        <v>#N/A</v>
      </c>
      <c r="X457" s="94" t="e">
        <f t="shared" si="7"/>
        <v>#N/A</v>
      </c>
    </row>
    <row r="458" spans="2:24" hidden="1" x14ac:dyDescent="0.35">
      <c r="B458" s="6" t="s">
        <v>457</v>
      </c>
      <c r="C458" s="97" t="s">
        <v>50</v>
      </c>
      <c r="D458" s="97" t="s">
        <v>411</v>
      </c>
      <c r="E458" s="23" t="str" cm="1">
        <f t="array" ref="E458">_xlfn.XLOOKUP(Table117821341[[#This Row],[Team]],Table4334[Team],'2425'!$C$3:$C$34)</f>
        <v>n/a</v>
      </c>
      <c r="F458" s="97" t="str">
        <f>_xlfn.XLOOKUP(Table117821341[[#This Row],[Team]],Table4334[Team],Table4334[OPP])</f>
        <v>n/a</v>
      </c>
      <c r="G458" s="148" t="str" cm="1">
        <f t="array" ref="G458">IF(Table117821341[[#This Row],[Pos.]]="QB1",_xlfn.XLOOKUP(Table117821341[[#This Row],[Opp]],Table123[DEF],'2425'!$G$3:$G$34),"#N/A")</f>
        <v>#N/A</v>
      </c>
      <c r="H458" s="148" t="str" cm="1">
        <f t="array" ref="H458">IF(Table117821341[[#This Row],[Pos.]]="QB1",_xlfn.XLOOKUP(Table117821341[[#This Row],[Opp]],Table123[DEF],'2425'!$J$3:$J$34),"#N/A")</f>
        <v>#N/A</v>
      </c>
      <c r="I458" s="148" t="str" cm="1">
        <f t="array" ref="I458">IF(Table117821341[[#This Row],[Pos.]]="QB1",_xlfn.XLOOKUP(Table117821341[[#This Row],[Opp]],Table123[DEF],'2425'!$K$3:$K$34),"#N/A")</f>
        <v>#N/A</v>
      </c>
      <c r="J458" s="148" t="e" cm="1">
        <f t="array" ref="J45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8" s="148" t="e" cm="1">
        <f t="array" ref="K45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8" s="148" t="e" cm="1">
        <f t="array" ref="L45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8" s="148" t="e" cm="1">
        <f t="array" ref="M45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8" s="148" t="e" cm="1">
        <f t="array" ref="N45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8" s="149" t="str">
        <f>IF(Table117821341[[#This Row],[Pos.]]="QB1",_xlfn.XLOOKUP(Table117821341[[#This Row],[Opp]],Table123[DEF],Table123[P]),"#N/A")</f>
        <v>#N/A</v>
      </c>
      <c r="P458" s="149" t="str">
        <f>IF(Table117821341[[#This Row],[Pos.]]="QB1",_xlfn.XLOOKUP(Table117821341[[#This Row],[Opp]],Table123[DEF],Table123[P+R]),"#N/A")</f>
        <v>#N/A</v>
      </c>
      <c r="Q458" s="150" t="str">
        <f>IF(Table117821341[[#This Row],[Pos.]]="QB1",_xlfn.XLOOKUP(Table117821341[[#This Row],[Opp]],Table123[DEF],Table123[P TD]),"#N/A")</f>
        <v>#N/A</v>
      </c>
      <c r="R458" s="149" t="e" cm="1">
        <f t="array" ref="R45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8" s="150" t="e" cm="1">
        <f t="array" ref="S45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8" s="150" t="e" cm="1">
        <f t="array" ref="T45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8" s="150" t="e" cm="1">
        <f t="array" ref="U45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8" s="150" t="e" cm="1">
        <f t="array" ref="V45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8" s="148" t="e" cm="1">
        <f t="array" ref="W458">_xlfn.IFS(Table117821341[[#This Row],[Pos.]]="QB1",AVERAGE(G458,H458,I458,J458,N458),Table117821341[[#This Row],[Pos.]]="RB1",AVERAGE(J458,K458,N458),Table117821341[[#This Row],[Pos.]]="RB2",AVERAGE(J458,K458,N458),Table117821341[[#This Row],[Pos.]]="WR1",AVERAGE(L458,M458,N458),Table117821341[[#This Row],[Pos.]]="WR2",AVERAGE(L458,M458,N458),Table117821341[[#This Row],[Pos.]]="WR3",AVERAGE(L458,M458,N458),Table117821341[[#This Row],[Pos.]]="WR4",AVERAGE(L458,M458,N458),Table117821341[[#This Row],[Pos.]]="TE1",AVERAGE(L458,M458,N458),Table117821341[[#This Row],[Pos.]]="TE2",AVERAGE(L458,M458,N458),Table117821341[[#This Row],[Pos.]]="D/ST",AVERAGE(Table117821341[[#This Row],[*TD*]]))</f>
        <v>#N/A</v>
      </c>
      <c r="X458" s="94" t="e">
        <f t="shared" si="7"/>
        <v>#N/A</v>
      </c>
    </row>
    <row r="459" spans="2:24" hidden="1" x14ac:dyDescent="0.35">
      <c r="B459" s="6" t="s">
        <v>213</v>
      </c>
      <c r="C459" s="97" t="s">
        <v>36</v>
      </c>
      <c r="D459" s="97" t="s">
        <v>67</v>
      </c>
      <c r="E459" s="23" t="str" cm="1">
        <f t="array" ref="E459">_xlfn.XLOOKUP(Table117821341[[#This Row],[Team]],Table4334[Team],'2425'!$C$3:$C$34)</f>
        <v>n/a</v>
      </c>
      <c r="F459" s="97" t="str">
        <f>_xlfn.XLOOKUP(Table117821341[[#This Row],[Team]],Table4334[Team],Table4334[OPP])</f>
        <v>n/a</v>
      </c>
      <c r="G459" s="148" t="str" cm="1">
        <f t="array" ref="G459">IF(Table117821341[[#This Row],[Pos.]]="QB1",_xlfn.XLOOKUP(Table117821341[[#This Row],[Opp]],Table123[DEF],'2425'!$G$3:$G$34),"#N/A")</f>
        <v>#N/A</v>
      </c>
      <c r="H459" s="148" t="str" cm="1">
        <f t="array" ref="H459">IF(Table117821341[[#This Row],[Pos.]]="QB1",_xlfn.XLOOKUP(Table117821341[[#This Row],[Opp]],Table123[DEF],'2425'!$J$3:$J$34),"#N/A")</f>
        <v>#N/A</v>
      </c>
      <c r="I459" s="148" t="str" cm="1">
        <f t="array" ref="I459">IF(Table117821341[[#This Row],[Pos.]]="QB1",_xlfn.XLOOKUP(Table117821341[[#This Row],[Opp]],Table123[DEF],'2425'!$K$3:$K$34),"#N/A")</f>
        <v>#N/A</v>
      </c>
      <c r="J459" s="148" t="e" cm="1">
        <f t="array" ref="J45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59" s="148" t="e" cm="1">
        <f t="array" ref="K45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59" s="148" t="e" cm="1">
        <f t="array" ref="L45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59" s="148" t="e" cm="1">
        <f t="array" ref="M45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59" s="148" t="e" cm="1">
        <f t="array" ref="N45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59" s="149" t="str">
        <f>IF(Table117821341[[#This Row],[Pos.]]="QB1",_xlfn.XLOOKUP(Table117821341[[#This Row],[Opp]],Table123[DEF],Table123[P]),"#N/A")</f>
        <v>#N/A</v>
      </c>
      <c r="P459" s="149" t="str">
        <f>IF(Table117821341[[#This Row],[Pos.]]="QB1",_xlfn.XLOOKUP(Table117821341[[#This Row],[Opp]],Table123[DEF],Table123[P+R]),"#N/A")</f>
        <v>#N/A</v>
      </c>
      <c r="Q459" s="150" t="str">
        <f>IF(Table117821341[[#This Row],[Pos.]]="QB1",_xlfn.XLOOKUP(Table117821341[[#This Row],[Opp]],Table123[DEF],Table123[P TD]),"#N/A")</f>
        <v>#N/A</v>
      </c>
      <c r="R459" s="149" t="e" cm="1">
        <f t="array" ref="R45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59" s="150" t="e" cm="1">
        <f t="array" ref="S45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59" s="150" t="e" cm="1">
        <f t="array" ref="T45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59" s="150" t="e" cm="1">
        <f t="array" ref="U45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59" s="162" t="e" cm="1">
        <f t="array" ref="V45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59" s="148" t="e" cm="1">
        <f t="array" ref="W459">_xlfn.IFS(Table117821341[[#This Row],[Pos.]]="QB1",AVERAGE(G459,H459,I459,J459,N459),Table117821341[[#This Row],[Pos.]]="RB1",AVERAGE(J459,K459,N459),Table117821341[[#This Row],[Pos.]]="RB2",AVERAGE(J459,K459,N459),Table117821341[[#This Row],[Pos.]]="WR1",AVERAGE(L459,M459,N459),Table117821341[[#This Row],[Pos.]]="WR2",AVERAGE(L459,M459,N459),Table117821341[[#This Row],[Pos.]]="WR3",AVERAGE(L459,M459,N459),Table117821341[[#This Row],[Pos.]]="WR4",AVERAGE(L459,M459,N459),Table117821341[[#This Row],[Pos.]]="TE1",AVERAGE(L459,M459,N459),Table117821341[[#This Row],[Pos.]]="TE2",AVERAGE(L459,M459,N459),Table117821341[[#This Row],[Pos.]]="D/ST",AVERAGE(Table117821341[[#This Row],[*TD*]]))</f>
        <v>#N/A</v>
      </c>
      <c r="X459" s="94" t="e">
        <f t="shared" si="7"/>
        <v>#N/A</v>
      </c>
    </row>
    <row r="460" spans="2:24" x14ac:dyDescent="0.35">
      <c r="B460" s="6" t="s">
        <v>265</v>
      </c>
      <c r="C460" s="97" t="s">
        <v>42</v>
      </c>
      <c r="D460" s="97" t="s">
        <v>399</v>
      </c>
      <c r="E460" s="23" t="str" cm="1">
        <f t="array" ref="E460">_xlfn.XLOOKUP(Table117821341[[#This Row],[Team]],Table4334[Team],'2425'!$C$3:$C$34)</f>
        <v>n/a</v>
      </c>
      <c r="F460" s="97" t="str">
        <f>_xlfn.XLOOKUP(Table117821341[[#This Row],[Team]],Table4334[Team],Table4334[OPP])</f>
        <v>n/a</v>
      </c>
      <c r="G460" s="148" t="e" cm="1">
        <f t="array" ref="G460">IF(Table117821341[[#This Row],[Pos.]]="QB1",_xlfn.XLOOKUP(Table117821341[[#This Row],[Opp]],Table123[DEF],'2425'!$G$3:$G$34),"#N/A")</f>
        <v>#N/A</v>
      </c>
      <c r="H460" s="148" t="e" cm="1">
        <f t="array" ref="H460">IF(Table117821341[[#This Row],[Pos.]]="QB1",_xlfn.XLOOKUP(Table117821341[[#This Row],[Opp]],Table123[DEF],'2425'!$J$3:$J$34),"#N/A")</f>
        <v>#N/A</v>
      </c>
      <c r="I460" s="148" t="e" cm="1">
        <f t="array" ref="I460">IF(Table117821341[[#This Row],[Pos.]]="QB1",_xlfn.XLOOKUP(Table117821341[[#This Row],[Opp]],Table123[DEF],'2425'!$K$3:$K$34),"#N/A")</f>
        <v>#N/A</v>
      </c>
      <c r="J460" s="148" t="e" cm="1">
        <f t="array" ref="J46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0" s="148" t="e" cm="1">
        <f t="array" ref="K46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0" s="148" t="e" cm="1">
        <f t="array" ref="L46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0" s="148" t="e" cm="1">
        <f t="array" ref="M46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0" s="148" t="e" cm="1">
        <f t="array" ref="N46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0" s="149" t="e">
        <f>IF(Table117821341[[#This Row],[Pos.]]="QB1",_xlfn.XLOOKUP(Table117821341[[#This Row],[Opp]],Table123[DEF],Table123[P]),"#N/A")</f>
        <v>#N/A</v>
      </c>
      <c r="P460" s="149" t="e">
        <f>IF(Table117821341[[#This Row],[Pos.]]="QB1",_xlfn.XLOOKUP(Table117821341[[#This Row],[Opp]],Table123[DEF],Table123[P+R]),"#N/A")</f>
        <v>#N/A</v>
      </c>
      <c r="Q460" s="150" t="e">
        <f>IF(Table117821341[[#This Row],[Pos.]]="QB1",_xlfn.XLOOKUP(Table117821341[[#This Row],[Opp]],Table123[DEF],Table123[P TD]),"#N/A")</f>
        <v>#N/A</v>
      </c>
      <c r="R460" s="149" t="e" cm="1">
        <f t="array" ref="R46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0" s="150" t="e" cm="1">
        <f t="array" ref="S46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0" s="150" t="e" cm="1">
        <f t="array" ref="T46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0" s="150" t="e" cm="1">
        <f t="array" ref="U46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0" s="162" t="e" cm="1">
        <f t="array" ref="V46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0" s="148" t="e" cm="1">
        <f t="array" ref="W460">_xlfn.IFS(Table117821341[[#This Row],[Pos.]]="QB1",AVERAGE(G460,H460,I460,J460,N460),Table117821341[[#This Row],[Pos.]]="RB1",AVERAGE(J460,K460,N460),Table117821341[[#This Row],[Pos.]]="RB2",AVERAGE(J460,K460,N460),Table117821341[[#This Row],[Pos.]]="WR1",AVERAGE(L460,M460,N460),Table117821341[[#This Row],[Pos.]]="WR2",AVERAGE(L460,M460,N460),Table117821341[[#This Row],[Pos.]]="WR3",AVERAGE(L460,M460,N460),Table117821341[[#This Row],[Pos.]]="WR4",AVERAGE(L460,M460,N460),Table117821341[[#This Row],[Pos.]]="TE1",AVERAGE(L460,M460,N460),Table117821341[[#This Row],[Pos.]]="TE2",AVERAGE(L460,M460,N460),Table117821341[[#This Row],[Pos.]]="D/ST",AVERAGE(Table117821341[[#This Row],[*TD*]]))</f>
        <v>#N/A</v>
      </c>
      <c r="X460" s="94" t="e">
        <f t="shared" si="7"/>
        <v>#N/A</v>
      </c>
    </row>
    <row r="461" spans="2:24" hidden="1" x14ac:dyDescent="0.35">
      <c r="B461" s="6" t="s">
        <v>489</v>
      </c>
      <c r="C461" s="97" t="s">
        <v>51</v>
      </c>
      <c r="D461" s="98" t="s">
        <v>405</v>
      </c>
      <c r="E461" s="23" t="str" cm="1">
        <f t="array" ref="E461">_xlfn.XLOOKUP(Table117821341[[#This Row],[Team]],Table4334[Team],'2425'!$C$3:$C$34)</f>
        <v>n/a</v>
      </c>
      <c r="F461" s="97" t="str">
        <f>_xlfn.XLOOKUP(Table117821341[[#This Row],[Team]],Table4334[Team],Table4334[OPP])</f>
        <v>n/a</v>
      </c>
      <c r="G461" s="148" t="str" cm="1">
        <f t="array" ref="G461">IF(Table117821341[[#This Row],[Pos.]]="QB1",_xlfn.XLOOKUP(Table117821341[[#This Row],[Opp]],Table123[DEF],'2425'!$G$3:$G$34),"#N/A")</f>
        <v>#N/A</v>
      </c>
      <c r="H461" s="148" t="str" cm="1">
        <f t="array" ref="H461">IF(Table117821341[[#This Row],[Pos.]]="QB1",_xlfn.XLOOKUP(Table117821341[[#This Row],[Opp]],Table123[DEF],'2425'!$J$3:$J$34),"#N/A")</f>
        <v>#N/A</v>
      </c>
      <c r="I461" s="148" t="str" cm="1">
        <f t="array" ref="I461">IF(Table117821341[[#This Row],[Pos.]]="QB1",_xlfn.XLOOKUP(Table117821341[[#This Row],[Opp]],Table123[DEF],'2425'!$K$3:$K$34),"#N/A")</f>
        <v>#N/A</v>
      </c>
      <c r="J461" s="148" t="e" cm="1">
        <f t="array" ref="J46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1" s="148" t="e" cm="1">
        <f t="array" ref="K46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1" s="148" t="e" cm="1">
        <f t="array" ref="L46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1" s="148" t="e" cm="1">
        <f t="array" ref="M46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1" s="148" t="e" cm="1">
        <f t="array" ref="N46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1" s="149" t="str">
        <f>IF(Table117821341[[#This Row],[Pos.]]="QB1",_xlfn.XLOOKUP(Table117821341[[#This Row],[Opp]],Table123[DEF],Table123[P]),"#N/A")</f>
        <v>#N/A</v>
      </c>
      <c r="P461" s="149" t="str">
        <f>IF(Table117821341[[#This Row],[Pos.]]="QB1",_xlfn.XLOOKUP(Table117821341[[#This Row],[Opp]],Table123[DEF],Table123[P+R]),"#N/A")</f>
        <v>#N/A</v>
      </c>
      <c r="Q461" s="150" t="str">
        <f>IF(Table117821341[[#This Row],[Pos.]]="QB1",_xlfn.XLOOKUP(Table117821341[[#This Row],[Opp]],Table123[DEF],Table123[P TD]),"#N/A")</f>
        <v>#N/A</v>
      </c>
      <c r="R461" s="149" t="e" cm="1">
        <f t="array" ref="R46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1" s="150" t="e" cm="1">
        <f t="array" ref="S46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1" s="150" t="e" cm="1">
        <f t="array" ref="T46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1" s="150" t="e" cm="1">
        <f t="array" ref="U46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1" s="150" t="e" cm="1">
        <f t="array" ref="V46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1" s="148" t="e" cm="1">
        <f t="array" ref="W461">_xlfn.IFS(Table117821341[[#This Row],[Pos.]]="QB1",AVERAGE(G461,H461,I461,J461,N461),Table117821341[[#This Row],[Pos.]]="RB1",AVERAGE(J461,K461,N461),Table117821341[[#This Row],[Pos.]]="RB2",AVERAGE(J461,K461,N461),Table117821341[[#This Row],[Pos.]]="WR1",AVERAGE(L461,M461,N461),Table117821341[[#This Row],[Pos.]]="WR2",AVERAGE(L461,M461,N461),Table117821341[[#This Row],[Pos.]]="WR3",AVERAGE(L461,M461,N461),Table117821341[[#This Row],[Pos.]]="WR4",AVERAGE(L461,M461,N461),Table117821341[[#This Row],[Pos.]]="TE1",AVERAGE(L461,M461,N461),Table117821341[[#This Row],[Pos.]]="TE2",AVERAGE(L461,M461,N461),Table117821341[[#This Row],[Pos.]]="D/ST",AVERAGE(Table117821341[[#This Row],[*TD*]]))</f>
        <v>#N/A</v>
      </c>
      <c r="X461" s="94" t="e">
        <f t="shared" si="7"/>
        <v>#N/A</v>
      </c>
    </row>
    <row r="462" spans="2:24" hidden="1" x14ac:dyDescent="0.35">
      <c r="B462" s="6" t="s">
        <v>490</v>
      </c>
      <c r="C462" s="97" t="s">
        <v>51</v>
      </c>
      <c r="D462" s="97" t="s">
        <v>425</v>
      </c>
      <c r="E462" s="23" t="str" cm="1">
        <f t="array" ref="E462">_xlfn.XLOOKUP(Table117821341[[#This Row],[Team]],Table4334[Team],'2425'!$C$3:$C$34)</f>
        <v>n/a</v>
      </c>
      <c r="F462" s="97" t="str">
        <f>_xlfn.XLOOKUP(Table117821341[[#This Row],[Team]],Table4334[Team],Table4334[OPP])</f>
        <v>n/a</v>
      </c>
      <c r="G462" s="148" t="str" cm="1">
        <f t="array" ref="G462">IF(Table117821341[[#This Row],[Pos.]]="QB1",_xlfn.XLOOKUP(Table117821341[[#This Row],[Opp]],Table123[DEF],'2425'!$G$3:$G$34),"#N/A")</f>
        <v>#N/A</v>
      </c>
      <c r="H462" s="148" t="str" cm="1">
        <f t="array" ref="H462">IF(Table117821341[[#This Row],[Pos.]]="QB1",_xlfn.XLOOKUP(Table117821341[[#This Row],[Opp]],Table123[DEF],'2425'!$J$3:$J$34),"#N/A")</f>
        <v>#N/A</v>
      </c>
      <c r="I462" s="148" t="str" cm="1">
        <f t="array" ref="I462">IF(Table117821341[[#This Row],[Pos.]]="QB1",_xlfn.XLOOKUP(Table117821341[[#This Row],[Opp]],Table123[DEF],'2425'!$K$3:$K$34),"#N/A")</f>
        <v>#N/A</v>
      </c>
      <c r="J462" s="148" t="e" cm="1">
        <f t="array" ref="J46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2" s="148" t="e" cm="1">
        <f t="array" ref="K46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2" s="148" t="e" cm="1">
        <f t="array" ref="L46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2" s="148" t="e" cm="1">
        <f t="array" ref="M46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2" s="148" t="e" cm="1">
        <f t="array" ref="N46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2" s="149" t="str">
        <f>IF(Table117821341[[#This Row],[Pos.]]="QB1",_xlfn.XLOOKUP(Table117821341[[#This Row],[Opp]],Table123[DEF],Table123[P]),"#N/A")</f>
        <v>#N/A</v>
      </c>
      <c r="P462" s="149" t="str">
        <f>IF(Table117821341[[#This Row],[Pos.]]="QB1",_xlfn.XLOOKUP(Table117821341[[#This Row],[Opp]],Table123[DEF],Table123[P+R]),"#N/A")</f>
        <v>#N/A</v>
      </c>
      <c r="Q462" s="150" t="str">
        <f>IF(Table117821341[[#This Row],[Pos.]]="QB1",_xlfn.XLOOKUP(Table117821341[[#This Row],[Opp]],Table123[DEF],Table123[P TD]),"#N/A")</f>
        <v>#N/A</v>
      </c>
      <c r="R462" s="149" t="e" cm="1">
        <f t="array" ref="R46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2" s="150" t="e" cm="1">
        <f t="array" ref="S46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2" s="150" t="e" cm="1">
        <f t="array" ref="T46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2" s="150" t="e" cm="1">
        <f t="array" ref="U46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2" s="150" t="e" cm="1">
        <f t="array" ref="V46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2" s="148" t="e" cm="1">
        <f t="array" ref="W462">_xlfn.IFS(Table117821341[[#This Row],[Pos.]]="QB1",AVERAGE(G462,H462,I462,J462,N462),Table117821341[[#This Row],[Pos.]]="RB1",AVERAGE(J462,K462,N462),Table117821341[[#This Row],[Pos.]]="RB2",AVERAGE(J462,K462,N462),Table117821341[[#This Row],[Pos.]]="WR1",AVERAGE(L462,M462,N462),Table117821341[[#This Row],[Pos.]]="WR2",AVERAGE(L462,M462,N462),Table117821341[[#This Row],[Pos.]]="WR3",AVERAGE(L462,M462,N462),Table117821341[[#This Row],[Pos.]]="WR4",AVERAGE(L462,M462,N462),Table117821341[[#This Row],[Pos.]]="TE1",AVERAGE(L462,M462,N462),Table117821341[[#This Row],[Pos.]]="TE2",AVERAGE(L462,M462,N462),Table117821341[[#This Row],[Pos.]]="D/ST",AVERAGE(Table117821341[[#This Row],[*TD*]]))</f>
        <v>#N/A</v>
      </c>
      <c r="X462" s="94" t="e">
        <f t="shared" si="7"/>
        <v>#N/A</v>
      </c>
    </row>
    <row r="463" spans="2:24" hidden="1" x14ac:dyDescent="0.35">
      <c r="B463" s="6" t="s">
        <v>491</v>
      </c>
      <c r="C463" s="97" t="s">
        <v>51</v>
      </c>
      <c r="D463" s="97" t="s">
        <v>480</v>
      </c>
      <c r="E463" s="23" t="str" cm="1">
        <f t="array" ref="E463">_xlfn.XLOOKUP(Table117821341[[#This Row],[Team]],Table4334[Team],'2425'!$C$3:$C$34)</f>
        <v>n/a</v>
      </c>
      <c r="F463" s="97" t="str">
        <f>_xlfn.XLOOKUP(Table117821341[[#This Row],[Team]],Table4334[Team],Table4334[OPP])</f>
        <v>n/a</v>
      </c>
      <c r="G463" s="148" t="str" cm="1">
        <f t="array" ref="G463">IF(Table117821341[[#This Row],[Pos.]]="QB1",_xlfn.XLOOKUP(Table117821341[[#This Row],[Opp]],Table123[DEF],'2425'!$G$3:$G$34),"#N/A")</f>
        <v>#N/A</v>
      </c>
      <c r="H463" s="148" t="str" cm="1">
        <f t="array" ref="H463">IF(Table117821341[[#This Row],[Pos.]]="QB1",_xlfn.XLOOKUP(Table117821341[[#This Row],[Opp]],Table123[DEF],'2425'!$J$3:$J$34),"#N/A")</f>
        <v>#N/A</v>
      </c>
      <c r="I463" s="148" t="str" cm="1">
        <f t="array" ref="I463">IF(Table117821341[[#This Row],[Pos.]]="QB1",_xlfn.XLOOKUP(Table117821341[[#This Row],[Opp]],Table123[DEF],'2425'!$K$3:$K$34),"#N/A")</f>
        <v>#N/A</v>
      </c>
      <c r="J463" s="148" t="e" cm="1">
        <f t="array" ref="J46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3" s="148" t="e" cm="1">
        <f t="array" ref="K46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3" s="148" t="e" cm="1">
        <f t="array" ref="L46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3" s="148" t="e" cm="1">
        <f t="array" ref="M46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3" s="148" t="e" cm="1">
        <f t="array" ref="N46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3" s="149" t="str">
        <f>IF(Table117821341[[#This Row],[Pos.]]="QB1",_xlfn.XLOOKUP(Table117821341[[#This Row],[Opp]],Table123[DEF],Table123[P]),"#N/A")</f>
        <v>#N/A</v>
      </c>
      <c r="P463" s="149" t="str">
        <f>IF(Table117821341[[#This Row],[Pos.]]="QB1",_xlfn.XLOOKUP(Table117821341[[#This Row],[Opp]],Table123[DEF],Table123[P+R]),"#N/A")</f>
        <v>#N/A</v>
      </c>
      <c r="Q463" s="150" t="str">
        <f>IF(Table117821341[[#This Row],[Pos.]]="QB1",_xlfn.XLOOKUP(Table117821341[[#This Row],[Opp]],Table123[DEF],Table123[P TD]),"#N/A")</f>
        <v>#N/A</v>
      </c>
      <c r="R463" s="149" t="e" cm="1">
        <f t="array" ref="R46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3" s="150" t="e" cm="1">
        <f t="array" ref="S46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3" s="150" t="e" cm="1">
        <f t="array" ref="T46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3" s="150" t="e" cm="1">
        <f t="array" ref="U46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3" s="150" t="e" cm="1">
        <f t="array" ref="V46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3" s="148" t="e" cm="1">
        <f t="array" ref="W463">_xlfn.IFS(Table117821341[[#This Row],[Pos.]]="QB1",AVERAGE(G463,H463,I463,J463,N463),Table117821341[[#This Row],[Pos.]]="RB1",AVERAGE(J463,K463,N463),Table117821341[[#This Row],[Pos.]]="RB2",AVERAGE(J463,K463,N463),Table117821341[[#This Row],[Pos.]]="WR1",AVERAGE(L463,M463,N463),Table117821341[[#This Row],[Pos.]]="WR2",AVERAGE(L463,M463,N463),Table117821341[[#This Row],[Pos.]]="WR3",AVERAGE(L463,M463,N463),Table117821341[[#This Row],[Pos.]]="WR4",AVERAGE(L463,M463,N463),Table117821341[[#This Row],[Pos.]]="TE1",AVERAGE(L463,M463,N463),Table117821341[[#This Row],[Pos.]]="TE2",AVERAGE(L463,M463,N463),Table117821341[[#This Row],[Pos.]]="D/ST",AVERAGE(Table117821341[[#This Row],[*TD*]]))</f>
        <v>#N/A</v>
      </c>
      <c r="X463" s="94" t="e">
        <f t="shared" si="7"/>
        <v>#N/A</v>
      </c>
    </row>
    <row r="464" spans="2:24" x14ac:dyDescent="0.35">
      <c r="B464" s="6" t="s">
        <v>111</v>
      </c>
      <c r="C464" s="97" t="s">
        <v>17</v>
      </c>
      <c r="D464" s="97" t="s">
        <v>399</v>
      </c>
      <c r="E464" s="23" t="str" cm="1">
        <f t="array" ref="E464">_xlfn.XLOOKUP(Table117821341[[#This Row],[Team]],Table4334[Team],'2425'!$C$3:$C$34)</f>
        <v>n/a</v>
      </c>
      <c r="F464" s="97" t="str">
        <f>_xlfn.XLOOKUP(Table117821341[[#This Row],[Team]],Table4334[Team],Table4334[OPP])</f>
        <v>n/a</v>
      </c>
      <c r="G464" s="148" t="e" cm="1">
        <f t="array" ref="G464">IF(Table117821341[[#This Row],[Pos.]]="QB1",_xlfn.XLOOKUP(Table117821341[[#This Row],[Opp]],Table123[DEF],'2425'!$G$3:$G$34),"#N/A")</f>
        <v>#N/A</v>
      </c>
      <c r="H464" s="148" t="e" cm="1">
        <f t="array" ref="H464">IF(Table117821341[[#This Row],[Pos.]]="QB1",_xlfn.XLOOKUP(Table117821341[[#This Row],[Opp]],Table123[DEF],'2425'!$J$3:$J$34),"#N/A")</f>
        <v>#N/A</v>
      </c>
      <c r="I464" s="148" t="e" cm="1">
        <f t="array" ref="I464">IF(Table117821341[[#This Row],[Pos.]]="QB1",_xlfn.XLOOKUP(Table117821341[[#This Row],[Opp]],Table123[DEF],'2425'!$K$3:$K$34),"#N/A")</f>
        <v>#N/A</v>
      </c>
      <c r="J464" s="148" t="e" cm="1">
        <f t="array" ref="J46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4" s="148" t="e" cm="1">
        <f t="array" ref="K46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4" s="148" t="e" cm="1">
        <f t="array" ref="L46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4" s="148" t="e" cm="1">
        <f t="array" ref="M46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4" s="148" t="e" cm="1">
        <f t="array" ref="N46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4" s="149" t="e">
        <f>IF(Table117821341[[#This Row],[Pos.]]="QB1",_xlfn.XLOOKUP(Table117821341[[#This Row],[Opp]],Table123[DEF],Table123[P]),"#N/A")</f>
        <v>#N/A</v>
      </c>
      <c r="P464" s="149" t="e">
        <f>IF(Table117821341[[#This Row],[Pos.]]="QB1",_xlfn.XLOOKUP(Table117821341[[#This Row],[Opp]],Table123[DEF],Table123[P+R]),"#N/A")</f>
        <v>#N/A</v>
      </c>
      <c r="Q464" s="150" t="e">
        <f>IF(Table117821341[[#This Row],[Pos.]]="QB1",_xlfn.XLOOKUP(Table117821341[[#This Row],[Opp]],Table123[DEF],Table123[P TD]),"#N/A")</f>
        <v>#N/A</v>
      </c>
      <c r="R464" s="149" t="e" cm="1">
        <f t="array" ref="R46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4" s="150" t="e" cm="1">
        <f t="array" ref="S46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4" s="150" t="e" cm="1">
        <f t="array" ref="T46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4" s="150" t="e" cm="1">
        <f t="array" ref="U46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4" s="162" t="e" cm="1">
        <f t="array" ref="V46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4" s="148" t="e" cm="1">
        <f t="array" ref="W464">_xlfn.IFS(Table117821341[[#This Row],[Pos.]]="QB1",AVERAGE(G464,H464,I464,J464,N464),Table117821341[[#This Row],[Pos.]]="RB1",AVERAGE(J464,K464,N464),Table117821341[[#This Row],[Pos.]]="RB2",AVERAGE(J464,K464,N464),Table117821341[[#This Row],[Pos.]]="WR1",AVERAGE(L464,M464,N464),Table117821341[[#This Row],[Pos.]]="WR2",AVERAGE(L464,M464,N464),Table117821341[[#This Row],[Pos.]]="WR3",AVERAGE(L464,M464,N464),Table117821341[[#This Row],[Pos.]]="WR4",AVERAGE(L464,M464,N464),Table117821341[[#This Row],[Pos.]]="TE1",AVERAGE(L464,M464,N464),Table117821341[[#This Row],[Pos.]]="TE2",AVERAGE(L464,M464,N464),Table117821341[[#This Row],[Pos.]]="D/ST",AVERAGE(Table117821341[[#This Row],[*TD*]]))</f>
        <v>#N/A</v>
      </c>
      <c r="X464" s="94" t="e">
        <f t="shared" si="7"/>
        <v>#N/A</v>
      </c>
    </row>
    <row r="465" spans="2:24" hidden="1" x14ac:dyDescent="0.35">
      <c r="B465" s="6" t="s">
        <v>345</v>
      </c>
      <c r="C465" s="97" t="s">
        <v>51</v>
      </c>
      <c r="D465" s="97" t="s">
        <v>394</v>
      </c>
      <c r="E465" s="23" t="str" cm="1">
        <f t="array" ref="E465">_xlfn.XLOOKUP(Table117821341[[#This Row],[Team]],Table4334[Team],'2425'!$C$3:$C$34)</f>
        <v>n/a</v>
      </c>
      <c r="F465" s="97" t="str">
        <f>_xlfn.XLOOKUP(Table117821341[[#This Row],[Team]],Table4334[Team],Table4334[OPP])</f>
        <v>n/a</v>
      </c>
      <c r="G465" s="148" t="str" cm="1">
        <f t="array" ref="G465">IF(Table117821341[[#This Row],[Pos.]]="QB1",_xlfn.XLOOKUP(Table117821341[[#This Row],[Opp]],Table123[DEF],'2425'!$G$3:$G$34),"#N/A")</f>
        <v>#N/A</v>
      </c>
      <c r="H465" s="148" t="str" cm="1">
        <f t="array" ref="H465">IF(Table117821341[[#This Row],[Pos.]]="QB1",_xlfn.XLOOKUP(Table117821341[[#This Row],[Opp]],Table123[DEF],'2425'!$J$3:$J$34),"#N/A")</f>
        <v>#N/A</v>
      </c>
      <c r="I465" s="148" t="str" cm="1">
        <f t="array" ref="I465">IF(Table117821341[[#This Row],[Pos.]]="QB1",_xlfn.XLOOKUP(Table117821341[[#This Row],[Opp]],Table123[DEF],'2425'!$K$3:$K$34),"#N/A")</f>
        <v>#N/A</v>
      </c>
      <c r="J465" s="148" t="e" cm="1">
        <f t="array" ref="J46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5" s="148" t="e" cm="1">
        <f t="array" ref="K46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5" s="148" t="e" cm="1">
        <f t="array" ref="L46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5" s="148" t="e" cm="1">
        <f t="array" ref="M46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5" s="148" t="e" cm="1">
        <f t="array" ref="N46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5" s="149" t="str">
        <f>IF(Table117821341[[#This Row],[Pos.]]="QB1",_xlfn.XLOOKUP(Table117821341[[#This Row],[Opp]],Table123[DEF],Table123[P]),"#N/A")</f>
        <v>#N/A</v>
      </c>
      <c r="P465" s="149" t="str">
        <f>IF(Table117821341[[#This Row],[Pos.]]="QB1",_xlfn.XLOOKUP(Table117821341[[#This Row],[Opp]],Table123[DEF],Table123[P+R]),"#N/A")</f>
        <v>#N/A</v>
      </c>
      <c r="Q465" s="150" t="str">
        <f>IF(Table117821341[[#This Row],[Pos.]]="QB1",_xlfn.XLOOKUP(Table117821341[[#This Row],[Opp]],Table123[DEF],Table123[P TD]),"#N/A")</f>
        <v>#N/A</v>
      </c>
      <c r="R465" s="149" t="e" cm="1">
        <f t="array" ref="R46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5" s="150" t="e" cm="1">
        <f t="array" ref="S46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5" s="150" t="e" cm="1">
        <f t="array" ref="T46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5" s="150" t="e" cm="1">
        <f t="array" ref="U46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5" s="150" t="e" cm="1">
        <f t="array" ref="V46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5" s="148" t="e" cm="1">
        <f t="array" ref="W465">_xlfn.IFS(Table117821341[[#This Row],[Pos.]]="QB1",AVERAGE(G465,H465,I465,J465,N465),Table117821341[[#This Row],[Pos.]]="RB1",AVERAGE(J465,K465,N465),Table117821341[[#This Row],[Pos.]]="RB2",AVERAGE(J465,K465,N465),Table117821341[[#This Row],[Pos.]]="WR1",AVERAGE(L465,M465,N465),Table117821341[[#This Row],[Pos.]]="WR2",AVERAGE(L465,M465,N465),Table117821341[[#This Row],[Pos.]]="WR3",AVERAGE(L465,M465,N465),Table117821341[[#This Row],[Pos.]]="WR4",AVERAGE(L465,M465,N465),Table117821341[[#This Row],[Pos.]]="TE1",AVERAGE(L465,M465,N465),Table117821341[[#This Row],[Pos.]]="TE2",AVERAGE(L465,M465,N465),Table117821341[[#This Row],[Pos.]]="D/ST",AVERAGE(Table117821341[[#This Row],[*TD*]]))</f>
        <v>#N/A</v>
      </c>
      <c r="X465" s="94" t="e">
        <f t="shared" si="7"/>
        <v>#N/A</v>
      </c>
    </row>
    <row r="466" spans="2:24" hidden="1" x14ac:dyDescent="0.35">
      <c r="B466" s="6" t="s">
        <v>343</v>
      </c>
      <c r="C466" s="97" t="s">
        <v>51</v>
      </c>
      <c r="D466" s="97" t="s">
        <v>396</v>
      </c>
      <c r="E466" s="23" t="str" cm="1">
        <f t="array" ref="E466">_xlfn.XLOOKUP(Table117821341[[#This Row],[Team]],Table4334[Team],'2425'!$C$3:$C$34)</f>
        <v>n/a</v>
      </c>
      <c r="F466" s="97" t="str">
        <f>_xlfn.XLOOKUP(Table117821341[[#This Row],[Team]],Table4334[Team],Table4334[OPP])</f>
        <v>n/a</v>
      </c>
      <c r="G466" s="148" t="str" cm="1">
        <f t="array" ref="G466">IF(Table117821341[[#This Row],[Pos.]]="QB1",_xlfn.XLOOKUP(Table117821341[[#This Row],[Opp]],Table123[DEF],'2425'!$G$3:$G$34),"#N/A")</f>
        <v>#N/A</v>
      </c>
      <c r="H466" s="148" t="str" cm="1">
        <f t="array" ref="H466">IF(Table117821341[[#This Row],[Pos.]]="QB1",_xlfn.XLOOKUP(Table117821341[[#This Row],[Opp]],Table123[DEF],'2425'!$J$3:$J$34),"#N/A")</f>
        <v>#N/A</v>
      </c>
      <c r="I466" s="148" t="str" cm="1">
        <f t="array" ref="I466">IF(Table117821341[[#This Row],[Pos.]]="QB1",_xlfn.XLOOKUP(Table117821341[[#This Row],[Opp]],Table123[DEF],'2425'!$K$3:$K$34),"#N/A")</f>
        <v>#N/A</v>
      </c>
      <c r="J466" s="148" t="e" cm="1">
        <f t="array" ref="J46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6" s="148" t="e" cm="1">
        <f t="array" ref="K46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6" s="148" t="e" cm="1">
        <f t="array" ref="L46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6" s="148" t="e" cm="1">
        <f t="array" ref="M46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6" s="148" t="e" cm="1">
        <f t="array" ref="N46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6" s="149" t="str">
        <f>IF(Table117821341[[#This Row],[Pos.]]="QB1",_xlfn.XLOOKUP(Table117821341[[#This Row],[Opp]],Table123[DEF],Table123[P]),"#N/A")</f>
        <v>#N/A</v>
      </c>
      <c r="P466" s="149" t="str">
        <f>IF(Table117821341[[#This Row],[Pos.]]="QB1",_xlfn.XLOOKUP(Table117821341[[#This Row],[Opp]],Table123[DEF],Table123[P+R]),"#N/A")</f>
        <v>#N/A</v>
      </c>
      <c r="Q466" s="150" t="str">
        <f>IF(Table117821341[[#This Row],[Pos.]]="QB1",_xlfn.XLOOKUP(Table117821341[[#This Row],[Opp]],Table123[DEF],Table123[P TD]),"#N/A")</f>
        <v>#N/A</v>
      </c>
      <c r="R466" s="149" t="e" cm="1">
        <f t="array" ref="R46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6" s="150" t="e" cm="1">
        <f t="array" ref="S46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6" s="150" t="e" cm="1">
        <f t="array" ref="T46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6" s="150" t="e" cm="1">
        <f t="array" ref="U46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6" s="150" t="e" cm="1">
        <f t="array" ref="V46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6" s="148" t="e" cm="1">
        <f t="array" ref="W466">_xlfn.IFS(Table117821341[[#This Row],[Pos.]]="QB1",AVERAGE(G466,H466,I466,J466,N466),Table117821341[[#This Row],[Pos.]]="RB1",AVERAGE(J466,K466,N466),Table117821341[[#This Row],[Pos.]]="RB2",AVERAGE(J466,K466,N466),Table117821341[[#This Row],[Pos.]]="WR1",AVERAGE(L466,M466,N466),Table117821341[[#This Row],[Pos.]]="WR2",AVERAGE(L466,M466,N466),Table117821341[[#This Row],[Pos.]]="WR3",AVERAGE(L466,M466,N466),Table117821341[[#This Row],[Pos.]]="WR4",AVERAGE(L466,M466,N466),Table117821341[[#This Row],[Pos.]]="TE1",AVERAGE(L466,M466,N466),Table117821341[[#This Row],[Pos.]]="TE2",AVERAGE(L466,M466,N466),Table117821341[[#This Row],[Pos.]]="D/ST",AVERAGE(Table117821341[[#This Row],[*TD*]]))</f>
        <v>#N/A</v>
      </c>
      <c r="X466" s="94" t="e">
        <f t="shared" si="7"/>
        <v>#N/A</v>
      </c>
    </row>
    <row r="467" spans="2:24" x14ac:dyDescent="0.35">
      <c r="B467" s="6" t="s">
        <v>718</v>
      </c>
      <c r="C467" s="97" t="s">
        <v>37</v>
      </c>
      <c r="D467" s="97" t="s">
        <v>71</v>
      </c>
      <c r="E467" s="23" t="str" cm="1">
        <f t="array" ref="E467">_xlfn.XLOOKUP(Table117821341[[#This Row],[Team]],Table4334[Team],'2425'!$C$3:$C$34)</f>
        <v>n/a</v>
      </c>
      <c r="F467" s="97" t="str">
        <f>_xlfn.XLOOKUP(Table117821341[[#This Row],[Team]],Table4334[Team],Table4334[OPP])</f>
        <v>n/a</v>
      </c>
      <c r="G467" s="148" t="str" cm="1">
        <f t="array" ref="G467">IF(Table117821341[[#This Row],[Pos.]]="QB1",_xlfn.XLOOKUP(Table117821341[[#This Row],[Opp]],Table123[DEF],'2425'!$G$3:$G$34),"#N/A")</f>
        <v>#N/A</v>
      </c>
      <c r="H467" s="148" t="str" cm="1">
        <f t="array" ref="H467">IF(Table117821341[[#This Row],[Pos.]]="QB1",_xlfn.XLOOKUP(Table117821341[[#This Row],[Opp]],Table123[DEF],'2425'!$J$3:$J$34),"#N/A")</f>
        <v>#N/A</v>
      </c>
      <c r="I467" s="148" t="str" cm="1">
        <f t="array" ref="I467">IF(Table117821341[[#This Row],[Pos.]]="QB1",_xlfn.XLOOKUP(Table117821341[[#This Row],[Opp]],Table123[DEF],'2425'!$K$3:$K$34),"#N/A")</f>
        <v>#N/A</v>
      </c>
      <c r="J467" s="148" t="e" cm="1">
        <f t="array" ref="J46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7" s="148" t="e" cm="1">
        <f t="array" ref="K46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7" s="148" t="e" cm="1">
        <f t="array" ref="L46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7" s="148" t="e" cm="1">
        <f t="array" ref="M46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7" s="148" t="e" cm="1">
        <f t="array" ref="N46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7" s="149" t="str">
        <f>IF(Table117821341[[#This Row],[Pos.]]="QB1",_xlfn.XLOOKUP(Table117821341[[#This Row],[Opp]],Table123[DEF],Table123[P]),"#N/A")</f>
        <v>#N/A</v>
      </c>
      <c r="P467" s="149" t="str">
        <f>IF(Table117821341[[#This Row],[Pos.]]="QB1",_xlfn.XLOOKUP(Table117821341[[#This Row],[Opp]],Table123[DEF],Table123[P+R]),"#N/A")</f>
        <v>#N/A</v>
      </c>
      <c r="Q467" s="150" t="str">
        <f>IF(Table117821341[[#This Row],[Pos.]]="QB1",_xlfn.XLOOKUP(Table117821341[[#This Row],[Opp]],Table123[DEF],Table123[P TD]),"#N/A")</f>
        <v>#N/A</v>
      </c>
      <c r="R467" s="149" t="e" cm="1">
        <f t="array" ref="R46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7" s="150" t="e" cm="1">
        <f t="array" ref="S46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7" s="150" t="e" cm="1">
        <f t="array" ref="T46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7" s="150" t="e" cm="1">
        <f t="array" ref="U46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7" s="162" t="e" cm="1">
        <f t="array" ref="V46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7" s="148" t="e" cm="1">
        <f t="array" ref="W467">_xlfn.IFS(Table117821341[[#This Row],[Pos.]]="QB1",AVERAGE(G467,H467,I467,J467,N467),Table117821341[[#This Row],[Pos.]]="RB1",AVERAGE(J467,K467,N467),Table117821341[[#This Row],[Pos.]]="RB2",AVERAGE(J467,K467,N467),Table117821341[[#This Row],[Pos.]]="WR1",AVERAGE(L467,M467,N467),Table117821341[[#This Row],[Pos.]]="WR2",AVERAGE(L467,M467,N467),Table117821341[[#This Row],[Pos.]]="WR3",AVERAGE(L467,M467,N467),Table117821341[[#This Row],[Pos.]]="WR4",AVERAGE(L467,M467,N467),Table117821341[[#This Row],[Pos.]]="TE1",AVERAGE(L467,M467,N467),Table117821341[[#This Row],[Pos.]]="TE2",AVERAGE(L467,M467,N467),Table117821341[[#This Row],[Pos.]]="D/ST",AVERAGE(Table117821341[[#This Row],[*TD*]]))</f>
        <v>#N/A</v>
      </c>
      <c r="X467" s="94" t="e">
        <f t="shared" si="7"/>
        <v>#N/A</v>
      </c>
    </row>
    <row r="468" spans="2:24" hidden="1" x14ac:dyDescent="0.35">
      <c r="B468" s="6" t="s">
        <v>347</v>
      </c>
      <c r="C468" s="97" t="s">
        <v>51</v>
      </c>
      <c r="D468" s="97" t="s">
        <v>398</v>
      </c>
      <c r="E468" s="23" t="str" cm="1">
        <f t="array" ref="E468">_xlfn.XLOOKUP(Table117821341[[#This Row],[Team]],Table4334[Team],'2425'!$C$3:$C$34)</f>
        <v>n/a</v>
      </c>
      <c r="F468" s="97" t="str">
        <f>_xlfn.XLOOKUP(Table117821341[[#This Row],[Team]],Table4334[Team],Table4334[OPP])</f>
        <v>n/a</v>
      </c>
      <c r="G468" s="148" t="str" cm="1">
        <f t="array" ref="G468">IF(Table117821341[[#This Row],[Pos.]]="QB1",_xlfn.XLOOKUP(Table117821341[[#This Row],[Opp]],Table123[DEF],'2425'!$G$3:$G$34),"#N/A")</f>
        <v>#N/A</v>
      </c>
      <c r="H468" s="148" t="str" cm="1">
        <f t="array" ref="H468">IF(Table117821341[[#This Row],[Pos.]]="QB1",_xlfn.XLOOKUP(Table117821341[[#This Row],[Opp]],Table123[DEF],'2425'!$J$3:$J$34),"#N/A")</f>
        <v>#N/A</v>
      </c>
      <c r="I468" s="148" t="str" cm="1">
        <f t="array" ref="I468">IF(Table117821341[[#This Row],[Pos.]]="QB1",_xlfn.XLOOKUP(Table117821341[[#This Row],[Opp]],Table123[DEF],'2425'!$K$3:$K$34),"#N/A")</f>
        <v>#N/A</v>
      </c>
      <c r="J468" s="148" t="e" cm="1">
        <f t="array" ref="J46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8" s="148" t="e" cm="1">
        <f t="array" ref="K46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8" s="148" t="e" cm="1">
        <f t="array" ref="L46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8" s="148" t="e" cm="1">
        <f t="array" ref="M46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8" s="148" t="e" cm="1">
        <f t="array" ref="N46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8" s="149" t="str">
        <f>IF(Table117821341[[#This Row],[Pos.]]="QB1",_xlfn.XLOOKUP(Table117821341[[#This Row],[Opp]],Table123[DEF],Table123[P]),"#N/A")</f>
        <v>#N/A</v>
      </c>
      <c r="P468" s="149" t="str">
        <f>IF(Table117821341[[#This Row],[Pos.]]="QB1",_xlfn.XLOOKUP(Table117821341[[#This Row],[Opp]],Table123[DEF],Table123[P+R]),"#N/A")</f>
        <v>#N/A</v>
      </c>
      <c r="Q468" s="150" t="str">
        <f>IF(Table117821341[[#This Row],[Pos.]]="QB1",_xlfn.XLOOKUP(Table117821341[[#This Row],[Opp]],Table123[DEF],Table123[P TD]),"#N/A")</f>
        <v>#N/A</v>
      </c>
      <c r="R468" s="149" t="e" cm="1">
        <f t="array" ref="R46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8" s="150" t="e" cm="1">
        <f t="array" ref="S46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8" s="150" t="e" cm="1">
        <f t="array" ref="T46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8" s="150" t="e" cm="1">
        <f t="array" ref="U46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8" s="150" t="e" cm="1">
        <f t="array" ref="V46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8" s="148" t="e" cm="1">
        <f t="array" ref="W468">_xlfn.IFS(Table117821341[[#This Row],[Pos.]]="QB1",AVERAGE(G468,H468,I468,J468,N468),Table117821341[[#This Row],[Pos.]]="RB1",AVERAGE(J468,K468,N468),Table117821341[[#This Row],[Pos.]]="RB2",AVERAGE(J468,K468,N468),Table117821341[[#This Row],[Pos.]]="WR1",AVERAGE(L468,M468,N468),Table117821341[[#This Row],[Pos.]]="WR2",AVERAGE(L468,M468,N468),Table117821341[[#This Row],[Pos.]]="WR3",AVERAGE(L468,M468,N468),Table117821341[[#This Row],[Pos.]]="WR4",AVERAGE(L468,M468,N468),Table117821341[[#This Row],[Pos.]]="TE1",AVERAGE(L468,M468,N468),Table117821341[[#This Row],[Pos.]]="TE2",AVERAGE(L468,M468,N468),Table117821341[[#This Row],[Pos.]]="D/ST",AVERAGE(Table117821341[[#This Row],[*TD*]]))</f>
        <v>#N/A</v>
      </c>
      <c r="X468" s="94" t="e">
        <f t="shared" si="7"/>
        <v>#N/A</v>
      </c>
    </row>
    <row r="469" spans="2:24" hidden="1" x14ac:dyDescent="0.35">
      <c r="B469" s="6" t="s">
        <v>494</v>
      </c>
      <c r="C469" s="97" t="s">
        <v>51</v>
      </c>
      <c r="D469" s="97" t="s">
        <v>430</v>
      </c>
      <c r="E469" s="23" t="str" cm="1">
        <f t="array" ref="E469">_xlfn.XLOOKUP(Table117821341[[#This Row],[Team]],Table4334[Team],'2425'!$C$3:$C$34)</f>
        <v>n/a</v>
      </c>
      <c r="F469" s="97" t="str">
        <f>_xlfn.XLOOKUP(Table117821341[[#This Row],[Team]],Table4334[Team],Table4334[OPP])</f>
        <v>n/a</v>
      </c>
      <c r="G469" s="148" t="str" cm="1">
        <f t="array" ref="G469">IF(Table117821341[[#This Row],[Pos.]]="QB1",_xlfn.XLOOKUP(Table117821341[[#This Row],[Opp]],Table123[DEF],'2425'!$G$3:$G$34),"#N/A")</f>
        <v>#N/A</v>
      </c>
      <c r="H469" s="148" t="str" cm="1">
        <f t="array" ref="H469">IF(Table117821341[[#This Row],[Pos.]]="QB1",_xlfn.XLOOKUP(Table117821341[[#This Row],[Opp]],Table123[DEF],'2425'!$J$3:$J$34),"#N/A")</f>
        <v>#N/A</v>
      </c>
      <c r="I469" s="148" t="str" cm="1">
        <f t="array" ref="I469">IF(Table117821341[[#This Row],[Pos.]]="QB1",_xlfn.XLOOKUP(Table117821341[[#This Row],[Opp]],Table123[DEF],'2425'!$K$3:$K$34),"#N/A")</f>
        <v>#N/A</v>
      </c>
      <c r="J469" s="148" t="e" cm="1">
        <f t="array" ref="J46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69" s="148" t="e" cm="1">
        <f t="array" ref="K46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69" s="148" t="e" cm="1">
        <f t="array" ref="L46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69" s="148" t="e" cm="1">
        <f t="array" ref="M46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69" s="148" t="e" cm="1">
        <f t="array" ref="N46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69" s="149" t="str">
        <f>IF(Table117821341[[#This Row],[Pos.]]="QB1",_xlfn.XLOOKUP(Table117821341[[#This Row],[Opp]],Table123[DEF],Table123[P]),"#N/A")</f>
        <v>#N/A</v>
      </c>
      <c r="P469" s="149" t="str">
        <f>IF(Table117821341[[#This Row],[Pos.]]="QB1",_xlfn.XLOOKUP(Table117821341[[#This Row],[Opp]],Table123[DEF],Table123[P+R]),"#N/A")</f>
        <v>#N/A</v>
      </c>
      <c r="Q469" s="150" t="str">
        <f>IF(Table117821341[[#This Row],[Pos.]]="QB1",_xlfn.XLOOKUP(Table117821341[[#This Row],[Opp]],Table123[DEF],Table123[P TD]),"#N/A")</f>
        <v>#N/A</v>
      </c>
      <c r="R469" s="149" t="e" cm="1">
        <f t="array" ref="R46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69" s="150" t="e" cm="1">
        <f t="array" ref="S46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69" s="150" t="e" cm="1">
        <f t="array" ref="T46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69" s="150" t="e" cm="1">
        <f t="array" ref="U46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69" s="150" t="e" cm="1">
        <f t="array" ref="V46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69" s="148" t="e" cm="1">
        <f t="array" ref="W469">_xlfn.IFS(Table117821341[[#This Row],[Pos.]]="QB1",AVERAGE(G469,H469,I469,J469,N469),Table117821341[[#This Row],[Pos.]]="RB1",AVERAGE(J469,K469,N469),Table117821341[[#This Row],[Pos.]]="RB2",AVERAGE(J469,K469,N469),Table117821341[[#This Row],[Pos.]]="WR1",AVERAGE(L469,M469,N469),Table117821341[[#This Row],[Pos.]]="WR2",AVERAGE(L469,M469,N469),Table117821341[[#This Row],[Pos.]]="WR3",AVERAGE(L469,M469,N469),Table117821341[[#This Row],[Pos.]]="WR4",AVERAGE(L469,M469,N469),Table117821341[[#This Row],[Pos.]]="TE1",AVERAGE(L469,M469,N469),Table117821341[[#This Row],[Pos.]]="TE2",AVERAGE(L469,M469,N469),Table117821341[[#This Row],[Pos.]]="D/ST",AVERAGE(Table117821341[[#This Row],[*TD*]]))</f>
        <v>#N/A</v>
      </c>
      <c r="X469" s="94" t="e">
        <f t="shared" si="7"/>
        <v>#N/A</v>
      </c>
    </row>
    <row r="470" spans="2:24" hidden="1" x14ac:dyDescent="0.35">
      <c r="B470" s="6" t="s">
        <v>495</v>
      </c>
      <c r="C470" s="97" t="s">
        <v>51</v>
      </c>
      <c r="D470" s="97" t="s">
        <v>435</v>
      </c>
      <c r="E470" s="23" t="str" cm="1">
        <f t="array" ref="E470">_xlfn.XLOOKUP(Table117821341[[#This Row],[Team]],Table4334[Team],'2425'!$C$3:$C$34)</f>
        <v>n/a</v>
      </c>
      <c r="F470" s="97" t="str">
        <f>_xlfn.XLOOKUP(Table117821341[[#This Row],[Team]],Table4334[Team],Table4334[OPP])</f>
        <v>n/a</v>
      </c>
      <c r="G470" s="148" t="str" cm="1">
        <f t="array" ref="G470">IF(Table117821341[[#This Row],[Pos.]]="QB1",_xlfn.XLOOKUP(Table117821341[[#This Row],[Opp]],Table123[DEF],'2425'!$G$3:$G$34),"#N/A")</f>
        <v>#N/A</v>
      </c>
      <c r="H470" s="148" t="str" cm="1">
        <f t="array" ref="H470">IF(Table117821341[[#This Row],[Pos.]]="QB1",_xlfn.XLOOKUP(Table117821341[[#This Row],[Opp]],Table123[DEF],'2425'!$J$3:$J$34),"#N/A")</f>
        <v>#N/A</v>
      </c>
      <c r="I470" s="148" t="str" cm="1">
        <f t="array" ref="I470">IF(Table117821341[[#This Row],[Pos.]]="QB1",_xlfn.XLOOKUP(Table117821341[[#This Row],[Opp]],Table123[DEF],'2425'!$K$3:$K$34),"#N/A")</f>
        <v>#N/A</v>
      </c>
      <c r="J470" s="148" t="e" cm="1">
        <f t="array" ref="J47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0" s="148" t="e" cm="1">
        <f t="array" ref="K47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0" s="148" t="e" cm="1">
        <f t="array" ref="L47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0" s="148" t="e" cm="1">
        <f t="array" ref="M47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0" s="148" t="e" cm="1">
        <f t="array" ref="N47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0" s="149" t="str">
        <f>IF(Table117821341[[#This Row],[Pos.]]="QB1",_xlfn.XLOOKUP(Table117821341[[#This Row],[Opp]],Table123[DEF],Table123[P]),"#N/A")</f>
        <v>#N/A</v>
      </c>
      <c r="P470" s="149" t="str">
        <f>IF(Table117821341[[#This Row],[Pos.]]="QB1",_xlfn.XLOOKUP(Table117821341[[#This Row],[Opp]],Table123[DEF],Table123[P+R]),"#N/A")</f>
        <v>#N/A</v>
      </c>
      <c r="Q470" s="150" t="str">
        <f>IF(Table117821341[[#This Row],[Pos.]]="QB1",_xlfn.XLOOKUP(Table117821341[[#This Row],[Opp]],Table123[DEF],Table123[P TD]),"#N/A")</f>
        <v>#N/A</v>
      </c>
      <c r="R470" s="149" t="e" cm="1">
        <f t="array" ref="R47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0" s="150" t="e" cm="1">
        <f t="array" ref="S47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0" s="150" t="e" cm="1">
        <f t="array" ref="T47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0" s="150" t="e" cm="1">
        <f t="array" ref="U47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0" s="150" t="e" cm="1">
        <f t="array" ref="V47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0" s="148" t="e" cm="1">
        <f t="array" ref="W470">_xlfn.IFS(Table117821341[[#This Row],[Pos.]]="QB1",AVERAGE(G470,H470,I470,J470,N470),Table117821341[[#This Row],[Pos.]]="RB1",AVERAGE(J470,K470,N470),Table117821341[[#This Row],[Pos.]]="RB2",AVERAGE(J470,K470,N470),Table117821341[[#This Row],[Pos.]]="WR1",AVERAGE(L470,M470,N470),Table117821341[[#This Row],[Pos.]]="WR2",AVERAGE(L470,M470,N470),Table117821341[[#This Row],[Pos.]]="WR3",AVERAGE(L470,M470,N470),Table117821341[[#This Row],[Pos.]]="WR4",AVERAGE(L470,M470,N470),Table117821341[[#This Row],[Pos.]]="TE1",AVERAGE(L470,M470,N470),Table117821341[[#This Row],[Pos.]]="TE2",AVERAGE(L470,M470,N470),Table117821341[[#This Row],[Pos.]]="D/ST",AVERAGE(Table117821341[[#This Row],[*TD*]]))</f>
        <v>#N/A</v>
      </c>
      <c r="X470" s="94" t="e">
        <f t="shared" si="7"/>
        <v>#N/A</v>
      </c>
    </row>
    <row r="471" spans="2:24" x14ac:dyDescent="0.35">
      <c r="B471" s="6" t="s">
        <v>144</v>
      </c>
      <c r="C471" s="97" t="s">
        <v>17</v>
      </c>
      <c r="D471" s="97" t="s">
        <v>66</v>
      </c>
      <c r="E471" s="23" t="str" cm="1">
        <f t="array" ref="E471">_xlfn.XLOOKUP(Table117821341[[#This Row],[Team]],Table4334[Team],'2425'!$C$3:$C$34)</f>
        <v>n/a</v>
      </c>
      <c r="F471" s="97" t="str">
        <f>_xlfn.XLOOKUP(Table117821341[[#This Row],[Team]],Table4334[Team],Table4334[OPP])</f>
        <v>n/a</v>
      </c>
      <c r="G471" s="148" t="str" cm="1">
        <f t="array" ref="G471">IF(Table117821341[[#This Row],[Pos.]]="QB1",_xlfn.XLOOKUP(Table117821341[[#This Row],[Opp]],Table123[DEF],'2425'!$G$3:$G$34),"#N/A")</f>
        <v>#N/A</v>
      </c>
      <c r="H471" s="148" t="str" cm="1">
        <f t="array" ref="H471">IF(Table117821341[[#This Row],[Pos.]]="QB1",_xlfn.XLOOKUP(Table117821341[[#This Row],[Opp]],Table123[DEF],'2425'!$J$3:$J$34),"#N/A")</f>
        <v>#N/A</v>
      </c>
      <c r="I471" s="148" t="str" cm="1">
        <f t="array" ref="I471">IF(Table117821341[[#This Row],[Pos.]]="QB1",_xlfn.XLOOKUP(Table117821341[[#This Row],[Opp]],Table123[DEF],'2425'!$K$3:$K$34),"#N/A")</f>
        <v>#N/A</v>
      </c>
      <c r="J471" s="148" t="e" cm="1">
        <f t="array" ref="J47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1" s="148" t="e" cm="1">
        <f t="array" ref="K47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1" s="148" t="e" cm="1">
        <f t="array" ref="L47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1" s="148" t="e" cm="1">
        <f t="array" ref="M47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1" s="148" t="e" cm="1">
        <f t="array" ref="N47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1" s="149" t="str">
        <f>IF(Table117821341[[#This Row],[Pos.]]="QB1",_xlfn.XLOOKUP(Table117821341[[#This Row],[Opp]],Table123[DEF],Table123[P]),"#N/A")</f>
        <v>#N/A</v>
      </c>
      <c r="P471" s="149" t="str">
        <f>IF(Table117821341[[#This Row],[Pos.]]="QB1",_xlfn.XLOOKUP(Table117821341[[#This Row],[Opp]],Table123[DEF],Table123[P+R]),"#N/A")</f>
        <v>#N/A</v>
      </c>
      <c r="Q471" s="150" t="str">
        <f>IF(Table117821341[[#This Row],[Pos.]]="QB1",_xlfn.XLOOKUP(Table117821341[[#This Row],[Opp]],Table123[DEF],Table123[P TD]),"#N/A")</f>
        <v>#N/A</v>
      </c>
      <c r="R471" s="149" t="e" cm="1">
        <f t="array" ref="R47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1" s="150" t="e" cm="1">
        <f t="array" ref="S47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1" s="150" t="e" cm="1">
        <f t="array" ref="T47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1" s="150" t="e" cm="1">
        <f t="array" ref="U47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1" s="162" t="e" cm="1">
        <f t="array" ref="V47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1" s="148" t="e" cm="1">
        <f t="array" ref="W471">_xlfn.IFS(Table117821341[[#This Row],[Pos.]]="QB1",AVERAGE(G471,H471,I471,J471,N471),Table117821341[[#This Row],[Pos.]]="RB1",AVERAGE(J471,K471,N471),Table117821341[[#This Row],[Pos.]]="RB2",AVERAGE(J471,K471,N471),Table117821341[[#This Row],[Pos.]]="WR1",AVERAGE(L471,M471,N471),Table117821341[[#This Row],[Pos.]]="WR2",AVERAGE(L471,M471,N471),Table117821341[[#This Row],[Pos.]]="WR3",AVERAGE(L471,M471,N471),Table117821341[[#This Row],[Pos.]]="WR4",AVERAGE(L471,M471,N471),Table117821341[[#This Row],[Pos.]]="TE1",AVERAGE(L471,M471,N471),Table117821341[[#This Row],[Pos.]]="TE2",AVERAGE(L471,M471,N471),Table117821341[[#This Row],[Pos.]]="D/ST",AVERAGE(Table117821341[[#This Row],[*TD*]]))</f>
        <v>#N/A</v>
      </c>
      <c r="X471" s="94" t="e">
        <f t="shared" si="7"/>
        <v>#N/A</v>
      </c>
    </row>
    <row r="472" spans="2:24" x14ac:dyDescent="0.35">
      <c r="B472" s="6" t="s">
        <v>412</v>
      </c>
      <c r="C472" s="97" t="s">
        <v>46</v>
      </c>
      <c r="D472" s="97" t="s">
        <v>68</v>
      </c>
      <c r="E472" s="23" t="str" cm="1">
        <f t="array" ref="E472">_xlfn.XLOOKUP(Table117821341[[#This Row],[Team]],Table4334[Team],'2425'!$C$3:$C$34)</f>
        <v>SB LX</v>
      </c>
      <c r="F472" s="97" t="str">
        <f>_xlfn.XLOOKUP(Table117821341[[#This Row],[Team]],Table4334[Team],Table4334[OPP])</f>
        <v>SEA</v>
      </c>
      <c r="G472" s="148" t="str" cm="1">
        <f t="array" ref="G472">IF(Table117821341[[#This Row],[Pos.]]="QB1",_xlfn.XLOOKUP(Table117821341[[#This Row],[Opp]],Table123[DEF],'2425'!$G$3:$G$34),"#N/A")</f>
        <v>#N/A</v>
      </c>
      <c r="H472" s="148" t="str" cm="1">
        <f t="array" ref="H472">IF(Table117821341[[#This Row],[Pos.]]="QB1",_xlfn.XLOOKUP(Table117821341[[#This Row],[Opp]],Table123[DEF],'2425'!$J$3:$J$34),"#N/A")</f>
        <v>#N/A</v>
      </c>
      <c r="I472" s="148" t="str" cm="1">
        <f t="array" ref="I472">IF(Table117821341[[#This Row],[Pos.]]="QB1",_xlfn.XLOOKUP(Table117821341[[#This Row],[Opp]],Table123[DEF],'2425'!$K$3:$K$34),"#N/A")</f>
        <v>#N/A</v>
      </c>
      <c r="J472" s="148" t="e" cm="1">
        <f t="array" ref="J47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2" s="148" t="e" cm="1">
        <f t="array" ref="K47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2" s="148" cm="1">
        <f t="array" ref="L47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18.5</v>
      </c>
      <c r="M472" s="148" cm="1">
        <f t="array" ref="M47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29</v>
      </c>
      <c r="N472" s="148" cm="1">
        <f t="array" ref="N47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</v>
      </c>
      <c r="O472" s="149" t="str">
        <f>IF(Table117821341[[#This Row],[Pos.]]="QB1",_xlfn.XLOOKUP(Table117821341[[#This Row],[Opp]],Table123[DEF],Table123[P]),"#N/A")</f>
        <v>#N/A</v>
      </c>
      <c r="P472" s="149" t="str">
        <f>IF(Table117821341[[#This Row],[Pos.]]="QB1",_xlfn.XLOOKUP(Table117821341[[#This Row],[Opp]],Table123[DEF],Table123[P+R]),"#N/A")</f>
        <v>#N/A</v>
      </c>
      <c r="Q472" s="150" t="str">
        <f>IF(Table117821341[[#This Row],[Pos.]]="QB1",_xlfn.XLOOKUP(Table117821341[[#This Row],[Opp]],Table123[DEF],Table123[P TD]),"#N/A")</f>
        <v>#N/A</v>
      </c>
      <c r="R472" s="149" t="e" cm="1">
        <f t="array" ref="R47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2" s="150" t="e" cm="1">
        <f t="array" ref="S47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2" s="150" cm="1">
        <f t="array" ref="T47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2</v>
      </c>
      <c r="U472" s="150" cm="1">
        <f t="array" ref="U47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21.794117647058822</v>
      </c>
      <c r="V472" s="162" cm="1">
        <f t="array" ref="V47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0.26470588235294118</v>
      </c>
      <c r="W472" s="148" cm="1">
        <f t="array" ref="W472">_xlfn.IFS(Table117821341[[#This Row],[Pos.]]="QB1",AVERAGE(G472,H472,I472,J472,N472),Table117821341[[#This Row],[Pos.]]="RB1",AVERAGE(J472,K472,N472),Table117821341[[#This Row],[Pos.]]="RB2",AVERAGE(J472,K472,N472),Table117821341[[#This Row],[Pos.]]="WR1",AVERAGE(L472,M472,N472),Table117821341[[#This Row],[Pos.]]="WR2",AVERAGE(L472,M472,N472),Table117821341[[#This Row],[Pos.]]="WR3",AVERAGE(L472,M472,N472),Table117821341[[#This Row],[Pos.]]="WR4",AVERAGE(L472,M472,N472),Table117821341[[#This Row],[Pos.]]="TE1",AVERAGE(L472,M472,N472),Table117821341[[#This Row],[Pos.]]="TE2",AVERAGE(L472,M472,N472),Table117821341[[#This Row],[Pos.]]="D/ST",AVERAGE(Table117821341[[#This Row],[*TD*]]))</f>
        <v>16.166666666666668</v>
      </c>
      <c r="X472" s="94">
        <f t="shared" si="7"/>
        <v>8.5833333333333339</v>
      </c>
    </row>
    <row r="473" spans="2:24" x14ac:dyDescent="0.35">
      <c r="B473" s="6" t="s">
        <v>273</v>
      </c>
      <c r="C473" s="97" t="s">
        <v>42</v>
      </c>
      <c r="D473" s="97" t="s">
        <v>68</v>
      </c>
      <c r="E473" s="23" t="str" cm="1">
        <f t="array" ref="E473">_xlfn.XLOOKUP(Table117821341[[#This Row],[Team]],Table4334[Team],'2425'!$C$3:$C$34)</f>
        <v>n/a</v>
      </c>
      <c r="F473" s="97" t="str">
        <f>_xlfn.XLOOKUP(Table117821341[[#This Row],[Team]],Table4334[Team],Table4334[OPP])</f>
        <v>n/a</v>
      </c>
      <c r="G473" s="148" t="str" cm="1">
        <f t="array" ref="G473">IF(Table117821341[[#This Row],[Pos.]]="QB1",_xlfn.XLOOKUP(Table117821341[[#This Row],[Opp]],Table123[DEF],'2425'!$G$3:$G$34),"#N/A")</f>
        <v>#N/A</v>
      </c>
      <c r="H473" s="148" t="str" cm="1">
        <f t="array" ref="H473">IF(Table117821341[[#This Row],[Pos.]]="QB1",_xlfn.XLOOKUP(Table117821341[[#This Row],[Opp]],Table123[DEF],'2425'!$J$3:$J$34),"#N/A")</f>
        <v>#N/A</v>
      </c>
      <c r="I473" s="148" t="str" cm="1">
        <f t="array" ref="I473">IF(Table117821341[[#This Row],[Pos.]]="QB1",_xlfn.XLOOKUP(Table117821341[[#This Row],[Opp]],Table123[DEF],'2425'!$K$3:$K$34),"#N/A")</f>
        <v>#N/A</v>
      </c>
      <c r="J473" s="148" t="e" cm="1">
        <f t="array" ref="J47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3" s="148" t="e" cm="1">
        <f t="array" ref="K47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3" s="148" t="e" cm="1">
        <f t="array" ref="L47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3" s="148" t="e" cm="1">
        <f t="array" ref="M47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3" s="148" t="e" cm="1">
        <f t="array" ref="N47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3" s="149" t="str">
        <f>IF(Table117821341[[#This Row],[Pos.]]="QB1",_xlfn.XLOOKUP(Table117821341[[#This Row],[Opp]],Table123[DEF],Table123[P]),"#N/A")</f>
        <v>#N/A</v>
      </c>
      <c r="P473" s="149" t="str">
        <f>IF(Table117821341[[#This Row],[Pos.]]="QB1",_xlfn.XLOOKUP(Table117821341[[#This Row],[Opp]],Table123[DEF],Table123[P+R]),"#N/A")</f>
        <v>#N/A</v>
      </c>
      <c r="Q473" s="150" t="str">
        <f>IF(Table117821341[[#This Row],[Pos.]]="QB1",_xlfn.XLOOKUP(Table117821341[[#This Row],[Opp]],Table123[DEF],Table123[P TD]),"#N/A")</f>
        <v>#N/A</v>
      </c>
      <c r="R473" s="149" t="e" cm="1">
        <f t="array" ref="R47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3" s="150" t="e" cm="1">
        <f t="array" ref="S47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3" s="150" t="e" cm="1">
        <f t="array" ref="T47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3" s="150" t="e" cm="1">
        <f t="array" ref="U47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3" s="162" t="e" cm="1">
        <f t="array" ref="V47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3" s="148" t="e" cm="1">
        <f t="array" ref="W473">_xlfn.IFS(Table117821341[[#This Row],[Pos.]]="QB1",AVERAGE(G473,H473,I473,J473,N473),Table117821341[[#This Row],[Pos.]]="RB1",AVERAGE(J473,K473,N473),Table117821341[[#This Row],[Pos.]]="RB2",AVERAGE(J473,K473,N473),Table117821341[[#This Row],[Pos.]]="WR1",AVERAGE(L473,M473,N473),Table117821341[[#This Row],[Pos.]]="WR2",AVERAGE(L473,M473,N473),Table117821341[[#This Row],[Pos.]]="WR3",AVERAGE(L473,M473,N473),Table117821341[[#This Row],[Pos.]]="WR4",AVERAGE(L473,M473,N473),Table117821341[[#This Row],[Pos.]]="TE1",AVERAGE(L473,M473,N473),Table117821341[[#This Row],[Pos.]]="TE2",AVERAGE(L473,M473,N473),Table117821341[[#This Row],[Pos.]]="D/ST",AVERAGE(Table117821341[[#This Row],[*TD*]]))</f>
        <v>#N/A</v>
      </c>
      <c r="X473" s="94" t="e">
        <f t="shared" si="7"/>
        <v>#N/A</v>
      </c>
    </row>
    <row r="474" spans="2:24" hidden="1" x14ac:dyDescent="0.35">
      <c r="B474" s="6" t="s">
        <v>336</v>
      </c>
      <c r="C474" s="97" t="s">
        <v>50</v>
      </c>
      <c r="D474" s="97" t="s">
        <v>399</v>
      </c>
      <c r="E474" s="23" t="str" cm="1">
        <f t="array" ref="E474">_xlfn.XLOOKUP(Table117821341[[#This Row],[Team]],Table4334[Team],'2425'!$C$3:$C$34)</f>
        <v>n/a</v>
      </c>
      <c r="F474" s="97" t="str">
        <f>_xlfn.XLOOKUP(Table117821341[[#This Row],[Team]],Table4334[Team],Table4334[OPP])</f>
        <v>n/a</v>
      </c>
      <c r="G474" s="148" t="e" cm="1">
        <f t="array" ref="G474">IF(Table117821341[[#This Row],[Pos.]]="QB1",_xlfn.XLOOKUP(Table117821341[[#This Row],[Opp]],Table123[DEF],'2425'!$G$3:$G$34),"#N/A")</f>
        <v>#N/A</v>
      </c>
      <c r="H474" s="148" t="e" cm="1">
        <f t="array" ref="H474">IF(Table117821341[[#This Row],[Pos.]]="QB1",_xlfn.XLOOKUP(Table117821341[[#This Row],[Opp]],Table123[DEF],'2425'!$J$3:$J$34),"#N/A")</f>
        <v>#N/A</v>
      </c>
      <c r="I474" s="148" t="e" cm="1">
        <f t="array" ref="I474">IF(Table117821341[[#This Row],[Pos.]]="QB1",_xlfn.XLOOKUP(Table117821341[[#This Row],[Opp]],Table123[DEF],'2425'!$K$3:$K$34),"#N/A")</f>
        <v>#N/A</v>
      </c>
      <c r="J474" s="148" t="e" cm="1">
        <f t="array" ref="J47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4" s="148" t="e" cm="1">
        <f t="array" ref="K47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4" s="148" t="e" cm="1">
        <f t="array" ref="L47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4" s="148" t="e" cm="1">
        <f t="array" ref="M47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4" s="148" t="e" cm="1">
        <f t="array" ref="N47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4" s="149" t="e">
        <f>IF(Table117821341[[#This Row],[Pos.]]="QB1",_xlfn.XLOOKUP(Table117821341[[#This Row],[Opp]],Table123[DEF],Table123[P]),"#N/A")</f>
        <v>#N/A</v>
      </c>
      <c r="P474" s="149" t="e">
        <f>IF(Table117821341[[#This Row],[Pos.]]="QB1",_xlfn.XLOOKUP(Table117821341[[#This Row],[Opp]],Table123[DEF],Table123[P+R]),"#N/A")</f>
        <v>#N/A</v>
      </c>
      <c r="Q474" s="150" t="e">
        <f>IF(Table117821341[[#This Row],[Pos.]]="QB1",_xlfn.XLOOKUP(Table117821341[[#This Row],[Opp]],Table123[DEF],Table123[P TD]),"#N/A")</f>
        <v>#N/A</v>
      </c>
      <c r="R474" s="149" t="e" cm="1">
        <f t="array" ref="R47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4" s="150" t="e" cm="1">
        <f t="array" ref="S47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4" s="150" t="e" cm="1">
        <f t="array" ref="T47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4" s="150" t="e" cm="1">
        <f t="array" ref="U47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4" s="162" t="e" cm="1">
        <f t="array" ref="V47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4" s="148" t="e" cm="1">
        <f t="array" ref="W474">_xlfn.IFS(Table117821341[[#This Row],[Pos.]]="QB1",AVERAGE(G474,H474,I474,J474,N474),Table117821341[[#This Row],[Pos.]]="RB1",AVERAGE(J474,K474,N474),Table117821341[[#This Row],[Pos.]]="RB2",AVERAGE(J474,K474,N474),Table117821341[[#This Row],[Pos.]]="WR1",AVERAGE(L474,M474,N474),Table117821341[[#This Row],[Pos.]]="WR2",AVERAGE(L474,M474,N474),Table117821341[[#This Row],[Pos.]]="WR3",AVERAGE(L474,M474,N474),Table117821341[[#This Row],[Pos.]]="WR4",AVERAGE(L474,M474,N474),Table117821341[[#This Row],[Pos.]]="TE1",AVERAGE(L474,M474,N474),Table117821341[[#This Row],[Pos.]]="TE2",AVERAGE(L474,M474,N474),Table117821341[[#This Row],[Pos.]]="D/ST",AVERAGE(Table117821341[[#This Row],[*TD*]]))</f>
        <v>#N/A</v>
      </c>
      <c r="X474" s="94" t="e">
        <f t="shared" si="7"/>
        <v>#N/A</v>
      </c>
    </row>
    <row r="475" spans="2:24" hidden="1" x14ac:dyDescent="0.35">
      <c r="B475" s="6" t="s">
        <v>493</v>
      </c>
      <c r="C475" s="97" t="s">
        <v>51</v>
      </c>
      <c r="D475" s="97" t="s">
        <v>403</v>
      </c>
      <c r="E475" s="23" t="str" cm="1">
        <f t="array" ref="E475">_xlfn.XLOOKUP(Table117821341[[#This Row],[Team]],Table4334[Team],'2425'!$C$3:$C$34)</f>
        <v>n/a</v>
      </c>
      <c r="F475" s="97" t="str">
        <f>_xlfn.XLOOKUP(Table117821341[[#This Row],[Team]],Table4334[Team],Table4334[OPP])</f>
        <v>n/a</v>
      </c>
      <c r="G475" s="148" t="str" cm="1">
        <f t="array" ref="G475">IF(Table117821341[[#This Row],[Pos.]]="QB1",_xlfn.XLOOKUP(Table117821341[[#This Row],[Opp]],Table123[DEF],'2425'!$G$3:$G$34),"#N/A")</f>
        <v>#N/A</v>
      </c>
      <c r="H475" s="148" t="str" cm="1">
        <f t="array" ref="H475">IF(Table117821341[[#This Row],[Pos.]]="QB1",_xlfn.XLOOKUP(Table117821341[[#This Row],[Opp]],Table123[DEF],'2425'!$J$3:$J$34),"#N/A")</f>
        <v>#N/A</v>
      </c>
      <c r="I475" s="148" t="str" cm="1">
        <f t="array" ref="I475">IF(Table117821341[[#This Row],[Pos.]]="QB1",_xlfn.XLOOKUP(Table117821341[[#This Row],[Opp]],Table123[DEF],'2425'!$K$3:$K$34),"#N/A")</f>
        <v>#N/A</v>
      </c>
      <c r="J475" s="148" t="e" cm="1">
        <f t="array" ref="J47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5" s="148" t="e" cm="1">
        <f t="array" ref="K47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5" s="148" t="e" cm="1">
        <f t="array" ref="L47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5" s="148" t="e" cm="1">
        <f t="array" ref="M47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5" s="148" t="e" cm="1">
        <f t="array" ref="N47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5" s="149" t="str">
        <f>IF(Table117821341[[#This Row],[Pos.]]="QB1",_xlfn.XLOOKUP(Table117821341[[#This Row],[Opp]],Table123[DEF],Table123[P]),"#N/A")</f>
        <v>#N/A</v>
      </c>
      <c r="P475" s="149" t="str">
        <f>IF(Table117821341[[#This Row],[Pos.]]="QB1",_xlfn.XLOOKUP(Table117821341[[#This Row],[Opp]],Table123[DEF],Table123[P+R]),"#N/A")</f>
        <v>#N/A</v>
      </c>
      <c r="Q475" s="150" t="str">
        <f>IF(Table117821341[[#This Row],[Pos.]]="QB1",_xlfn.XLOOKUP(Table117821341[[#This Row],[Opp]],Table123[DEF],Table123[P TD]),"#N/A")</f>
        <v>#N/A</v>
      </c>
      <c r="R475" s="149" t="e" cm="1">
        <f t="array" ref="R47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5" s="150" t="e" cm="1">
        <f t="array" ref="S47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5" s="150" t="e" cm="1">
        <f t="array" ref="T47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5" s="150" t="e" cm="1">
        <f t="array" ref="U47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5" s="150" t="e" cm="1">
        <f t="array" ref="V47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5" s="148" t="e" cm="1">
        <f t="array" ref="W475">_xlfn.IFS(Table117821341[[#This Row],[Pos.]]="QB1",AVERAGE(G475,H475,I475,J475,N475),Table117821341[[#This Row],[Pos.]]="RB1",AVERAGE(J475,K475,N475),Table117821341[[#This Row],[Pos.]]="RB2",AVERAGE(J475,K475,N475),Table117821341[[#This Row],[Pos.]]="WR1",AVERAGE(L475,M475,N475),Table117821341[[#This Row],[Pos.]]="WR2",AVERAGE(L475,M475,N475),Table117821341[[#This Row],[Pos.]]="WR3",AVERAGE(L475,M475,N475),Table117821341[[#This Row],[Pos.]]="WR4",AVERAGE(L475,M475,N475),Table117821341[[#This Row],[Pos.]]="TE1",AVERAGE(L475,M475,N475),Table117821341[[#This Row],[Pos.]]="TE2",AVERAGE(L475,M475,N475),Table117821341[[#This Row],[Pos.]]="D/ST",AVERAGE(Table117821341[[#This Row],[*TD*]]))</f>
        <v>#N/A</v>
      </c>
      <c r="X475" s="94" t="e">
        <f t="shared" si="7"/>
        <v>#N/A</v>
      </c>
    </row>
    <row r="476" spans="2:24" hidden="1" x14ac:dyDescent="0.35">
      <c r="B476" s="6" t="s">
        <v>204</v>
      </c>
      <c r="C476" s="97" t="s">
        <v>36</v>
      </c>
      <c r="D476" s="97" t="s">
        <v>399</v>
      </c>
      <c r="E476" s="23" t="str" cm="1">
        <f t="array" ref="E476">_xlfn.XLOOKUP(Table117821341[[#This Row],[Team]],Table4334[Team],'2425'!$C$3:$C$34)</f>
        <v>n/a</v>
      </c>
      <c r="F476" s="97" t="str">
        <f>_xlfn.XLOOKUP(Table117821341[[#This Row],[Team]],Table4334[Team],Table4334[OPP])</f>
        <v>n/a</v>
      </c>
      <c r="G476" s="148" t="e" cm="1">
        <f t="array" ref="G476">IF(Table117821341[[#This Row],[Pos.]]="QB1",_xlfn.XLOOKUP(Table117821341[[#This Row],[Opp]],Table123[DEF],'2425'!$G$3:$G$34),"#N/A")</f>
        <v>#N/A</v>
      </c>
      <c r="H476" s="148" t="e" cm="1">
        <f t="array" ref="H476">IF(Table117821341[[#This Row],[Pos.]]="QB1",_xlfn.XLOOKUP(Table117821341[[#This Row],[Opp]],Table123[DEF],'2425'!$J$3:$J$34),"#N/A")</f>
        <v>#N/A</v>
      </c>
      <c r="I476" s="148" t="e" cm="1">
        <f t="array" ref="I476">IF(Table117821341[[#This Row],[Pos.]]="QB1",_xlfn.XLOOKUP(Table117821341[[#This Row],[Opp]],Table123[DEF],'2425'!$K$3:$K$34),"#N/A")</f>
        <v>#N/A</v>
      </c>
      <c r="J476" s="148" t="e" cm="1">
        <f t="array" ref="J47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6" s="148" t="e" cm="1">
        <f t="array" ref="K47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6" s="148" t="e" cm="1">
        <f t="array" ref="L47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6" s="148" t="e" cm="1">
        <f t="array" ref="M47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6" s="148" t="e" cm="1">
        <f t="array" ref="N47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6" s="149" t="e">
        <f>IF(Table117821341[[#This Row],[Pos.]]="QB1",_xlfn.XLOOKUP(Table117821341[[#This Row],[Opp]],Table123[DEF],Table123[P]),"#N/A")</f>
        <v>#N/A</v>
      </c>
      <c r="P476" s="149" t="e">
        <f>IF(Table117821341[[#This Row],[Pos.]]="QB1",_xlfn.XLOOKUP(Table117821341[[#This Row],[Opp]],Table123[DEF],Table123[P+R]),"#N/A")</f>
        <v>#N/A</v>
      </c>
      <c r="Q476" s="150" t="e">
        <f>IF(Table117821341[[#This Row],[Pos.]]="QB1",_xlfn.XLOOKUP(Table117821341[[#This Row],[Opp]],Table123[DEF],Table123[P TD]),"#N/A")</f>
        <v>#N/A</v>
      </c>
      <c r="R476" s="149" t="e" cm="1">
        <f t="array" ref="R47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6" s="150" t="e" cm="1">
        <f t="array" ref="S47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6" s="150" t="e" cm="1">
        <f t="array" ref="T47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6" s="150" t="e" cm="1">
        <f t="array" ref="U47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6" s="162" t="e" cm="1">
        <f t="array" ref="V47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6" s="148" t="e" cm="1">
        <f t="array" ref="W476">_xlfn.IFS(Table117821341[[#This Row],[Pos.]]="QB1",AVERAGE(G476,H476,I476,J476,N476),Table117821341[[#This Row],[Pos.]]="RB1",AVERAGE(J476,K476,N476),Table117821341[[#This Row],[Pos.]]="RB2",AVERAGE(J476,K476,N476),Table117821341[[#This Row],[Pos.]]="WR1",AVERAGE(L476,M476,N476),Table117821341[[#This Row],[Pos.]]="WR2",AVERAGE(L476,M476,N476),Table117821341[[#This Row],[Pos.]]="WR3",AVERAGE(L476,M476,N476),Table117821341[[#This Row],[Pos.]]="WR4",AVERAGE(L476,M476,N476),Table117821341[[#This Row],[Pos.]]="TE1",AVERAGE(L476,M476,N476),Table117821341[[#This Row],[Pos.]]="TE2",AVERAGE(L476,M476,N476),Table117821341[[#This Row],[Pos.]]="D/ST",AVERAGE(Table117821341[[#This Row],[*TD*]]))</f>
        <v>#N/A</v>
      </c>
      <c r="X476" s="94" t="e">
        <f t="shared" si="7"/>
        <v>#N/A</v>
      </c>
    </row>
    <row r="477" spans="2:24" hidden="1" x14ac:dyDescent="0.35">
      <c r="B477" s="6" t="s">
        <v>234</v>
      </c>
      <c r="C477" s="97" t="s">
        <v>39</v>
      </c>
      <c r="D477" s="97" t="s">
        <v>399</v>
      </c>
      <c r="E477" s="23" t="str" cm="1">
        <f t="array" ref="E477">_xlfn.XLOOKUP(Table117821341[[#This Row],[Team]],Table4334[Team],'2425'!$C$3:$C$34)</f>
        <v>n/a</v>
      </c>
      <c r="F477" s="97" t="str">
        <f>_xlfn.XLOOKUP(Table117821341[[#This Row],[Team]],Table4334[Team],Table4334[OPP])</f>
        <v>n/a</v>
      </c>
      <c r="G477" s="148" t="e" cm="1">
        <f t="array" ref="G477">IF(Table117821341[[#This Row],[Pos.]]="QB1",_xlfn.XLOOKUP(Table117821341[[#This Row],[Opp]],Table123[DEF],'2425'!$G$3:$G$34),"#N/A")</f>
        <v>#N/A</v>
      </c>
      <c r="H477" s="148" t="e" cm="1">
        <f t="array" ref="H477">IF(Table117821341[[#This Row],[Pos.]]="QB1",_xlfn.XLOOKUP(Table117821341[[#This Row],[Opp]],Table123[DEF],'2425'!$J$3:$J$34),"#N/A")</f>
        <v>#N/A</v>
      </c>
      <c r="I477" s="148" t="e" cm="1">
        <f t="array" ref="I477">IF(Table117821341[[#This Row],[Pos.]]="QB1",_xlfn.XLOOKUP(Table117821341[[#This Row],[Opp]],Table123[DEF],'2425'!$K$3:$K$34),"#N/A")</f>
        <v>#N/A</v>
      </c>
      <c r="J477" s="148" t="e" cm="1">
        <f t="array" ref="J47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7" s="148" t="e" cm="1">
        <f t="array" ref="K47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7" s="148" t="e" cm="1">
        <f t="array" ref="L47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7" s="148" t="e" cm="1">
        <f t="array" ref="M47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7" s="148" t="e" cm="1">
        <f t="array" ref="N47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7" s="149" t="e">
        <f>IF(Table117821341[[#This Row],[Pos.]]="QB1",_xlfn.XLOOKUP(Table117821341[[#This Row],[Opp]],Table123[DEF],Table123[P]),"#N/A")</f>
        <v>#N/A</v>
      </c>
      <c r="P477" s="149" t="e">
        <f>IF(Table117821341[[#This Row],[Pos.]]="QB1",_xlfn.XLOOKUP(Table117821341[[#This Row],[Opp]],Table123[DEF],Table123[P+R]),"#N/A")</f>
        <v>#N/A</v>
      </c>
      <c r="Q477" s="150" t="e">
        <f>IF(Table117821341[[#This Row],[Pos.]]="QB1",_xlfn.XLOOKUP(Table117821341[[#This Row],[Opp]],Table123[DEF],Table123[P TD]),"#N/A")</f>
        <v>#N/A</v>
      </c>
      <c r="R477" s="149" t="e" cm="1">
        <f t="array" ref="R47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7" s="150" t="e" cm="1">
        <f t="array" ref="S47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7" s="150" t="e" cm="1">
        <f t="array" ref="T47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7" s="150" t="e" cm="1">
        <f t="array" ref="U47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7" s="162" t="e" cm="1">
        <f t="array" ref="V47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7" s="148" t="e" cm="1">
        <f t="array" ref="W477">_xlfn.IFS(Table117821341[[#This Row],[Pos.]]="QB1",AVERAGE(G477,H477,I477,J477,N477),Table117821341[[#This Row],[Pos.]]="RB1",AVERAGE(J477,K477,N477),Table117821341[[#This Row],[Pos.]]="RB2",AVERAGE(J477,K477,N477),Table117821341[[#This Row],[Pos.]]="WR1",AVERAGE(L477,M477,N477),Table117821341[[#This Row],[Pos.]]="WR2",AVERAGE(L477,M477,N477),Table117821341[[#This Row],[Pos.]]="WR3",AVERAGE(L477,M477,N477),Table117821341[[#This Row],[Pos.]]="WR4",AVERAGE(L477,M477,N477),Table117821341[[#This Row],[Pos.]]="TE1",AVERAGE(L477,M477,N477),Table117821341[[#This Row],[Pos.]]="TE2",AVERAGE(L477,M477,N477),Table117821341[[#This Row],[Pos.]]="D/ST",AVERAGE(Table117821341[[#This Row],[*TD*]]))</f>
        <v>#N/A</v>
      </c>
      <c r="X477" s="94" t="e">
        <f t="shared" si="7"/>
        <v>#N/A</v>
      </c>
    </row>
    <row r="478" spans="2:24" hidden="1" x14ac:dyDescent="0.35">
      <c r="B478" s="6" t="s">
        <v>524</v>
      </c>
      <c r="C478" s="97" t="s">
        <v>52</v>
      </c>
      <c r="D478" s="97" t="s">
        <v>405</v>
      </c>
      <c r="E478" s="23" t="str" cm="1">
        <f t="array" ref="E478">_xlfn.XLOOKUP(Table117821341[[#This Row],[Team]],Table4334[Team],'2425'!$C$3:$C$34)</f>
        <v>SB LX</v>
      </c>
      <c r="F478" s="97" t="str">
        <f>_xlfn.XLOOKUP(Table117821341[[#This Row],[Team]],Table4334[Team],Table4334[OPP])</f>
        <v>NE</v>
      </c>
      <c r="G478" s="148" t="str" cm="1">
        <f t="array" ref="G478">IF(Table117821341[[#This Row],[Pos.]]="QB1",_xlfn.XLOOKUP(Table117821341[[#This Row],[Opp]],Table123[DEF],'2425'!$G$3:$G$34),"#N/A")</f>
        <v>#N/A</v>
      </c>
      <c r="H478" s="148" t="str" cm="1">
        <f t="array" ref="H478">IF(Table117821341[[#This Row],[Pos.]]="QB1",_xlfn.XLOOKUP(Table117821341[[#This Row],[Opp]],Table123[DEF],'2425'!$J$3:$J$34),"#N/A")</f>
        <v>#N/A</v>
      </c>
      <c r="I478" s="148" t="str" cm="1">
        <f t="array" ref="I478">IF(Table117821341[[#This Row],[Pos.]]="QB1",_xlfn.XLOOKUP(Table117821341[[#This Row],[Opp]],Table123[DEF],'2425'!$K$3:$K$34),"#N/A")</f>
        <v>#N/A</v>
      </c>
      <c r="J478" s="148" t="e" cm="1">
        <f t="array" ref="J47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8" s="148" t="e" cm="1">
        <f t="array" ref="K47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8" s="148" t="e" cm="1">
        <f t="array" ref="L47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8" s="148" t="e" cm="1">
        <f t="array" ref="M47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8" s="148" t="e" cm="1">
        <f t="array" ref="N47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8" s="149" t="str">
        <f>IF(Table117821341[[#This Row],[Pos.]]="QB1",_xlfn.XLOOKUP(Table117821341[[#This Row],[Opp]],Table123[DEF],Table123[P]),"#N/A")</f>
        <v>#N/A</v>
      </c>
      <c r="P478" s="149" t="str">
        <f>IF(Table117821341[[#This Row],[Pos.]]="QB1",_xlfn.XLOOKUP(Table117821341[[#This Row],[Opp]],Table123[DEF],Table123[P+R]),"#N/A")</f>
        <v>#N/A</v>
      </c>
      <c r="Q478" s="150" t="str">
        <f>IF(Table117821341[[#This Row],[Pos.]]="QB1",_xlfn.XLOOKUP(Table117821341[[#This Row],[Opp]],Table123[DEF],Table123[P TD]),"#N/A")</f>
        <v>#N/A</v>
      </c>
      <c r="R478" s="149" t="e" cm="1">
        <f t="array" ref="R47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8" s="150" t="e" cm="1">
        <f t="array" ref="S47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8" s="150" t="e" cm="1">
        <f t="array" ref="T47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8" s="150" t="e" cm="1">
        <f t="array" ref="U47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8" s="150" t="e" cm="1">
        <f t="array" ref="V47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8" s="148" t="e" cm="1">
        <f t="array" ref="W478">_xlfn.IFS(Table117821341[[#This Row],[Pos.]]="QB1",AVERAGE(G478,H478,I478,J478,N478),Table117821341[[#This Row],[Pos.]]="RB1",AVERAGE(J478,K478,N478),Table117821341[[#This Row],[Pos.]]="RB2",AVERAGE(J478,K478,N478),Table117821341[[#This Row],[Pos.]]="WR1",AVERAGE(L478,M478,N478),Table117821341[[#This Row],[Pos.]]="WR2",AVERAGE(L478,M478,N478),Table117821341[[#This Row],[Pos.]]="WR3",AVERAGE(L478,M478,N478),Table117821341[[#This Row],[Pos.]]="WR4",AVERAGE(L478,M478,N478),Table117821341[[#This Row],[Pos.]]="TE1",AVERAGE(L478,M478,N478),Table117821341[[#This Row],[Pos.]]="TE2",AVERAGE(L478,M478,N478),Table117821341[[#This Row],[Pos.]]="D/ST",AVERAGE(Table117821341[[#This Row],[*TD*]]))</f>
        <v>#N/A</v>
      </c>
      <c r="X478" s="94" t="e">
        <f t="shared" si="7"/>
        <v>#N/A</v>
      </c>
    </row>
    <row r="479" spans="2:24" hidden="1" x14ac:dyDescent="0.35">
      <c r="B479" s="6" t="s">
        <v>525</v>
      </c>
      <c r="C479" s="97" t="s">
        <v>52</v>
      </c>
      <c r="D479" s="97" t="s">
        <v>425</v>
      </c>
      <c r="E479" s="23" t="str" cm="1">
        <f t="array" ref="E479">_xlfn.XLOOKUP(Table117821341[[#This Row],[Team]],Table4334[Team],'2425'!$C$3:$C$34)</f>
        <v>SB LX</v>
      </c>
      <c r="F479" s="97" t="str">
        <f>_xlfn.XLOOKUP(Table117821341[[#This Row],[Team]],Table4334[Team],Table4334[OPP])</f>
        <v>NE</v>
      </c>
      <c r="G479" s="148" t="str" cm="1">
        <f t="array" ref="G479">IF(Table117821341[[#This Row],[Pos.]]="QB1",_xlfn.XLOOKUP(Table117821341[[#This Row],[Opp]],Table123[DEF],'2425'!$G$3:$G$34),"#N/A")</f>
        <v>#N/A</v>
      </c>
      <c r="H479" s="148" t="str" cm="1">
        <f t="array" ref="H479">IF(Table117821341[[#This Row],[Pos.]]="QB1",_xlfn.XLOOKUP(Table117821341[[#This Row],[Opp]],Table123[DEF],'2425'!$J$3:$J$34),"#N/A")</f>
        <v>#N/A</v>
      </c>
      <c r="I479" s="148" t="str" cm="1">
        <f t="array" ref="I479">IF(Table117821341[[#This Row],[Pos.]]="QB1",_xlfn.XLOOKUP(Table117821341[[#This Row],[Opp]],Table123[DEF],'2425'!$K$3:$K$34),"#N/A")</f>
        <v>#N/A</v>
      </c>
      <c r="J479" s="148" t="e" cm="1">
        <f t="array" ref="J47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79" s="148" t="e" cm="1">
        <f t="array" ref="K47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79" s="148" t="e" cm="1">
        <f t="array" ref="L47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79" s="148" t="e" cm="1">
        <f t="array" ref="M47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79" s="148" t="e" cm="1">
        <f t="array" ref="N47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79" s="149" t="str">
        <f>IF(Table117821341[[#This Row],[Pos.]]="QB1",_xlfn.XLOOKUP(Table117821341[[#This Row],[Opp]],Table123[DEF],Table123[P]),"#N/A")</f>
        <v>#N/A</v>
      </c>
      <c r="P479" s="149" t="str">
        <f>IF(Table117821341[[#This Row],[Pos.]]="QB1",_xlfn.XLOOKUP(Table117821341[[#This Row],[Opp]],Table123[DEF],Table123[P+R]),"#N/A")</f>
        <v>#N/A</v>
      </c>
      <c r="Q479" s="150" t="str">
        <f>IF(Table117821341[[#This Row],[Pos.]]="QB1",_xlfn.XLOOKUP(Table117821341[[#This Row],[Opp]],Table123[DEF],Table123[P TD]),"#N/A")</f>
        <v>#N/A</v>
      </c>
      <c r="R479" s="149" t="e" cm="1">
        <f t="array" ref="R47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79" s="150" t="e" cm="1">
        <f t="array" ref="S47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79" s="150" t="e" cm="1">
        <f t="array" ref="T47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79" s="150" t="e" cm="1">
        <f t="array" ref="U47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79" s="150" t="e" cm="1">
        <f t="array" ref="V47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79" s="148" t="e" cm="1">
        <f t="array" ref="W479">_xlfn.IFS(Table117821341[[#This Row],[Pos.]]="QB1",AVERAGE(G479,H479,I479,J479,N479),Table117821341[[#This Row],[Pos.]]="RB1",AVERAGE(J479,K479,N479),Table117821341[[#This Row],[Pos.]]="RB2",AVERAGE(J479,K479,N479),Table117821341[[#This Row],[Pos.]]="WR1",AVERAGE(L479,M479,N479),Table117821341[[#This Row],[Pos.]]="WR2",AVERAGE(L479,M479,N479),Table117821341[[#This Row],[Pos.]]="WR3",AVERAGE(L479,M479,N479),Table117821341[[#This Row],[Pos.]]="WR4",AVERAGE(L479,M479,N479),Table117821341[[#This Row],[Pos.]]="TE1",AVERAGE(L479,M479,N479),Table117821341[[#This Row],[Pos.]]="TE2",AVERAGE(L479,M479,N479),Table117821341[[#This Row],[Pos.]]="D/ST",AVERAGE(Table117821341[[#This Row],[*TD*]]))</f>
        <v>#N/A</v>
      </c>
      <c r="X479" s="94" t="e">
        <f t="shared" ref="X479:X542" si="8">AVERAGE(N479,W479)</f>
        <v>#N/A</v>
      </c>
    </row>
    <row r="480" spans="2:24" hidden="1" x14ac:dyDescent="0.35">
      <c r="B480" s="6" t="s">
        <v>722</v>
      </c>
      <c r="C480" s="97" t="s">
        <v>41</v>
      </c>
      <c r="D480" s="97" t="s">
        <v>71</v>
      </c>
      <c r="E480" s="23" t="str" cm="1">
        <f t="array" ref="E480">_xlfn.XLOOKUP(Table117821341[[#This Row],[Team]],Table4334[Team],'2425'!$C$3:$C$34)</f>
        <v>n/a</v>
      </c>
      <c r="F480" s="97" t="str">
        <f>_xlfn.XLOOKUP(Table117821341[[#This Row],[Team]],Table4334[Team],Table4334[OPP])</f>
        <v>n/a</v>
      </c>
      <c r="G480" s="148" t="str" cm="1">
        <f t="array" ref="G480">IF(Table117821341[[#This Row],[Pos.]]="QB1",_xlfn.XLOOKUP(Table117821341[[#This Row],[Opp]],Table123[DEF],'2425'!$G$3:$G$34),"#N/A")</f>
        <v>#N/A</v>
      </c>
      <c r="H480" s="148" t="str" cm="1">
        <f t="array" ref="H480">IF(Table117821341[[#This Row],[Pos.]]="QB1",_xlfn.XLOOKUP(Table117821341[[#This Row],[Opp]],Table123[DEF],'2425'!$J$3:$J$34),"#N/A")</f>
        <v>#N/A</v>
      </c>
      <c r="I480" s="148" t="str" cm="1">
        <f t="array" ref="I480">IF(Table117821341[[#This Row],[Pos.]]="QB1",_xlfn.XLOOKUP(Table117821341[[#This Row],[Opp]],Table123[DEF],'2425'!$K$3:$K$34),"#N/A")</f>
        <v>#N/A</v>
      </c>
      <c r="J480" s="148" t="e" cm="1">
        <f t="array" ref="J48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0" s="148" t="e" cm="1">
        <f t="array" ref="K48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0" s="148" t="e" cm="1">
        <f t="array" ref="L48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0" s="148" t="e" cm="1">
        <f t="array" ref="M48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0" s="148" t="e" cm="1">
        <f t="array" ref="N48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0" s="149" t="str">
        <f>IF(Table117821341[[#This Row],[Pos.]]="QB1",_xlfn.XLOOKUP(Table117821341[[#This Row],[Opp]],Table123[DEF],Table123[P]),"#N/A")</f>
        <v>#N/A</v>
      </c>
      <c r="P480" s="149" t="str">
        <f>IF(Table117821341[[#This Row],[Pos.]]="QB1",_xlfn.XLOOKUP(Table117821341[[#This Row],[Opp]],Table123[DEF],Table123[P+R]),"#N/A")</f>
        <v>#N/A</v>
      </c>
      <c r="Q480" s="150" t="str">
        <f>IF(Table117821341[[#This Row],[Pos.]]="QB1",_xlfn.XLOOKUP(Table117821341[[#This Row],[Opp]],Table123[DEF],Table123[P TD]),"#N/A")</f>
        <v>#N/A</v>
      </c>
      <c r="R480" s="149" t="e" cm="1">
        <f t="array" ref="R48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0" s="150" t="e" cm="1">
        <f t="array" ref="S48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0" s="150" t="e" cm="1">
        <f t="array" ref="T48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0" s="150" t="e" cm="1">
        <f t="array" ref="U48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0" s="162" t="e" cm="1">
        <f t="array" ref="V48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0" s="148" t="e" cm="1">
        <f t="array" ref="W480">_xlfn.IFS(Table117821341[[#This Row],[Pos.]]="QB1",AVERAGE(G480,H480,I480,J480,N480),Table117821341[[#This Row],[Pos.]]="RB1",AVERAGE(J480,K480,N480),Table117821341[[#This Row],[Pos.]]="RB2",AVERAGE(J480,K480,N480),Table117821341[[#This Row],[Pos.]]="WR1",AVERAGE(L480,M480,N480),Table117821341[[#This Row],[Pos.]]="WR2",AVERAGE(L480,M480,N480),Table117821341[[#This Row],[Pos.]]="WR3",AVERAGE(L480,M480,N480),Table117821341[[#This Row],[Pos.]]="WR4",AVERAGE(L480,M480,N480),Table117821341[[#This Row],[Pos.]]="TE1",AVERAGE(L480,M480,N480),Table117821341[[#This Row],[Pos.]]="TE2",AVERAGE(L480,M480,N480),Table117821341[[#This Row],[Pos.]]="D/ST",AVERAGE(Table117821341[[#This Row],[*TD*]]))</f>
        <v>#N/A</v>
      </c>
      <c r="X480" s="94" t="e">
        <f t="shared" si="8"/>
        <v>#N/A</v>
      </c>
    </row>
    <row r="481" spans="2:24" hidden="1" x14ac:dyDescent="0.35">
      <c r="B481" s="6" t="s">
        <v>352</v>
      </c>
      <c r="C481" s="97" t="s">
        <v>52</v>
      </c>
      <c r="D481" s="97" t="s">
        <v>394</v>
      </c>
      <c r="E481" s="23" t="str" cm="1">
        <f t="array" ref="E481">_xlfn.XLOOKUP(Table117821341[[#This Row],[Team]],Table4334[Team],'2425'!$C$3:$C$34)</f>
        <v>SB LX</v>
      </c>
      <c r="F481" s="97" t="str">
        <f>_xlfn.XLOOKUP(Table117821341[[#This Row],[Team]],Table4334[Team],Table4334[OPP])</f>
        <v>NE</v>
      </c>
      <c r="G481" s="148" t="str" cm="1">
        <f t="array" ref="G481">IF(Table117821341[[#This Row],[Pos.]]="QB1",_xlfn.XLOOKUP(Table117821341[[#This Row],[Opp]],Table123[DEF],'2425'!$G$3:$G$34),"#N/A")</f>
        <v>#N/A</v>
      </c>
      <c r="H481" s="148" t="str" cm="1">
        <f t="array" ref="H481">IF(Table117821341[[#This Row],[Pos.]]="QB1",_xlfn.XLOOKUP(Table117821341[[#This Row],[Opp]],Table123[DEF],'2425'!$J$3:$J$34),"#N/A")</f>
        <v>#N/A</v>
      </c>
      <c r="I481" s="148" t="str" cm="1">
        <f t="array" ref="I481">IF(Table117821341[[#This Row],[Pos.]]="QB1",_xlfn.XLOOKUP(Table117821341[[#This Row],[Opp]],Table123[DEF],'2425'!$K$3:$K$34),"#N/A")</f>
        <v>#N/A</v>
      </c>
      <c r="J481" s="148" cm="1">
        <f t="array" ref="J48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14.5</v>
      </c>
      <c r="K481" s="148" cm="1">
        <f t="array" ref="K481">_xlfn.IFS(Table117821341[[#This Row],[Pos.]]="RB1",_xlfn.XLOOKUP(Table117821341[[#This Row],[Opp]],Table2040[DEF],'2425'!$K$38:$K$69),Table117821341[[#This Row],[Pos.]]="RB2",_xlfn.XLOOKUP(Table117821341[[#This Row],[Opp]],Table2040[DEF],'2425'!$K$38:$K$69))</f>
        <v>20</v>
      </c>
      <c r="L481" s="148" cm="1">
        <f t="array" ref="L48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20</v>
      </c>
      <c r="M481" s="148" cm="1">
        <f t="array" ref="M48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26</v>
      </c>
      <c r="N481" s="148" cm="1">
        <f t="array" ref="N48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16</v>
      </c>
      <c r="O481" s="149" t="str">
        <f>IF(Table117821341[[#This Row],[Pos.]]="QB1",_xlfn.XLOOKUP(Table117821341[[#This Row],[Opp]],Table123[DEF],Table123[P]),"#N/A")</f>
        <v>#N/A</v>
      </c>
      <c r="P481" s="149" t="str">
        <f>IF(Table117821341[[#This Row],[Pos.]]="QB1",_xlfn.XLOOKUP(Table117821341[[#This Row],[Opp]],Table123[DEF],Table123[P+R]),"#N/A")</f>
        <v>#N/A</v>
      </c>
      <c r="Q481" s="150" t="str">
        <f>IF(Table117821341[[#This Row],[Pos.]]="QB1",_xlfn.XLOOKUP(Table117821341[[#This Row],[Opp]],Table123[DEF],Table123[P TD]),"#N/A")</f>
        <v>#N/A</v>
      </c>
      <c r="R481" s="149" cm="1">
        <f t="array" ref="R48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96.558823529411768</v>
      </c>
      <c r="S481" s="150" cm="1">
        <f t="array" ref="S481">_xlfn.IFS(Table117821341[[#This Row],[Pos.]]="RB1",_xlfn.XLOOKUP(Table117821341[[#This Row],[Opp]],Table2040[DEF],Table2040[R+R]),Table117821341[[#This Row],[Pos.]]="RB2",_xlfn.XLOOKUP(Table117821341[[#This Row],[Opp]],Table2040[DEF],Table2040[R+R]))</f>
        <v>123.85294117647059</v>
      </c>
      <c r="T481" s="150" cm="1">
        <f t="array" ref="T48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4.0882352941176467</v>
      </c>
      <c r="U481" s="150" cm="1">
        <f t="array" ref="U48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27.294117647058826</v>
      </c>
      <c r="V481" s="150" cm="1">
        <f t="array" ref="V48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0.91176470588235303</v>
      </c>
      <c r="W481" s="148" cm="1">
        <f t="array" ref="W481">_xlfn.IFS(Table117821341[[#This Row],[Pos.]]="QB1",AVERAGE(G481,H481,I481,J481,N481),Table117821341[[#This Row],[Pos.]]="RB1",AVERAGE(J481,K481,N481),Table117821341[[#This Row],[Pos.]]="RB2",AVERAGE(J481,K481,N481),Table117821341[[#This Row],[Pos.]]="WR1",AVERAGE(L481,M481,N481),Table117821341[[#This Row],[Pos.]]="WR2",AVERAGE(L481,M481,N481),Table117821341[[#This Row],[Pos.]]="WR3",AVERAGE(L481,M481,N481),Table117821341[[#This Row],[Pos.]]="WR4",AVERAGE(L481,M481,N481),Table117821341[[#This Row],[Pos.]]="TE1",AVERAGE(L481,M481,N481),Table117821341[[#This Row],[Pos.]]="TE2",AVERAGE(L481,M481,N481),Table117821341[[#This Row],[Pos.]]="D/ST",AVERAGE(Table117821341[[#This Row],[*TD*]]))</f>
        <v>16.833333333333332</v>
      </c>
      <c r="X481" s="94">
        <f t="shared" si="8"/>
        <v>16.416666666666664</v>
      </c>
    </row>
    <row r="482" spans="2:24" hidden="1" x14ac:dyDescent="0.35">
      <c r="B482" s="6" t="s">
        <v>526</v>
      </c>
      <c r="C482" s="97" t="s">
        <v>52</v>
      </c>
      <c r="D482" s="97" t="s">
        <v>396</v>
      </c>
      <c r="E482" s="23" t="str" cm="1">
        <f t="array" ref="E482">_xlfn.XLOOKUP(Table117821341[[#This Row],[Team]],Table4334[Team],'2425'!$C$3:$C$34)</f>
        <v>SB LX</v>
      </c>
      <c r="F482" s="97" t="str">
        <f>_xlfn.XLOOKUP(Table117821341[[#This Row],[Team]],Table4334[Team],Table4334[OPP])</f>
        <v>NE</v>
      </c>
      <c r="G482" s="148" t="str" cm="1">
        <f t="array" ref="G482">IF(Table117821341[[#This Row],[Pos.]]="QB1",_xlfn.XLOOKUP(Table117821341[[#This Row],[Opp]],Table123[DEF],'2425'!$G$3:$G$34),"#N/A")</f>
        <v>#N/A</v>
      </c>
      <c r="H482" s="148" t="str" cm="1">
        <f t="array" ref="H482">IF(Table117821341[[#This Row],[Pos.]]="QB1",_xlfn.XLOOKUP(Table117821341[[#This Row],[Opp]],Table123[DEF],'2425'!$J$3:$J$34),"#N/A")</f>
        <v>#N/A</v>
      </c>
      <c r="I482" s="148" t="str" cm="1">
        <f t="array" ref="I482">IF(Table117821341[[#This Row],[Pos.]]="QB1",_xlfn.XLOOKUP(Table117821341[[#This Row],[Opp]],Table123[DEF],'2425'!$K$3:$K$34),"#N/A")</f>
        <v>#N/A</v>
      </c>
      <c r="J482" s="148" t="e" cm="1">
        <f t="array" ref="J48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2" s="148" t="e" cm="1">
        <f t="array" ref="K48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2" s="148" t="e" cm="1">
        <f t="array" ref="L48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2" s="148" t="e" cm="1">
        <f t="array" ref="M48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2" s="148" t="e" cm="1">
        <f t="array" ref="N48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2" s="149" t="str">
        <f>IF(Table117821341[[#This Row],[Pos.]]="QB1",_xlfn.XLOOKUP(Table117821341[[#This Row],[Opp]],Table123[DEF],Table123[P]),"#N/A")</f>
        <v>#N/A</v>
      </c>
      <c r="P482" s="149" t="str">
        <f>IF(Table117821341[[#This Row],[Pos.]]="QB1",_xlfn.XLOOKUP(Table117821341[[#This Row],[Opp]],Table123[DEF],Table123[P+R]),"#N/A")</f>
        <v>#N/A</v>
      </c>
      <c r="Q482" s="150" t="str">
        <f>IF(Table117821341[[#This Row],[Pos.]]="QB1",_xlfn.XLOOKUP(Table117821341[[#This Row],[Opp]],Table123[DEF],Table123[P TD]),"#N/A")</f>
        <v>#N/A</v>
      </c>
      <c r="R482" s="149" t="e" cm="1">
        <f t="array" ref="R48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2" s="150" t="e" cm="1">
        <f t="array" ref="S48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2" s="150" t="e" cm="1">
        <f t="array" ref="T48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2" s="150" t="e" cm="1">
        <f t="array" ref="U48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2" s="150" t="e" cm="1">
        <f t="array" ref="V48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2" s="148" t="e" cm="1">
        <f t="array" ref="W482">_xlfn.IFS(Table117821341[[#This Row],[Pos.]]="QB1",AVERAGE(G482,H482,I482,J482,N482),Table117821341[[#This Row],[Pos.]]="RB1",AVERAGE(J482,K482,N482),Table117821341[[#This Row],[Pos.]]="RB2",AVERAGE(J482,K482,N482),Table117821341[[#This Row],[Pos.]]="WR1",AVERAGE(L482,M482,N482),Table117821341[[#This Row],[Pos.]]="WR2",AVERAGE(L482,M482,N482),Table117821341[[#This Row],[Pos.]]="WR3",AVERAGE(L482,M482,N482),Table117821341[[#This Row],[Pos.]]="WR4",AVERAGE(L482,M482,N482),Table117821341[[#This Row],[Pos.]]="TE1",AVERAGE(L482,M482,N482),Table117821341[[#This Row],[Pos.]]="TE2",AVERAGE(L482,M482,N482),Table117821341[[#This Row],[Pos.]]="D/ST",AVERAGE(Table117821341[[#This Row],[*TD*]]))</f>
        <v>#N/A</v>
      </c>
      <c r="X482" s="94" t="e">
        <f t="shared" si="8"/>
        <v>#N/A</v>
      </c>
    </row>
    <row r="483" spans="2:24" hidden="1" x14ac:dyDescent="0.35">
      <c r="B483" s="6" t="s">
        <v>527</v>
      </c>
      <c r="C483" s="97" t="s">
        <v>52</v>
      </c>
      <c r="D483" s="97" t="s">
        <v>407</v>
      </c>
      <c r="E483" s="23" t="str" cm="1">
        <f t="array" ref="E483">_xlfn.XLOOKUP(Table117821341[[#This Row],[Team]],Table4334[Team],'2425'!$C$3:$C$34)</f>
        <v>SB LX</v>
      </c>
      <c r="F483" s="97" t="str">
        <f>_xlfn.XLOOKUP(Table117821341[[#This Row],[Team]],Table4334[Team],Table4334[OPP])</f>
        <v>NE</v>
      </c>
      <c r="G483" s="148" t="str" cm="1">
        <f t="array" ref="G483">IF(Table117821341[[#This Row],[Pos.]]="QB1",_xlfn.XLOOKUP(Table117821341[[#This Row],[Opp]],Table123[DEF],'2425'!$G$3:$G$34),"#N/A")</f>
        <v>#N/A</v>
      </c>
      <c r="H483" s="148" t="str" cm="1">
        <f t="array" ref="H483">IF(Table117821341[[#This Row],[Pos.]]="QB1",_xlfn.XLOOKUP(Table117821341[[#This Row],[Opp]],Table123[DEF],'2425'!$J$3:$J$34),"#N/A")</f>
        <v>#N/A</v>
      </c>
      <c r="I483" s="148" t="str" cm="1">
        <f t="array" ref="I483">IF(Table117821341[[#This Row],[Pos.]]="QB1",_xlfn.XLOOKUP(Table117821341[[#This Row],[Opp]],Table123[DEF],'2425'!$K$3:$K$34),"#N/A")</f>
        <v>#N/A</v>
      </c>
      <c r="J483" s="148" t="e" cm="1">
        <f t="array" ref="J48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3" s="148" t="e" cm="1">
        <f t="array" ref="K48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3" s="148" t="e" cm="1">
        <f t="array" ref="L48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3" s="148" t="e" cm="1">
        <f t="array" ref="M48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3" s="148" t="e" cm="1">
        <f t="array" ref="N48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3" s="149" t="str">
        <f>IF(Table117821341[[#This Row],[Pos.]]="QB1",_xlfn.XLOOKUP(Table117821341[[#This Row],[Opp]],Table123[DEF],Table123[P]),"#N/A")</f>
        <v>#N/A</v>
      </c>
      <c r="P483" s="149" t="str">
        <f>IF(Table117821341[[#This Row],[Pos.]]="QB1",_xlfn.XLOOKUP(Table117821341[[#This Row],[Opp]],Table123[DEF],Table123[P+R]),"#N/A")</f>
        <v>#N/A</v>
      </c>
      <c r="Q483" s="150" t="str">
        <f>IF(Table117821341[[#This Row],[Pos.]]="QB1",_xlfn.XLOOKUP(Table117821341[[#This Row],[Opp]],Table123[DEF],Table123[P TD]),"#N/A")</f>
        <v>#N/A</v>
      </c>
      <c r="R483" s="149" t="e" cm="1">
        <f t="array" ref="R48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3" s="150" t="e" cm="1">
        <f t="array" ref="S48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3" s="150" t="e" cm="1">
        <f t="array" ref="T48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3" s="150" t="e" cm="1">
        <f t="array" ref="U48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3" s="150" t="e" cm="1">
        <f t="array" ref="V48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3" s="148" t="e" cm="1">
        <f t="array" ref="W483">_xlfn.IFS(Table117821341[[#This Row],[Pos.]]="QB1",AVERAGE(G483,H483,I483,J483,N483),Table117821341[[#This Row],[Pos.]]="RB1",AVERAGE(J483,K483,N483),Table117821341[[#This Row],[Pos.]]="RB2",AVERAGE(J483,K483,N483),Table117821341[[#This Row],[Pos.]]="WR1",AVERAGE(L483,M483,N483),Table117821341[[#This Row],[Pos.]]="WR2",AVERAGE(L483,M483,N483),Table117821341[[#This Row],[Pos.]]="WR3",AVERAGE(L483,M483,N483),Table117821341[[#This Row],[Pos.]]="WR4",AVERAGE(L483,M483,N483),Table117821341[[#This Row],[Pos.]]="TE1",AVERAGE(L483,M483,N483),Table117821341[[#This Row],[Pos.]]="TE2",AVERAGE(L483,M483,N483),Table117821341[[#This Row],[Pos.]]="D/ST",AVERAGE(Table117821341[[#This Row],[*TD*]]))</f>
        <v>#N/A</v>
      </c>
      <c r="X483" s="94" t="e">
        <f t="shared" si="8"/>
        <v>#N/A</v>
      </c>
    </row>
    <row r="484" spans="2:24" hidden="1" x14ac:dyDescent="0.35">
      <c r="B484" s="6" t="s">
        <v>514</v>
      </c>
      <c r="C484" s="97" t="s">
        <v>36</v>
      </c>
      <c r="D484" s="97" t="s">
        <v>68</v>
      </c>
      <c r="E484" s="23" t="str" cm="1">
        <f t="array" ref="E484">_xlfn.XLOOKUP(Table117821341[[#This Row],[Team]],Table4334[Team],'2425'!$C$3:$C$34)</f>
        <v>n/a</v>
      </c>
      <c r="F484" s="97" t="str">
        <f>_xlfn.XLOOKUP(Table117821341[[#This Row],[Team]],Table4334[Team],Table4334[OPP])</f>
        <v>n/a</v>
      </c>
      <c r="G484" s="148" t="str" cm="1">
        <f t="array" ref="G484">IF(Table117821341[[#This Row],[Pos.]]="QB1",_xlfn.XLOOKUP(Table117821341[[#This Row],[Opp]],Table123[DEF],'2425'!$G$3:$G$34),"#N/A")</f>
        <v>#N/A</v>
      </c>
      <c r="H484" s="148" t="str" cm="1">
        <f t="array" ref="H484">IF(Table117821341[[#This Row],[Pos.]]="QB1",_xlfn.XLOOKUP(Table117821341[[#This Row],[Opp]],Table123[DEF],'2425'!$J$3:$J$34),"#N/A")</f>
        <v>#N/A</v>
      </c>
      <c r="I484" s="148" t="str" cm="1">
        <f t="array" ref="I484">IF(Table117821341[[#This Row],[Pos.]]="QB1",_xlfn.XLOOKUP(Table117821341[[#This Row],[Opp]],Table123[DEF],'2425'!$K$3:$K$34),"#N/A")</f>
        <v>#N/A</v>
      </c>
      <c r="J484" s="148" t="e" cm="1">
        <f t="array" ref="J48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4" s="148" t="e" cm="1">
        <f t="array" ref="K48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4" s="148" t="e" cm="1">
        <f t="array" ref="L48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4" s="148" t="e" cm="1">
        <f t="array" ref="M48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4" s="148" t="e" cm="1">
        <f t="array" ref="N48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4" s="149" t="str">
        <f>IF(Table117821341[[#This Row],[Pos.]]="QB1",_xlfn.XLOOKUP(Table117821341[[#This Row],[Opp]],Table123[DEF],Table123[P]),"#N/A")</f>
        <v>#N/A</v>
      </c>
      <c r="P484" s="149" t="str">
        <f>IF(Table117821341[[#This Row],[Pos.]]="QB1",_xlfn.XLOOKUP(Table117821341[[#This Row],[Opp]],Table123[DEF],Table123[P+R]),"#N/A")</f>
        <v>#N/A</v>
      </c>
      <c r="Q484" s="150" t="str">
        <f>IF(Table117821341[[#This Row],[Pos.]]="QB1",_xlfn.XLOOKUP(Table117821341[[#This Row],[Opp]],Table123[DEF],Table123[P TD]),"#N/A")</f>
        <v>#N/A</v>
      </c>
      <c r="R484" s="149" t="e" cm="1">
        <f t="array" ref="R48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4" s="150" t="e" cm="1">
        <f t="array" ref="S48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4" s="150" t="e" cm="1">
        <f t="array" ref="T48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4" s="150" t="e" cm="1">
        <f t="array" ref="U48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4" s="162" t="e" cm="1">
        <f t="array" ref="V48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4" s="148" t="e" cm="1">
        <f t="array" ref="W484">_xlfn.IFS(Table117821341[[#This Row],[Pos.]]="QB1",AVERAGE(G484,H484,I484,J484,N484),Table117821341[[#This Row],[Pos.]]="RB1",AVERAGE(J484,K484,N484),Table117821341[[#This Row],[Pos.]]="RB2",AVERAGE(J484,K484,N484),Table117821341[[#This Row],[Pos.]]="WR1",AVERAGE(L484,M484,N484),Table117821341[[#This Row],[Pos.]]="WR2",AVERAGE(L484,M484,N484),Table117821341[[#This Row],[Pos.]]="WR3",AVERAGE(L484,M484,N484),Table117821341[[#This Row],[Pos.]]="WR4",AVERAGE(L484,M484,N484),Table117821341[[#This Row],[Pos.]]="TE1",AVERAGE(L484,M484,N484),Table117821341[[#This Row],[Pos.]]="TE2",AVERAGE(L484,M484,N484),Table117821341[[#This Row],[Pos.]]="D/ST",AVERAGE(Table117821341[[#This Row],[*TD*]]))</f>
        <v>#N/A</v>
      </c>
      <c r="X484" s="94" t="e">
        <f t="shared" si="8"/>
        <v>#N/A</v>
      </c>
    </row>
    <row r="485" spans="2:24" hidden="1" x14ac:dyDescent="0.35">
      <c r="B485" s="6" t="s">
        <v>353</v>
      </c>
      <c r="C485" s="97" t="s">
        <v>52</v>
      </c>
      <c r="D485" s="97" t="s">
        <v>398</v>
      </c>
      <c r="E485" s="23" t="str" cm="1">
        <f t="array" ref="E485">_xlfn.XLOOKUP(Table117821341[[#This Row],[Team]],Table4334[Team],'2425'!$C$3:$C$34)</f>
        <v>SB LX</v>
      </c>
      <c r="F485" s="97" t="str">
        <f>_xlfn.XLOOKUP(Table117821341[[#This Row],[Team]],Table4334[Team],Table4334[OPP])</f>
        <v>NE</v>
      </c>
      <c r="G485" s="148" t="str" cm="1">
        <f t="array" ref="G485">IF(Table117821341[[#This Row],[Pos.]]="QB1",_xlfn.XLOOKUP(Table117821341[[#This Row],[Opp]],Table123[DEF],'2425'!$G$3:$G$34),"#N/A")</f>
        <v>#N/A</v>
      </c>
      <c r="H485" s="148" t="str" cm="1">
        <f t="array" ref="H485">IF(Table117821341[[#This Row],[Pos.]]="QB1",_xlfn.XLOOKUP(Table117821341[[#This Row],[Opp]],Table123[DEF],'2425'!$J$3:$J$34),"#N/A")</f>
        <v>#N/A</v>
      </c>
      <c r="I485" s="148" t="str" cm="1">
        <f t="array" ref="I485">IF(Table117821341[[#This Row],[Pos.]]="QB1",_xlfn.XLOOKUP(Table117821341[[#This Row],[Opp]],Table123[DEF],'2425'!$K$3:$K$34),"#N/A")</f>
        <v>#N/A</v>
      </c>
      <c r="J485" s="148" t="e" cm="1">
        <f t="array" ref="J48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5" s="148" t="e" cm="1">
        <f t="array" ref="K48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5" s="148" cm="1">
        <f t="array" ref="L48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13</v>
      </c>
      <c r="M485" s="148" cm="1">
        <f t="array" ref="M48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15</v>
      </c>
      <c r="N485" s="148" cm="1">
        <f t="array" ref="N48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19.5</v>
      </c>
      <c r="O485" s="149" t="str">
        <f>IF(Table117821341[[#This Row],[Pos.]]="QB1",_xlfn.XLOOKUP(Table117821341[[#This Row],[Opp]],Table123[DEF],Table123[P]),"#N/A")</f>
        <v>#N/A</v>
      </c>
      <c r="P485" s="149" t="str">
        <f>IF(Table117821341[[#This Row],[Pos.]]="QB1",_xlfn.XLOOKUP(Table117821341[[#This Row],[Opp]],Table123[DEF],Table123[P+R]),"#N/A")</f>
        <v>#N/A</v>
      </c>
      <c r="Q485" s="150" t="str">
        <f>IF(Table117821341[[#This Row],[Pos.]]="QB1",_xlfn.XLOOKUP(Table117821341[[#This Row],[Opp]],Table123[DEF],Table123[P TD]),"#N/A")</f>
        <v>#N/A</v>
      </c>
      <c r="R485" s="149" t="e" cm="1">
        <f t="array" ref="R48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5" s="150" t="e" cm="1">
        <f t="array" ref="S48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5" s="150" cm="1">
        <f t="array" ref="T48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5.3823529411764701</v>
      </c>
      <c r="U485" s="150" cm="1">
        <f t="array" ref="U48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53.676470588235297</v>
      </c>
      <c r="V485" s="150" cm="1">
        <f t="array" ref="V48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0.3235294117647059</v>
      </c>
      <c r="W485" s="148" cm="1">
        <f t="array" ref="W485">_xlfn.IFS(Table117821341[[#This Row],[Pos.]]="QB1",AVERAGE(G485,H485,I485,J485,N485),Table117821341[[#This Row],[Pos.]]="RB1",AVERAGE(J485,K485,N485),Table117821341[[#This Row],[Pos.]]="RB2",AVERAGE(J485,K485,N485),Table117821341[[#This Row],[Pos.]]="WR1",AVERAGE(L485,M485,N485),Table117821341[[#This Row],[Pos.]]="WR2",AVERAGE(L485,M485,N485),Table117821341[[#This Row],[Pos.]]="WR3",AVERAGE(L485,M485,N485),Table117821341[[#This Row],[Pos.]]="WR4",AVERAGE(L485,M485,N485),Table117821341[[#This Row],[Pos.]]="TE1",AVERAGE(L485,M485,N485),Table117821341[[#This Row],[Pos.]]="TE2",AVERAGE(L485,M485,N485),Table117821341[[#This Row],[Pos.]]="D/ST",AVERAGE(Table117821341[[#This Row],[*TD*]]))</f>
        <v>15.833333333333334</v>
      </c>
      <c r="X485" s="94">
        <f t="shared" si="8"/>
        <v>17.666666666666668</v>
      </c>
    </row>
    <row r="486" spans="2:24" hidden="1" x14ac:dyDescent="0.35">
      <c r="B486" s="6" t="s">
        <v>533</v>
      </c>
      <c r="C486" s="97" t="s">
        <v>52</v>
      </c>
      <c r="D486" s="97" t="s">
        <v>430</v>
      </c>
      <c r="E486" s="23" t="str" cm="1">
        <f t="array" ref="E486">_xlfn.XLOOKUP(Table117821341[[#This Row],[Team]],Table4334[Team],'2425'!$C$3:$C$34)</f>
        <v>SB LX</v>
      </c>
      <c r="F486" s="97" t="str">
        <f>_xlfn.XLOOKUP(Table117821341[[#This Row],[Team]],Table4334[Team],Table4334[OPP])</f>
        <v>NE</v>
      </c>
      <c r="G486" s="148" t="str" cm="1">
        <f t="array" ref="G486">IF(Table117821341[[#This Row],[Pos.]]="QB1",_xlfn.XLOOKUP(Table117821341[[#This Row],[Opp]],Table123[DEF],'2425'!$G$3:$G$34),"#N/A")</f>
        <v>#N/A</v>
      </c>
      <c r="H486" s="148" t="str" cm="1">
        <f t="array" ref="H486">IF(Table117821341[[#This Row],[Pos.]]="QB1",_xlfn.XLOOKUP(Table117821341[[#This Row],[Opp]],Table123[DEF],'2425'!$J$3:$J$34),"#N/A")</f>
        <v>#N/A</v>
      </c>
      <c r="I486" s="148" t="str" cm="1">
        <f t="array" ref="I486">IF(Table117821341[[#This Row],[Pos.]]="QB1",_xlfn.XLOOKUP(Table117821341[[#This Row],[Opp]],Table123[DEF],'2425'!$K$3:$K$34),"#N/A")</f>
        <v>#N/A</v>
      </c>
      <c r="J486" s="148" t="e" cm="1">
        <f t="array" ref="J48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6" s="148" t="e" cm="1">
        <f t="array" ref="K48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6" s="148" t="e" cm="1">
        <f t="array" ref="L48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6" s="148" t="e" cm="1">
        <f t="array" ref="M48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6" s="148" t="e" cm="1">
        <f t="array" ref="N48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6" s="149" t="str">
        <f>IF(Table117821341[[#This Row],[Pos.]]="QB1",_xlfn.XLOOKUP(Table117821341[[#This Row],[Opp]],Table123[DEF],Table123[P]),"#N/A")</f>
        <v>#N/A</v>
      </c>
      <c r="P486" s="149" t="str">
        <f>IF(Table117821341[[#This Row],[Pos.]]="QB1",_xlfn.XLOOKUP(Table117821341[[#This Row],[Opp]],Table123[DEF],Table123[P+R]),"#N/A")</f>
        <v>#N/A</v>
      </c>
      <c r="Q486" s="150" t="str">
        <f>IF(Table117821341[[#This Row],[Pos.]]="QB1",_xlfn.XLOOKUP(Table117821341[[#This Row],[Opp]],Table123[DEF],Table123[P TD]),"#N/A")</f>
        <v>#N/A</v>
      </c>
      <c r="R486" s="149" t="e" cm="1">
        <f t="array" ref="R48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6" s="150" t="e" cm="1">
        <f t="array" ref="S48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6" s="150" t="e" cm="1">
        <f t="array" ref="T48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6" s="150" t="e" cm="1">
        <f t="array" ref="U48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6" s="150" t="e" cm="1">
        <f t="array" ref="V48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6" s="148" t="e" cm="1">
        <f t="array" ref="W486">_xlfn.IFS(Table117821341[[#This Row],[Pos.]]="QB1",AVERAGE(G486,H486,I486,J486,N486),Table117821341[[#This Row],[Pos.]]="RB1",AVERAGE(J486,K486,N486),Table117821341[[#This Row],[Pos.]]="RB2",AVERAGE(J486,K486,N486),Table117821341[[#This Row],[Pos.]]="WR1",AVERAGE(L486,M486,N486),Table117821341[[#This Row],[Pos.]]="WR2",AVERAGE(L486,M486,N486),Table117821341[[#This Row],[Pos.]]="WR3",AVERAGE(L486,M486,N486),Table117821341[[#This Row],[Pos.]]="WR4",AVERAGE(L486,M486,N486),Table117821341[[#This Row],[Pos.]]="TE1",AVERAGE(L486,M486,N486),Table117821341[[#This Row],[Pos.]]="TE2",AVERAGE(L486,M486,N486),Table117821341[[#This Row],[Pos.]]="D/ST",AVERAGE(Table117821341[[#This Row],[*TD*]]))</f>
        <v>#N/A</v>
      </c>
      <c r="X486" s="94" t="e">
        <f t="shared" si="8"/>
        <v>#N/A</v>
      </c>
    </row>
    <row r="487" spans="2:24" hidden="1" x14ac:dyDescent="0.35">
      <c r="B487" s="6" t="s">
        <v>534</v>
      </c>
      <c r="C487" s="97" t="s">
        <v>52</v>
      </c>
      <c r="D487" s="97" t="s">
        <v>435</v>
      </c>
      <c r="E487" s="23" t="str" cm="1">
        <f t="array" ref="E487">_xlfn.XLOOKUP(Table117821341[[#This Row],[Team]],Table4334[Team],'2425'!$C$3:$C$34)</f>
        <v>SB LX</v>
      </c>
      <c r="F487" s="97" t="str">
        <f>_xlfn.XLOOKUP(Table117821341[[#This Row],[Team]],Table4334[Team],Table4334[OPP])</f>
        <v>NE</v>
      </c>
      <c r="G487" s="148" t="str" cm="1">
        <f t="array" ref="G487">IF(Table117821341[[#This Row],[Pos.]]="QB1",_xlfn.XLOOKUP(Table117821341[[#This Row],[Opp]],Table123[DEF],'2425'!$G$3:$G$34),"#N/A")</f>
        <v>#N/A</v>
      </c>
      <c r="H487" s="148" t="str" cm="1">
        <f t="array" ref="H487">IF(Table117821341[[#This Row],[Pos.]]="QB1",_xlfn.XLOOKUP(Table117821341[[#This Row],[Opp]],Table123[DEF],'2425'!$J$3:$J$34),"#N/A")</f>
        <v>#N/A</v>
      </c>
      <c r="I487" s="148" t="str" cm="1">
        <f t="array" ref="I487">IF(Table117821341[[#This Row],[Pos.]]="QB1",_xlfn.XLOOKUP(Table117821341[[#This Row],[Opp]],Table123[DEF],'2425'!$K$3:$K$34),"#N/A")</f>
        <v>#N/A</v>
      </c>
      <c r="J487" s="148" t="e" cm="1">
        <f t="array" ref="J48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7" s="148" t="e" cm="1">
        <f t="array" ref="K48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7" s="148" t="e" cm="1">
        <f t="array" ref="L48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7" s="148" t="e" cm="1">
        <f t="array" ref="M48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7" s="148" t="e" cm="1">
        <f t="array" ref="N48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7" s="149" t="str">
        <f>IF(Table117821341[[#This Row],[Pos.]]="QB1",_xlfn.XLOOKUP(Table117821341[[#This Row],[Opp]],Table123[DEF],Table123[P]),"#N/A")</f>
        <v>#N/A</v>
      </c>
      <c r="P487" s="149" t="str">
        <f>IF(Table117821341[[#This Row],[Pos.]]="QB1",_xlfn.XLOOKUP(Table117821341[[#This Row],[Opp]],Table123[DEF],Table123[P+R]),"#N/A")</f>
        <v>#N/A</v>
      </c>
      <c r="Q487" s="150" t="str">
        <f>IF(Table117821341[[#This Row],[Pos.]]="QB1",_xlfn.XLOOKUP(Table117821341[[#This Row],[Opp]],Table123[DEF],Table123[P TD]),"#N/A")</f>
        <v>#N/A</v>
      </c>
      <c r="R487" s="149" t="e" cm="1">
        <f t="array" ref="R48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7" s="150" t="e" cm="1">
        <f t="array" ref="S48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7" s="150" t="e" cm="1">
        <f t="array" ref="T48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7" s="150" t="e" cm="1">
        <f t="array" ref="U48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7" s="150" t="e" cm="1">
        <f t="array" ref="V48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7" s="148" t="e" cm="1">
        <f t="array" ref="W487">_xlfn.IFS(Table117821341[[#This Row],[Pos.]]="QB1",AVERAGE(G487,H487,I487,J487,N487),Table117821341[[#This Row],[Pos.]]="RB1",AVERAGE(J487,K487,N487),Table117821341[[#This Row],[Pos.]]="RB2",AVERAGE(J487,K487,N487),Table117821341[[#This Row],[Pos.]]="WR1",AVERAGE(L487,M487,N487),Table117821341[[#This Row],[Pos.]]="WR2",AVERAGE(L487,M487,N487),Table117821341[[#This Row],[Pos.]]="WR3",AVERAGE(L487,M487,N487),Table117821341[[#This Row],[Pos.]]="WR4",AVERAGE(L487,M487,N487),Table117821341[[#This Row],[Pos.]]="TE1",AVERAGE(L487,M487,N487),Table117821341[[#This Row],[Pos.]]="TE2",AVERAGE(L487,M487,N487),Table117821341[[#This Row],[Pos.]]="D/ST",AVERAGE(Table117821341[[#This Row],[*TD*]]))</f>
        <v>#N/A</v>
      </c>
      <c r="X487" s="94" t="e">
        <f t="shared" si="8"/>
        <v>#N/A</v>
      </c>
    </row>
    <row r="488" spans="2:24" hidden="1" x14ac:dyDescent="0.35">
      <c r="B488" s="6" t="s">
        <v>321</v>
      </c>
      <c r="C488" s="97" t="s">
        <v>51</v>
      </c>
      <c r="D488" s="97" t="s">
        <v>68</v>
      </c>
      <c r="E488" s="23" t="str" cm="1">
        <f t="array" ref="E488">_xlfn.XLOOKUP(Table117821341[[#This Row],[Team]],Table4334[Team],'2425'!$C$3:$C$34)</f>
        <v>n/a</v>
      </c>
      <c r="F488" s="97" t="str">
        <f>_xlfn.XLOOKUP(Table117821341[[#This Row],[Team]],Table4334[Team],Table4334[OPP])</f>
        <v>n/a</v>
      </c>
      <c r="G488" s="148" t="str" cm="1">
        <f t="array" ref="G488">IF(Table117821341[[#This Row],[Pos.]]="QB1",_xlfn.XLOOKUP(Table117821341[[#This Row],[Opp]],Table123[DEF],'2425'!$G$3:$G$34),"#N/A")</f>
        <v>#N/A</v>
      </c>
      <c r="H488" s="148" t="str" cm="1">
        <f t="array" ref="H488">IF(Table117821341[[#This Row],[Pos.]]="QB1",_xlfn.XLOOKUP(Table117821341[[#This Row],[Opp]],Table123[DEF],'2425'!$J$3:$J$34),"#N/A")</f>
        <v>#N/A</v>
      </c>
      <c r="I488" s="148" t="str" cm="1">
        <f t="array" ref="I488">IF(Table117821341[[#This Row],[Pos.]]="QB1",_xlfn.XLOOKUP(Table117821341[[#This Row],[Opp]],Table123[DEF],'2425'!$K$3:$K$34),"#N/A")</f>
        <v>#N/A</v>
      </c>
      <c r="J488" s="148" t="e" cm="1">
        <f t="array" ref="J48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8" s="148" t="e" cm="1">
        <f t="array" ref="K48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8" s="148" t="e" cm="1">
        <f t="array" ref="L48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8" s="148" t="e" cm="1">
        <f t="array" ref="M48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8" s="148" t="e" cm="1">
        <f t="array" ref="N48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8" s="149" t="str">
        <f>IF(Table117821341[[#This Row],[Pos.]]="QB1",_xlfn.XLOOKUP(Table117821341[[#This Row],[Opp]],Table123[DEF],Table123[P]),"#N/A")</f>
        <v>#N/A</v>
      </c>
      <c r="P488" s="149" t="str">
        <f>IF(Table117821341[[#This Row],[Pos.]]="QB1",_xlfn.XLOOKUP(Table117821341[[#This Row],[Opp]],Table123[DEF],Table123[P+R]),"#N/A")</f>
        <v>#N/A</v>
      </c>
      <c r="Q488" s="150" t="str">
        <f>IF(Table117821341[[#This Row],[Pos.]]="QB1",_xlfn.XLOOKUP(Table117821341[[#This Row],[Opp]],Table123[DEF],Table123[P TD]),"#N/A")</f>
        <v>#N/A</v>
      </c>
      <c r="R488" s="149" t="e" cm="1">
        <f t="array" ref="R48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8" s="150" t="e" cm="1">
        <f t="array" ref="S48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8" s="150" t="e" cm="1">
        <f t="array" ref="T48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8" s="150" t="e" cm="1">
        <f t="array" ref="U48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8" s="162" t="e" cm="1">
        <f t="array" ref="V48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8" s="148" t="e" cm="1">
        <f t="array" ref="W488">_xlfn.IFS(Table117821341[[#This Row],[Pos.]]="QB1",AVERAGE(G488,H488,I488,J488,N488),Table117821341[[#This Row],[Pos.]]="RB1",AVERAGE(J488,K488,N488),Table117821341[[#This Row],[Pos.]]="RB2",AVERAGE(J488,K488,N488),Table117821341[[#This Row],[Pos.]]="WR1",AVERAGE(L488,M488,N488),Table117821341[[#This Row],[Pos.]]="WR2",AVERAGE(L488,M488,N488),Table117821341[[#This Row],[Pos.]]="WR3",AVERAGE(L488,M488,N488),Table117821341[[#This Row],[Pos.]]="WR4",AVERAGE(L488,M488,N488),Table117821341[[#This Row],[Pos.]]="TE1",AVERAGE(L488,M488,N488),Table117821341[[#This Row],[Pos.]]="TE2",AVERAGE(L488,M488,N488),Table117821341[[#This Row],[Pos.]]="D/ST",AVERAGE(Table117821341[[#This Row],[*TD*]]))</f>
        <v>#N/A</v>
      </c>
      <c r="X488" s="94" t="e">
        <f t="shared" si="8"/>
        <v>#N/A</v>
      </c>
    </row>
    <row r="489" spans="2:24" x14ac:dyDescent="0.35">
      <c r="B489" s="6" t="s">
        <v>734</v>
      </c>
      <c r="C489" s="97" t="s">
        <v>53</v>
      </c>
      <c r="D489" s="97" t="s">
        <v>71</v>
      </c>
      <c r="E489" s="23" t="str" cm="1">
        <f t="array" ref="E489">_xlfn.XLOOKUP(Table117821341[[#This Row],[Team]],Table4334[Team],'2425'!$C$3:$C$34)</f>
        <v>n/a</v>
      </c>
      <c r="F489" s="97" t="str">
        <f>_xlfn.XLOOKUP(Table117821341[[#This Row],[Team]],Table4334[Team],Table4334[OPP])</f>
        <v>n/a</v>
      </c>
      <c r="G489" s="148" t="str" cm="1">
        <f t="array" ref="G489">IF(Table117821341[[#This Row],[Pos.]]="QB1",_xlfn.XLOOKUP(Table117821341[[#This Row],[Opp]],Table123[DEF],'2425'!$G$3:$G$34),"#N/A")</f>
        <v>#N/A</v>
      </c>
      <c r="H489" s="148" t="str" cm="1">
        <f t="array" ref="H489">IF(Table117821341[[#This Row],[Pos.]]="QB1",_xlfn.XLOOKUP(Table117821341[[#This Row],[Opp]],Table123[DEF],'2425'!$J$3:$J$34),"#N/A")</f>
        <v>#N/A</v>
      </c>
      <c r="I489" s="148" t="str" cm="1">
        <f t="array" ref="I489">IF(Table117821341[[#This Row],[Pos.]]="QB1",_xlfn.XLOOKUP(Table117821341[[#This Row],[Opp]],Table123[DEF],'2425'!$K$3:$K$34),"#N/A")</f>
        <v>#N/A</v>
      </c>
      <c r="J489" s="148" t="e" cm="1">
        <f t="array" ref="J48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89" s="148" t="e" cm="1">
        <f t="array" ref="K48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89" s="148" t="e" cm="1">
        <f t="array" ref="L48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89" s="148" t="e" cm="1">
        <f t="array" ref="M48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89" s="148" t="e" cm="1">
        <f t="array" ref="N48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89" s="149" t="str">
        <f>IF(Table117821341[[#This Row],[Pos.]]="QB1",_xlfn.XLOOKUP(Table117821341[[#This Row],[Opp]],Table123[DEF],Table123[P]),"#N/A")</f>
        <v>#N/A</v>
      </c>
      <c r="P489" s="149" t="str">
        <f>IF(Table117821341[[#This Row],[Pos.]]="QB1",_xlfn.XLOOKUP(Table117821341[[#This Row],[Opp]],Table123[DEF],Table123[P+R]),"#N/A")</f>
        <v>#N/A</v>
      </c>
      <c r="Q489" s="150" t="str">
        <f>IF(Table117821341[[#This Row],[Pos.]]="QB1",_xlfn.XLOOKUP(Table117821341[[#This Row],[Opp]],Table123[DEF],Table123[P TD]),"#N/A")</f>
        <v>#N/A</v>
      </c>
      <c r="R489" s="149" t="e" cm="1">
        <f t="array" ref="R48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89" s="150" t="e" cm="1">
        <f t="array" ref="S48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89" s="150" t="e" cm="1">
        <f t="array" ref="T48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89" s="150" t="e" cm="1">
        <f t="array" ref="U48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89" s="162" t="e" cm="1">
        <f t="array" ref="V48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89" s="148" t="e" cm="1">
        <f t="array" ref="W489">_xlfn.IFS(Table117821341[[#This Row],[Pos.]]="QB1",AVERAGE(G489,H489,I489,J489,N489),Table117821341[[#This Row],[Pos.]]="RB1",AVERAGE(J489,K489,N489),Table117821341[[#This Row],[Pos.]]="RB2",AVERAGE(J489,K489,N489),Table117821341[[#This Row],[Pos.]]="WR1",AVERAGE(L489,M489,N489),Table117821341[[#This Row],[Pos.]]="WR2",AVERAGE(L489,M489,N489),Table117821341[[#This Row],[Pos.]]="WR3",AVERAGE(L489,M489,N489),Table117821341[[#This Row],[Pos.]]="WR4",AVERAGE(L489,M489,N489),Table117821341[[#This Row],[Pos.]]="TE1",AVERAGE(L489,M489,N489),Table117821341[[#This Row],[Pos.]]="TE2",AVERAGE(L489,M489,N489),Table117821341[[#This Row],[Pos.]]="D/ST",AVERAGE(Table117821341[[#This Row],[*TD*]]))</f>
        <v>#N/A</v>
      </c>
      <c r="X489" s="94" t="e">
        <f t="shared" si="8"/>
        <v>#N/A</v>
      </c>
    </row>
    <row r="490" spans="2:24" hidden="1" x14ac:dyDescent="0.35">
      <c r="B490" s="6" t="s">
        <v>112</v>
      </c>
      <c r="C490" s="97" t="s">
        <v>29</v>
      </c>
      <c r="D490" s="97" t="s">
        <v>399</v>
      </c>
      <c r="E490" s="23" t="str" cm="1">
        <f t="array" ref="E490">_xlfn.XLOOKUP(Table117821341[[#This Row],[Team]],Table4334[Team],'2425'!$C$3:$C$34)</f>
        <v>n/a</v>
      </c>
      <c r="F490" s="97" t="str">
        <f>_xlfn.XLOOKUP(Table117821341[[#This Row],[Team]],Table4334[Team],Table4334[OPP])</f>
        <v>n/a</v>
      </c>
      <c r="G490" s="148" t="e" cm="1">
        <f t="array" ref="G490">IF(Table117821341[[#This Row],[Pos.]]="QB1",_xlfn.XLOOKUP(Table117821341[[#This Row],[Opp]],Table123[DEF],'2425'!$G$3:$G$34),"#N/A")</f>
        <v>#N/A</v>
      </c>
      <c r="H490" s="148" t="e" cm="1">
        <f t="array" ref="H490">IF(Table117821341[[#This Row],[Pos.]]="QB1",_xlfn.XLOOKUP(Table117821341[[#This Row],[Opp]],Table123[DEF],'2425'!$J$3:$J$34),"#N/A")</f>
        <v>#N/A</v>
      </c>
      <c r="I490" s="148" t="e" cm="1">
        <f t="array" ref="I490">IF(Table117821341[[#This Row],[Pos.]]="QB1",_xlfn.XLOOKUP(Table117821341[[#This Row],[Opp]],Table123[DEF],'2425'!$K$3:$K$34),"#N/A")</f>
        <v>#N/A</v>
      </c>
      <c r="J490" s="148" t="e" cm="1">
        <f t="array" ref="J49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0" s="148" t="e" cm="1">
        <f t="array" ref="K49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0" s="148" t="e" cm="1">
        <f t="array" ref="L49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0" s="148" t="e" cm="1">
        <f t="array" ref="M49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0" s="148" t="e" cm="1">
        <f t="array" ref="N49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0" s="149" t="e">
        <f>IF(Table117821341[[#This Row],[Pos.]]="QB1",_xlfn.XLOOKUP(Table117821341[[#This Row],[Opp]],Table123[DEF],Table123[P]),"#N/A")</f>
        <v>#N/A</v>
      </c>
      <c r="P490" s="149" t="e">
        <f>IF(Table117821341[[#This Row],[Pos.]]="QB1",_xlfn.XLOOKUP(Table117821341[[#This Row],[Opp]],Table123[DEF],Table123[P+R]),"#N/A")</f>
        <v>#N/A</v>
      </c>
      <c r="Q490" s="150" t="e">
        <f>IF(Table117821341[[#This Row],[Pos.]]="QB1",_xlfn.XLOOKUP(Table117821341[[#This Row],[Opp]],Table123[DEF],Table123[P TD]),"#N/A")</f>
        <v>#N/A</v>
      </c>
      <c r="R490" s="149" t="e" cm="1">
        <f t="array" ref="R49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0" s="150" t="e" cm="1">
        <f t="array" ref="S49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0" s="150" t="e" cm="1">
        <f t="array" ref="T49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0" s="150" t="e" cm="1">
        <f t="array" ref="U49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0" s="162" t="e" cm="1">
        <f t="array" ref="V49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0" s="148" t="e" cm="1">
        <f t="array" ref="W490">_xlfn.IFS(Table117821341[[#This Row],[Pos.]]="QB1",AVERAGE(G490,H490,I490,J490,N490),Table117821341[[#This Row],[Pos.]]="RB1",AVERAGE(J490,K490,N490),Table117821341[[#This Row],[Pos.]]="RB2",AVERAGE(J490,K490,N490),Table117821341[[#This Row],[Pos.]]="WR1",AVERAGE(L490,M490,N490),Table117821341[[#This Row],[Pos.]]="WR2",AVERAGE(L490,M490,N490),Table117821341[[#This Row],[Pos.]]="WR3",AVERAGE(L490,M490,N490),Table117821341[[#This Row],[Pos.]]="WR4",AVERAGE(L490,M490,N490),Table117821341[[#This Row],[Pos.]]="TE1",AVERAGE(L490,M490,N490),Table117821341[[#This Row],[Pos.]]="TE2",AVERAGE(L490,M490,N490),Table117821341[[#This Row],[Pos.]]="D/ST",AVERAGE(Table117821341[[#This Row],[*TD*]]))</f>
        <v>#N/A</v>
      </c>
      <c r="X490" s="94" t="e">
        <f t="shared" si="8"/>
        <v>#N/A</v>
      </c>
    </row>
    <row r="491" spans="2:24" hidden="1" x14ac:dyDescent="0.35">
      <c r="B491" s="6" t="s">
        <v>342</v>
      </c>
      <c r="C491" s="97" t="s">
        <v>51</v>
      </c>
      <c r="D491" s="97" t="s">
        <v>399</v>
      </c>
      <c r="E491" s="23" t="str" cm="1">
        <f t="array" ref="E491">_xlfn.XLOOKUP(Table117821341[[#This Row],[Team]],Table4334[Team],'2425'!$C$3:$C$34)</f>
        <v>n/a</v>
      </c>
      <c r="F491" s="97" t="str">
        <f>_xlfn.XLOOKUP(Table117821341[[#This Row],[Team]],Table4334[Team],Table4334[OPP])</f>
        <v>n/a</v>
      </c>
      <c r="G491" s="148" t="e" cm="1">
        <f t="array" ref="G491">IF(Table117821341[[#This Row],[Pos.]]="QB1",_xlfn.XLOOKUP(Table117821341[[#This Row],[Opp]],Table123[DEF],'2425'!$G$3:$G$34),"#N/A")</f>
        <v>#N/A</v>
      </c>
      <c r="H491" s="148" t="e" cm="1">
        <f t="array" ref="H491">IF(Table117821341[[#This Row],[Pos.]]="QB1",_xlfn.XLOOKUP(Table117821341[[#This Row],[Opp]],Table123[DEF],'2425'!$J$3:$J$34),"#N/A")</f>
        <v>#N/A</v>
      </c>
      <c r="I491" s="148" t="e" cm="1">
        <f t="array" ref="I491">IF(Table117821341[[#This Row],[Pos.]]="QB1",_xlfn.XLOOKUP(Table117821341[[#This Row],[Opp]],Table123[DEF],'2425'!$K$3:$K$34),"#N/A")</f>
        <v>#N/A</v>
      </c>
      <c r="J491" s="148" t="e" cm="1">
        <f t="array" ref="J49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1" s="148" t="e" cm="1">
        <f t="array" ref="K49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1" s="148" t="e" cm="1">
        <f t="array" ref="L49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1" s="148" t="e" cm="1">
        <f t="array" ref="M49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1" s="148" t="e" cm="1">
        <f t="array" ref="N49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1" s="149" t="e">
        <f>IF(Table117821341[[#This Row],[Pos.]]="QB1",_xlfn.XLOOKUP(Table117821341[[#This Row],[Opp]],Table123[DEF],Table123[P]),"#N/A")</f>
        <v>#N/A</v>
      </c>
      <c r="P491" s="149" t="e">
        <f>IF(Table117821341[[#This Row],[Pos.]]="QB1",_xlfn.XLOOKUP(Table117821341[[#This Row],[Opp]],Table123[DEF],Table123[P+R]),"#N/A")</f>
        <v>#N/A</v>
      </c>
      <c r="Q491" s="150" t="e">
        <f>IF(Table117821341[[#This Row],[Pos.]]="QB1",_xlfn.XLOOKUP(Table117821341[[#This Row],[Opp]],Table123[DEF],Table123[P TD]),"#N/A")</f>
        <v>#N/A</v>
      </c>
      <c r="R491" s="149" t="e" cm="1">
        <f t="array" ref="R49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1" s="150" t="e" cm="1">
        <f t="array" ref="S49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1" s="150" t="e" cm="1">
        <f t="array" ref="T49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1" s="150" t="e" cm="1">
        <f t="array" ref="U49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1" s="162" t="e" cm="1">
        <f t="array" ref="V49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1" s="148" t="e" cm="1">
        <f t="array" ref="W491">_xlfn.IFS(Table117821341[[#This Row],[Pos.]]="QB1",AVERAGE(G491,H491,I491,J491,N491),Table117821341[[#This Row],[Pos.]]="RB1",AVERAGE(J491,K491,N491),Table117821341[[#This Row],[Pos.]]="RB2",AVERAGE(J491,K491,N491),Table117821341[[#This Row],[Pos.]]="WR1",AVERAGE(L491,M491,N491),Table117821341[[#This Row],[Pos.]]="WR2",AVERAGE(L491,M491,N491),Table117821341[[#This Row],[Pos.]]="WR3",AVERAGE(L491,M491,N491),Table117821341[[#This Row],[Pos.]]="WR4",AVERAGE(L491,M491,N491),Table117821341[[#This Row],[Pos.]]="TE1",AVERAGE(L491,M491,N491),Table117821341[[#This Row],[Pos.]]="TE2",AVERAGE(L491,M491,N491),Table117821341[[#This Row],[Pos.]]="D/ST",AVERAGE(Table117821341[[#This Row],[*TD*]]))</f>
        <v>#N/A</v>
      </c>
      <c r="X491" s="94" t="e">
        <f t="shared" si="8"/>
        <v>#N/A</v>
      </c>
    </row>
    <row r="492" spans="2:24" hidden="1" x14ac:dyDescent="0.35">
      <c r="B492" s="6" t="s">
        <v>530</v>
      </c>
      <c r="C492" s="97" t="s">
        <v>52</v>
      </c>
      <c r="D492" s="97" t="s">
        <v>403</v>
      </c>
      <c r="E492" s="23" t="str" cm="1">
        <f t="array" ref="E492">_xlfn.XLOOKUP(Table117821341[[#This Row],[Team]],Table4334[Team],'2425'!$C$3:$C$34)</f>
        <v>SB LX</v>
      </c>
      <c r="F492" s="97" t="str">
        <f>_xlfn.XLOOKUP(Table117821341[[#This Row],[Team]],Table4334[Team],Table4334[OPP])</f>
        <v>NE</v>
      </c>
      <c r="G492" s="148" t="str" cm="1">
        <f t="array" ref="G492">IF(Table117821341[[#This Row],[Pos.]]="QB1",_xlfn.XLOOKUP(Table117821341[[#This Row],[Opp]],Table123[DEF],'2425'!$G$3:$G$34),"#N/A")</f>
        <v>#N/A</v>
      </c>
      <c r="H492" s="148" t="str" cm="1">
        <f t="array" ref="H492">IF(Table117821341[[#This Row],[Pos.]]="QB1",_xlfn.XLOOKUP(Table117821341[[#This Row],[Opp]],Table123[DEF],'2425'!$J$3:$J$34),"#N/A")</f>
        <v>#N/A</v>
      </c>
      <c r="I492" s="148" t="str" cm="1">
        <f t="array" ref="I492">IF(Table117821341[[#This Row],[Pos.]]="QB1",_xlfn.XLOOKUP(Table117821341[[#This Row],[Opp]],Table123[DEF],'2425'!$K$3:$K$34),"#N/A")</f>
        <v>#N/A</v>
      </c>
      <c r="J492" s="148" t="e" cm="1">
        <f t="array" ref="J49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2" s="148" t="e" cm="1">
        <f t="array" ref="K49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2" s="148" t="e" cm="1">
        <f t="array" ref="L49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2" s="148" t="e" cm="1">
        <f t="array" ref="M49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2" s="148" t="e" cm="1">
        <f t="array" ref="N49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2" s="149" t="str">
        <f>IF(Table117821341[[#This Row],[Pos.]]="QB1",_xlfn.XLOOKUP(Table117821341[[#This Row],[Opp]],Table123[DEF],Table123[P]),"#N/A")</f>
        <v>#N/A</v>
      </c>
      <c r="P492" s="149" t="str">
        <f>IF(Table117821341[[#This Row],[Pos.]]="QB1",_xlfn.XLOOKUP(Table117821341[[#This Row],[Opp]],Table123[DEF],Table123[P+R]),"#N/A")</f>
        <v>#N/A</v>
      </c>
      <c r="Q492" s="150" t="str">
        <f>IF(Table117821341[[#This Row],[Pos.]]="QB1",_xlfn.XLOOKUP(Table117821341[[#This Row],[Opp]],Table123[DEF],Table123[P TD]),"#N/A")</f>
        <v>#N/A</v>
      </c>
      <c r="R492" s="149" t="e" cm="1">
        <f t="array" ref="R49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2" s="150" t="e" cm="1">
        <f t="array" ref="S49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2" s="150" t="e" cm="1">
        <f t="array" ref="T49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2" s="150" t="e" cm="1">
        <f t="array" ref="U49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2" s="150" t="e" cm="1">
        <f t="array" ref="V49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2" s="148" t="e" cm="1">
        <f t="array" ref="W492">_xlfn.IFS(Table117821341[[#This Row],[Pos.]]="QB1",AVERAGE(G492,H492,I492,J492,N492),Table117821341[[#This Row],[Pos.]]="RB1",AVERAGE(J492,K492,N492),Table117821341[[#This Row],[Pos.]]="RB2",AVERAGE(J492,K492,N492),Table117821341[[#This Row],[Pos.]]="WR1",AVERAGE(L492,M492,N492),Table117821341[[#This Row],[Pos.]]="WR2",AVERAGE(L492,M492,N492),Table117821341[[#This Row],[Pos.]]="WR3",AVERAGE(L492,M492,N492),Table117821341[[#This Row],[Pos.]]="WR4",AVERAGE(L492,M492,N492),Table117821341[[#This Row],[Pos.]]="TE1",AVERAGE(L492,M492,N492),Table117821341[[#This Row],[Pos.]]="TE2",AVERAGE(L492,M492,N492),Table117821341[[#This Row],[Pos.]]="D/ST",AVERAGE(Table117821341[[#This Row],[*TD*]]))</f>
        <v>#N/A</v>
      </c>
      <c r="X492" s="94" t="e">
        <f t="shared" si="8"/>
        <v>#N/A</v>
      </c>
    </row>
    <row r="493" spans="2:24" hidden="1" x14ac:dyDescent="0.35">
      <c r="B493" s="6" t="s">
        <v>531</v>
      </c>
      <c r="C493" s="97" t="s">
        <v>52</v>
      </c>
      <c r="D493" s="97" t="s">
        <v>411</v>
      </c>
      <c r="E493" s="23" t="str" cm="1">
        <f t="array" ref="E493">_xlfn.XLOOKUP(Table117821341[[#This Row],[Team]],Table4334[Team],'2425'!$C$3:$C$34)</f>
        <v>SB LX</v>
      </c>
      <c r="F493" s="97" t="str">
        <f>_xlfn.XLOOKUP(Table117821341[[#This Row],[Team]],Table4334[Team],Table4334[OPP])</f>
        <v>NE</v>
      </c>
      <c r="G493" s="148" t="str" cm="1">
        <f t="array" ref="G493">IF(Table117821341[[#This Row],[Pos.]]="QB1",_xlfn.XLOOKUP(Table117821341[[#This Row],[Opp]],Table123[DEF],'2425'!$G$3:$G$34),"#N/A")</f>
        <v>#N/A</v>
      </c>
      <c r="H493" s="148" t="str" cm="1">
        <f t="array" ref="H493">IF(Table117821341[[#This Row],[Pos.]]="QB1",_xlfn.XLOOKUP(Table117821341[[#This Row],[Opp]],Table123[DEF],'2425'!$J$3:$J$34),"#N/A")</f>
        <v>#N/A</v>
      </c>
      <c r="I493" s="148" t="str" cm="1">
        <f t="array" ref="I493">IF(Table117821341[[#This Row],[Pos.]]="QB1",_xlfn.XLOOKUP(Table117821341[[#This Row],[Opp]],Table123[DEF],'2425'!$K$3:$K$34),"#N/A")</f>
        <v>#N/A</v>
      </c>
      <c r="J493" s="148" t="e" cm="1">
        <f t="array" ref="J49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3" s="148" t="e" cm="1">
        <f t="array" ref="K49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3" s="148" t="e" cm="1">
        <f t="array" ref="L49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3" s="148" t="e" cm="1">
        <f t="array" ref="M49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3" s="148" t="e" cm="1">
        <f t="array" ref="N49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3" s="149" t="str">
        <f>IF(Table117821341[[#This Row],[Pos.]]="QB1",_xlfn.XLOOKUP(Table117821341[[#This Row],[Opp]],Table123[DEF],Table123[P]),"#N/A")</f>
        <v>#N/A</v>
      </c>
      <c r="P493" s="149" t="str">
        <f>IF(Table117821341[[#This Row],[Pos.]]="QB1",_xlfn.XLOOKUP(Table117821341[[#This Row],[Opp]],Table123[DEF],Table123[P+R]),"#N/A")</f>
        <v>#N/A</v>
      </c>
      <c r="Q493" s="150" t="str">
        <f>IF(Table117821341[[#This Row],[Pos.]]="QB1",_xlfn.XLOOKUP(Table117821341[[#This Row],[Opp]],Table123[DEF],Table123[P TD]),"#N/A")</f>
        <v>#N/A</v>
      </c>
      <c r="R493" s="149" t="e" cm="1">
        <f t="array" ref="R49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3" s="150" t="e" cm="1">
        <f t="array" ref="S49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3" s="150" t="e" cm="1">
        <f t="array" ref="T49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3" s="150" t="e" cm="1">
        <f t="array" ref="U49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3" s="150" t="e" cm="1">
        <f t="array" ref="V49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3" s="148" t="e" cm="1">
        <f t="array" ref="W493">_xlfn.IFS(Table117821341[[#This Row],[Pos.]]="QB1",AVERAGE(G493,H493,I493,J493,N493),Table117821341[[#This Row],[Pos.]]="RB1",AVERAGE(J493,K493,N493),Table117821341[[#This Row],[Pos.]]="RB2",AVERAGE(J493,K493,N493),Table117821341[[#This Row],[Pos.]]="WR1",AVERAGE(L493,M493,N493),Table117821341[[#This Row],[Pos.]]="WR2",AVERAGE(L493,M493,N493),Table117821341[[#This Row],[Pos.]]="WR3",AVERAGE(L493,M493,N493),Table117821341[[#This Row],[Pos.]]="WR4",AVERAGE(L493,M493,N493),Table117821341[[#This Row],[Pos.]]="TE1",AVERAGE(L493,M493,N493),Table117821341[[#This Row],[Pos.]]="TE2",AVERAGE(L493,M493,N493),Table117821341[[#This Row],[Pos.]]="D/ST",AVERAGE(Table117821341[[#This Row],[*TD*]]))</f>
        <v>#N/A</v>
      </c>
      <c r="X493" s="94" t="e">
        <f t="shared" si="8"/>
        <v>#N/A</v>
      </c>
    </row>
    <row r="494" spans="2:24" hidden="1" x14ac:dyDescent="0.35">
      <c r="B494" s="6" t="s">
        <v>532</v>
      </c>
      <c r="C494" s="97" t="s">
        <v>52</v>
      </c>
      <c r="D494" s="97" t="s">
        <v>441</v>
      </c>
      <c r="E494" s="23" t="str" cm="1">
        <f t="array" ref="E494">_xlfn.XLOOKUP(Table117821341[[#This Row],[Team]],Table4334[Team],'2425'!$C$3:$C$34)</f>
        <v>SB LX</v>
      </c>
      <c r="F494" s="97" t="str">
        <f>_xlfn.XLOOKUP(Table117821341[[#This Row],[Team]],Table4334[Team],Table4334[OPP])</f>
        <v>NE</v>
      </c>
      <c r="G494" s="148" t="str" cm="1">
        <f t="array" ref="G494">IF(Table117821341[[#This Row],[Pos.]]="QB1",_xlfn.XLOOKUP(Table117821341[[#This Row],[Opp]],Table123[DEF],'2425'!$G$3:$G$34),"#N/A")</f>
        <v>#N/A</v>
      </c>
      <c r="H494" s="148" t="str" cm="1">
        <f t="array" ref="H494">IF(Table117821341[[#This Row],[Pos.]]="QB1",_xlfn.XLOOKUP(Table117821341[[#This Row],[Opp]],Table123[DEF],'2425'!$J$3:$J$34),"#N/A")</f>
        <v>#N/A</v>
      </c>
      <c r="I494" s="148" t="str" cm="1">
        <f t="array" ref="I494">IF(Table117821341[[#This Row],[Pos.]]="QB1",_xlfn.XLOOKUP(Table117821341[[#This Row],[Opp]],Table123[DEF],'2425'!$K$3:$K$34),"#N/A")</f>
        <v>#N/A</v>
      </c>
      <c r="J494" s="148" t="e" cm="1">
        <f t="array" ref="J49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4" s="148" t="e" cm="1">
        <f t="array" ref="K49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4" s="148" t="e" cm="1">
        <f t="array" ref="L49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4" s="148" t="e" cm="1">
        <f t="array" ref="M49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4" s="148" t="e" cm="1">
        <f t="array" ref="N49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4" s="149" t="str">
        <f>IF(Table117821341[[#This Row],[Pos.]]="QB1",_xlfn.XLOOKUP(Table117821341[[#This Row],[Opp]],Table123[DEF],Table123[P]),"#N/A")</f>
        <v>#N/A</v>
      </c>
      <c r="P494" s="149" t="str">
        <f>IF(Table117821341[[#This Row],[Pos.]]="QB1",_xlfn.XLOOKUP(Table117821341[[#This Row],[Opp]],Table123[DEF],Table123[P+R]),"#N/A")</f>
        <v>#N/A</v>
      </c>
      <c r="Q494" s="150" t="str">
        <f>IF(Table117821341[[#This Row],[Pos.]]="QB1",_xlfn.XLOOKUP(Table117821341[[#This Row],[Opp]],Table123[DEF],Table123[P TD]),"#N/A")</f>
        <v>#N/A</v>
      </c>
      <c r="R494" s="149" t="e" cm="1">
        <f t="array" ref="R49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4" s="150" t="e" cm="1">
        <f t="array" ref="S49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4" s="150" t="e" cm="1">
        <f t="array" ref="T49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4" s="150" t="e" cm="1">
        <f t="array" ref="U49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4" s="150" t="e" cm="1">
        <f t="array" ref="V49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4" s="148" t="e" cm="1">
        <f t="array" ref="W494">_xlfn.IFS(Table117821341[[#This Row],[Pos.]]="QB1",AVERAGE(G494,H494,I494,J494,N494),Table117821341[[#This Row],[Pos.]]="RB1",AVERAGE(J494,K494,N494),Table117821341[[#This Row],[Pos.]]="RB2",AVERAGE(J494,K494,N494),Table117821341[[#This Row],[Pos.]]="WR1",AVERAGE(L494,M494,N494),Table117821341[[#This Row],[Pos.]]="WR2",AVERAGE(L494,M494,N494),Table117821341[[#This Row],[Pos.]]="WR3",AVERAGE(L494,M494,N494),Table117821341[[#This Row],[Pos.]]="WR4",AVERAGE(L494,M494,N494),Table117821341[[#This Row],[Pos.]]="TE1",AVERAGE(L494,M494,N494),Table117821341[[#This Row],[Pos.]]="TE2",AVERAGE(L494,M494,N494),Table117821341[[#This Row],[Pos.]]="D/ST",AVERAGE(Table117821341[[#This Row],[*TD*]]))</f>
        <v>#N/A</v>
      </c>
      <c r="X494" s="94" t="e">
        <f t="shared" si="8"/>
        <v>#N/A</v>
      </c>
    </row>
    <row r="495" spans="2:24" hidden="1" x14ac:dyDescent="0.35">
      <c r="B495" s="6" t="s">
        <v>454</v>
      </c>
      <c r="C495" s="97" t="s">
        <v>50</v>
      </c>
      <c r="D495" s="97" t="s">
        <v>68</v>
      </c>
      <c r="E495" s="23" t="str" cm="1">
        <f t="array" ref="E495">_xlfn.XLOOKUP(Table117821341[[#This Row],[Team]],Table4334[Team],'2425'!$C$3:$C$34)</f>
        <v>n/a</v>
      </c>
      <c r="F495" s="97" t="str">
        <f>_xlfn.XLOOKUP(Table117821341[[#This Row],[Team]],Table4334[Team],Table4334[OPP])</f>
        <v>n/a</v>
      </c>
      <c r="G495" s="148" t="str" cm="1">
        <f t="array" ref="G495">IF(Table117821341[[#This Row],[Pos.]]="QB1",_xlfn.XLOOKUP(Table117821341[[#This Row],[Opp]],Table123[DEF],'2425'!$G$3:$G$34),"#N/A")</f>
        <v>#N/A</v>
      </c>
      <c r="H495" s="148" t="str" cm="1">
        <f t="array" ref="H495">IF(Table117821341[[#This Row],[Pos.]]="QB1",_xlfn.XLOOKUP(Table117821341[[#This Row],[Opp]],Table123[DEF],'2425'!$J$3:$J$34),"#N/A")</f>
        <v>#N/A</v>
      </c>
      <c r="I495" s="148" t="str" cm="1">
        <f t="array" ref="I495">IF(Table117821341[[#This Row],[Pos.]]="QB1",_xlfn.XLOOKUP(Table117821341[[#This Row],[Opp]],Table123[DEF],'2425'!$K$3:$K$34),"#N/A")</f>
        <v>#N/A</v>
      </c>
      <c r="J495" s="148" t="e" cm="1">
        <f t="array" ref="J49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5" s="148" t="e" cm="1">
        <f t="array" ref="K49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5" s="148" t="e" cm="1">
        <f t="array" ref="L49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5" s="148" t="e" cm="1">
        <f t="array" ref="M49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5" s="148" t="e" cm="1">
        <f t="array" ref="N49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5" s="149" t="str">
        <f>IF(Table117821341[[#This Row],[Pos.]]="QB1",_xlfn.XLOOKUP(Table117821341[[#This Row],[Opp]],Table123[DEF],Table123[P]),"#N/A")</f>
        <v>#N/A</v>
      </c>
      <c r="P495" s="149" t="str">
        <f>IF(Table117821341[[#This Row],[Pos.]]="QB1",_xlfn.XLOOKUP(Table117821341[[#This Row],[Opp]],Table123[DEF],Table123[P+R]),"#N/A")</f>
        <v>#N/A</v>
      </c>
      <c r="Q495" s="150" t="str">
        <f>IF(Table117821341[[#This Row],[Pos.]]="QB1",_xlfn.XLOOKUP(Table117821341[[#This Row],[Opp]],Table123[DEF],Table123[P TD]),"#N/A")</f>
        <v>#N/A</v>
      </c>
      <c r="R495" s="149" t="e" cm="1">
        <f t="array" ref="R49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5" s="150" t="e" cm="1">
        <f t="array" ref="S49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5" s="150" t="e" cm="1">
        <f t="array" ref="T49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5" s="150" t="e" cm="1">
        <f t="array" ref="U49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5" s="162" t="e" cm="1">
        <f t="array" ref="V49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5" s="148" t="e" cm="1">
        <f t="array" ref="W495">_xlfn.IFS(Table117821341[[#This Row],[Pos.]]="QB1",AVERAGE(G495,H495,I495,J495,N495),Table117821341[[#This Row],[Pos.]]="RB1",AVERAGE(J495,K495,N495),Table117821341[[#This Row],[Pos.]]="RB2",AVERAGE(J495,K495,N495),Table117821341[[#This Row],[Pos.]]="WR1",AVERAGE(L495,M495,N495),Table117821341[[#This Row],[Pos.]]="WR2",AVERAGE(L495,M495,N495),Table117821341[[#This Row],[Pos.]]="WR3",AVERAGE(L495,M495,N495),Table117821341[[#This Row],[Pos.]]="WR4",AVERAGE(L495,M495,N495),Table117821341[[#This Row],[Pos.]]="TE1",AVERAGE(L495,M495,N495),Table117821341[[#This Row],[Pos.]]="TE2",AVERAGE(L495,M495,N495),Table117821341[[#This Row],[Pos.]]="D/ST",AVERAGE(Table117821341[[#This Row],[*TD*]]))</f>
        <v>#N/A</v>
      </c>
      <c r="X495" s="94" t="e">
        <f t="shared" si="8"/>
        <v>#N/A</v>
      </c>
    </row>
    <row r="496" spans="2:24" hidden="1" x14ac:dyDescent="0.35">
      <c r="B496" s="6" t="s">
        <v>711</v>
      </c>
      <c r="C496" s="97" t="s">
        <v>29</v>
      </c>
      <c r="D496" s="97" t="s">
        <v>71</v>
      </c>
      <c r="E496" s="23" t="str" cm="1">
        <f t="array" ref="E496">_xlfn.XLOOKUP(Table117821341[[#This Row],[Team]],Table4334[Team],'2425'!$C$3:$C$34)</f>
        <v>n/a</v>
      </c>
      <c r="F496" s="97" t="str">
        <f>_xlfn.XLOOKUP(Table117821341[[#This Row],[Team]],Table4334[Team],Table4334[OPP])</f>
        <v>n/a</v>
      </c>
      <c r="G496" s="148" t="str" cm="1">
        <f t="array" ref="G496">IF(Table117821341[[#This Row],[Pos.]]="QB1",_xlfn.XLOOKUP(Table117821341[[#This Row],[Opp]],Table123[DEF],'2425'!$G$3:$G$34),"#N/A")</f>
        <v>#N/A</v>
      </c>
      <c r="H496" s="148" t="str" cm="1">
        <f t="array" ref="H496">IF(Table117821341[[#This Row],[Pos.]]="QB1",_xlfn.XLOOKUP(Table117821341[[#This Row],[Opp]],Table123[DEF],'2425'!$J$3:$J$34),"#N/A")</f>
        <v>#N/A</v>
      </c>
      <c r="I496" s="148" t="str" cm="1">
        <f t="array" ref="I496">IF(Table117821341[[#This Row],[Pos.]]="QB1",_xlfn.XLOOKUP(Table117821341[[#This Row],[Opp]],Table123[DEF],'2425'!$K$3:$K$34),"#N/A")</f>
        <v>#N/A</v>
      </c>
      <c r="J496" s="148" t="e" cm="1">
        <f t="array" ref="J49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6" s="148" t="e" cm="1">
        <f t="array" ref="K49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6" s="148" t="e" cm="1">
        <f t="array" ref="L49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6" s="148" t="e" cm="1">
        <f t="array" ref="M49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6" s="148" t="e" cm="1">
        <f t="array" ref="N49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6" s="149" t="str">
        <f>IF(Table117821341[[#This Row],[Pos.]]="QB1",_xlfn.XLOOKUP(Table117821341[[#This Row],[Opp]],Table123[DEF],Table123[P]),"#N/A")</f>
        <v>#N/A</v>
      </c>
      <c r="P496" s="149" t="str">
        <f>IF(Table117821341[[#This Row],[Pos.]]="QB1",_xlfn.XLOOKUP(Table117821341[[#This Row],[Opp]],Table123[DEF],Table123[P+R]),"#N/A")</f>
        <v>#N/A</v>
      </c>
      <c r="Q496" s="150" t="str">
        <f>IF(Table117821341[[#This Row],[Pos.]]="QB1",_xlfn.XLOOKUP(Table117821341[[#This Row],[Opp]],Table123[DEF],Table123[P TD]),"#N/A")</f>
        <v>#N/A</v>
      </c>
      <c r="R496" s="149" t="e" cm="1">
        <f t="array" ref="R49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6" s="150" t="e" cm="1">
        <f t="array" ref="S49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6" s="150" t="e" cm="1">
        <f t="array" ref="T49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6" s="150" t="e" cm="1">
        <f t="array" ref="U49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6" s="162" t="e" cm="1">
        <f t="array" ref="V49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6" s="148" t="e" cm="1">
        <f t="array" ref="W496">_xlfn.IFS(Table117821341[[#This Row],[Pos.]]="QB1",AVERAGE(G496,H496,I496,J496,N496),Table117821341[[#This Row],[Pos.]]="RB1",AVERAGE(J496,K496,N496),Table117821341[[#This Row],[Pos.]]="RB2",AVERAGE(J496,K496,N496),Table117821341[[#This Row],[Pos.]]="WR1",AVERAGE(L496,M496,N496),Table117821341[[#This Row],[Pos.]]="WR2",AVERAGE(L496,M496,N496),Table117821341[[#This Row],[Pos.]]="WR3",AVERAGE(L496,M496,N496),Table117821341[[#This Row],[Pos.]]="WR4",AVERAGE(L496,M496,N496),Table117821341[[#This Row],[Pos.]]="TE1",AVERAGE(L496,M496,N496),Table117821341[[#This Row],[Pos.]]="TE2",AVERAGE(L496,M496,N496),Table117821341[[#This Row],[Pos.]]="D/ST",AVERAGE(Table117821341[[#This Row],[*TD*]]))</f>
        <v>#N/A</v>
      </c>
      <c r="X496" s="94" t="e">
        <f t="shared" si="8"/>
        <v>#N/A</v>
      </c>
    </row>
    <row r="497" spans="2:24" hidden="1" x14ac:dyDescent="0.35">
      <c r="B497" s="6" t="s">
        <v>538</v>
      </c>
      <c r="C497" s="97" t="s">
        <v>53</v>
      </c>
      <c r="D497" s="97" t="s">
        <v>405</v>
      </c>
      <c r="E497" s="23" t="str" cm="1">
        <f t="array" ref="E497">_xlfn.XLOOKUP(Table117821341[[#This Row],[Team]],Table4334[Team],'2425'!$C$3:$C$34)</f>
        <v>n/a</v>
      </c>
      <c r="F497" s="97" t="str">
        <f>_xlfn.XLOOKUP(Table117821341[[#This Row],[Team]],Table4334[Team],Table4334[OPP])</f>
        <v>n/a</v>
      </c>
      <c r="G497" s="148" t="str" cm="1">
        <f t="array" ref="G497">IF(Table117821341[[#This Row],[Pos.]]="QB1",_xlfn.XLOOKUP(Table117821341[[#This Row],[Opp]],Table123[DEF],'2425'!$G$3:$G$34),"#N/A")</f>
        <v>#N/A</v>
      </c>
      <c r="H497" s="148" t="str" cm="1">
        <f t="array" ref="H497">IF(Table117821341[[#This Row],[Pos.]]="QB1",_xlfn.XLOOKUP(Table117821341[[#This Row],[Opp]],Table123[DEF],'2425'!$J$3:$J$34),"#N/A")</f>
        <v>#N/A</v>
      </c>
      <c r="I497" s="148" t="str" cm="1">
        <f t="array" ref="I497">IF(Table117821341[[#This Row],[Pos.]]="QB1",_xlfn.XLOOKUP(Table117821341[[#This Row],[Opp]],Table123[DEF],'2425'!$K$3:$K$34),"#N/A")</f>
        <v>#N/A</v>
      </c>
      <c r="J497" s="148" t="e" cm="1">
        <f t="array" ref="J49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7" s="148" t="e" cm="1">
        <f t="array" ref="K49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7" s="148" t="e" cm="1">
        <f t="array" ref="L49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7" s="148" t="e" cm="1">
        <f t="array" ref="M49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7" s="148" t="e" cm="1">
        <f t="array" ref="N49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7" s="149" t="str">
        <f>IF(Table117821341[[#This Row],[Pos.]]="QB1",_xlfn.XLOOKUP(Table117821341[[#This Row],[Opp]],Table123[DEF],Table123[P]),"#N/A")</f>
        <v>#N/A</v>
      </c>
      <c r="P497" s="149" t="str">
        <f>IF(Table117821341[[#This Row],[Pos.]]="QB1",_xlfn.XLOOKUP(Table117821341[[#This Row],[Opp]],Table123[DEF],Table123[P+R]),"#N/A")</f>
        <v>#N/A</v>
      </c>
      <c r="Q497" s="150" t="str">
        <f>IF(Table117821341[[#This Row],[Pos.]]="QB1",_xlfn.XLOOKUP(Table117821341[[#This Row],[Opp]],Table123[DEF],Table123[P TD]),"#N/A")</f>
        <v>#N/A</v>
      </c>
      <c r="R497" s="149" t="e" cm="1">
        <f t="array" ref="R49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7" s="150" t="e" cm="1">
        <f t="array" ref="S49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7" s="150" t="e" cm="1">
        <f t="array" ref="T49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7" s="150" t="e" cm="1">
        <f t="array" ref="U49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7" s="150" t="e" cm="1">
        <f t="array" ref="V49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7" s="148" t="e" cm="1">
        <f t="array" ref="W497">_xlfn.IFS(Table117821341[[#This Row],[Pos.]]="QB1",AVERAGE(G497,H497,I497,J497,N497),Table117821341[[#This Row],[Pos.]]="RB1",AVERAGE(J497,K497,N497),Table117821341[[#This Row],[Pos.]]="RB2",AVERAGE(J497,K497,N497),Table117821341[[#This Row],[Pos.]]="WR1",AVERAGE(L497,M497,N497),Table117821341[[#This Row],[Pos.]]="WR2",AVERAGE(L497,M497,N497),Table117821341[[#This Row],[Pos.]]="WR3",AVERAGE(L497,M497,N497),Table117821341[[#This Row],[Pos.]]="WR4",AVERAGE(L497,M497,N497),Table117821341[[#This Row],[Pos.]]="TE1",AVERAGE(L497,M497,N497),Table117821341[[#This Row],[Pos.]]="TE2",AVERAGE(L497,M497,N497),Table117821341[[#This Row],[Pos.]]="D/ST",AVERAGE(Table117821341[[#This Row],[*TD*]]))</f>
        <v>#N/A</v>
      </c>
      <c r="X497" s="94" t="e">
        <f t="shared" si="8"/>
        <v>#N/A</v>
      </c>
    </row>
    <row r="498" spans="2:24" hidden="1" x14ac:dyDescent="0.35">
      <c r="B498" s="6" t="s">
        <v>358</v>
      </c>
      <c r="C498" s="97" t="s">
        <v>53</v>
      </c>
      <c r="D498" s="97" t="s">
        <v>425</v>
      </c>
      <c r="E498" s="23" t="str" cm="1">
        <f t="array" ref="E498">_xlfn.XLOOKUP(Table117821341[[#This Row],[Team]],Table4334[Team],'2425'!$C$3:$C$34)</f>
        <v>n/a</v>
      </c>
      <c r="F498" s="97" t="str">
        <f>_xlfn.XLOOKUP(Table117821341[[#This Row],[Team]],Table4334[Team],Table4334[OPP])</f>
        <v>n/a</v>
      </c>
      <c r="G498" s="148" t="str" cm="1">
        <f t="array" ref="G498">IF(Table117821341[[#This Row],[Pos.]]="QB1",_xlfn.XLOOKUP(Table117821341[[#This Row],[Opp]],Table123[DEF],'2425'!$G$3:$G$34),"#N/A")</f>
        <v>#N/A</v>
      </c>
      <c r="H498" s="148" t="str" cm="1">
        <f t="array" ref="H498">IF(Table117821341[[#This Row],[Pos.]]="QB1",_xlfn.XLOOKUP(Table117821341[[#This Row],[Opp]],Table123[DEF],'2425'!$J$3:$J$34),"#N/A")</f>
        <v>#N/A</v>
      </c>
      <c r="I498" s="148" t="str" cm="1">
        <f t="array" ref="I498">IF(Table117821341[[#This Row],[Pos.]]="QB1",_xlfn.XLOOKUP(Table117821341[[#This Row],[Opp]],Table123[DEF],'2425'!$K$3:$K$34),"#N/A")</f>
        <v>#N/A</v>
      </c>
      <c r="J498" s="148" t="e" cm="1">
        <f t="array" ref="J49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8" s="148" t="e" cm="1">
        <f t="array" ref="K49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8" s="148" t="e" cm="1">
        <f t="array" ref="L49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8" s="148" t="e" cm="1">
        <f t="array" ref="M49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8" s="148" t="e" cm="1">
        <f t="array" ref="N49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8" s="149" t="str">
        <f>IF(Table117821341[[#This Row],[Pos.]]="QB1",_xlfn.XLOOKUP(Table117821341[[#This Row],[Opp]],Table123[DEF],Table123[P]),"#N/A")</f>
        <v>#N/A</v>
      </c>
      <c r="P498" s="149" t="str">
        <f>IF(Table117821341[[#This Row],[Pos.]]="QB1",_xlfn.XLOOKUP(Table117821341[[#This Row],[Opp]],Table123[DEF],Table123[P+R]),"#N/A")</f>
        <v>#N/A</v>
      </c>
      <c r="Q498" s="150" t="str">
        <f>IF(Table117821341[[#This Row],[Pos.]]="QB1",_xlfn.XLOOKUP(Table117821341[[#This Row],[Opp]],Table123[DEF],Table123[P TD]),"#N/A")</f>
        <v>#N/A</v>
      </c>
      <c r="R498" s="149" t="e" cm="1">
        <f t="array" ref="R49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8" s="150" t="e" cm="1">
        <f t="array" ref="S49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8" s="150" t="e" cm="1">
        <f t="array" ref="T49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8" s="150" t="e" cm="1">
        <f t="array" ref="U49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8" s="150" t="e" cm="1">
        <f t="array" ref="V49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8" s="148" t="e" cm="1">
        <f t="array" ref="W498">_xlfn.IFS(Table117821341[[#This Row],[Pos.]]="QB1",AVERAGE(G498,H498,I498,J498,N498),Table117821341[[#This Row],[Pos.]]="RB1",AVERAGE(J498,K498,N498),Table117821341[[#This Row],[Pos.]]="RB2",AVERAGE(J498,K498,N498),Table117821341[[#This Row],[Pos.]]="WR1",AVERAGE(L498,M498,N498),Table117821341[[#This Row],[Pos.]]="WR2",AVERAGE(L498,M498,N498),Table117821341[[#This Row],[Pos.]]="WR3",AVERAGE(L498,M498,N498),Table117821341[[#This Row],[Pos.]]="WR4",AVERAGE(L498,M498,N498),Table117821341[[#This Row],[Pos.]]="TE1",AVERAGE(L498,M498,N498),Table117821341[[#This Row],[Pos.]]="TE2",AVERAGE(L498,M498,N498),Table117821341[[#This Row],[Pos.]]="D/ST",AVERAGE(Table117821341[[#This Row],[*TD*]]))</f>
        <v>#N/A</v>
      </c>
      <c r="X498" s="94" t="e">
        <f t="shared" si="8"/>
        <v>#N/A</v>
      </c>
    </row>
    <row r="499" spans="2:24" hidden="1" x14ac:dyDescent="0.35">
      <c r="B499" s="6" t="s">
        <v>539</v>
      </c>
      <c r="C499" s="97" t="s">
        <v>53</v>
      </c>
      <c r="D499" s="97" t="s">
        <v>480</v>
      </c>
      <c r="E499" s="23" t="str" cm="1">
        <f t="array" ref="E499">_xlfn.XLOOKUP(Table117821341[[#This Row],[Team]],Table4334[Team],'2425'!$C$3:$C$34)</f>
        <v>n/a</v>
      </c>
      <c r="F499" s="97" t="str">
        <f>_xlfn.XLOOKUP(Table117821341[[#This Row],[Team]],Table4334[Team],Table4334[OPP])</f>
        <v>n/a</v>
      </c>
      <c r="G499" s="148" t="str" cm="1">
        <f t="array" ref="G499">IF(Table117821341[[#This Row],[Pos.]]="QB1",_xlfn.XLOOKUP(Table117821341[[#This Row],[Opp]],Table123[DEF],'2425'!$G$3:$G$34),"#N/A")</f>
        <v>#N/A</v>
      </c>
      <c r="H499" s="148" t="str" cm="1">
        <f t="array" ref="H499">IF(Table117821341[[#This Row],[Pos.]]="QB1",_xlfn.XLOOKUP(Table117821341[[#This Row],[Opp]],Table123[DEF],'2425'!$J$3:$J$34),"#N/A")</f>
        <v>#N/A</v>
      </c>
      <c r="I499" s="148" t="str" cm="1">
        <f t="array" ref="I499">IF(Table117821341[[#This Row],[Pos.]]="QB1",_xlfn.XLOOKUP(Table117821341[[#This Row],[Opp]],Table123[DEF],'2425'!$K$3:$K$34),"#N/A")</f>
        <v>#N/A</v>
      </c>
      <c r="J499" s="148" t="e" cm="1">
        <f t="array" ref="J49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499" s="148" t="e" cm="1">
        <f t="array" ref="K49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499" s="148" t="e" cm="1">
        <f t="array" ref="L49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499" s="148" t="e" cm="1">
        <f t="array" ref="M49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499" s="148" t="e" cm="1">
        <f t="array" ref="N49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499" s="149" t="str">
        <f>IF(Table117821341[[#This Row],[Pos.]]="QB1",_xlfn.XLOOKUP(Table117821341[[#This Row],[Opp]],Table123[DEF],Table123[P]),"#N/A")</f>
        <v>#N/A</v>
      </c>
      <c r="P499" s="149" t="str">
        <f>IF(Table117821341[[#This Row],[Pos.]]="QB1",_xlfn.XLOOKUP(Table117821341[[#This Row],[Opp]],Table123[DEF],Table123[P+R]),"#N/A")</f>
        <v>#N/A</v>
      </c>
      <c r="Q499" s="150" t="str">
        <f>IF(Table117821341[[#This Row],[Pos.]]="QB1",_xlfn.XLOOKUP(Table117821341[[#This Row],[Opp]],Table123[DEF],Table123[P TD]),"#N/A")</f>
        <v>#N/A</v>
      </c>
      <c r="R499" s="149" t="e" cm="1">
        <f t="array" ref="R49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499" s="150" t="e" cm="1">
        <f t="array" ref="S49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499" s="150" t="e" cm="1">
        <f t="array" ref="T49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499" s="150" t="e" cm="1">
        <f t="array" ref="U49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499" s="150" t="e" cm="1">
        <f t="array" ref="V49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499" s="148" t="e" cm="1">
        <f t="array" ref="W499">_xlfn.IFS(Table117821341[[#This Row],[Pos.]]="QB1",AVERAGE(G499,H499,I499,J499,N499),Table117821341[[#This Row],[Pos.]]="RB1",AVERAGE(J499,K499,N499),Table117821341[[#This Row],[Pos.]]="RB2",AVERAGE(J499,K499,N499),Table117821341[[#This Row],[Pos.]]="WR1",AVERAGE(L499,M499,N499),Table117821341[[#This Row],[Pos.]]="WR2",AVERAGE(L499,M499,N499),Table117821341[[#This Row],[Pos.]]="WR3",AVERAGE(L499,M499,N499),Table117821341[[#This Row],[Pos.]]="WR4",AVERAGE(L499,M499,N499),Table117821341[[#This Row],[Pos.]]="TE1",AVERAGE(L499,M499,N499),Table117821341[[#This Row],[Pos.]]="TE2",AVERAGE(L499,M499,N499),Table117821341[[#This Row],[Pos.]]="D/ST",AVERAGE(Table117821341[[#This Row],[*TD*]]))</f>
        <v>#N/A</v>
      </c>
      <c r="X499" s="94" t="e">
        <f t="shared" si="8"/>
        <v>#N/A</v>
      </c>
    </row>
    <row r="500" spans="2:24" x14ac:dyDescent="0.35">
      <c r="B500" s="6" t="s">
        <v>302</v>
      </c>
      <c r="C500" s="97" t="s">
        <v>46</v>
      </c>
      <c r="D500" s="97" t="s">
        <v>399</v>
      </c>
      <c r="E500" s="23" t="str" cm="1">
        <f t="array" ref="E500">_xlfn.XLOOKUP(Table117821341[[#This Row],[Team]],Table4334[Team],'2425'!$C$3:$C$34)</f>
        <v>SB LX</v>
      </c>
      <c r="F500" s="97" t="str">
        <f>_xlfn.XLOOKUP(Table117821341[[#This Row],[Team]],Table4334[Team],Table4334[OPP])</f>
        <v>SEA</v>
      </c>
      <c r="G500" s="148" cm="1">
        <f t="array" ref="G500">IF(Table117821341[[#This Row],[Pos.]]="QB1",_xlfn.XLOOKUP(Table117821341[[#This Row],[Opp]],Table123[DEF],'2425'!$G$3:$G$34),"#N/A")</f>
        <v>22.9</v>
      </c>
      <c r="H500" s="148" cm="1">
        <f t="array" ref="H500">IF(Table117821341[[#This Row],[Pos.]]="QB1",_xlfn.XLOOKUP(Table117821341[[#This Row],[Opp]],Table123[DEF],'2425'!$J$3:$J$34),"#N/A")</f>
        <v>23</v>
      </c>
      <c r="I500" s="148" cm="1">
        <f t="array" ref="I500">IF(Table117821341[[#This Row],[Pos.]]="QB1",_xlfn.XLOOKUP(Table117821341[[#This Row],[Opp]],Table123[DEF],'2425'!$K$3:$K$34),"#N/A")</f>
        <v>26</v>
      </c>
      <c r="J500" s="148" cm="1">
        <f t="array" ref="J50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24</v>
      </c>
      <c r="K500" s="148" t="e" cm="1">
        <f t="array" ref="K50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0" s="148" t="e" cm="1">
        <f t="array" ref="L50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0" s="148" t="e" cm="1">
        <f t="array" ref="M50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0" s="148" cm="1">
        <f t="array" ref="N50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20.5</v>
      </c>
      <c r="O500" s="149">
        <f>IF(Table117821341[[#This Row],[Pos.]]="QB1",_xlfn.XLOOKUP(Table117821341[[#This Row],[Opp]],Table123[DEF],Table123[P]),"#N/A")</f>
        <v>222.02941176470588</v>
      </c>
      <c r="P500" s="149">
        <f>IF(Table117821341[[#This Row],[Pos.]]="QB1",_xlfn.XLOOKUP(Table117821341[[#This Row],[Opp]],Table123[DEF],Table123[P+R]),"#N/A")</f>
        <v>237.85294117647058</v>
      </c>
      <c r="Q500" s="150">
        <f>IF(Table117821341[[#This Row],[Pos.]]="QB1",_xlfn.XLOOKUP(Table117821341[[#This Row],[Opp]],Table123[DEF],Table123[P TD]),"#N/A")</f>
        <v>1.3529411764705883</v>
      </c>
      <c r="R500" s="149" cm="1">
        <f t="array" ref="R50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15.823529411764707</v>
      </c>
      <c r="S500" s="150" t="e" cm="1">
        <f t="array" ref="S50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0" s="150" t="e" cm="1">
        <f t="array" ref="T50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0" s="150" t="e" cm="1">
        <f t="array" ref="U50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0" s="162" cm="1">
        <f t="array" ref="V50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0.17647058823529413</v>
      </c>
      <c r="W500" s="148" cm="1">
        <f t="array" ref="W500">_xlfn.IFS(Table117821341[[#This Row],[Pos.]]="QB1",AVERAGE(G500,H500,I500,J500,N500),Table117821341[[#This Row],[Pos.]]="RB1",AVERAGE(J500,K500,N500),Table117821341[[#This Row],[Pos.]]="RB2",AVERAGE(J500,K500,N500),Table117821341[[#This Row],[Pos.]]="WR1",AVERAGE(L500,M500,N500),Table117821341[[#This Row],[Pos.]]="WR2",AVERAGE(L500,M500,N500),Table117821341[[#This Row],[Pos.]]="WR3",AVERAGE(L500,M500,N500),Table117821341[[#This Row],[Pos.]]="WR4",AVERAGE(L500,M500,N500),Table117821341[[#This Row],[Pos.]]="TE1",AVERAGE(L500,M500,N500),Table117821341[[#This Row],[Pos.]]="TE2",AVERAGE(L500,M500,N500),Table117821341[[#This Row],[Pos.]]="D/ST",AVERAGE(Table117821341[[#This Row],[*TD*]]))</f>
        <v>23.28</v>
      </c>
      <c r="X500" s="94">
        <f t="shared" si="8"/>
        <v>21.89</v>
      </c>
    </row>
    <row r="501" spans="2:24" hidden="1" x14ac:dyDescent="0.35">
      <c r="B501" s="6" t="s">
        <v>359</v>
      </c>
      <c r="C501" s="97" t="s">
        <v>53</v>
      </c>
      <c r="D501" s="97" t="s">
        <v>394</v>
      </c>
      <c r="E501" s="23" t="str" cm="1">
        <f t="array" ref="E501">_xlfn.XLOOKUP(Table117821341[[#This Row],[Team]],Table4334[Team],'2425'!$C$3:$C$34)</f>
        <v>n/a</v>
      </c>
      <c r="F501" s="97" t="str">
        <f>_xlfn.XLOOKUP(Table117821341[[#This Row],[Team]],Table4334[Team],Table4334[OPP])</f>
        <v>n/a</v>
      </c>
      <c r="G501" s="148" t="str" cm="1">
        <f t="array" ref="G501">IF(Table117821341[[#This Row],[Pos.]]="QB1",_xlfn.XLOOKUP(Table117821341[[#This Row],[Opp]],Table123[DEF],'2425'!$G$3:$G$34),"#N/A")</f>
        <v>#N/A</v>
      </c>
      <c r="H501" s="148" t="str" cm="1">
        <f t="array" ref="H501">IF(Table117821341[[#This Row],[Pos.]]="QB1",_xlfn.XLOOKUP(Table117821341[[#This Row],[Opp]],Table123[DEF],'2425'!$J$3:$J$34),"#N/A")</f>
        <v>#N/A</v>
      </c>
      <c r="I501" s="148" t="str" cm="1">
        <f t="array" ref="I501">IF(Table117821341[[#This Row],[Pos.]]="QB1",_xlfn.XLOOKUP(Table117821341[[#This Row],[Opp]],Table123[DEF],'2425'!$K$3:$K$34),"#N/A")</f>
        <v>#N/A</v>
      </c>
      <c r="J501" s="148" t="e" cm="1">
        <f t="array" ref="J50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1" s="148" t="e" cm="1">
        <f t="array" ref="K50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1" s="148" t="e" cm="1">
        <f t="array" ref="L50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1" s="148" t="e" cm="1">
        <f t="array" ref="M50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1" s="148" t="e" cm="1">
        <f t="array" ref="N50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1" s="149" t="str">
        <f>IF(Table117821341[[#This Row],[Pos.]]="QB1",_xlfn.XLOOKUP(Table117821341[[#This Row],[Opp]],Table123[DEF],Table123[P]),"#N/A")</f>
        <v>#N/A</v>
      </c>
      <c r="P501" s="149" t="str">
        <f>IF(Table117821341[[#This Row],[Pos.]]="QB1",_xlfn.XLOOKUP(Table117821341[[#This Row],[Opp]],Table123[DEF],Table123[P+R]),"#N/A")</f>
        <v>#N/A</v>
      </c>
      <c r="Q501" s="150" t="str">
        <f>IF(Table117821341[[#This Row],[Pos.]]="QB1",_xlfn.XLOOKUP(Table117821341[[#This Row],[Opp]],Table123[DEF],Table123[P TD]),"#N/A")</f>
        <v>#N/A</v>
      </c>
      <c r="R501" s="149" t="e" cm="1">
        <f t="array" ref="R50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1" s="150" t="e" cm="1">
        <f t="array" ref="S50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1" s="150" t="e" cm="1">
        <f t="array" ref="T50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1" s="150" t="e" cm="1">
        <f t="array" ref="U50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1" s="150" t="e" cm="1">
        <f t="array" ref="V50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1" s="148" t="e" cm="1">
        <f t="array" ref="W501">_xlfn.IFS(Table117821341[[#This Row],[Pos.]]="QB1",AVERAGE(G501,H501,I501,J501,N501),Table117821341[[#This Row],[Pos.]]="RB1",AVERAGE(J501,K501,N501),Table117821341[[#This Row],[Pos.]]="RB2",AVERAGE(J501,K501,N501),Table117821341[[#This Row],[Pos.]]="WR1",AVERAGE(L501,M501,N501),Table117821341[[#This Row],[Pos.]]="WR2",AVERAGE(L501,M501,N501),Table117821341[[#This Row],[Pos.]]="WR3",AVERAGE(L501,M501,N501),Table117821341[[#This Row],[Pos.]]="WR4",AVERAGE(L501,M501,N501),Table117821341[[#This Row],[Pos.]]="TE1",AVERAGE(L501,M501,N501),Table117821341[[#This Row],[Pos.]]="TE2",AVERAGE(L501,M501,N501),Table117821341[[#This Row],[Pos.]]="D/ST",AVERAGE(Table117821341[[#This Row],[*TD*]]))</f>
        <v>#N/A</v>
      </c>
      <c r="X501" s="94" t="e">
        <f t="shared" si="8"/>
        <v>#N/A</v>
      </c>
    </row>
    <row r="502" spans="2:24" hidden="1" x14ac:dyDescent="0.35">
      <c r="B502" s="6" t="s">
        <v>361</v>
      </c>
      <c r="C502" s="97" t="s">
        <v>53</v>
      </c>
      <c r="D502" s="97" t="s">
        <v>396</v>
      </c>
      <c r="E502" s="23" t="str" cm="1">
        <f t="array" ref="E502">_xlfn.XLOOKUP(Table117821341[[#This Row],[Team]],Table4334[Team],'2425'!$C$3:$C$34)</f>
        <v>n/a</v>
      </c>
      <c r="F502" s="97" t="str">
        <f>_xlfn.XLOOKUP(Table117821341[[#This Row],[Team]],Table4334[Team],Table4334[OPP])</f>
        <v>n/a</v>
      </c>
      <c r="G502" s="148" t="str" cm="1">
        <f t="array" ref="G502">IF(Table117821341[[#This Row],[Pos.]]="QB1",_xlfn.XLOOKUP(Table117821341[[#This Row],[Opp]],Table123[DEF],'2425'!$G$3:$G$34),"#N/A")</f>
        <v>#N/A</v>
      </c>
      <c r="H502" s="148" t="str" cm="1">
        <f t="array" ref="H502">IF(Table117821341[[#This Row],[Pos.]]="QB1",_xlfn.XLOOKUP(Table117821341[[#This Row],[Opp]],Table123[DEF],'2425'!$J$3:$J$34),"#N/A")</f>
        <v>#N/A</v>
      </c>
      <c r="I502" s="148" t="str" cm="1">
        <f t="array" ref="I502">IF(Table117821341[[#This Row],[Pos.]]="QB1",_xlfn.XLOOKUP(Table117821341[[#This Row],[Opp]],Table123[DEF],'2425'!$K$3:$K$34),"#N/A")</f>
        <v>#N/A</v>
      </c>
      <c r="J502" s="148" t="e" cm="1">
        <f t="array" ref="J50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2" s="148" t="e" cm="1">
        <f t="array" ref="K50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2" s="148" t="e" cm="1">
        <f t="array" ref="L50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2" s="148" t="e" cm="1">
        <f t="array" ref="M50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2" s="148" t="e" cm="1">
        <f t="array" ref="N50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2" s="149" t="str">
        <f>IF(Table117821341[[#This Row],[Pos.]]="QB1",_xlfn.XLOOKUP(Table117821341[[#This Row],[Opp]],Table123[DEF],Table123[P]),"#N/A")</f>
        <v>#N/A</v>
      </c>
      <c r="P502" s="149" t="str">
        <f>IF(Table117821341[[#This Row],[Pos.]]="QB1",_xlfn.XLOOKUP(Table117821341[[#This Row],[Opp]],Table123[DEF],Table123[P+R]),"#N/A")</f>
        <v>#N/A</v>
      </c>
      <c r="Q502" s="150" t="str">
        <f>IF(Table117821341[[#This Row],[Pos.]]="QB1",_xlfn.XLOOKUP(Table117821341[[#This Row],[Opp]],Table123[DEF],Table123[P TD]),"#N/A")</f>
        <v>#N/A</v>
      </c>
      <c r="R502" s="149" t="e" cm="1">
        <f t="array" ref="R50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2" s="150" t="e" cm="1">
        <f t="array" ref="S50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2" s="150" t="e" cm="1">
        <f t="array" ref="T50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2" s="150" t="e" cm="1">
        <f t="array" ref="U50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2" s="150" t="e" cm="1">
        <f t="array" ref="V50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2" s="148" t="e" cm="1">
        <f t="array" ref="W502">_xlfn.IFS(Table117821341[[#This Row],[Pos.]]="QB1",AVERAGE(G502,H502,I502,J502,N502),Table117821341[[#This Row],[Pos.]]="RB1",AVERAGE(J502,K502,N502),Table117821341[[#This Row],[Pos.]]="RB2",AVERAGE(J502,K502,N502),Table117821341[[#This Row],[Pos.]]="WR1",AVERAGE(L502,M502,N502),Table117821341[[#This Row],[Pos.]]="WR2",AVERAGE(L502,M502,N502),Table117821341[[#This Row],[Pos.]]="WR3",AVERAGE(L502,M502,N502),Table117821341[[#This Row],[Pos.]]="WR4",AVERAGE(L502,M502,N502),Table117821341[[#This Row],[Pos.]]="TE1",AVERAGE(L502,M502,N502),Table117821341[[#This Row],[Pos.]]="TE2",AVERAGE(L502,M502,N502),Table117821341[[#This Row],[Pos.]]="D/ST",AVERAGE(Table117821341[[#This Row],[*TD*]]))</f>
        <v>#N/A</v>
      </c>
      <c r="X502" s="94" t="e">
        <f t="shared" si="8"/>
        <v>#N/A</v>
      </c>
    </row>
    <row r="503" spans="2:24" hidden="1" x14ac:dyDescent="0.35">
      <c r="B503" s="6" t="s">
        <v>362</v>
      </c>
      <c r="C503" s="97" t="s">
        <v>53</v>
      </c>
      <c r="D503" s="97" t="s">
        <v>407</v>
      </c>
      <c r="E503" s="23" t="str" cm="1">
        <f t="array" ref="E503">_xlfn.XLOOKUP(Table117821341[[#This Row],[Team]],Table4334[Team],'2425'!$C$3:$C$34)</f>
        <v>n/a</v>
      </c>
      <c r="F503" s="97" t="str">
        <f>_xlfn.XLOOKUP(Table117821341[[#This Row],[Team]],Table4334[Team],Table4334[OPP])</f>
        <v>n/a</v>
      </c>
      <c r="G503" s="148" t="str" cm="1">
        <f t="array" ref="G503">IF(Table117821341[[#This Row],[Pos.]]="QB1",_xlfn.XLOOKUP(Table117821341[[#This Row],[Opp]],Table123[DEF],'2425'!$G$3:$G$34),"#N/A")</f>
        <v>#N/A</v>
      </c>
      <c r="H503" s="148" t="str" cm="1">
        <f t="array" ref="H503">IF(Table117821341[[#This Row],[Pos.]]="QB1",_xlfn.XLOOKUP(Table117821341[[#This Row],[Opp]],Table123[DEF],'2425'!$J$3:$J$34),"#N/A")</f>
        <v>#N/A</v>
      </c>
      <c r="I503" s="148" t="str" cm="1">
        <f t="array" ref="I503">IF(Table117821341[[#This Row],[Pos.]]="QB1",_xlfn.XLOOKUP(Table117821341[[#This Row],[Opp]],Table123[DEF],'2425'!$K$3:$K$34),"#N/A")</f>
        <v>#N/A</v>
      </c>
      <c r="J503" s="148" t="e" cm="1">
        <f t="array" ref="J50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3" s="148" t="e" cm="1">
        <f t="array" ref="K50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3" s="148" t="e" cm="1">
        <f t="array" ref="L50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3" s="148" t="e" cm="1">
        <f t="array" ref="M50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3" s="148" t="e" cm="1">
        <f t="array" ref="N50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3" s="149" t="str">
        <f>IF(Table117821341[[#This Row],[Pos.]]="QB1",_xlfn.XLOOKUP(Table117821341[[#This Row],[Opp]],Table123[DEF],Table123[P]),"#N/A")</f>
        <v>#N/A</v>
      </c>
      <c r="P503" s="149" t="str">
        <f>IF(Table117821341[[#This Row],[Pos.]]="QB1",_xlfn.XLOOKUP(Table117821341[[#This Row],[Opp]],Table123[DEF],Table123[P+R]),"#N/A")</f>
        <v>#N/A</v>
      </c>
      <c r="Q503" s="150" t="str">
        <f>IF(Table117821341[[#This Row],[Pos.]]="QB1",_xlfn.XLOOKUP(Table117821341[[#This Row],[Opp]],Table123[DEF],Table123[P TD]),"#N/A")</f>
        <v>#N/A</v>
      </c>
      <c r="R503" s="149" t="e" cm="1">
        <f t="array" ref="R50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3" s="150" t="e" cm="1">
        <f t="array" ref="S50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3" s="150" t="e" cm="1">
        <f t="array" ref="T50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3" s="150" t="e" cm="1">
        <f t="array" ref="U50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3" s="150" t="e" cm="1">
        <f t="array" ref="V50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3" s="148" t="e" cm="1">
        <f t="array" ref="W503">_xlfn.IFS(Table117821341[[#This Row],[Pos.]]="QB1",AVERAGE(G503,H503,I503,J503,N503),Table117821341[[#This Row],[Pos.]]="RB1",AVERAGE(J503,K503,N503),Table117821341[[#This Row],[Pos.]]="RB2",AVERAGE(J503,K503,N503),Table117821341[[#This Row],[Pos.]]="WR1",AVERAGE(L503,M503,N503),Table117821341[[#This Row],[Pos.]]="WR2",AVERAGE(L503,M503,N503),Table117821341[[#This Row],[Pos.]]="WR3",AVERAGE(L503,M503,N503),Table117821341[[#This Row],[Pos.]]="WR4",AVERAGE(L503,M503,N503),Table117821341[[#This Row],[Pos.]]="TE1",AVERAGE(L503,M503,N503),Table117821341[[#This Row],[Pos.]]="TE2",AVERAGE(L503,M503,N503),Table117821341[[#This Row],[Pos.]]="D/ST",AVERAGE(Table117821341[[#This Row],[*TD*]]))</f>
        <v>#N/A</v>
      </c>
      <c r="X503" s="94" t="e">
        <f t="shared" si="8"/>
        <v>#N/A</v>
      </c>
    </row>
    <row r="504" spans="2:24" x14ac:dyDescent="0.35">
      <c r="B504" s="6" t="s">
        <v>710</v>
      </c>
      <c r="C504" s="97" t="s">
        <v>30</v>
      </c>
      <c r="D504" s="97" t="s">
        <v>71</v>
      </c>
      <c r="E504" s="23" t="str" cm="1">
        <f t="array" ref="E504">_xlfn.XLOOKUP(Table117821341[[#This Row],[Team]],Table4334[Team],'2425'!$C$3:$C$34)</f>
        <v>n/a</v>
      </c>
      <c r="F504" s="97" t="str">
        <f>_xlfn.XLOOKUP(Table117821341[[#This Row],[Team]],Table4334[Team],Table4334[OPP])</f>
        <v>n/a</v>
      </c>
      <c r="G504" s="148" t="str" cm="1">
        <f t="array" ref="G504">IF(Table117821341[[#This Row],[Pos.]]="QB1",_xlfn.XLOOKUP(Table117821341[[#This Row],[Opp]],Table123[DEF],'2425'!$G$3:$G$34),"#N/A")</f>
        <v>#N/A</v>
      </c>
      <c r="H504" s="148" t="str" cm="1">
        <f t="array" ref="H504">IF(Table117821341[[#This Row],[Pos.]]="QB1",_xlfn.XLOOKUP(Table117821341[[#This Row],[Opp]],Table123[DEF],'2425'!$J$3:$J$34),"#N/A")</f>
        <v>#N/A</v>
      </c>
      <c r="I504" s="148" t="str" cm="1">
        <f t="array" ref="I504">IF(Table117821341[[#This Row],[Pos.]]="QB1",_xlfn.XLOOKUP(Table117821341[[#This Row],[Opp]],Table123[DEF],'2425'!$K$3:$K$34),"#N/A")</f>
        <v>#N/A</v>
      </c>
      <c r="J504" s="148" t="e" cm="1">
        <f t="array" ref="J50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4" s="148" t="e" cm="1">
        <f t="array" ref="K50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4" s="148" t="e" cm="1">
        <f t="array" ref="L50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4" s="148" t="e" cm="1">
        <f t="array" ref="M50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4" s="148" t="e" cm="1">
        <f t="array" ref="N50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4" s="149" t="str">
        <f>IF(Table117821341[[#This Row],[Pos.]]="QB1",_xlfn.XLOOKUP(Table117821341[[#This Row],[Opp]],Table123[DEF],Table123[P]),"#N/A")</f>
        <v>#N/A</v>
      </c>
      <c r="P504" s="149" t="str">
        <f>IF(Table117821341[[#This Row],[Pos.]]="QB1",_xlfn.XLOOKUP(Table117821341[[#This Row],[Opp]],Table123[DEF],Table123[P+R]),"#N/A")</f>
        <v>#N/A</v>
      </c>
      <c r="Q504" s="150" t="str">
        <f>IF(Table117821341[[#This Row],[Pos.]]="QB1",_xlfn.XLOOKUP(Table117821341[[#This Row],[Opp]],Table123[DEF],Table123[P TD]),"#N/A")</f>
        <v>#N/A</v>
      </c>
      <c r="R504" s="149" t="e" cm="1">
        <f t="array" ref="R50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4" s="150" t="e" cm="1">
        <f t="array" ref="S50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4" s="150" t="e" cm="1">
        <f t="array" ref="T50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4" s="150" t="e" cm="1">
        <f t="array" ref="U50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4" s="162" t="e" cm="1">
        <f t="array" ref="V50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4" s="148" t="e" cm="1">
        <f t="array" ref="W504">_xlfn.IFS(Table117821341[[#This Row],[Pos.]]="QB1",AVERAGE(G504,H504,I504,J504,N504),Table117821341[[#This Row],[Pos.]]="RB1",AVERAGE(J504,K504,N504),Table117821341[[#This Row],[Pos.]]="RB2",AVERAGE(J504,K504,N504),Table117821341[[#This Row],[Pos.]]="WR1",AVERAGE(L504,M504,N504),Table117821341[[#This Row],[Pos.]]="WR2",AVERAGE(L504,M504,N504),Table117821341[[#This Row],[Pos.]]="WR3",AVERAGE(L504,M504,N504),Table117821341[[#This Row],[Pos.]]="WR4",AVERAGE(L504,M504,N504),Table117821341[[#This Row],[Pos.]]="TE1",AVERAGE(L504,M504,N504),Table117821341[[#This Row],[Pos.]]="TE2",AVERAGE(L504,M504,N504),Table117821341[[#This Row],[Pos.]]="D/ST",AVERAGE(Table117821341[[#This Row],[*TD*]]))</f>
        <v>#N/A</v>
      </c>
      <c r="X504" s="94" t="e">
        <f t="shared" si="8"/>
        <v>#N/A</v>
      </c>
    </row>
    <row r="505" spans="2:24" hidden="1" x14ac:dyDescent="0.35">
      <c r="B505" s="6" t="s">
        <v>692</v>
      </c>
      <c r="C505" s="97" t="s">
        <v>53</v>
      </c>
      <c r="D505" s="97" t="s">
        <v>398</v>
      </c>
      <c r="E505" s="23" t="str" cm="1">
        <f t="array" ref="E505">_xlfn.XLOOKUP(Table117821341[[#This Row],[Team]],Table4334[Team],'2425'!$C$3:$C$34)</f>
        <v>n/a</v>
      </c>
      <c r="F505" s="97" t="str">
        <f>_xlfn.XLOOKUP(Table117821341[[#This Row],[Team]],Table4334[Team],Table4334[OPP])</f>
        <v>n/a</v>
      </c>
      <c r="G505" s="148" t="str" cm="1">
        <f t="array" ref="G505">IF(Table117821341[[#This Row],[Pos.]]="QB1",_xlfn.XLOOKUP(Table117821341[[#This Row],[Opp]],Table123[DEF],'2425'!$G$3:$G$34),"#N/A")</f>
        <v>#N/A</v>
      </c>
      <c r="H505" s="148" t="str" cm="1">
        <f t="array" ref="H505">IF(Table117821341[[#This Row],[Pos.]]="QB1",_xlfn.XLOOKUP(Table117821341[[#This Row],[Opp]],Table123[DEF],'2425'!$J$3:$J$34),"#N/A")</f>
        <v>#N/A</v>
      </c>
      <c r="I505" s="148" t="str" cm="1">
        <f t="array" ref="I505">IF(Table117821341[[#This Row],[Pos.]]="QB1",_xlfn.XLOOKUP(Table117821341[[#This Row],[Opp]],Table123[DEF],'2425'!$K$3:$K$34),"#N/A")</f>
        <v>#N/A</v>
      </c>
      <c r="J505" s="148" t="e" cm="1">
        <f t="array" ref="J50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5" s="148" t="e" cm="1">
        <f t="array" ref="K50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5" s="148" t="e" cm="1">
        <f t="array" ref="L50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5" s="148" t="e" cm="1">
        <f t="array" ref="M50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5" s="148" t="e" cm="1">
        <f t="array" ref="N50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5" s="149" t="str">
        <f>IF(Table117821341[[#This Row],[Pos.]]="QB1",_xlfn.XLOOKUP(Table117821341[[#This Row],[Opp]],Table123[DEF],Table123[P]),"#N/A")</f>
        <v>#N/A</v>
      </c>
      <c r="P505" s="149" t="str">
        <f>IF(Table117821341[[#This Row],[Pos.]]="QB1",_xlfn.XLOOKUP(Table117821341[[#This Row],[Opp]],Table123[DEF],Table123[P+R]),"#N/A")</f>
        <v>#N/A</v>
      </c>
      <c r="Q505" s="150" t="str">
        <f>IF(Table117821341[[#This Row],[Pos.]]="QB1",_xlfn.XLOOKUP(Table117821341[[#This Row],[Opp]],Table123[DEF],Table123[P TD]),"#N/A")</f>
        <v>#N/A</v>
      </c>
      <c r="R505" s="149" t="e" cm="1">
        <f t="array" ref="R50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5" s="150" t="e" cm="1">
        <f t="array" ref="S50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5" s="150" t="e" cm="1">
        <f t="array" ref="T50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5" s="150" t="e" cm="1">
        <f t="array" ref="U50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5" s="150" t="e" cm="1">
        <f t="array" ref="V50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5" s="148" t="e" cm="1">
        <f t="array" ref="W505">_xlfn.IFS(Table117821341[[#This Row],[Pos.]]="QB1",AVERAGE(G505,H505,I505,J505,N505),Table117821341[[#This Row],[Pos.]]="RB1",AVERAGE(J505,K505,N505),Table117821341[[#This Row],[Pos.]]="RB2",AVERAGE(J505,K505,N505),Table117821341[[#This Row],[Pos.]]="WR1",AVERAGE(L505,M505,N505),Table117821341[[#This Row],[Pos.]]="WR2",AVERAGE(L505,M505,N505),Table117821341[[#This Row],[Pos.]]="WR3",AVERAGE(L505,M505,N505),Table117821341[[#This Row],[Pos.]]="WR4",AVERAGE(L505,M505,N505),Table117821341[[#This Row],[Pos.]]="TE1",AVERAGE(L505,M505,N505),Table117821341[[#This Row],[Pos.]]="TE2",AVERAGE(L505,M505,N505),Table117821341[[#This Row],[Pos.]]="D/ST",AVERAGE(Table117821341[[#This Row],[*TD*]]))</f>
        <v>#N/A</v>
      </c>
      <c r="X505" s="94" t="e">
        <f t="shared" si="8"/>
        <v>#N/A</v>
      </c>
    </row>
    <row r="506" spans="2:24" hidden="1" x14ac:dyDescent="0.35">
      <c r="B506" s="6" t="s">
        <v>693</v>
      </c>
      <c r="C506" s="97" t="s">
        <v>53</v>
      </c>
      <c r="D506" s="97" t="s">
        <v>430</v>
      </c>
      <c r="E506" s="23" t="str" cm="1">
        <f t="array" ref="E506">_xlfn.XLOOKUP(Table117821341[[#This Row],[Team]],Table4334[Team],'2425'!$C$3:$C$34)</f>
        <v>n/a</v>
      </c>
      <c r="F506" s="97" t="str">
        <f>_xlfn.XLOOKUP(Table117821341[[#This Row],[Team]],Table4334[Team],Table4334[OPP])</f>
        <v>n/a</v>
      </c>
      <c r="G506" s="148" t="str" cm="1">
        <f t="array" ref="G506">IF(Table117821341[[#This Row],[Pos.]]="QB1",_xlfn.XLOOKUP(Table117821341[[#This Row],[Opp]],Table123[DEF],'2425'!$G$3:$G$34),"#N/A")</f>
        <v>#N/A</v>
      </c>
      <c r="H506" s="148" t="str" cm="1">
        <f t="array" ref="H506">IF(Table117821341[[#This Row],[Pos.]]="QB1",_xlfn.XLOOKUP(Table117821341[[#This Row],[Opp]],Table123[DEF],'2425'!$J$3:$J$34),"#N/A")</f>
        <v>#N/A</v>
      </c>
      <c r="I506" s="148" t="str" cm="1">
        <f t="array" ref="I506">IF(Table117821341[[#This Row],[Pos.]]="QB1",_xlfn.XLOOKUP(Table117821341[[#This Row],[Opp]],Table123[DEF],'2425'!$K$3:$K$34),"#N/A")</f>
        <v>#N/A</v>
      </c>
      <c r="J506" s="148" t="e" cm="1">
        <f t="array" ref="J50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6" s="148" t="e" cm="1">
        <f t="array" ref="K50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6" s="148" t="e" cm="1">
        <f t="array" ref="L50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6" s="148" t="e" cm="1">
        <f t="array" ref="M50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6" s="148" t="e" cm="1">
        <f t="array" ref="N50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6" s="149" t="str">
        <f>IF(Table117821341[[#This Row],[Pos.]]="QB1",_xlfn.XLOOKUP(Table117821341[[#This Row],[Opp]],Table123[DEF],Table123[P]),"#N/A")</f>
        <v>#N/A</v>
      </c>
      <c r="P506" s="149" t="str">
        <f>IF(Table117821341[[#This Row],[Pos.]]="QB1",_xlfn.XLOOKUP(Table117821341[[#This Row],[Opp]],Table123[DEF],Table123[P+R]),"#N/A")</f>
        <v>#N/A</v>
      </c>
      <c r="Q506" s="150" t="str">
        <f>IF(Table117821341[[#This Row],[Pos.]]="QB1",_xlfn.XLOOKUP(Table117821341[[#This Row],[Opp]],Table123[DEF],Table123[P TD]),"#N/A")</f>
        <v>#N/A</v>
      </c>
      <c r="R506" s="149" t="e" cm="1">
        <f t="array" ref="R50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6" s="150" t="e" cm="1">
        <f t="array" ref="S50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6" s="150" t="e" cm="1">
        <f t="array" ref="T50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6" s="150" t="e" cm="1">
        <f t="array" ref="U50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6" s="150" t="e" cm="1">
        <f t="array" ref="V50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6" s="148" t="e" cm="1">
        <f t="array" ref="W506">_xlfn.IFS(Table117821341[[#This Row],[Pos.]]="QB1",AVERAGE(G506,H506,I506,J506,N506),Table117821341[[#This Row],[Pos.]]="RB1",AVERAGE(J506,K506,N506),Table117821341[[#This Row],[Pos.]]="RB2",AVERAGE(J506,K506,N506),Table117821341[[#This Row],[Pos.]]="WR1",AVERAGE(L506,M506,N506),Table117821341[[#This Row],[Pos.]]="WR2",AVERAGE(L506,M506,N506),Table117821341[[#This Row],[Pos.]]="WR3",AVERAGE(L506,M506,N506),Table117821341[[#This Row],[Pos.]]="WR4",AVERAGE(L506,M506,N506),Table117821341[[#This Row],[Pos.]]="TE1",AVERAGE(L506,M506,N506),Table117821341[[#This Row],[Pos.]]="TE2",AVERAGE(L506,M506,N506),Table117821341[[#This Row],[Pos.]]="D/ST",AVERAGE(Table117821341[[#This Row],[*TD*]]))</f>
        <v>#N/A</v>
      </c>
      <c r="X506" s="94" t="e">
        <f t="shared" si="8"/>
        <v>#N/A</v>
      </c>
    </row>
    <row r="507" spans="2:24" x14ac:dyDescent="0.35">
      <c r="B507" s="6" t="s">
        <v>150</v>
      </c>
      <c r="C507" s="97" t="s">
        <v>30</v>
      </c>
      <c r="D507" s="97" t="s">
        <v>399</v>
      </c>
      <c r="E507" s="23" t="str" cm="1">
        <f t="array" ref="E507">_xlfn.XLOOKUP(Table117821341[[#This Row],[Team]],Table4334[Team],'2425'!$C$3:$C$34)</f>
        <v>n/a</v>
      </c>
      <c r="F507" s="97" t="str">
        <f>_xlfn.XLOOKUP(Table117821341[[#This Row],[Team]],Table4334[Team],Table4334[OPP])</f>
        <v>n/a</v>
      </c>
      <c r="G507" s="148" t="e" cm="1">
        <f t="array" ref="G507">IF(Table117821341[[#This Row],[Pos.]]="QB1",_xlfn.XLOOKUP(Table117821341[[#This Row],[Opp]],Table123[DEF],'2425'!$G$3:$G$34),"#N/A")</f>
        <v>#N/A</v>
      </c>
      <c r="H507" s="148" t="e" cm="1">
        <f t="array" ref="H507">IF(Table117821341[[#This Row],[Pos.]]="QB1",_xlfn.XLOOKUP(Table117821341[[#This Row],[Opp]],Table123[DEF],'2425'!$J$3:$J$34),"#N/A")</f>
        <v>#N/A</v>
      </c>
      <c r="I507" s="148" t="e" cm="1">
        <f t="array" ref="I507">IF(Table117821341[[#This Row],[Pos.]]="QB1",_xlfn.XLOOKUP(Table117821341[[#This Row],[Opp]],Table123[DEF],'2425'!$K$3:$K$34),"#N/A")</f>
        <v>#N/A</v>
      </c>
      <c r="J507" s="148" t="e" cm="1">
        <f t="array" ref="J50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7" s="148" t="e" cm="1">
        <f t="array" ref="K50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7" s="148" t="e" cm="1">
        <f t="array" ref="L50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7" s="148" t="e" cm="1">
        <f t="array" ref="M50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7" s="148" t="e" cm="1">
        <f t="array" ref="N50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7" s="149" t="e">
        <f>IF(Table117821341[[#This Row],[Pos.]]="QB1",_xlfn.XLOOKUP(Table117821341[[#This Row],[Opp]],Table123[DEF],Table123[P]),"#N/A")</f>
        <v>#N/A</v>
      </c>
      <c r="P507" s="149" t="e">
        <f>IF(Table117821341[[#This Row],[Pos.]]="QB1",_xlfn.XLOOKUP(Table117821341[[#This Row],[Opp]],Table123[DEF],Table123[P+R]),"#N/A")</f>
        <v>#N/A</v>
      </c>
      <c r="Q507" s="150" t="e">
        <f>IF(Table117821341[[#This Row],[Pos.]]="QB1",_xlfn.XLOOKUP(Table117821341[[#This Row],[Opp]],Table123[DEF],Table123[P TD]),"#N/A")</f>
        <v>#N/A</v>
      </c>
      <c r="R507" s="149" t="e" cm="1">
        <f t="array" ref="R50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7" s="150" t="e" cm="1">
        <f t="array" ref="S50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7" s="150" t="e" cm="1">
        <f t="array" ref="T50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7" s="150" t="e" cm="1">
        <f t="array" ref="U50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7" s="162" t="e" cm="1">
        <f t="array" ref="V50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7" s="148" t="e" cm="1">
        <f t="array" ref="W507">_xlfn.IFS(Table117821341[[#This Row],[Pos.]]="QB1",AVERAGE(G507,H507,I507,J507,N507),Table117821341[[#This Row],[Pos.]]="RB1",AVERAGE(J507,K507,N507),Table117821341[[#This Row],[Pos.]]="RB2",AVERAGE(J507,K507,N507),Table117821341[[#This Row],[Pos.]]="WR1",AVERAGE(L507,M507,N507),Table117821341[[#This Row],[Pos.]]="WR2",AVERAGE(L507,M507,N507),Table117821341[[#This Row],[Pos.]]="WR3",AVERAGE(L507,M507,N507),Table117821341[[#This Row],[Pos.]]="WR4",AVERAGE(L507,M507,N507),Table117821341[[#This Row],[Pos.]]="TE1",AVERAGE(L507,M507,N507),Table117821341[[#This Row],[Pos.]]="TE2",AVERAGE(L507,M507,N507),Table117821341[[#This Row],[Pos.]]="D/ST",AVERAGE(Table117821341[[#This Row],[*TD*]]))</f>
        <v>#N/A</v>
      </c>
      <c r="X507" s="94" t="e">
        <f t="shared" si="8"/>
        <v>#N/A</v>
      </c>
    </row>
    <row r="508" spans="2:24" hidden="1" x14ac:dyDescent="0.35">
      <c r="B508" s="6" t="s">
        <v>609</v>
      </c>
      <c r="C508" s="97" t="s">
        <v>29</v>
      </c>
      <c r="D508" s="97" t="s">
        <v>401</v>
      </c>
      <c r="E508" s="23" t="str" cm="1">
        <f t="array" ref="E508">_xlfn.XLOOKUP(Table117821341[[#This Row],[Team]],Table4334[Team],'2425'!$C$3:$C$34)</f>
        <v>n/a</v>
      </c>
      <c r="F508" s="97" t="str">
        <f>_xlfn.XLOOKUP(Table117821341[[#This Row],[Team]],Table4334[Team],Table4334[OPP])</f>
        <v>n/a</v>
      </c>
      <c r="G508" s="148" t="str" cm="1">
        <f t="array" ref="G508">IF(Table117821341[[#This Row],[Pos.]]="QB1",_xlfn.XLOOKUP(Table117821341[[#This Row],[Opp]],Table123[DEF],'2425'!$G$3:$G$34),"#N/A")</f>
        <v>#N/A</v>
      </c>
      <c r="H508" s="148" t="str" cm="1">
        <f t="array" ref="H508">IF(Table117821341[[#This Row],[Pos.]]="QB1",_xlfn.XLOOKUP(Table117821341[[#This Row],[Opp]],Table123[DEF],'2425'!$J$3:$J$34),"#N/A")</f>
        <v>#N/A</v>
      </c>
      <c r="I508" s="148" t="str" cm="1">
        <f t="array" ref="I508">IF(Table117821341[[#This Row],[Pos.]]="QB1",_xlfn.XLOOKUP(Table117821341[[#This Row],[Opp]],Table123[DEF],'2425'!$K$3:$K$34),"#N/A")</f>
        <v>#N/A</v>
      </c>
      <c r="J508" s="148" t="e" cm="1">
        <f t="array" ref="J50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8" s="148" t="e" cm="1">
        <f t="array" ref="K50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8" s="148" t="e" cm="1">
        <f t="array" ref="L50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8" s="148" t="e" cm="1">
        <f t="array" ref="M50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8" s="148" t="e" cm="1">
        <f t="array" ref="N50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8" s="149" t="str">
        <f>IF(Table117821341[[#This Row],[Pos.]]="QB1",_xlfn.XLOOKUP(Table117821341[[#This Row],[Opp]],Table123[DEF],Table123[P]),"#N/A")</f>
        <v>#N/A</v>
      </c>
      <c r="P508" s="149" t="str">
        <f>IF(Table117821341[[#This Row],[Pos.]]="QB1",_xlfn.XLOOKUP(Table117821341[[#This Row],[Opp]],Table123[DEF],Table123[P+R]),"#N/A")</f>
        <v>#N/A</v>
      </c>
      <c r="Q508" s="150" t="str">
        <f>IF(Table117821341[[#This Row],[Pos.]]="QB1",_xlfn.XLOOKUP(Table117821341[[#This Row],[Opp]],Table123[DEF],Table123[P TD]),"#N/A")</f>
        <v>#N/A</v>
      </c>
      <c r="R508" s="149" t="e" cm="1">
        <f t="array" ref="R50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8" s="150" t="e" cm="1">
        <f t="array" ref="S50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8" s="150" t="e" cm="1">
        <f t="array" ref="T50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8" s="150" t="e" cm="1">
        <f t="array" ref="U50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8" s="162" t="e" cm="1">
        <f t="array" ref="V50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8" s="148" t="e" cm="1">
        <f t="array" ref="W508">_xlfn.IFS(Table117821341[[#This Row],[Pos.]]="QB1",AVERAGE(G508,H508,I508,J508,N508),Table117821341[[#This Row],[Pos.]]="RB1",AVERAGE(J508,K508,N508),Table117821341[[#This Row],[Pos.]]="RB2",AVERAGE(J508,K508,N508),Table117821341[[#This Row],[Pos.]]="WR1",AVERAGE(L508,M508,N508),Table117821341[[#This Row],[Pos.]]="WR2",AVERAGE(L508,M508,N508),Table117821341[[#This Row],[Pos.]]="WR3",AVERAGE(L508,M508,N508),Table117821341[[#This Row],[Pos.]]="WR4",AVERAGE(L508,M508,N508),Table117821341[[#This Row],[Pos.]]="TE1",AVERAGE(L508,M508,N508),Table117821341[[#This Row],[Pos.]]="TE2",AVERAGE(L508,M508,N508),Table117821341[[#This Row],[Pos.]]="D/ST",AVERAGE(Table117821341[[#This Row],[*TD*]]))</f>
        <v>#N/A</v>
      </c>
      <c r="X508" s="94" t="e">
        <f t="shared" si="8"/>
        <v>#N/A</v>
      </c>
    </row>
    <row r="509" spans="2:24" x14ac:dyDescent="0.35">
      <c r="B509" s="6" t="s">
        <v>148</v>
      </c>
      <c r="C509" s="97" t="s">
        <v>17</v>
      </c>
      <c r="D509" s="97" t="s">
        <v>68</v>
      </c>
      <c r="E509" s="23" t="str" cm="1">
        <f t="array" ref="E509">_xlfn.XLOOKUP(Table117821341[[#This Row],[Team]],Table4334[Team],'2425'!$C$3:$C$34)</f>
        <v>n/a</v>
      </c>
      <c r="F509" s="97" t="str">
        <f>_xlfn.XLOOKUP(Table117821341[[#This Row],[Team]],Table4334[Team],Table4334[OPP])</f>
        <v>n/a</v>
      </c>
      <c r="G509" s="148" t="str" cm="1">
        <f t="array" ref="G509">IF(Table117821341[[#This Row],[Pos.]]="QB1",_xlfn.XLOOKUP(Table117821341[[#This Row],[Opp]],Table123[DEF],'2425'!$G$3:$G$34),"#N/A")</f>
        <v>#N/A</v>
      </c>
      <c r="H509" s="148" t="str" cm="1">
        <f t="array" ref="H509">IF(Table117821341[[#This Row],[Pos.]]="QB1",_xlfn.XLOOKUP(Table117821341[[#This Row],[Opp]],Table123[DEF],'2425'!$J$3:$J$34),"#N/A")</f>
        <v>#N/A</v>
      </c>
      <c r="I509" s="148" t="str" cm="1">
        <f t="array" ref="I509">IF(Table117821341[[#This Row],[Pos.]]="QB1",_xlfn.XLOOKUP(Table117821341[[#This Row],[Opp]],Table123[DEF],'2425'!$K$3:$K$34),"#N/A")</f>
        <v>#N/A</v>
      </c>
      <c r="J509" s="148" t="e" cm="1">
        <f t="array" ref="J50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09" s="148" t="e" cm="1">
        <f t="array" ref="K50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09" s="148" t="e" cm="1">
        <f t="array" ref="L50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09" s="148" t="e" cm="1">
        <f t="array" ref="M50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09" s="148" t="e" cm="1">
        <f t="array" ref="N50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09" s="149" t="str">
        <f>IF(Table117821341[[#This Row],[Pos.]]="QB1",_xlfn.XLOOKUP(Table117821341[[#This Row],[Opp]],Table123[DEF],Table123[P]),"#N/A")</f>
        <v>#N/A</v>
      </c>
      <c r="P509" s="149" t="str">
        <f>IF(Table117821341[[#This Row],[Pos.]]="QB1",_xlfn.XLOOKUP(Table117821341[[#This Row],[Opp]],Table123[DEF],Table123[P+R]),"#N/A")</f>
        <v>#N/A</v>
      </c>
      <c r="Q509" s="150" t="str">
        <f>IF(Table117821341[[#This Row],[Pos.]]="QB1",_xlfn.XLOOKUP(Table117821341[[#This Row],[Opp]],Table123[DEF],Table123[P TD]),"#N/A")</f>
        <v>#N/A</v>
      </c>
      <c r="R509" s="149" t="e" cm="1">
        <f t="array" ref="R50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09" s="150" t="e" cm="1">
        <f t="array" ref="S50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09" s="150" t="e" cm="1">
        <f t="array" ref="T50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09" s="150" t="e" cm="1">
        <f t="array" ref="U50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09" s="162" t="e" cm="1">
        <f t="array" ref="V50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09" s="148" t="e" cm="1">
        <f t="array" ref="W509">_xlfn.IFS(Table117821341[[#This Row],[Pos.]]="QB1",AVERAGE(G509,H509,I509,J509,N509),Table117821341[[#This Row],[Pos.]]="RB1",AVERAGE(J509,K509,N509),Table117821341[[#This Row],[Pos.]]="RB2",AVERAGE(J509,K509,N509),Table117821341[[#This Row],[Pos.]]="WR1",AVERAGE(L509,M509,N509),Table117821341[[#This Row],[Pos.]]="WR2",AVERAGE(L509,M509,N509),Table117821341[[#This Row],[Pos.]]="WR3",AVERAGE(L509,M509,N509),Table117821341[[#This Row],[Pos.]]="WR4",AVERAGE(L509,M509,N509),Table117821341[[#This Row],[Pos.]]="TE1",AVERAGE(L509,M509,N509),Table117821341[[#This Row],[Pos.]]="TE2",AVERAGE(L509,M509,N509),Table117821341[[#This Row],[Pos.]]="D/ST",AVERAGE(Table117821341[[#This Row],[*TD*]]))</f>
        <v>#N/A</v>
      </c>
      <c r="X509" s="94" t="e">
        <f t="shared" si="8"/>
        <v>#N/A</v>
      </c>
    </row>
    <row r="510" spans="2:24" x14ac:dyDescent="0.35">
      <c r="B510" s="6" t="s">
        <v>158</v>
      </c>
      <c r="C510" s="97" t="s">
        <v>30</v>
      </c>
      <c r="D510" s="97" t="s">
        <v>401</v>
      </c>
      <c r="E510" s="23" t="str" cm="1">
        <f t="array" ref="E510">_xlfn.XLOOKUP(Table117821341[[#This Row],[Team]],Table4334[Team],'2425'!$C$3:$C$34)</f>
        <v>n/a</v>
      </c>
      <c r="F510" s="97" t="str">
        <f>_xlfn.XLOOKUP(Table117821341[[#This Row],[Team]],Table4334[Team],Table4334[OPP])</f>
        <v>n/a</v>
      </c>
      <c r="G510" s="148" t="str" cm="1">
        <f t="array" ref="G510">IF(Table117821341[[#This Row],[Pos.]]="QB1",_xlfn.XLOOKUP(Table117821341[[#This Row],[Opp]],Table123[DEF],'2425'!$G$3:$G$34),"#N/A")</f>
        <v>#N/A</v>
      </c>
      <c r="H510" s="148" t="str" cm="1">
        <f t="array" ref="H510">IF(Table117821341[[#This Row],[Pos.]]="QB1",_xlfn.XLOOKUP(Table117821341[[#This Row],[Opp]],Table123[DEF],'2425'!$J$3:$J$34),"#N/A")</f>
        <v>#N/A</v>
      </c>
      <c r="I510" s="148" t="str" cm="1">
        <f t="array" ref="I510">IF(Table117821341[[#This Row],[Pos.]]="QB1",_xlfn.XLOOKUP(Table117821341[[#This Row],[Opp]],Table123[DEF],'2425'!$K$3:$K$34),"#N/A")</f>
        <v>#N/A</v>
      </c>
      <c r="J510" s="148" t="e" cm="1">
        <f t="array" ref="J51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0" s="148" t="e" cm="1">
        <f t="array" ref="K51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0" s="148" t="e" cm="1">
        <f t="array" ref="L51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0" s="148" t="e" cm="1">
        <f t="array" ref="M51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0" s="148" t="e" cm="1">
        <f t="array" ref="N51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0" s="149" t="str">
        <f>IF(Table117821341[[#This Row],[Pos.]]="QB1",_xlfn.XLOOKUP(Table117821341[[#This Row],[Opp]],Table123[DEF],Table123[P]),"#N/A")</f>
        <v>#N/A</v>
      </c>
      <c r="P510" s="149" t="str">
        <f>IF(Table117821341[[#This Row],[Pos.]]="QB1",_xlfn.XLOOKUP(Table117821341[[#This Row],[Opp]],Table123[DEF],Table123[P+R]),"#N/A")</f>
        <v>#N/A</v>
      </c>
      <c r="Q510" s="150" t="str">
        <f>IF(Table117821341[[#This Row],[Pos.]]="QB1",_xlfn.XLOOKUP(Table117821341[[#This Row],[Opp]],Table123[DEF],Table123[P TD]),"#N/A")</f>
        <v>#N/A</v>
      </c>
      <c r="R510" s="149" t="e" cm="1">
        <f t="array" ref="R51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0" s="150" t="e" cm="1">
        <f t="array" ref="S51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0" s="150" t="e" cm="1">
        <f t="array" ref="T51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0" s="150" t="e" cm="1">
        <f t="array" ref="U51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0" s="162" t="e" cm="1">
        <f t="array" ref="V51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0" s="148" t="e" cm="1">
        <f t="array" ref="W510">_xlfn.IFS(Table117821341[[#This Row],[Pos.]]="QB1",AVERAGE(G510,H510,I510,J510,N510),Table117821341[[#This Row],[Pos.]]="RB1",AVERAGE(J510,K510,N510),Table117821341[[#This Row],[Pos.]]="RB2",AVERAGE(J510,K510,N510),Table117821341[[#This Row],[Pos.]]="WR1",AVERAGE(L510,M510,N510),Table117821341[[#This Row],[Pos.]]="WR2",AVERAGE(L510,M510,N510),Table117821341[[#This Row],[Pos.]]="WR3",AVERAGE(L510,M510,N510),Table117821341[[#This Row],[Pos.]]="WR4",AVERAGE(L510,M510,N510),Table117821341[[#This Row],[Pos.]]="TE1",AVERAGE(L510,M510,N510),Table117821341[[#This Row],[Pos.]]="TE2",AVERAGE(L510,M510,N510),Table117821341[[#This Row],[Pos.]]="D/ST",AVERAGE(Table117821341[[#This Row],[*TD*]]))</f>
        <v>#N/A</v>
      </c>
      <c r="X510" s="94" t="e">
        <f t="shared" si="8"/>
        <v>#N/A</v>
      </c>
    </row>
    <row r="511" spans="2:24" hidden="1" x14ac:dyDescent="0.35">
      <c r="B511" s="6" t="s">
        <v>542</v>
      </c>
      <c r="C511" s="97" t="s">
        <v>53</v>
      </c>
      <c r="D511" s="97" t="s">
        <v>403</v>
      </c>
      <c r="E511" s="23" t="str" cm="1">
        <f t="array" ref="E511">_xlfn.XLOOKUP(Table117821341[[#This Row],[Team]],Table4334[Team],'2425'!$C$3:$C$34)</f>
        <v>n/a</v>
      </c>
      <c r="F511" s="97" t="str">
        <f>_xlfn.XLOOKUP(Table117821341[[#This Row],[Team]],Table4334[Team],Table4334[OPP])</f>
        <v>n/a</v>
      </c>
      <c r="G511" s="148" t="str" cm="1">
        <f t="array" ref="G511">IF(Table117821341[[#This Row],[Pos.]]="QB1",_xlfn.XLOOKUP(Table117821341[[#This Row],[Opp]],Table123[DEF],'2425'!$G$3:$G$34),"#N/A")</f>
        <v>#N/A</v>
      </c>
      <c r="H511" s="148" t="str" cm="1">
        <f t="array" ref="H511">IF(Table117821341[[#This Row],[Pos.]]="QB1",_xlfn.XLOOKUP(Table117821341[[#This Row],[Opp]],Table123[DEF],'2425'!$J$3:$J$34),"#N/A")</f>
        <v>#N/A</v>
      </c>
      <c r="I511" s="148" t="str" cm="1">
        <f t="array" ref="I511">IF(Table117821341[[#This Row],[Pos.]]="QB1",_xlfn.XLOOKUP(Table117821341[[#This Row],[Opp]],Table123[DEF],'2425'!$K$3:$K$34),"#N/A")</f>
        <v>#N/A</v>
      </c>
      <c r="J511" s="148" t="e" cm="1">
        <f t="array" ref="J51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1" s="148" t="e" cm="1">
        <f t="array" ref="K51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1" s="148" t="e" cm="1">
        <f t="array" ref="L51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1" s="148" t="e" cm="1">
        <f t="array" ref="M51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1" s="148" t="e" cm="1">
        <f t="array" ref="N51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1" s="149" t="str">
        <f>IF(Table117821341[[#This Row],[Pos.]]="QB1",_xlfn.XLOOKUP(Table117821341[[#This Row],[Opp]],Table123[DEF],Table123[P]),"#N/A")</f>
        <v>#N/A</v>
      </c>
      <c r="P511" s="149" t="str">
        <f>IF(Table117821341[[#This Row],[Pos.]]="QB1",_xlfn.XLOOKUP(Table117821341[[#This Row],[Opp]],Table123[DEF],Table123[P+R]),"#N/A")</f>
        <v>#N/A</v>
      </c>
      <c r="Q511" s="150" t="str">
        <f>IF(Table117821341[[#This Row],[Pos.]]="QB1",_xlfn.XLOOKUP(Table117821341[[#This Row],[Opp]],Table123[DEF],Table123[P TD]),"#N/A")</f>
        <v>#N/A</v>
      </c>
      <c r="R511" s="149" t="e" cm="1">
        <f t="array" ref="R51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1" s="150" t="e" cm="1">
        <f t="array" ref="S51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1" s="150" t="e" cm="1">
        <f t="array" ref="T51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1" s="150" t="e" cm="1">
        <f t="array" ref="U51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1" s="150" t="e" cm="1">
        <f t="array" ref="V51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1" s="148" t="e" cm="1">
        <f t="array" ref="W511">_xlfn.IFS(Table117821341[[#This Row],[Pos.]]="QB1",AVERAGE(G511,H511,I511,J511,N511),Table117821341[[#This Row],[Pos.]]="RB1",AVERAGE(J511,K511,N511),Table117821341[[#This Row],[Pos.]]="RB2",AVERAGE(J511,K511,N511),Table117821341[[#This Row],[Pos.]]="WR1",AVERAGE(L511,M511,N511),Table117821341[[#This Row],[Pos.]]="WR2",AVERAGE(L511,M511,N511),Table117821341[[#This Row],[Pos.]]="WR3",AVERAGE(L511,M511,N511),Table117821341[[#This Row],[Pos.]]="WR4",AVERAGE(L511,M511,N511),Table117821341[[#This Row],[Pos.]]="TE1",AVERAGE(L511,M511,N511),Table117821341[[#This Row],[Pos.]]="TE2",AVERAGE(L511,M511,N511),Table117821341[[#This Row],[Pos.]]="D/ST",AVERAGE(Table117821341[[#This Row],[*TD*]]))</f>
        <v>#N/A</v>
      </c>
      <c r="X511" s="94" t="e">
        <f t="shared" si="8"/>
        <v>#N/A</v>
      </c>
    </row>
    <row r="512" spans="2:24" hidden="1" x14ac:dyDescent="0.35">
      <c r="B512" s="6" t="s">
        <v>541</v>
      </c>
      <c r="C512" s="97" t="s">
        <v>53</v>
      </c>
      <c r="D512" s="97" t="s">
        <v>411</v>
      </c>
      <c r="E512" s="23" t="str" cm="1">
        <f t="array" ref="E512">_xlfn.XLOOKUP(Table117821341[[#This Row],[Team]],Table4334[Team],'2425'!$C$3:$C$34)</f>
        <v>n/a</v>
      </c>
      <c r="F512" s="97" t="str">
        <f>_xlfn.XLOOKUP(Table117821341[[#This Row],[Team]],Table4334[Team],Table4334[OPP])</f>
        <v>n/a</v>
      </c>
      <c r="G512" s="148" t="str" cm="1">
        <f t="array" ref="G512">IF(Table117821341[[#This Row],[Pos.]]="QB1",_xlfn.XLOOKUP(Table117821341[[#This Row],[Opp]],Table123[DEF],'2425'!$G$3:$G$34),"#N/A")</f>
        <v>#N/A</v>
      </c>
      <c r="H512" s="148" t="str" cm="1">
        <f t="array" ref="H512">IF(Table117821341[[#This Row],[Pos.]]="QB1",_xlfn.XLOOKUP(Table117821341[[#This Row],[Opp]],Table123[DEF],'2425'!$J$3:$J$34),"#N/A")</f>
        <v>#N/A</v>
      </c>
      <c r="I512" s="148" t="str" cm="1">
        <f t="array" ref="I512">IF(Table117821341[[#This Row],[Pos.]]="QB1",_xlfn.XLOOKUP(Table117821341[[#This Row],[Opp]],Table123[DEF],'2425'!$K$3:$K$34),"#N/A")</f>
        <v>#N/A</v>
      </c>
      <c r="J512" s="148" t="e" cm="1">
        <f t="array" ref="J51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2" s="148" t="e" cm="1">
        <f t="array" ref="K51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2" s="148" t="e" cm="1">
        <f t="array" ref="L51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2" s="148" t="e" cm="1">
        <f t="array" ref="M51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2" s="148" t="e" cm="1">
        <f t="array" ref="N51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2" s="149" t="str">
        <f>IF(Table117821341[[#This Row],[Pos.]]="QB1",_xlfn.XLOOKUP(Table117821341[[#This Row],[Opp]],Table123[DEF],Table123[P]),"#N/A")</f>
        <v>#N/A</v>
      </c>
      <c r="P512" s="149" t="str">
        <f>IF(Table117821341[[#This Row],[Pos.]]="QB1",_xlfn.XLOOKUP(Table117821341[[#This Row],[Opp]],Table123[DEF],Table123[P+R]),"#N/A")</f>
        <v>#N/A</v>
      </c>
      <c r="Q512" s="150" t="str">
        <f>IF(Table117821341[[#This Row],[Pos.]]="QB1",_xlfn.XLOOKUP(Table117821341[[#This Row],[Opp]],Table123[DEF],Table123[P TD]),"#N/A")</f>
        <v>#N/A</v>
      </c>
      <c r="R512" s="149" t="e" cm="1">
        <f t="array" ref="R51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2" s="150" t="e" cm="1">
        <f t="array" ref="S51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2" s="150" t="e" cm="1">
        <f t="array" ref="T51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2" s="150" t="e" cm="1">
        <f t="array" ref="U51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2" s="150" t="e" cm="1">
        <f t="array" ref="V51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2" s="148" t="e" cm="1">
        <f t="array" ref="W512">_xlfn.IFS(Table117821341[[#This Row],[Pos.]]="QB1",AVERAGE(G512,H512,I512,J512,N512),Table117821341[[#This Row],[Pos.]]="RB1",AVERAGE(J512,K512,N512),Table117821341[[#This Row],[Pos.]]="RB2",AVERAGE(J512,K512,N512),Table117821341[[#This Row],[Pos.]]="WR1",AVERAGE(L512,M512,N512),Table117821341[[#This Row],[Pos.]]="WR2",AVERAGE(L512,M512,N512),Table117821341[[#This Row],[Pos.]]="WR3",AVERAGE(L512,M512,N512),Table117821341[[#This Row],[Pos.]]="WR4",AVERAGE(L512,M512,N512),Table117821341[[#This Row],[Pos.]]="TE1",AVERAGE(L512,M512,N512),Table117821341[[#This Row],[Pos.]]="TE2",AVERAGE(L512,M512,N512),Table117821341[[#This Row],[Pos.]]="D/ST",AVERAGE(Table117821341[[#This Row],[*TD*]]))</f>
        <v>#N/A</v>
      </c>
      <c r="X512" s="94" t="e">
        <f t="shared" si="8"/>
        <v>#N/A</v>
      </c>
    </row>
    <row r="513" spans="2:24" hidden="1" x14ac:dyDescent="0.35">
      <c r="B513" s="6" t="s">
        <v>543</v>
      </c>
      <c r="C513" s="97" t="s">
        <v>53</v>
      </c>
      <c r="D513" s="97" t="s">
        <v>441</v>
      </c>
      <c r="E513" s="23" t="str" cm="1">
        <f t="array" ref="E513">_xlfn.XLOOKUP(Table117821341[[#This Row],[Team]],Table4334[Team],'2425'!$C$3:$C$34)</f>
        <v>n/a</v>
      </c>
      <c r="F513" s="97" t="str">
        <f>_xlfn.XLOOKUP(Table117821341[[#This Row],[Team]],Table4334[Team],Table4334[OPP])</f>
        <v>n/a</v>
      </c>
      <c r="G513" s="148" t="str" cm="1">
        <f t="array" ref="G513">IF(Table117821341[[#This Row],[Pos.]]="QB1",_xlfn.XLOOKUP(Table117821341[[#This Row],[Opp]],Table123[DEF],'2425'!$G$3:$G$34),"#N/A")</f>
        <v>#N/A</v>
      </c>
      <c r="H513" s="148" t="str" cm="1">
        <f t="array" ref="H513">IF(Table117821341[[#This Row],[Pos.]]="QB1",_xlfn.XLOOKUP(Table117821341[[#This Row],[Opp]],Table123[DEF],'2425'!$J$3:$J$34),"#N/A")</f>
        <v>#N/A</v>
      </c>
      <c r="I513" s="148" t="str" cm="1">
        <f t="array" ref="I513">IF(Table117821341[[#This Row],[Pos.]]="QB1",_xlfn.XLOOKUP(Table117821341[[#This Row],[Opp]],Table123[DEF],'2425'!$K$3:$K$34),"#N/A")</f>
        <v>#N/A</v>
      </c>
      <c r="J513" s="148" t="e" cm="1">
        <f t="array" ref="J51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3" s="148" t="e" cm="1">
        <f t="array" ref="K51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3" s="148" t="e" cm="1">
        <f t="array" ref="L51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3" s="148" t="e" cm="1">
        <f t="array" ref="M51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3" s="148" t="e" cm="1">
        <f t="array" ref="N51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3" s="149" t="str">
        <f>IF(Table117821341[[#This Row],[Pos.]]="QB1",_xlfn.XLOOKUP(Table117821341[[#This Row],[Opp]],Table123[DEF],Table123[P]),"#N/A")</f>
        <v>#N/A</v>
      </c>
      <c r="P513" s="149" t="str">
        <f>IF(Table117821341[[#This Row],[Pos.]]="QB1",_xlfn.XLOOKUP(Table117821341[[#This Row],[Opp]],Table123[DEF],Table123[P+R]),"#N/A")</f>
        <v>#N/A</v>
      </c>
      <c r="Q513" s="150" t="str">
        <f>IF(Table117821341[[#This Row],[Pos.]]="QB1",_xlfn.XLOOKUP(Table117821341[[#This Row],[Opp]],Table123[DEF],Table123[P TD]),"#N/A")</f>
        <v>#N/A</v>
      </c>
      <c r="R513" s="149" t="e" cm="1">
        <f t="array" ref="R51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3" s="150" t="e" cm="1">
        <f t="array" ref="S51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3" s="150" t="e" cm="1">
        <f t="array" ref="T51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3" s="150" t="e" cm="1">
        <f t="array" ref="U51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3" s="150" t="e" cm="1">
        <f t="array" ref="V51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3" s="148" t="e" cm="1">
        <f t="array" ref="W513">_xlfn.IFS(Table117821341[[#This Row],[Pos.]]="QB1",AVERAGE(G513,H513,I513,J513,N513),Table117821341[[#This Row],[Pos.]]="RB1",AVERAGE(J513,K513,N513),Table117821341[[#This Row],[Pos.]]="RB2",AVERAGE(J513,K513,N513),Table117821341[[#This Row],[Pos.]]="WR1",AVERAGE(L513,M513,N513),Table117821341[[#This Row],[Pos.]]="WR2",AVERAGE(L513,M513,N513),Table117821341[[#This Row],[Pos.]]="WR3",AVERAGE(L513,M513,N513),Table117821341[[#This Row],[Pos.]]="WR4",AVERAGE(L513,M513,N513),Table117821341[[#This Row],[Pos.]]="TE1",AVERAGE(L513,M513,N513),Table117821341[[#This Row],[Pos.]]="TE2",AVERAGE(L513,M513,N513),Table117821341[[#This Row],[Pos.]]="D/ST",AVERAGE(Table117821341[[#This Row],[*TD*]]))</f>
        <v>#N/A</v>
      </c>
      <c r="X513" s="94" t="e">
        <f t="shared" si="8"/>
        <v>#N/A</v>
      </c>
    </row>
    <row r="514" spans="2:24" hidden="1" x14ac:dyDescent="0.35">
      <c r="B514" s="6" t="s">
        <v>366</v>
      </c>
      <c r="C514" s="97" t="s">
        <v>53</v>
      </c>
      <c r="D514" s="97" t="s">
        <v>443</v>
      </c>
      <c r="E514" s="23" t="str" cm="1">
        <f t="array" ref="E514">_xlfn.XLOOKUP(Table117821341[[#This Row],[Team]],Table4334[Team],'2425'!$C$3:$C$34)</f>
        <v>n/a</v>
      </c>
      <c r="F514" s="97" t="str">
        <f>_xlfn.XLOOKUP(Table117821341[[#This Row],[Team]],Table4334[Team],Table4334[OPP])</f>
        <v>n/a</v>
      </c>
      <c r="G514" s="148" t="str" cm="1">
        <f t="array" ref="G514">IF(Table117821341[[#This Row],[Pos.]]="QB1",_xlfn.XLOOKUP(Table117821341[[#This Row],[Opp]],Table123[DEF],'2425'!$G$3:$G$34),"#N/A")</f>
        <v>#N/A</v>
      </c>
      <c r="H514" s="148" t="str" cm="1">
        <f t="array" ref="H514">IF(Table117821341[[#This Row],[Pos.]]="QB1",_xlfn.XLOOKUP(Table117821341[[#This Row],[Opp]],Table123[DEF],'2425'!$J$3:$J$34),"#N/A")</f>
        <v>#N/A</v>
      </c>
      <c r="I514" s="148" t="str" cm="1">
        <f t="array" ref="I514">IF(Table117821341[[#This Row],[Pos.]]="QB1",_xlfn.XLOOKUP(Table117821341[[#This Row],[Opp]],Table123[DEF],'2425'!$K$3:$K$34),"#N/A")</f>
        <v>#N/A</v>
      </c>
      <c r="J514" s="148" t="e" cm="1">
        <f t="array" ref="J51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4" s="148" t="e" cm="1">
        <f t="array" ref="K51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4" s="148" t="e" cm="1">
        <f t="array" ref="L51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4" s="148" t="e" cm="1">
        <f t="array" ref="M51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4" s="148" t="e" cm="1">
        <f t="array" ref="N51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4" s="149" t="str">
        <f>IF(Table117821341[[#This Row],[Pos.]]="QB1",_xlfn.XLOOKUP(Table117821341[[#This Row],[Opp]],Table123[DEF],Table123[P]),"#N/A")</f>
        <v>#N/A</v>
      </c>
      <c r="P514" s="149" t="str">
        <f>IF(Table117821341[[#This Row],[Pos.]]="QB1",_xlfn.XLOOKUP(Table117821341[[#This Row],[Opp]],Table123[DEF],Table123[P+R]),"#N/A")</f>
        <v>#N/A</v>
      </c>
      <c r="Q514" s="150" t="str">
        <f>IF(Table117821341[[#This Row],[Pos.]]="QB1",_xlfn.XLOOKUP(Table117821341[[#This Row],[Opp]],Table123[DEF],Table123[P TD]),"#N/A")</f>
        <v>#N/A</v>
      </c>
      <c r="R514" s="149" t="e" cm="1">
        <f t="array" ref="R51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4" s="150" t="e" cm="1">
        <f t="array" ref="S51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4" s="150" t="e" cm="1">
        <f t="array" ref="T51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4" s="150" t="e" cm="1">
        <f t="array" ref="U51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4" s="150" t="e" cm="1">
        <f t="array" ref="V51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4" s="148" t="e" cm="1">
        <f t="array" ref="W514">_xlfn.IFS(Table117821341[[#This Row],[Pos.]]="QB1",AVERAGE(G514,H514,I514,J514,N514),Table117821341[[#This Row],[Pos.]]="RB1",AVERAGE(J514,K514,N514),Table117821341[[#This Row],[Pos.]]="RB2",AVERAGE(J514,K514,N514),Table117821341[[#This Row],[Pos.]]="WR1",AVERAGE(L514,M514,N514),Table117821341[[#This Row],[Pos.]]="WR2",AVERAGE(L514,M514,N514),Table117821341[[#This Row],[Pos.]]="WR3",AVERAGE(L514,M514,N514),Table117821341[[#This Row],[Pos.]]="WR4",AVERAGE(L514,M514,N514),Table117821341[[#This Row],[Pos.]]="TE1",AVERAGE(L514,M514,N514),Table117821341[[#This Row],[Pos.]]="TE2",AVERAGE(L514,M514,N514),Table117821341[[#This Row],[Pos.]]="D/ST",AVERAGE(Table117821341[[#This Row],[*TD*]]))</f>
        <v>#N/A</v>
      </c>
      <c r="X514" s="94" t="e">
        <f t="shared" si="8"/>
        <v>#N/A</v>
      </c>
    </row>
    <row r="515" spans="2:24" hidden="1" x14ac:dyDescent="0.35">
      <c r="B515" s="6" t="s">
        <v>545</v>
      </c>
      <c r="C515" s="97" t="s">
        <v>53</v>
      </c>
      <c r="D515" s="97" t="s">
        <v>546</v>
      </c>
      <c r="E515" s="23" t="str" cm="1">
        <f t="array" ref="E515">_xlfn.XLOOKUP(Table117821341[[#This Row],[Team]],Table4334[Team],'2425'!$C$3:$C$34)</f>
        <v>n/a</v>
      </c>
      <c r="F515" s="97" t="str">
        <f>_xlfn.XLOOKUP(Table117821341[[#This Row],[Team]],Table4334[Team],Table4334[OPP])</f>
        <v>n/a</v>
      </c>
      <c r="G515" s="148" t="str" cm="1">
        <f t="array" ref="G515">IF(Table117821341[[#This Row],[Pos.]]="QB1",_xlfn.XLOOKUP(Table117821341[[#This Row],[Opp]],Table123[DEF],'2425'!$G$3:$G$34),"#N/A")</f>
        <v>#N/A</v>
      </c>
      <c r="H515" s="148" t="str" cm="1">
        <f t="array" ref="H515">IF(Table117821341[[#This Row],[Pos.]]="QB1",_xlfn.XLOOKUP(Table117821341[[#This Row],[Opp]],Table123[DEF],'2425'!$J$3:$J$34),"#N/A")</f>
        <v>#N/A</v>
      </c>
      <c r="I515" s="148" t="str" cm="1">
        <f t="array" ref="I515">IF(Table117821341[[#This Row],[Pos.]]="QB1",_xlfn.XLOOKUP(Table117821341[[#This Row],[Opp]],Table123[DEF],'2425'!$K$3:$K$34),"#N/A")</f>
        <v>#N/A</v>
      </c>
      <c r="J515" s="148" t="e" cm="1">
        <f t="array" ref="J51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5" s="148" t="e" cm="1">
        <f t="array" ref="K51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5" s="148" t="e" cm="1">
        <f t="array" ref="L51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5" s="148" t="e" cm="1">
        <f t="array" ref="M51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5" s="148" t="e" cm="1">
        <f t="array" ref="N51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5" s="149" t="str">
        <f>IF(Table117821341[[#This Row],[Pos.]]="QB1",_xlfn.XLOOKUP(Table117821341[[#This Row],[Opp]],Table123[DEF],Table123[P]),"#N/A")</f>
        <v>#N/A</v>
      </c>
      <c r="P515" s="149" t="str">
        <f>IF(Table117821341[[#This Row],[Pos.]]="QB1",_xlfn.XLOOKUP(Table117821341[[#This Row],[Opp]],Table123[DEF],Table123[P+R]),"#N/A")</f>
        <v>#N/A</v>
      </c>
      <c r="Q515" s="150" t="str">
        <f>IF(Table117821341[[#This Row],[Pos.]]="QB1",_xlfn.XLOOKUP(Table117821341[[#This Row],[Opp]],Table123[DEF],Table123[P TD]),"#N/A")</f>
        <v>#N/A</v>
      </c>
      <c r="R515" s="149" t="e" cm="1">
        <f t="array" ref="R51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5" s="150" t="e" cm="1">
        <f t="array" ref="S51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5" s="150" t="e" cm="1">
        <f t="array" ref="T51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5" s="150" t="e" cm="1">
        <f t="array" ref="U51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5" s="150" t="e" cm="1">
        <f t="array" ref="V51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5" s="148" t="e" cm="1">
        <f t="array" ref="W515">_xlfn.IFS(Table117821341[[#This Row],[Pos.]]="QB1",AVERAGE(G515,H515,I515,J515,N515),Table117821341[[#This Row],[Pos.]]="RB1",AVERAGE(J515,K515,N515),Table117821341[[#This Row],[Pos.]]="RB2",AVERAGE(J515,K515,N515),Table117821341[[#This Row],[Pos.]]="WR1",AVERAGE(L515,M515,N515),Table117821341[[#This Row],[Pos.]]="WR2",AVERAGE(L515,M515,N515),Table117821341[[#This Row],[Pos.]]="WR3",AVERAGE(L515,M515,N515),Table117821341[[#This Row],[Pos.]]="WR4",AVERAGE(L515,M515,N515),Table117821341[[#This Row],[Pos.]]="TE1",AVERAGE(L515,M515,N515),Table117821341[[#This Row],[Pos.]]="TE2",AVERAGE(L515,M515,N515),Table117821341[[#This Row],[Pos.]]="D/ST",AVERAGE(Table117821341[[#This Row],[*TD*]]))</f>
        <v>#N/A</v>
      </c>
      <c r="X515" s="94" t="e">
        <f t="shared" si="8"/>
        <v>#N/A</v>
      </c>
    </row>
    <row r="516" spans="2:24" x14ac:dyDescent="0.35">
      <c r="B516" s="6" t="s">
        <v>632</v>
      </c>
      <c r="C516" s="97" t="s">
        <v>37</v>
      </c>
      <c r="D516" s="97" t="s">
        <v>68</v>
      </c>
      <c r="E516" s="23" t="str" cm="1">
        <f t="array" ref="E516">_xlfn.XLOOKUP(Table117821341[[#This Row],[Team]],Table4334[Team],'2425'!$C$3:$C$34)</f>
        <v>n/a</v>
      </c>
      <c r="F516" s="97" t="str">
        <f>_xlfn.XLOOKUP(Table117821341[[#This Row],[Team]],Table4334[Team],Table4334[OPP])</f>
        <v>n/a</v>
      </c>
      <c r="G516" s="148" t="str" cm="1">
        <f t="array" ref="G516">IF(Table117821341[[#This Row],[Pos.]]="QB1",_xlfn.XLOOKUP(Table117821341[[#This Row],[Opp]],Table123[DEF],'2425'!$G$3:$G$34),"#N/A")</f>
        <v>#N/A</v>
      </c>
      <c r="H516" s="148" t="str" cm="1">
        <f t="array" ref="H516">IF(Table117821341[[#This Row],[Pos.]]="QB1",_xlfn.XLOOKUP(Table117821341[[#This Row],[Opp]],Table123[DEF],'2425'!$J$3:$J$34),"#N/A")</f>
        <v>#N/A</v>
      </c>
      <c r="I516" s="148" t="str" cm="1">
        <f t="array" ref="I516">IF(Table117821341[[#This Row],[Pos.]]="QB1",_xlfn.XLOOKUP(Table117821341[[#This Row],[Opp]],Table123[DEF],'2425'!$K$3:$K$34),"#N/A")</f>
        <v>#N/A</v>
      </c>
      <c r="J516" s="148" t="e" cm="1">
        <f t="array" ref="J51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6" s="148" t="e" cm="1">
        <f t="array" ref="K51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6" s="148" t="e" cm="1">
        <f t="array" ref="L51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6" s="148" t="e" cm="1">
        <f t="array" ref="M51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6" s="148" t="e" cm="1">
        <f t="array" ref="N51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6" s="149" t="str">
        <f>IF(Table117821341[[#This Row],[Pos.]]="QB1",_xlfn.XLOOKUP(Table117821341[[#This Row],[Opp]],Table123[DEF],Table123[P]),"#N/A")</f>
        <v>#N/A</v>
      </c>
      <c r="P516" s="149" t="str">
        <f>IF(Table117821341[[#This Row],[Pos.]]="QB1",_xlfn.XLOOKUP(Table117821341[[#This Row],[Opp]],Table123[DEF],Table123[P+R]),"#N/A")</f>
        <v>#N/A</v>
      </c>
      <c r="Q516" s="150" t="str">
        <f>IF(Table117821341[[#This Row],[Pos.]]="QB1",_xlfn.XLOOKUP(Table117821341[[#This Row],[Opp]],Table123[DEF],Table123[P TD]),"#N/A")</f>
        <v>#N/A</v>
      </c>
      <c r="R516" s="149" t="e" cm="1">
        <f t="array" ref="R51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6" s="150" t="e" cm="1">
        <f t="array" ref="S51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6" s="150" t="e" cm="1">
        <f t="array" ref="T51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6" s="150" t="e" cm="1">
        <f t="array" ref="U51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6" s="162" t="e" cm="1">
        <f t="array" ref="V51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6" s="148" t="e" cm="1">
        <f t="array" ref="W516">_xlfn.IFS(Table117821341[[#This Row],[Pos.]]="QB1",AVERAGE(G516,H516,I516,J516,N516),Table117821341[[#This Row],[Pos.]]="RB1",AVERAGE(J516,K516,N516),Table117821341[[#This Row],[Pos.]]="RB2",AVERAGE(J516,K516,N516),Table117821341[[#This Row],[Pos.]]="WR1",AVERAGE(L516,M516,N516),Table117821341[[#This Row],[Pos.]]="WR2",AVERAGE(L516,M516,N516),Table117821341[[#This Row],[Pos.]]="WR3",AVERAGE(L516,M516,N516),Table117821341[[#This Row],[Pos.]]="WR4",AVERAGE(L516,M516,N516),Table117821341[[#This Row],[Pos.]]="TE1",AVERAGE(L516,M516,N516),Table117821341[[#This Row],[Pos.]]="TE2",AVERAGE(L516,M516,N516),Table117821341[[#This Row],[Pos.]]="D/ST",AVERAGE(Table117821341[[#This Row],[*TD*]]))</f>
        <v>#N/A</v>
      </c>
      <c r="X516" s="94" t="e">
        <f t="shared" si="8"/>
        <v>#N/A</v>
      </c>
    </row>
    <row r="517" spans="2:24" hidden="1" x14ac:dyDescent="0.35">
      <c r="B517" s="6" t="s">
        <v>610</v>
      </c>
      <c r="C517" s="97" t="s">
        <v>29</v>
      </c>
      <c r="D517" s="97" t="s">
        <v>68</v>
      </c>
      <c r="E517" s="23" t="str" cm="1">
        <f t="array" ref="E517">_xlfn.XLOOKUP(Table117821341[[#This Row],[Team]],Table4334[Team],'2425'!$C$3:$C$34)</f>
        <v>n/a</v>
      </c>
      <c r="F517" s="97" t="str">
        <f>_xlfn.XLOOKUP(Table117821341[[#This Row],[Team]],Table4334[Team],Table4334[OPP])</f>
        <v>n/a</v>
      </c>
      <c r="G517" s="148" t="str" cm="1">
        <f t="array" ref="G517">IF(Table117821341[[#This Row],[Pos.]]="QB1",_xlfn.XLOOKUP(Table117821341[[#This Row],[Opp]],Table123[DEF],'2425'!$G$3:$G$34),"#N/A")</f>
        <v>#N/A</v>
      </c>
      <c r="H517" s="148" t="str" cm="1">
        <f t="array" ref="H517">IF(Table117821341[[#This Row],[Pos.]]="QB1",_xlfn.XLOOKUP(Table117821341[[#This Row],[Opp]],Table123[DEF],'2425'!$J$3:$J$34),"#N/A")</f>
        <v>#N/A</v>
      </c>
      <c r="I517" s="148" t="str" cm="1">
        <f t="array" ref="I517">IF(Table117821341[[#This Row],[Pos.]]="QB1",_xlfn.XLOOKUP(Table117821341[[#This Row],[Opp]],Table123[DEF],'2425'!$K$3:$K$34),"#N/A")</f>
        <v>#N/A</v>
      </c>
      <c r="J517" s="148" t="e" cm="1">
        <f t="array" ref="J51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7" s="148" t="e" cm="1">
        <f t="array" ref="K51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7" s="148" t="e" cm="1">
        <f t="array" ref="L51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7" s="148" t="e" cm="1">
        <f t="array" ref="M51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7" s="148" t="e" cm="1">
        <f t="array" ref="N51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7" s="149" t="str">
        <f>IF(Table117821341[[#This Row],[Pos.]]="QB1",_xlfn.XLOOKUP(Table117821341[[#This Row],[Opp]],Table123[DEF],Table123[P]),"#N/A")</f>
        <v>#N/A</v>
      </c>
      <c r="P517" s="149" t="str">
        <f>IF(Table117821341[[#This Row],[Pos.]]="QB1",_xlfn.XLOOKUP(Table117821341[[#This Row],[Opp]],Table123[DEF],Table123[P+R]),"#N/A")</f>
        <v>#N/A</v>
      </c>
      <c r="Q517" s="150" t="str">
        <f>IF(Table117821341[[#This Row],[Pos.]]="QB1",_xlfn.XLOOKUP(Table117821341[[#This Row],[Opp]],Table123[DEF],Table123[P TD]),"#N/A")</f>
        <v>#N/A</v>
      </c>
      <c r="R517" s="149" t="e" cm="1">
        <f t="array" ref="R51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7" s="150" t="e" cm="1">
        <f t="array" ref="S51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7" s="150" t="e" cm="1">
        <f t="array" ref="T51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7" s="150" t="e" cm="1">
        <f t="array" ref="U51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7" s="162" t="e" cm="1">
        <f t="array" ref="V51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7" s="148" t="e" cm="1">
        <f t="array" ref="W517">_xlfn.IFS(Table117821341[[#This Row],[Pos.]]="QB1",AVERAGE(G517,H517,I517,J517,N517),Table117821341[[#This Row],[Pos.]]="RB1",AVERAGE(J517,K517,N517),Table117821341[[#This Row],[Pos.]]="RB2",AVERAGE(J517,K517,N517),Table117821341[[#This Row],[Pos.]]="WR1",AVERAGE(L517,M517,N517),Table117821341[[#This Row],[Pos.]]="WR2",AVERAGE(L517,M517,N517),Table117821341[[#This Row],[Pos.]]="WR3",AVERAGE(L517,M517,N517),Table117821341[[#This Row],[Pos.]]="WR4",AVERAGE(L517,M517,N517),Table117821341[[#This Row],[Pos.]]="TE1",AVERAGE(L517,M517,N517),Table117821341[[#This Row],[Pos.]]="TE2",AVERAGE(L517,M517,N517),Table117821341[[#This Row],[Pos.]]="D/ST",AVERAGE(Table117821341[[#This Row],[*TD*]]))</f>
        <v>#N/A</v>
      </c>
      <c r="X517" s="94" t="e">
        <f t="shared" si="8"/>
        <v>#N/A</v>
      </c>
    </row>
    <row r="518" spans="2:24" hidden="1" x14ac:dyDescent="0.35">
      <c r="B518" s="6" t="s">
        <v>583</v>
      </c>
      <c r="C518" s="97" t="s">
        <v>54</v>
      </c>
      <c r="D518" s="98" t="s">
        <v>405</v>
      </c>
      <c r="E518" s="23" t="str" cm="1">
        <f t="array" ref="E518">_xlfn.XLOOKUP(Table117821341[[#This Row],[Team]],Table4334[Team],'2425'!$C$3:$C$34)</f>
        <v>n/a</v>
      </c>
      <c r="F518" s="97" t="str">
        <f>_xlfn.XLOOKUP(Table117821341[[#This Row],[Team]],Table4334[Team],Table4334[OPP])</f>
        <v>n/a</v>
      </c>
      <c r="G518" s="148" t="str" cm="1">
        <f t="array" ref="G518">IF(Table117821341[[#This Row],[Pos.]]="QB1",_xlfn.XLOOKUP(Table117821341[[#This Row],[Opp]],Table123[DEF],'2425'!$G$3:$G$34),"#N/A")</f>
        <v>#N/A</v>
      </c>
      <c r="H518" s="148" t="str" cm="1">
        <f t="array" ref="H518">IF(Table117821341[[#This Row],[Pos.]]="QB1",_xlfn.XLOOKUP(Table117821341[[#This Row],[Opp]],Table123[DEF],'2425'!$J$3:$J$34),"#N/A")</f>
        <v>#N/A</v>
      </c>
      <c r="I518" s="148" t="str" cm="1">
        <f t="array" ref="I518">IF(Table117821341[[#This Row],[Pos.]]="QB1",_xlfn.XLOOKUP(Table117821341[[#This Row],[Opp]],Table123[DEF],'2425'!$K$3:$K$34),"#N/A")</f>
        <v>#N/A</v>
      </c>
      <c r="J518" s="148" t="e" cm="1">
        <f t="array" ref="J51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8" s="148" t="e" cm="1">
        <f t="array" ref="K51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8" s="148" t="e" cm="1">
        <f t="array" ref="L51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8" s="148" t="e" cm="1">
        <f t="array" ref="M51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8" s="148" t="e" cm="1">
        <f t="array" ref="N51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8" s="149" t="str">
        <f>IF(Table117821341[[#This Row],[Pos.]]="QB1",_xlfn.XLOOKUP(Table117821341[[#This Row],[Opp]],Table123[DEF],Table123[P]),"#N/A")</f>
        <v>#N/A</v>
      </c>
      <c r="P518" s="149" t="str">
        <f>IF(Table117821341[[#This Row],[Pos.]]="QB1",_xlfn.XLOOKUP(Table117821341[[#This Row],[Opp]],Table123[DEF],Table123[P+R]),"#N/A")</f>
        <v>#N/A</v>
      </c>
      <c r="Q518" s="150" t="str">
        <f>IF(Table117821341[[#This Row],[Pos.]]="QB1",_xlfn.XLOOKUP(Table117821341[[#This Row],[Opp]],Table123[DEF],Table123[P TD]),"#N/A")</f>
        <v>#N/A</v>
      </c>
      <c r="R518" s="149" t="e" cm="1">
        <f t="array" ref="R51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8" s="150" t="e" cm="1">
        <f t="array" ref="S51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8" s="150" t="e" cm="1">
        <f t="array" ref="T51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8" s="150" t="e" cm="1">
        <f t="array" ref="U51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8" s="150" t="e" cm="1">
        <f t="array" ref="V51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8" s="148" t="e" cm="1">
        <f t="array" ref="W518">_xlfn.IFS(Table117821341[[#This Row],[Pos.]]="QB1",AVERAGE(G518,H518,I518,J518,N518),Table117821341[[#This Row],[Pos.]]="RB1",AVERAGE(J518,K518,N518),Table117821341[[#This Row],[Pos.]]="RB2",AVERAGE(J518,K518,N518),Table117821341[[#This Row],[Pos.]]="WR1",AVERAGE(L518,M518,N518),Table117821341[[#This Row],[Pos.]]="WR2",AVERAGE(L518,M518,N518),Table117821341[[#This Row],[Pos.]]="WR3",AVERAGE(L518,M518,N518),Table117821341[[#This Row],[Pos.]]="WR4",AVERAGE(L518,M518,N518),Table117821341[[#This Row],[Pos.]]="TE1",AVERAGE(L518,M518,N518),Table117821341[[#This Row],[Pos.]]="TE2",AVERAGE(L518,M518,N518),Table117821341[[#This Row],[Pos.]]="D/ST",AVERAGE(Table117821341[[#This Row],[*TD*]]))</f>
        <v>#N/A</v>
      </c>
      <c r="X518" s="94" t="e">
        <f t="shared" si="8"/>
        <v>#N/A</v>
      </c>
    </row>
    <row r="519" spans="2:24" hidden="1" x14ac:dyDescent="0.35">
      <c r="B519" s="6" t="s">
        <v>261</v>
      </c>
      <c r="C519" s="97" t="s">
        <v>41</v>
      </c>
      <c r="D519" s="97" t="s">
        <v>68</v>
      </c>
      <c r="E519" s="23" t="str" cm="1">
        <f t="array" ref="E519">_xlfn.XLOOKUP(Table117821341[[#This Row],[Team]],Table4334[Team],'2425'!$C$3:$C$34)</f>
        <v>n/a</v>
      </c>
      <c r="F519" s="97" t="str">
        <f>_xlfn.XLOOKUP(Table117821341[[#This Row],[Team]],Table4334[Team],Table4334[OPP])</f>
        <v>n/a</v>
      </c>
      <c r="G519" s="148" t="str" cm="1">
        <f t="array" ref="G519">IF(Table117821341[[#This Row],[Pos.]]="QB1",_xlfn.XLOOKUP(Table117821341[[#This Row],[Opp]],Table123[DEF],'2425'!$G$3:$G$34),"#N/A")</f>
        <v>#N/A</v>
      </c>
      <c r="H519" s="148" t="str" cm="1">
        <f t="array" ref="H519">IF(Table117821341[[#This Row],[Pos.]]="QB1",_xlfn.XLOOKUP(Table117821341[[#This Row],[Opp]],Table123[DEF],'2425'!$J$3:$J$34),"#N/A")</f>
        <v>#N/A</v>
      </c>
      <c r="I519" s="148" t="str" cm="1">
        <f t="array" ref="I519">IF(Table117821341[[#This Row],[Pos.]]="QB1",_xlfn.XLOOKUP(Table117821341[[#This Row],[Opp]],Table123[DEF],'2425'!$K$3:$K$34),"#N/A")</f>
        <v>#N/A</v>
      </c>
      <c r="J519" s="148" t="e" cm="1">
        <f t="array" ref="J51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19" s="148" t="e" cm="1">
        <f t="array" ref="K51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19" s="148" t="e" cm="1">
        <f t="array" ref="L51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19" s="148" t="e" cm="1">
        <f t="array" ref="M51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19" s="148" t="e" cm="1">
        <f t="array" ref="N51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19" s="149" t="str">
        <f>IF(Table117821341[[#This Row],[Pos.]]="QB1",_xlfn.XLOOKUP(Table117821341[[#This Row],[Opp]],Table123[DEF],Table123[P]),"#N/A")</f>
        <v>#N/A</v>
      </c>
      <c r="P519" s="149" t="str">
        <f>IF(Table117821341[[#This Row],[Pos.]]="QB1",_xlfn.XLOOKUP(Table117821341[[#This Row],[Opp]],Table123[DEF],Table123[P+R]),"#N/A")</f>
        <v>#N/A</v>
      </c>
      <c r="Q519" s="150" t="str">
        <f>IF(Table117821341[[#This Row],[Pos.]]="QB1",_xlfn.XLOOKUP(Table117821341[[#This Row],[Opp]],Table123[DEF],Table123[P TD]),"#N/A")</f>
        <v>#N/A</v>
      </c>
      <c r="R519" s="149" t="e" cm="1">
        <f t="array" ref="R51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19" s="150" t="e" cm="1">
        <f t="array" ref="S51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19" s="150" t="e" cm="1">
        <f t="array" ref="T51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19" s="150" t="e" cm="1">
        <f t="array" ref="U51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19" s="162" t="e" cm="1">
        <f t="array" ref="V51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19" s="148" t="e" cm="1">
        <f t="array" ref="W519">_xlfn.IFS(Table117821341[[#This Row],[Pos.]]="QB1",AVERAGE(G519,H519,I519,J519,N519),Table117821341[[#This Row],[Pos.]]="RB1",AVERAGE(J519,K519,N519),Table117821341[[#This Row],[Pos.]]="RB2",AVERAGE(J519,K519,N519),Table117821341[[#This Row],[Pos.]]="WR1",AVERAGE(L519,M519,N519),Table117821341[[#This Row],[Pos.]]="WR2",AVERAGE(L519,M519,N519),Table117821341[[#This Row],[Pos.]]="WR3",AVERAGE(L519,M519,N519),Table117821341[[#This Row],[Pos.]]="WR4",AVERAGE(L519,M519,N519),Table117821341[[#This Row],[Pos.]]="TE1",AVERAGE(L519,M519,N519),Table117821341[[#This Row],[Pos.]]="TE2",AVERAGE(L519,M519,N519),Table117821341[[#This Row],[Pos.]]="D/ST",AVERAGE(Table117821341[[#This Row],[*TD*]]))</f>
        <v>#N/A</v>
      </c>
      <c r="X519" s="94" t="e">
        <f t="shared" si="8"/>
        <v>#N/A</v>
      </c>
    </row>
    <row r="520" spans="2:24" hidden="1" x14ac:dyDescent="0.35">
      <c r="B520" s="6" t="s">
        <v>368</v>
      </c>
      <c r="C520" s="97" t="s">
        <v>54</v>
      </c>
      <c r="D520" s="97" t="s">
        <v>394</v>
      </c>
      <c r="E520" s="23" t="str" cm="1">
        <f t="array" ref="E520">_xlfn.XLOOKUP(Table117821341[[#This Row],[Team]],Table4334[Team],'2425'!$C$3:$C$34)</f>
        <v>n/a</v>
      </c>
      <c r="F520" s="97" t="str">
        <f>_xlfn.XLOOKUP(Table117821341[[#This Row],[Team]],Table4334[Team],Table4334[OPP])</f>
        <v>n/a</v>
      </c>
      <c r="G520" s="148" t="str" cm="1">
        <f t="array" ref="G520">IF(Table117821341[[#This Row],[Pos.]]="QB1",_xlfn.XLOOKUP(Table117821341[[#This Row],[Opp]],Table123[DEF],'2425'!$G$3:$G$34),"#N/A")</f>
        <v>#N/A</v>
      </c>
      <c r="H520" s="148" t="str" cm="1">
        <f t="array" ref="H520">IF(Table117821341[[#This Row],[Pos.]]="QB1",_xlfn.XLOOKUP(Table117821341[[#This Row],[Opp]],Table123[DEF],'2425'!$J$3:$J$34),"#N/A")</f>
        <v>#N/A</v>
      </c>
      <c r="I520" s="148" t="str" cm="1">
        <f t="array" ref="I520">IF(Table117821341[[#This Row],[Pos.]]="QB1",_xlfn.XLOOKUP(Table117821341[[#This Row],[Opp]],Table123[DEF],'2425'!$K$3:$K$34),"#N/A")</f>
        <v>#N/A</v>
      </c>
      <c r="J520" s="148" t="e" cm="1">
        <f t="array" ref="J52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0" s="148" t="e" cm="1">
        <f t="array" ref="K52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0" s="148" t="e" cm="1">
        <f t="array" ref="L52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0" s="148" t="e" cm="1">
        <f t="array" ref="M52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0" s="148" t="e" cm="1">
        <f t="array" ref="N52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0" s="149" t="str">
        <f>IF(Table117821341[[#This Row],[Pos.]]="QB1",_xlfn.XLOOKUP(Table117821341[[#This Row],[Opp]],Table123[DEF],Table123[P]),"#N/A")</f>
        <v>#N/A</v>
      </c>
      <c r="P520" s="149" t="str">
        <f>IF(Table117821341[[#This Row],[Pos.]]="QB1",_xlfn.XLOOKUP(Table117821341[[#This Row],[Opp]],Table123[DEF],Table123[P+R]),"#N/A")</f>
        <v>#N/A</v>
      </c>
      <c r="Q520" s="150" t="str">
        <f>IF(Table117821341[[#This Row],[Pos.]]="QB1",_xlfn.XLOOKUP(Table117821341[[#This Row],[Opp]],Table123[DEF],Table123[P TD]),"#N/A")</f>
        <v>#N/A</v>
      </c>
      <c r="R520" s="149" t="e" cm="1">
        <f t="array" ref="R52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0" s="150" t="e" cm="1">
        <f t="array" ref="S52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0" s="150" t="e" cm="1">
        <f t="array" ref="T52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0" s="150" t="e" cm="1">
        <f t="array" ref="U52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0" s="150" t="e" cm="1">
        <f t="array" ref="V52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0" s="148" t="e" cm="1">
        <f t="array" ref="W520">_xlfn.IFS(Table117821341[[#This Row],[Pos.]]="QB1",AVERAGE(G520,H520,I520,J520,N520),Table117821341[[#This Row],[Pos.]]="RB1",AVERAGE(J520,K520,N520),Table117821341[[#This Row],[Pos.]]="RB2",AVERAGE(J520,K520,N520),Table117821341[[#This Row],[Pos.]]="WR1",AVERAGE(L520,M520,N520),Table117821341[[#This Row],[Pos.]]="WR2",AVERAGE(L520,M520,N520),Table117821341[[#This Row],[Pos.]]="WR3",AVERAGE(L520,M520,N520),Table117821341[[#This Row],[Pos.]]="WR4",AVERAGE(L520,M520,N520),Table117821341[[#This Row],[Pos.]]="TE1",AVERAGE(L520,M520,N520),Table117821341[[#This Row],[Pos.]]="TE2",AVERAGE(L520,M520,N520),Table117821341[[#This Row],[Pos.]]="D/ST",AVERAGE(Table117821341[[#This Row],[*TD*]]))</f>
        <v>#N/A</v>
      </c>
      <c r="X520" s="94" t="e">
        <f t="shared" si="8"/>
        <v>#N/A</v>
      </c>
    </row>
    <row r="521" spans="2:24" hidden="1" x14ac:dyDescent="0.35">
      <c r="B521" s="6" t="s">
        <v>370</v>
      </c>
      <c r="C521" s="97" t="s">
        <v>54</v>
      </c>
      <c r="D521" s="97" t="s">
        <v>396</v>
      </c>
      <c r="E521" s="23" t="str" cm="1">
        <f t="array" ref="E521">_xlfn.XLOOKUP(Table117821341[[#This Row],[Team]],Table4334[Team],'2425'!$C$3:$C$34)</f>
        <v>n/a</v>
      </c>
      <c r="F521" s="97" t="str">
        <f>_xlfn.XLOOKUP(Table117821341[[#This Row],[Team]],Table4334[Team],Table4334[OPP])</f>
        <v>n/a</v>
      </c>
      <c r="G521" s="148" t="str" cm="1">
        <f t="array" ref="G521">IF(Table117821341[[#This Row],[Pos.]]="QB1",_xlfn.XLOOKUP(Table117821341[[#This Row],[Opp]],Table123[DEF],'2425'!$G$3:$G$34),"#N/A")</f>
        <v>#N/A</v>
      </c>
      <c r="H521" s="148" t="str" cm="1">
        <f t="array" ref="H521">IF(Table117821341[[#This Row],[Pos.]]="QB1",_xlfn.XLOOKUP(Table117821341[[#This Row],[Opp]],Table123[DEF],'2425'!$J$3:$J$34),"#N/A")</f>
        <v>#N/A</v>
      </c>
      <c r="I521" s="148" t="str" cm="1">
        <f t="array" ref="I521">IF(Table117821341[[#This Row],[Pos.]]="QB1",_xlfn.XLOOKUP(Table117821341[[#This Row],[Opp]],Table123[DEF],'2425'!$K$3:$K$34),"#N/A")</f>
        <v>#N/A</v>
      </c>
      <c r="J521" s="148" t="e" cm="1">
        <f t="array" ref="J52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1" s="148" t="e" cm="1">
        <f t="array" ref="K52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1" s="148" t="e" cm="1">
        <f t="array" ref="L52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1" s="148" t="e" cm="1">
        <f t="array" ref="M52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1" s="148" t="e" cm="1">
        <f t="array" ref="N52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1" s="149" t="str">
        <f>IF(Table117821341[[#This Row],[Pos.]]="QB1",_xlfn.XLOOKUP(Table117821341[[#This Row],[Opp]],Table123[DEF],Table123[P]),"#N/A")</f>
        <v>#N/A</v>
      </c>
      <c r="P521" s="149" t="str">
        <f>IF(Table117821341[[#This Row],[Pos.]]="QB1",_xlfn.XLOOKUP(Table117821341[[#This Row],[Opp]],Table123[DEF],Table123[P+R]),"#N/A")</f>
        <v>#N/A</v>
      </c>
      <c r="Q521" s="150" t="str">
        <f>IF(Table117821341[[#This Row],[Pos.]]="QB1",_xlfn.XLOOKUP(Table117821341[[#This Row],[Opp]],Table123[DEF],Table123[P TD]),"#N/A")</f>
        <v>#N/A</v>
      </c>
      <c r="R521" s="149" t="e" cm="1">
        <f t="array" ref="R52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1" s="150" t="e" cm="1">
        <f t="array" ref="S52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1" s="150" t="e" cm="1">
        <f t="array" ref="T52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1" s="150" t="e" cm="1">
        <f t="array" ref="U52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1" s="150" t="e" cm="1">
        <f t="array" ref="V52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1" s="148" t="e" cm="1">
        <f t="array" ref="W521">_xlfn.IFS(Table117821341[[#This Row],[Pos.]]="QB1",AVERAGE(G521,H521,I521,J521,N521),Table117821341[[#This Row],[Pos.]]="RB1",AVERAGE(J521,K521,N521),Table117821341[[#This Row],[Pos.]]="RB2",AVERAGE(J521,K521,N521),Table117821341[[#This Row],[Pos.]]="WR1",AVERAGE(L521,M521,N521),Table117821341[[#This Row],[Pos.]]="WR2",AVERAGE(L521,M521,N521),Table117821341[[#This Row],[Pos.]]="WR3",AVERAGE(L521,M521,N521),Table117821341[[#This Row],[Pos.]]="WR4",AVERAGE(L521,M521,N521),Table117821341[[#This Row],[Pos.]]="TE1",AVERAGE(L521,M521,N521),Table117821341[[#This Row],[Pos.]]="TE2",AVERAGE(L521,M521,N521),Table117821341[[#This Row],[Pos.]]="D/ST",AVERAGE(Table117821341[[#This Row],[*TD*]]))</f>
        <v>#N/A</v>
      </c>
      <c r="X521" s="94" t="e">
        <f t="shared" si="8"/>
        <v>#N/A</v>
      </c>
    </row>
    <row r="522" spans="2:24" hidden="1" x14ac:dyDescent="0.35">
      <c r="B522" s="6" t="s">
        <v>184</v>
      </c>
      <c r="C522" s="97" t="s">
        <v>54</v>
      </c>
      <c r="D522" s="97" t="s">
        <v>407</v>
      </c>
      <c r="E522" s="23" t="str" cm="1">
        <f t="array" ref="E522">_xlfn.XLOOKUP(Table117821341[[#This Row],[Team]],Table4334[Team],'2425'!$C$3:$C$34)</f>
        <v>n/a</v>
      </c>
      <c r="F522" s="97" t="str">
        <f>_xlfn.XLOOKUP(Table117821341[[#This Row],[Team]],Table4334[Team],Table4334[OPP])</f>
        <v>n/a</v>
      </c>
      <c r="G522" s="148" t="str" cm="1">
        <f t="array" ref="G522">IF(Table117821341[[#This Row],[Pos.]]="QB1",_xlfn.XLOOKUP(Table117821341[[#This Row],[Opp]],Table123[DEF],'2425'!$G$3:$G$34),"#N/A")</f>
        <v>#N/A</v>
      </c>
      <c r="H522" s="148" t="str" cm="1">
        <f t="array" ref="H522">IF(Table117821341[[#This Row],[Pos.]]="QB1",_xlfn.XLOOKUP(Table117821341[[#This Row],[Opp]],Table123[DEF],'2425'!$J$3:$J$34),"#N/A")</f>
        <v>#N/A</v>
      </c>
      <c r="I522" s="148" t="str" cm="1">
        <f t="array" ref="I522">IF(Table117821341[[#This Row],[Pos.]]="QB1",_xlfn.XLOOKUP(Table117821341[[#This Row],[Opp]],Table123[DEF],'2425'!$K$3:$K$34),"#N/A")</f>
        <v>#N/A</v>
      </c>
      <c r="J522" s="148" t="e" cm="1">
        <f t="array" ref="J52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2" s="148" t="e" cm="1">
        <f t="array" ref="K52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2" s="148" t="e" cm="1">
        <f t="array" ref="L52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2" s="148" t="e" cm="1">
        <f t="array" ref="M52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2" s="148" t="e" cm="1">
        <f t="array" ref="N52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2" s="149" t="str">
        <f>IF(Table117821341[[#This Row],[Pos.]]="QB1",_xlfn.XLOOKUP(Table117821341[[#This Row],[Opp]],Table123[DEF],Table123[P]),"#N/A")</f>
        <v>#N/A</v>
      </c>
      <c r="P522" s="149" t="str">
        <f>IF(Table117821341[[#This Row],[Pos.]]="QB1",_xlfn.XLOOKUP(Table117821341[[#This Row],[Opp]],Table123[DEF],Table123[P+R]),"#N/A")</f>
        <v>#N/A</v>
      </c>
      <c r="Q522" s="150" t="str">
        <f>IF(Table117821341[[#This Row],[Pos.]]="QB1",_xlfn.XLOOKUP(Table117821341[[#This Row],[Opp]],Table123[DEF],Table123[P TD]),"#N/A")</f>
        <v>#N/A</v>
      </c>
      <c r="R522" s="149" t="e" cm="1">
        <f t="array" ref="R52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2" s="150" t="e" cm="1">
        <f t="array" ref="S52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2" s="150" t="e" cm="1">
        <f t="array" ref="T52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2" s="150" t="e" cm="1">
        <f t="array" ref="U52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2" s="150" t="e" cm="1">
        <f t="array" ref="V52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2" s="148" t="e" cm="1">
        <f t="array" ref="W522">_xlfn.IFS(Table117821341[[#This Row],[Pos.]]="QB1",AVERAGE(G522,H522,I522,J522,N522),Table117821341[[#This Row],[Pos.]]="RB1",AVERAGE(J522,K522,N522),Table117821341[[#This Row],[Pos.]]="RB2",AVERAGE(J522,K522,N522),Table117821341[[#This Row],[Pos.]]="WR1",AVERAGE(L522,M522,N522),Table117821341[[#This Row],[Pos.]]="WR2",AVERAGE(L522,M522,N522),Table117821341[[#This Row],[Pos.]]="WR3",AVERAGE(L522,M522,N522),Table117821341[[#This Row],[Pos.]]="WR4",AVERAGE(L522,M522,N522),Table117821341[[#This Row],[Pos.]]="TE1",AVERAGE(L522,M522,N522),Table117821341[[#This Row],[Pos.]]="TE2",AVERAGE(L522,M522,N522),Table117821341[[#This Row],[Pos.]]="D/ST",AVERAGE(Table117821341[[#This Row],[*TD*]]))</f>
        <v>#N/A</v>
      </c>
      <c r="X522" s="94" t="e">
        <f t="shared" si="8"/>
        <v>#N/A</v>
      </c>
    </row>
    <row r="523" spans="2:24" x14ac:dyDescent="0.35">
      <c r="B523" s="6" t="s">
        <v>499</v>
      </c>
      <c r="C523" s="97" t="s">
        <v>30</v>
      </c>
      <c r="D523" s="97" t="s">
        <v>68</v>
      </c>
      <c r="E523" s="23" t="str" cm="1">
        <f t="array" ref="E523">_xlfn.XLOOKUP(Table117821341[[#This Row],[Team]],Table4334[Team],'2425'!$C$3:$C$34)</f>
        <v>n/a</v>
      </c>
      <c r="F523" s="97" t="str">
        <f>_xlfn.XLOOKUP(Table117821341[[#This Row],[Team]],Table4334[Team],Table4334[OPP])</f>
        <v>n/a</v>
      </c>
      <c r="G523" s="148" t="str" cm="1">
        <f t="array" ref="G523">IF(Table117821341[[#This Row],[Pos.]]="QB1",_xlfn.XLOOKUP(Table117821341[[#This Row],[Opp]],Table123[DEF],'2425'!$G$3:$G$34),"#N/A")</f>
        <v>#N/A</v>
      </c>
      <c r="H523" s="148" t="str" cm="1">
        <f t="array" ref="H523">IF(Table117821341[[#This Row],[Pos.]]="QB1",_xlfn.XLOOKUP(Table117821341[[#This Row],[Opp]],Table123[DEF],'2425'!$J$3:$J$34),"#N/A")</f>
        <v>#N/A</v>
      </c>
      <c r="I523" s="148" t="str" cm="1">
        <f t="array" ref="I523">IF(Table117821341[[#This Row],[Pos.]]="QB1",_xlfn.XLOOKUP(Table117821341[[#This Row],[Opp]],Table123[DEF],'2425'!$K$3:$K$34),"#N/A")</f>
        <v>#N/A</v>
      </c>
      <c r="J523" s="148" t="e" cm="1">
        <f t="array" ref="J52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3" s="148" t="e" cm="1">
        <f t="array" ref="K52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3" s="148" t="e" cm="1">
        <f t="array" ref="L52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3" s="148" t="e" cm="1">
        <f t="array" ref="M52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3" s="148" t="e" cm="1">
        <f t="array" ref="N52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3" s="149" t="str">
        <f>IF(Table117821341[[#This Row],[Pos.]]="QB1",_xlfn.XLOOKUP(Table117821341[[#This Row],[Opp]],Table123[DEF],Table123[P]),"#N/A")</f>
        <v>#N/A</v>
      </c>
      <c r="P523" s="149" t="str">
        <f>IF(Table117821341[[#This Row],[Pos.]]="QB1",_xlfn.XLOOKUP(Table117821341[[#This Row],[Opp]],Table123[DEF],Table123[P+R]),"#N/A")</f>
        <v>#N/A</v>
      </c>
      <c r="Q523" s="150" t="str">
        <f>IF(Table117821341[[#This Row],[Pos.]]="QB1",_xlfn.XLOOKUP(Table117821341[[#This Row],[Opp]],Table123[DEF],Table123[P TD]),"#N/A")</f>
        <v>#N/A</v>
      </c>
      <c r="R523" s="149" t="e" cm="1">
        <f t="array" ref="R52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3" s="150" t="e" cm="1">
        <f t="array" ref="S52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3" s="150" t="e" cm="1">
        <f t="array" ref="T52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3" s="150" t="e" cm="1">
        <f t="array" ref="U52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3" s="162" t="e" cm="1">
        <f t="array" ref="V52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3" s="148" t="e" cm="1">
        <f t="array" ref="W523">_xlfn.IFS(Table117821341[[#This Row],[Pos.]]="QB1",AVERAGE(G523,H523,I523,J523,N523),Table117821341[[#This Row],[Pos.]]="RB1",AVERAGE(J523,K523,N523),Table117821341[[#This Row],[Pos.]]="RB2",AVERAGE(J523,K523,N523),Table117821341[[#This Row],[Pos.]]="WR1",AVERAGE(L523,M523,N523),Table117821341[[#This Row],[Pos.]]="WR2",AVERAGE(L523,M523,N523),Table117821341[[#This Row],[Pos.]]="WR3",AVERAGE(L523,M523,N523),Table117821341[[#This Row],[Pos.]]="WR4",AVERAGE(L523,M523,N523),Table117821341[[#This Row],[Pos.]]="TE1",AVERAGE(L523,M523,N523),Table117821341[[#This Row],[Pos.]]="TE2",AVERAGE(L523,M523,N523),Table117821341[[#This Row],[Pos.]]="D/ST",AVERAGE(Table117821341[[#This Row],[*TD*]]))</f>
        <v>#N/A</v>
      </c>
      <c r="X523" s="94" t="e">
        <f t="shared" si="8"/>
        <v>#N/A</v>
      </c>
    </row>
    <row r="524" spans="2:24" hidden="1" x14ac:dyDescent="0.35">
      <c r="B524" s="6" t="s">
        <v>586</v>
      </c>
      <c r="C524" s="97" t="s">
        <v>54</v>
      </c>
      <c r="D524" s="97" t="s">
        <v>398</v>
      </c>
      <c r="E524" s="23" t="str" cm="1">
        <f t="array" ref="E524">_xlfn.XLOOKUP(Table117821341[[#This Row],[Team]],Table4334[Team],'2425'!$C$3:$C$34)</f>
        <v>n/a</v>
      </c>
      <c r="F524" s="97" t="str">
        <f>_xlfn.XLOOKUP(Table117821341[[#This Row],[Team]],Table4334[Team],Table4334[OPP])</f>
        <v>n/a</v>
      </c>
      <c r="G524" s="148" t="str" cm="1">
        <f t="array" ref="G524">IF(Table117821341[[#This Row],[Pos.]]="QB1",_xlfn.XLOOKUP(Table117821341[[#This Row],[Opp]],Table123[DEF],'2425'!$G$3:$G$34),"#N/A")</f>
        <v>#N/A</v>
      </c>
      <c r="H524" s="148" t="str" cm="1">
        <f t="array" ref="H524">IF(Table117821341[[#This Row],[Pos.]]="QB1",_xlfn.XLOOKUP(Table117821341[[#This Row],[Opp]],Table123[DEF],'2425'!$J$3:$J$34),"#N/A")</f>
        <v>#N/A</v>
      </c>
      <c r="I524" s="148" t="str" cm="1">
        <f t="array" ref="I524">IF(Table117821341[[#This Row],[Pos.]]="QB1",_xlfn.XLOOKUP(Table117821341[[#This Row],[Opp]],Table123[DEF],'2425'!$K$3:$K$34),"#N/A")</f>
        <v>#N/A</v>
      </c>
      <c r="J524" s="148" t="e" cm="1">
        <f t="array" ref="J52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4" s="148" t="e" cm="1">
        <f t="array" ref="K52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4" s="148" t="e" cm="1">
        <f t="array" ref="L52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4" s="148" t="e" cm="1">
        <f t="array" ref="M52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4" s="148" t="e" cm="1">
        <f t="array" ref="N52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4" s="149" t="str">
        <f>IF(Table117821341[[#This Row],[Pos.]]="QB1",_xlfn.XLOOKUP(Table117821341[[#This Row],[Opp]],Table123[DEF],Table123[P]),"#N/A")</f>
        <v>#N/A</v>
      </c>
      <c r="P524" s="149" t="str">
        <f>IF(Table117821341[[#This Row],[Pos.]]="QB1",_xlfn.XLOOKUP(Table117821341[[#This Row],[Opp]],Table123[DEF],Table123[P+R]),"#N/A")</f>
        <v>#N/A</v>
      </c>
      <c r="Q524" s="150" t="str">
        <f>IF(Table117821341[[#This Row],[Pos.]]="QB1",_xlfn.XLOOKUP(Table117821341[[#This Row],[Opp]],Table123[DEF],Table123[P TD]),"#N/A")</f>
        <v>#N/A</v>
      </c>
      <c r="R524" s="149" t="e" cm="1">
        <f t="array" ref="R52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4" s="150" t="e" cm="1">
        <f t="array" ref="S52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4" s="150" t="e" cm="1">
        <f t="array" ref="T52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4" s="150" t="e" cm="1">
        <f t="array" ref="U52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4" s="150" t="e" cm="1">
        <f t="array" ref="V52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4" s="148" t="e" cm="1">
        <f t="array" ref="W524">_xlfn.IFS(Table117821341[[#This Row],[Pos.]]="QB1",AVERAGE(G524,H524,I524,J524,N524),Table117821341[[#This Row],[Pos.]]="RB1",AVERAGE(J524,K524,N524),Table117821341[[#This Row],[Pos.]]="RB2",AVERAGE(J524,K524,N524),Table117821341[[#This Row],[Pos.]]="WR1",AVERAGE(L524,M524,N524),Table117821341[[#This Row],[Pos.]]="WR2",AVERAGE(L524,M524,N524),Table117821341[[#This Row],[Pos.]]="WR3",AVERAGE(L524,M524,N524),Table117821341[[#This Row],[Pos.]]="WR4",AVERAGE(L524,M524,N524),Table117821341[[#This Row],[Pos.]]="TE1",AVERAGE(L524,M524,N524),Table117821341[[#This Row],[Pos.]]="TE2",AVERAGE(L524,M524,N524),Table117821341[[#This Row],[Pos.]]="D/ST",AVERAGE(Table117821341[[#This Row],[*TD*]]))</f>
        <v>#N/A</v>
      </c>
      <c r="X524" s="94" t="e">
        <f t="shared" si="8"/>
        <v>#N/A</v>
      </c>
    </row>
    <row r="525" spans="2:24" hidden="1" x14ac:dyDescent="0.35">
      <c r="B525" s="6" t="s">
        <v>587</v>
      </c>
      <c r="C525" s="97" t="s">
        <v>54</v>
      </c>
      <c r="D525" s="97" t="s">
        <v>430</v>
      </c>
      <c r="E525" s="23" t="str" cm="1">
        <f t="array" ref="E525">_xlfn.XLOOKUP(Table117821341[[#This Row],[Team]],Table4334[Team],'2425'!$C$3:$C$34)</f>
        <v>n/a</v>
      </c>
      <c r="F525" s="97" t="str">
        <f>_xlfn.XLOOKUP(Table117821341[[#This Row],[Team]],Table4334[Team],Table4334[OPP])</f>
        <v>n/a</v>
      </c>
      <c r="G525" s="148" t="str" cm="1">
        <f t="array" ref="G525">IF(Table117821341[[#This Row],[Pos.]]="QB1",_xlfn.XLOOKUP(Table117821341[[#This Row],[Opp]],Table123[DEF],'2425'!$G$3:$G$34),"#N/A")</f>
        <v>#N/A</v>
      </c>
      <c r="H525" s="148" t="str" cm="1">
        <f t="array" ref="H525">IF(Table117821341[[#This Row],[Pos.]]="QB1",_xlfn.XLOOKUP(Table117821341[[#This Row],[Opp]],Table123[DEF],'2425'!$J$3:$J$34),"#N/A")</f>
        <v>#N/A</v>
      </c>
      <c r="I525" s="148" t="str" cm="1">
        <f t="array" ref="I525">IF(Table117821341[[#This Row],[Pos.]]="QB1",_xlfn.XLOOKUP(Table117821341[[#This Row],[Opp]],Table123[DEF],'2425'!$K$3:$K$34),"#N/A")</f>
        <v>#N/A</v>
      </c>
      <c r="J525" s="148" t="e" cm="1">
        <f t="array" ref="J52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5" s="148" t="e" cm="1">
        <f t="array" ref="K52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5" s="148" t="e" cm="1">
        <f t="array" ref="L52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5" s="148" t="e" cm="1">
        <f t="array" ref="M52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5" s="148" t="e" cm="1">
        <f t="array" ref="N52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5" s="149" t="str">
        <f>IF(Table117821341[[#This Row],[Pos.]]="QB1",_xlfn.XLOOKUP(Table117821341[[#This Row],[Opp]],Table123[DEF],Table123[P]),"#N/A")</f>
        <v>#N/A</v>
      </c>
      <c r="P525" s="149" t="str">
        <f>IF(Table117821341[[#This Row],[Pos.]]="QB1",_xlfn.XLOOKUP(Table117821341[[#This Row],[Opp]],Table123[DEF],Table123[P+R]),"#N/A")</f>
        <v>#N/A</v>
      </c>
      <c r="Q525" s="150" t="str">
        <f>IF(Table117821341[[#This Row],[Pos.]]="QB1",_xlfn.XLOOKUP(Table117821341[[#This Row],[Opp]],Table123[DEF],Table123[P TD]),"#N/A")</f>
        <v>#N/A</v>
      </c>
      <c r="R525" s="149" t="e" cm="1">
        <f t="array" ref="R52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5" s="150" t="e" cm="1">
        <f t="array" ref="S52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5" s="150" t="e" cm="1">
        <f t="array" ref="T52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5" s="150" t="e" cm="1">
        <f t="array" ref="U52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5" s="150" t="e" cm="1">
        <f t="array" ref="V52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5" s="148" t="e" cm="1">
        <f t="array" ref="W525">_xlfn.IFS(Table117821341[[#This Row],[Pos.]]="QB1",AVERAGE(G525,H525,I525,J525,N525),Table117821341[[#This Row],[Pos.]]="RB1",AVERAGE(J525,K525,N525),Table117821341[[#This Row],[Pos.]]="RB2",AVERAGE(J525,K525,N525),Table117821341[[#This Row],[Pos.]]="WR1",AVERAGE(L525,M525,N525),Table117821341[[#This Row],[Pos.]]="WR2",AVERAGE(L525,M525,N525),Table117821341[[#This Row],[Pos.]]="WR3",AVERAGE(L525,M525,N525),Table117821341[[#This Row],[Pos.]]="WR4",AVERAGE(L525,M525,N525),Table117821341[[#This Row],[Pos.]]="TE1",AVERAGE(L525,M525,N525),Table117821341[[#This Row],[Pos.]]="TE2",AVERAGE(L525,M525,N525),Table117821341[[#This Row],[Pos.]]="D/ST",AVERAGE(Table117821341[[#This Row],[*TD*]]))</f>
        <v>#N/A</v>
      </c>
      <c r="X525" s="94" t="e">
        <f t="shared" si="8"/>
        <v>#N/A</v>
      </c>
    </row>
    <row r="526" spans="2:24" hidden="1" x14ac:dyDescent="0.35">
      <c r="B526" s="6" t="s">
        <v>588</v>
      </c>
      <c r="C526" s="97" t="s">
        <v>54</v>
      </c>
      <c r="D526" s="97" t="s">
        <v>435</v>
      </c>
      <c r="E526" s="23" t="str" cm="1">
        <f t="array" ref="E526">_xlfn.XLOOKUP(Table117821341[[#This Row],[Team]],Table4334[Team],'2425'!$C$3:$C$34)</f>
        <v>n/a</v>
      </c>
      <c r="F526" s="97" t="str">
        <f>_xlfn.XLOOKUP(Table117821341[[#This Row],[Team]],Table4334[Team],Table4334[OPP])</f>
        <v>n/a</v>
      </c>
      <c r="G526" s="148" t="str" cm="1">
        <f t="array" ref="G526">IF(Table117821341[[#This Row],[Pos.]]="QB1",_xlfn.XLOOKUP(Table117821341[[#This Row],[Opp]],Table123[DEF],'2425'!$G$3:$G$34),"#N/A")</f>
        <v>#N/A</v>
      </c>
      <c r="H526" s="148" t="str" cm="1">
        <f t="array" ref="H526">IF(Table117821341[[#This Row],[Pos.]]="QB1",_xlfn.XLOOKUP(Table117821341[[#This Row],[Opp]],Table123[DEF],'2425'!$J$3:$J$34),"#N/A")</f>
        <v>#N/A</v>
      </c>
      <c r="I526" s="148" t="str" cm="1">
        <f t="array" ref="I526">IF(Table117821341[[#This Row],[Pos.]]="QB1",_xlfn.XLOOKUP(Table117821341[[#This Row],[Opp]],Table123[DEF],'2425'!$K$3:$K$34),"#N/A")</f>
        <v>#N/A</v>
      </c>
      <c r="J526" s="148" t="e" cm="1">
        <f t="array" ref="J52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6" s="148" t="e" cm="1">
        <f t="array" ref="K52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6" s="148" t="e" cm="1">
        <f t="array" ref="L52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6" s="148" t="e" cm="1">
        <f t="array" ref="M52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6" s="148" t="e" cm="1">
        <f t="array" ref="N52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6" s="149" t="str">
        <f>IF(Table117821341[[#This Row],[Pos.]]="QB1",_xlfn.XLOOKUP(Table117821341[[#This Row],[Opp]],Table123[DEF],Table123[P]),"#N/A")</f>
        <v>#N/A</v>
      </c>
      <c r="P526" s="149" t="str">
        <f>IF(Table117821341[[#This Row],[Pos.]]="QB1",_xlfn.XLOOKUP(Table117821341[[#This Row],[Opp]],Table123[DEF],Table123[P+R]),"#N/A")</f>
        <v>#N/A</v>
      </c>
      <c r="Q526" s="150" t="str">
        <f>IF(Table117821341[[#This Row],[Pos.]]="QB1",_xlfn.XLOOKUP(Table117821341[[#This Row],[Opp]],Table123[DEF],Table123[P TD]),"#N/A")</f>
        <v>#N/A</v>
      </c>
      <c r="R526" s="149" t="e" cm="1">
        <f t="array" ref="R52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6" s="150" t="e" cm="1">
        <f t="array" ref="S52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6" s="150" t="e" cm="1">
        <f t="array" ref="T52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6" s="150" t="e" cm="1">
        <f t="array" ref="U52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6" s="150" t="e" cm="1">
        <f t="array" ref="V52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6" s="148" t="e" cm="1">
        <f t="array" ref="W526">_xlfn.IFS(Table117821341[[#This Row],[Pos.]]="QB1",AVERAGE(G526,H526,I526,J526,N526),Table117821341[[#This Row],[Pos.]]="RB1",AVERAGE(J526,K526,N526),Table117821341[[#This Row],[Pos.]]="RB2",AVERAGE(J526,K526,N526),Table117821341[[#This Row],[Pos.]]="WR1",AVERAGE(L526,M526,N526),Table117821341[[#This Row],[Pos.]]="WR2",AVERAGE(L526,M526,N526),Table117821341[[#This Row],[Pos.]]="WR3",AVERAGE(L526,M526,N526),Table117821341[[#This Row],[Pos.]]="WR4",AVERAGE(L526,M526,N526),Table117821341[[#This Row],[Pos.]]="TE1",AVERAGE(L526,M526,N526),Table117821341[[#This Row],[Pos.]]="TE2",AVERAGE(L526,M526,N526),Table117821341[[#This Row],[Pos.]]="D/ST",AVERAGE(Table117821341[[#This Row],[*TD*]]))</f>
        <v>#N/A</v>
      </c>
      <c r="X526" s="94" t="e">
        <f t="shared" si="8"/>
        <v>#N/A</v>
      </c>
    </row>
    <row r="527" spans="2:24" hidden="1" x14ac:dyDescent="0.35">
      <c r="B527" s="6" t="s">
        <v>625</v>
      </c>
      <c r="C527" s="97" t="s">
        <v>39</v>
      </c>
      <c r="D527" s="97" t="s">
        <v>68</v>
      </c>
      <c r="E527" s="23" t="str" cm="1">
        <f t="array" ref="E527">_xlfn.XLOOKUP(Table117821341[[#This Row],[Team]],Table4334[Team],'2425'!$C$3:$C$34)</f>
        <v>n/a</v>
      </c>
      <c r="F527" s="97" t="str">
        <f>_xlfn.XLOOKUP(Table117821341[[#This Row],[Team]],Table4334[Team],Table4334[OPP])</f>
        <v>n/a</v>
      </c>
      <c r="G527" s="148" t="str" cm="1">
        <f t="array" ref="G527">IF(Table117821341[[#This Row],[Pos.]]="QB1",_xlfn.XLOOKUP(Table117821341[[#This Row],[Opp]],Table123[DEF],'2425'!$G$3:$G$34),"#N/A")</f>
        <v>#N/A</v>
      </c>
      <c r="H527" s="148" t="str" cm="1">
        <f t="array" ref="H527">IF(Table117821341[[#This Row],[Pos.]]="QB1",_xlfn.XLOOKUP(Table117821341[[#This Row],[Opp]],Table123[DEF],'2425'!$J$3:$J$34),"#N/A")</f>
        <v>#N/A</v>
      </c>
      <c r="I527" s="148" t="str" cm="1">
        <f t="array" ref="I527">IF(Table117821341[[#This Row],[Pos.]]="QB1",_xlfn.XLOOKUP(Table117821341[[#This Row],[Opp]],Table123[DEF],'2425'!$K$3:$K$34),"#N/A")</f>
        <v>#N/A</v>
      </c>
      <c r="J527" s="148" t="e" cm="1">
        <f t="array" ref="J52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7" s="148" t="e" cm="1">
        <f t="array" ref="K52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7" s="148" t="e" cm="1">
        <f t="array" ref="L52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7" s="148" t="e" cm="1">
        <f t="array" ref="M52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7" s="148" t="e" cm="1">
        <f t="array" ref="N52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7" s="149" t="str">
        <f>IF(Table117821341[[#This Row],[Pos.]]="QB1",_xlfn.XLOOKUP(Table117821341[[#This Row],[Opp]],Table123[DEF],Table123[P]),"#N/A")</f>
        <v>#N/A</v>
      </c>
      <c r="P527" s="149" t="str">
        <f>IF(Table117821341[[#This Row],[Pos.]]="QB1",_xlfn.XLOOKUP(Table117821341[[#This Row],[Opp]],Table123[DEF],Table123[P+R]),"#N/A")</f>
        <v>#N/A</v>
      </c>
      <c r="Q527" s="150" t="str">
        <f>IF(Table117821341[[#This Row],[Pos.]]="QB1",_xlfn.XLOOKUP(Table117821341[[#This Row],[Opp]],Table123[DEF],Table123[P TD]),"#N/A")</f>
        <v>#N/A</v>
      </c>
      <c r="R527" s="149" t="e" cm="1">
        <f t="array" ref="R52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7" s="150" t="e" cm="1">
        <f t="array" ref="S52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7" s="150" t="e" cm="1">
        <f t="array" ref="T52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7" s="150" t="e" cm="1">
        <f t="array" ref="U52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7" s="162" t="e" cm="1">
        <f t="array" ref="V52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7" s="148" t="e" cm="1">
        <f t="array" ref="W527">_xlfn.IFS(Table117821341[[#This Row],[Pos.]]="QB1",AVERAGE(G527,H527,I527,J527,N527),Table117821341[[#This Row],[Pos.]]="RB1",AVERAGE(J527,K527,N527),Table117821341[[#This Row],[Pos.]]="RB2",AVERAGE(J527,K527,N527),Table117821341[[#This Row],[Pos.]]="WR1",AVERAGE(L527,M527,N527),Table117821341[[#This Row],[Pos.]]="WR2",AVERAGE(L527,M527,N527),Table117821341[[#This Row],[Pos.]]="WR3",AVERAGE(L527,M527,N527),Table117821341[[#This Row],[Pos.]]="WR4",AVERAGE(L527,M527,N527),Table117821341[[#This Row],[Pos.]]="TE1",AVERAGE(L527,M527,N527),Table117821341[[#This Row],[Pos.]]="TE2",AVERAGE(L527,M527,N527),Table117821341[[#This Row],[Pos.]]="D/ST",AVERAGE(Table117821341[[#This Row],[*TD*]]))</f>
        <v>#N/A</v>
      </c>
      <c r="X527" s="94" t="e">
        <f t="shared" si="8"/>
        <v>#N/A</v>
      </c>
    </row>
    <row r="528" spans="2:24" x14ac:dyDescent="0.35">
      <c r="B528" s="6" t="s">
        <v>215</v>
      </c>
      <c r="C528" s="97" t="s">
        <v>37</v>
      </c>
      <c r="D528" s="97" t="s">
        <v>399</v>
      </c>
      <c r="E528" s="23" t="str" cm="1">
        <f t="array" ref="E528">_xlfn.XLOOKUP(Table117821341[[#This Row],[Team]],Table4334[Team],'2425'!$C$3:$C$34)</f>
        <v>n/a</v>
      </c>
      <c r="F528" s="97" t="str">
        <f>_xlfn.XLOOKUP(Table117821341[[#This Row],[Team]],Table4334[Team],Table4334[OPP])</f>
        <v>n/a</v>
      </c>
      <c r="G528" s="148" t="e" cm="1">
        <f t="array" ref="G528">IF(Table117821341[[#This Row],[Pos.]]="QB1",_xlfn.XLOOKUP(Table117821341[[#This Row],[Opp]],Table123[DEF],'2425'!$G$3:$G$34),"#N/A")</f>
        <v>#N/A</v>
      </c>
      <c r="H528" s="148" t="e" cm="1">
        <f t="array" ref="H528">IF(Table117821341[[#This Row],[Pos.]]="QB1",_xlfn.XLOOKUP(Table117821341[[#This Row],[Opp]],Table123[DEF],'2425'!$J$3:$J$34),"#N/A")</f>
        <v>#N/A</v>
      </c>
      <c r="I528" s="148" t="e" cm="1">
        <f t="array" ref="I528">IF(Table117821341[[#This Row],[Pos.]]="QB1",_xlfn.XLOOKUP(Table117821341[[#This Row],[Opp]],Table123[DEF],'2425'!$K$3:$K$34),"#N/A")</f>
        <v>#N/A</v>
      </c>
      <c r="J528" s="148" t="e" cm="1">
        <f t="array" ref="J52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8" s="148" t="e" cm="1">
        <f t="array" ref="K52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8" s="148" t="e" cm="1">
        <f t="array" ref="L52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8" s="148" t="e" cm="1">
        <f t="array" ref="M52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8" s="148" t="e" cm="1">
        <f t="array" ref="N52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8" s="149" t="e">
        <f>IF(Table117821341[[#This Row],[Pos.]]="QB1",_xlfn.XLOOKUP(Table117821341[[#This Row],[Opp]],Table123[DEF],Table123[P]),"#N/A")</f>
        <v>#N/A</v>
      </c>
      <c r="P528" s="149" t="e">
        <f>IF(Table117821341[[#This Row],[Pos.]]="QB1",_xlfn.XLOOKUP(Table117821341[[#This Row],[Opp]],Table123[DEF],Table123[P+R]),"#N/A")</f>
        <v>#N/A</v>
      </c>
      <c r="Q528" s="150" t="e">
        <f>IF(Table117821341[[#This Row],[Pos.]]="QB1",_xlfn.XLOOKUP(Table117821341[[#This Row],[Opp]],Table123[DEF],Table123[P TD]),"#N/A")</f>
        <v>#N/A</v>
      </c>
      <c r="R528" s="149" t="e" cm="1">
        <f t="array" ref="R52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8" s="150" t="e" cm="1">
        <f t="array" ref="S52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8" s="150" t="e" cm="1">
        <f t="array" ref="T52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8" s="150" t="e" cm="1">
        <f t="array" ref="U52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8" s="162" t="e" cm="1">
        <f t="array" ref="V52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8" s="148" t="e" cm="1">
        <f t="array" ref="W528">_xlfn.IFS(Table117821341[[#This Row],[Pos.]]="QB1",AVERAGE(G528,H528,I528,J528,N528),Table117821341[[#This Row],[Pos.]]="RB1",AVERAGE(J528,K528,N528),Table117821341[[#This Row],[Pos.]]="RB2",AVERAGE(J528,K528,N528),Table117821341[[#This Row],[Pos.]]="WR1",AVERAGE(L528,M528,N528),Table117821341[[#This Row],[Pos.]]="WR2",AVERAGE(L528,M528,N528),Table117821341[[#This Row],[Pos.]]="WR3",AVERAGE(L528,M528,N528),Table117821341[[#This Row],[Pos.]]="WR4",AVERAGE(L528,M528,N528),Table117821341[[#This Row],[Pos.]]="TE1",AVERAGE(L528,M528,N528),Table117821341[[#This Row],[Pos.]]="TE2",AVERAGE(L528,M528,N528),Table117821341[[#This Row],[Pos.]]="D/ST",AVERAGE(Table117821341[[#This Row],[*TD*]]))</f>
        <v>#N/A</v>
      </c>
      <c r="X528" s="94" t="e">
        <f t="shared" si="8"/>
        <v>#N/A</v>
      </c>
    </row>
    <row r="529" spans="2:24" hidden="1" x14ac:dyDescent="0.35">
      <c r="B529" s="6" t="s">
        <v>731</v>
      </c>
      <c r="C529" s="97" t="s">
        <v>50</v>
      </c>
      <c r="D529" s="97" t="s">
        <v>71</v>
      </c>
      <c r="E529" s="23" t="str" cm="1">
        <f t="array" ref="E529">_xlfn.XLOOKUP(Table117821341[[#This Row],[Team]],Table4334[Team],'2425'!$C$3:$C$34)</f>
        <v>n/a</v>
      </c>
      <c r="F529" s="97" t="str">
        <f>_xlfn.XLOOKUP(Table117821341[[#This Row],[Team]],Table4334[Team],Table4334[OPP])</f>
        <v>n/a</v>
      </c>
      <c r="G529" s="148" t="str" cm="1">
        <f t="array" ref="G529">IF(Table117821341[[#This Row],[Pos.]]="QB1",_xlfn.XLOOKUP(Table117821341[[#This Row],[Opp]],Table123[DEF],'2425'!$G$3:$G$34),"#N/A")</f>
        <v>#N/A</v>
      </c>
      <c r="H529" s="148" t="str" cm="1">
        <f t="array" ref="H529">IF(Table117821341[[#This Row],[Pos.]]="QB1",_xlfn.XLOOKUP(Table117821341[[#This Row],[Opp]],Table123[DEF],'2425'!$J$3:$J$34),"#N/A")</f>
        <v>#N/A</v>
      </c>
      <c r="I529" s="148" t="str" cm="1">
        <f t="array" ref="I529">IF(Table117821341[[#This Row],[Pos.]]="QB1",_xlfn.XLOOKUP(Table117821341[[#This Row],[Opp]],Table123[DEF],'2425'!$K$3:$K$34),"#N/A")</f>
        <v>#N/A</v>
      </c>
      <c r="J529" s="148" t="e" cm="1">
        <f t="array" ref="J52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29" s="148" t="e" cm="1">
        <f t="array" ref="K52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29" s="148" t="e" cm="1">
        <f t="array" ref="L52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29" s="148" t="e" cm="1">
        <f t="array" ref="M52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29" s="148" t="e" cm="1">
        <f t="array" ref="N52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29" s="149" t="str">
        <f>IF(Table117821341[[#This Row],[Pos.]]="QB1",_xlfn.XLOOKUP(Table117821341[[#This Row],[Opp]],Table123[DEF],Table123[P]),"#N/A")</f>
        <v>#N/A</v>
      </c>
      <c r="P529" s="149" t="str">
        <f>IF(Table117821341[[#This Row],[Pos.]]="QB1",_xlfn.XLOOKUP(Table117821341[[#This Row],[Opp]],Table123[DEF],Table123[P+R]),"#N/A")</f>
        <v>#N/A</v>
      </c>
      <c r="Q529" s="150" t="str">
        <f>IF(Table117821341[[#This Row],[Pos.]]="QB1",_xlfn.XLOOKUP(Table117821341[[#This Row],[Opp]],Table123[DEF],Table123[P TD]),"#N/A")</f>
        <v>#N/A</v>
      </c>
      <c r="R529" s="149" t="e" cm="1">
        <f t="array" ref="R52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29" s="150" t="e" cm="1">
        <f t="array" ref="S52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29" s="150" t="e" cm="1">
        <f t="array" ref="T52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29" s="150" t="e" cm="1">
        <f t="array" ref="U52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29" s="162" t="e" cm="1">
        <f t="array" ref="V52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29" s="148" t="e" cm="1">
        <f t="array" ref="W529">_xlfn.IFS(Table117821341[[#This Row],[Pos.]]="QB1",AVERAGE(G529,H529,I529,J529,N529),Table117821341[[#This Row],[Pos.]]="RB1",AVERAGE(J529,K529,N529),Table117821341[[#This Row],[Pos.]]="RB2",AVERAGE(J529,K529,N529),Table117821341[[#This Row],[Pos.]]="WR1",AVERAGE(L529,M529,N529),Table117821341[[#This Row],[Pos.]]="WR2",AVERAGE(L529,M529,N529),Table117821341[[#This Row],[Pos.]]="WR3",AVERAGE(L529,M529,N529),Table117821341[[#This Row],[Pos.]]="WR4",AVERAGE(L529,M529,N529),Table117821341[[#This Row],[Pos.]]="TE1",AVERAGE(L529,M529,N529),Table117821341[[#This Row],[Pos.]]="TE2",AVERAGE(L529,M529,N529),Table117821341[[#This Row],[Pos.]]="D/ST",AVERAGE(Table117821341[[#This Row],[*TD*]]))</f>
        <v>#N/A</v>
      </c>
      <c r="X529" s="94" t="e">
        <f t="shared" si="8"/>
        <v>#N/A</v>
      </c>
    </row>
    <row r="530" spans="2:24" hidden="1" x14ac:dyDescent="0.35">
      <c r="B530" s="6" t="s">
        <v>455</v>
      </c>
      <c r="C530" s="97" t="s">
        <v>50</v>
      </c>
      <c r="D530" s="97" t="s">
        <v>401</v>
      </c>
      <c r="E530" s="23" t="str" cm="1">
        <f t="array" ref="E530">_xlfn.XLOOKUP(Table117821341[[#This Row],[Team]],Table4334[Team],'2425'!$C$3:$C$34)</f>
        <v>n/a</v>
      </c>
      <c r="F530" s="97" t="str">
        <f>_xlfn.XLOOKUP(Table117821341[[#This Row],[Team]],Table4334[Team],Table4334[OPP])</f>
        <v>n/a</v>
      </c>
      <c r="G530" s="148" t="str" cm="1">
        <f t="array" ref="G530">IF(Table117821341[[#This Row],[Pos.]]="QB1",_xlfn.XLOOKUP(Table117821341[[#This Row],[Opp]],Table123[DEF],'2425'!$G$3:$G$34),"#N/A")</f>
        <v>#N/A</v>
      </c>
      <c r="H530" s="148" t="str" cm="1">
        <f t="array" ref="H530">IF(Table117821341[[#This Row],[Pos.]]="QB1",_xlfn.XLOOKUP(Table117821341[[#This Row],[Opp]],Table123[DEF],'2425'!$J$3:$J$34),"#N/A")</f>
        <v>#N/A</v>
      </c>
      <c r="I530" s="148" t="str" cm="1">
        <f t="array" ref="I530">IF(Table117821341[[#This Row],[Pos.]]="QB1",_xlfn.XLOOKUP(Table117821341[[#This Row],[Opp]],Table123[DEF],'2425'!$K$3:$K$34),"#N/A")</f>
        <v>#N/A</v>
      </c>
      <c r="J530" s="148" t="e" cm="1">
        <f t="array" ref="J53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0" s="148" t="e" cm="1">
        <f t="array" ref="K53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0" s="148" t="e" cm="1">
        <f t="array" ref="L53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0" s="148" t="e" cm="1">
        <f t="array" ref="M53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0" s="148" t="e" cm="1">
        <f t="array" ref="N53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0" s="149" t="str">
        <f>IF(Table117821341[[#This Row],[Pos.]]="QB1",_xlfn.XLOOKUP(Table117821341[[#This Row],[Opp]],Table123[DEF],Table123[P]),"#N/A")</f>
        <v>#N/A</v>
      </c>
      <c r="P530" s="149" t="str">
        <f>IF(Table117821341[[#This Row],[Pos.]]="QB1",_xlfn.XLOOKUP(Table117821341[[#This Row],[Opp]],Table123[DEF],Table123[P+R]),"#N/A")</f>
        <v>#N/A</v>
      </c>
      <c r="Q530" s="150" t="str">
        <f>IF(Table117821341[[#This Row],[Pos.]]="QB1",_xlfn.XLOOKUP(Table117821341[[#This Row],[Opp]],Table123[DEF],Table123[P TD]),"#N/A")</f>
        <v>#N/A</v>
      </c>
      <c r="R530" s="149" t="e" cm="1">
        <f t="array" ref="R53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0" s="150" t="e" cm="1">
        <f t="array" ref="S53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0" s="150" t="e" cm="1">
        <f t="array" ref="T53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0" s="150" t="e" cm="1">
        <f t="array" ref="U53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0" s="162" t="e" cm="1">
        <f t="array" ref="V53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0" s="148" t="e" cm="1">
        <f t="array" ref="W530">_xlfn.IFS(Table117821341[[#This Row],[Pos.]]="QB1",AVERAGE(G530,H530,I530,J530,N530),Table117821341[[#This Row],[Pos.]]="RB1",AVERAGE(J530,K530,N530),Table117821341[[#This Row],[Pos.]]="RB2",AVERAGE(J530,K530,N530),Table117821341[[#This Row],[Pos.]]="WR1",AVERAGE(L530,M530,N530),Table117821341[[#This Row],[Pos.]]="WR2",AVERAGE(L530,M530,N530),Table117821341[[#This Row],[Pos.]]="WR3",AVERAGE(L530,M530,N530),Table117821341[[#This Row],[Pos.]]="WR4",AVERAGE(L530,M530,N530),Table117821341[[#This Row],[Pos.]]="TE1",AVERAGE(L530,M530,N530),Table117821341[[#This Row],[Pos.]]="TE2",AVERAGE(L530,M530,N530),Table117821341[[#This Row],[Pos.]]="D/ST",AVERAGE(Table117821341[[#This Row],[*TD*]]))</f>
        <v>#N/A</v>
      </c>
      <c r="X530" s="94" t="e">
        <f t="shared" si="8"/>
        <v>#N/A</v>
      </c>
    </row>
    <row r="531" spans="2:24" hidden="1" x14ac:dyDescent="0.35">
      <c r="B531" s="6" t="s">
        <v>126</v>
      </c>
      <c r="C531" s="97" t="s">
        <v>54</v>
      </c>
      <c r="D531" s="97" t="s">
        <v>403</v>
      </c>
      <c r="E531" s="23" t="str" cm="1">
        <f t="array" ref="E531">_xlfn.XLOOKUP(Table117821341[[#This Row],[Team]],Table4334[Team],'2425'!$C$3:$C$34)</f>
        <v>n/a</v>
      </c>
      <c r="F531" s="97" t="str">
        <f>_xlfn.XLOOKUP(Table117821341[[#This Row],[Team]],Table4334[Team],Table4334[OPP])</f>
        <v>n/a</v>
      </c>
      <c r="G531" s="148" t="str" cm="1">
        <f t="array" ref="G531">IF(Table117821341[[#This Row],[Pos.]]="QB1",_xlfn.XLOOKUP(Table117821341[[#This Row],[Opp]],Table123[DEF],'2425'!$G$3:$G$34),"#N/A")</f>
        <v>#N/A</v>
      </c>
      <c r="H531" s="148" t="str" cm="1">
        <f t="array" ref="H531">IF(Table117821341[[#This Row],[Pos.]]="QB1",_xlfn.XLOOKUP(Table117821341[[#This Row],[Opp]],Table123[DEF],'2425'!$J$3:$J$34),"#N/A")</f>
        <v>#N/A</v>
      </c>
      <c r="I531" s="148" t="str" cm="1">
        <f t="array" ref="I531">IF(Table117821341[[#This Row],[Pos.]]="QB1",_xlfn.XLOOKUP(Table117821341[[#This Row],[Opp]],Table123[DEF],'2425'!$K$3:$K$34),"#N/A")</f>
        <v>#N/A</v>
      </c>
      <c r="J531" s="148" t="e" cm="1">
        <f t="array" ref="J53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1" s="148" t="e" cm="1">
        <f t="array" ref="K53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1" s="148" t="e" cm="1">
        <f t="array" ref="L53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1" s="148" t="e" cm="1">
        <f t="array" ref="M53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1" s="148" t="e" cm="1">
        <f t="array" ref="N53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1" s="149" t="str">
        <f>IF(Table117821341[[#This Row],[Pos.]]="QB1",_xlfn.XLOOKUP(Table117821341[[#This Row],[Opp]],Table123[DEF],Table123[P]),"#N/A")</f>
        <v>#N/A</v>
      </c>
      <c r="P531" s="149" t="str">
        <f>IF(Table117821341[[#This Row],[Pos.]]="QB1",_xlfn.XLOOKUP(Table117821341[[#This Row],[Opp]],Table123[DEF],Table123[P+R]),"#N/A")</f>
        <v>#N/A</v>
      </c>
      <c r="Q531" s="150" t="str">
        <f>IF(Table117821341[[#This Row],[Pos.]]="QB1",_xlfn.XLOOKUP(Table117821341[[#This Row],[Opp]],Table123[DEF],Table123[P TD]),"#N/A")</f>
        <v>#N/A</v>
      </c>
      <c r="R531" s="149" t="e" cm="1">
        <f t="array" ref="R53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1" s="150" t="e" cm="1">
        <f t="array" ref="S53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1" s="150" t="e" cm="1">
        <f t="array" ref="T53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1" s="150" t="e" cm="1">
        <f t="array" ref="U53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1" s="150" t="e" cm="1">
        <f t="array" ref="V53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1" s="148" t="e" cm="1">
        <f t="array" ref="W531">_xlfn.IFS(Table117821341[[#This Row],[Pos.]]="QB1",AVERAGE(G531,H531,I531,J531,N531),Table117821341[[#This Row],[Pos.]]="RB1",AVERAGE(J531,K531,N531),Table117821341[[#This Row],[Pos.]]="RB2",AVERAGE(J531,K531,N531),Table117821341[[#This Row],[Pos.]]="WR1",AVERAGE(L531,M531,N531),Table117821341[[#This Row],[Pos.]]="WR2",AVERAGE(L531,M531,N531),Table117821341[[#This Row],[Pos.]]="WR3",AVERAGE(L531,M531,N531),Table117821341[[#This Row],[Pos.]]="WR4",AVERAGE(L531,M531,N531),Table117821341[[#This Row],[Pos.]]="TE1",AVERAGE(L531,M531,N531),Table117821341[[#This Row],[Pos.]]="TE2",AVERAGE(L531,M531,N531),Table117821341[[#This Row],[Pos.]]="D/ST",AVERAGE(Table117821341[[#This Row],[*TD*]]))</f>
        <v>#N/A</v>
      </c>
      <c r="X531" s="94" t="e">
        <f t="shared" si="8"/>
        <v>#N/A</v>
      </c>
    </row>
    <row r="532" spans="2:24" hidden="1" x14ac:dyDescent="0.35">
      <c r="B532" s="6" t="s">
        <v>585</v>
      </c>
      <c r="C532" s="97" t="s">
        <v>54</v>
      </c>
      <c r="D532" s="97" t="s">
        <v>411</v>
      </c>
      <c r="E532" s="23" t="str" cm="1">
        <f t="array" ref="E532">_xlfn.XLOOKUP(Table117821341[[#This Row],[Team]],Table4334[Team],'2425'!$C$3:$C$34)</f>
        <v>n/a</v>
      </c>
      <c r="F532" s="97" t="str">
        <f>_xlfn.XLOOKUP(Table117821341[[#This Row],[Team]],Table4334[Team],Table4334[OPP])</f>
        <v>n/a</v>
      </c>
      <c r="G532" s="148" t="str" cm="1">
        <f t="array" ref="G532">IF(Table117821341[[#This Row],[Pos.]]="QB1",_xlfn.XLOOKUP(Table117821341[[#This Row],[Opp]],Table123[DEF],'2425'!$G$3:$G$34),"#N/A")</f>
        <v>#N/A</v>
      </c>
      <c r="H532" s="148" t="str" cm="1">
        <f t="array" ref="H532">IF(Table117821341[[#This Row],[Pos.]]="QB1",_xlfn.XLOOKUP(Table117821341[[#This Row],[Opp]],Table123[DEF],'2425'!$J$3:$J$34),"#N/A")</f>
        <v>#N/A</v>
      </c>
      <c r="I532" s="148" t="str" cm="1">
        <f t="array" ref="I532">IF(Table117821341[[#This Row],[Pos.]]="QB1",_xlfn.XLOOKUP(Table117821341[[#This Row],[Opp]],Table123[DEF],'2425'!$K$3:$K$34),"#N/A")</f>
        <v>#N/A</v>
      </c>
      <c r="J532" s="148" t="e" cm="1">
        <f t="array" ref="J53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2" s="148" t="e" cm="1">
        <f t="array" ref="K53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2" s="148" t="e" cm="1">
        <f t="array" ref="L53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2" s="148" t="e" cm="1">
        <f t="array" ref="M53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2" s="148" t="e" cm="1">
        <f t="array" ref="N53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2" s="149" t="str">
        <f>IF(Table117821341[[#This Row],[Pos.]]="QB1",_xlfn.XLOOKUP(Table117821341[[#This Row],[Opp]],Table123[DEF],Table123[P]),"#N/A")</f>
        <v>#N/A</v>
      </c>
      <c r="P532" s="149" t="str">
        <f>IF(Table117821341[[#This Row],[Pos.]]="QB1",_xlfn.XLOOKUP(Table117821341[[#This Row],[Opp]],Table123[DEF],Table123[P+R]),"#N/A")</f>
        <v>#N/A</v>
      </c>
      <c r="Q532" s="150" t="str">
        <f>IF(Table117821341[[#This Row],[Pos.]]="QB1",_xlfn.XLOOKUP(Table117821341[[#This Row],[Opp]],Table123[DEF],Table123[P TD]),"#N/A")</f>
        <v>#N/A</v>
      </c>
      <c r="R532" s="149" t="e" cm="1">
        <f t="array" ref="R53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2" s="150" t="e" cm="1">
        <f t="array" ref="S53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2" s="150" t="e" cm="1">
        <f t="array" ref="T53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2" s="150" t="e" cm="1">
        <f t="array" ref="U53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2" s="150" t="e" cm="1">
        <f t="array" ref="V53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2" s="148" t="e" cm="1">
        <f t="array" ref="W532">_xlfn.IFS(Table117821341[[#This Row],[Pos.]]="QB1",AVERAGE(G532,H532,I532,J532,N532),Table117821341[[#This Row],[Pos.]]="RB1",AVERAGE(J532,K532,N532),Table117821341[[#This Row],[Pos.]]="RB2",AVERAGE(J532,K532,N532),Table117821341[[#This Row],[Pos.]]="WR1",AVERAGE(L532,M532,N532),Table117821341[[#This Row],[Pos.]]="WR2",AVERAGE(L532,M532,N532),Table117821341[[#This Row],[Pos.]]="WR3",AVERAGE(L532,M532,N532),Table117821341[[#This Row],[Pos.]]="WR4",AVERAGE(L532,M532,N532),Table117821341[[#This Row],[Pos.]]="TE1",AVERAGE(L532,M532,N532),Table117821341[[#This Row],[Pos.]]="TE2",AVERAGE(L532,M532,N532),Table117821341[[#This Row],[Pos.]]="D/ST",AVERAGE(Table117821341[[#This Row],[*TD*]]))</f>
        <v>#N/A</v>
      </c>
      <c r="X532" s="94" t="e">
        <f t="shared" si="8"/>
        <v>#N/A</v>
      </c>
    </row>
    <row r="533" spans="2:24" hidden="1" x14ac:dyDescent="0.35">
      <c r="B533" s="6" t="s">
        <v>343</v>
      </c>
      <c r="C533" s="97" t="s">
        <v>54</v>
      </c>
      <c r="D533" s="97" t="s">
        <v>441</v>
      </c>
      <c r="E533" s="23" t="str" cm="1">
        <f t="array" ref="E533">_xlfn.XLOOKUP(Table117821341[[#This Row],[Team]],Table4334[Team],'2425'!$C$3:$C$34)</f>
        <v>n/a</v>
      </c>
      <c r="F533" s="97" t="str">
        <f>_xlfn.XLOOKUP(Table117821341[[#This Row],[Team]],Table4334[Team],Table4334[OPP])</f>
        <v>n/a</v>
      </c>
      <c r="G533" s="148" t="str" cm="1">
        <f t="array" ref="G533">IF(Table117821341[[#This Row],[Pos.]]="QB1",_xlfn.XLOOKUP(Table117821341[[#This Row],[Opp]],Table123[DEF],'2425'!$G$3:$G$34),"#N/A")</f>
        <v>#N/A</v>
      </c>
      <c r="H533" s="148" t="str" cm="1">
        <f t="array" ref="H533">IF(Table117821341[[#This Row],[Pos.]]="QB1",_xlfn.XLOOKUP(Table117821341[[#This Row],[Opp]],Table123[DEF],'2425'!$J$3:$J$34),"#N/A")</f>
        <v>#N/A</v>
      </c>
      <c r="I533" s="148" t="str" cm="1">
        <f t="array" ref="I533">IF(Table117821341[[#This Row],[Pos.]]="QB1",_xlfn.XLOOKUP(Table117821341[[#This Row],[Opp]],Table123[DEF],'2425'!$K$3:$K$34),"#N/A")</f>
        <v>#N/A</v>
      </c>
      <c r="J533" s="148" t="e" cm="1">
        <f t="array" ref="J53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3" s="148" t="e" cm="1">
        <f t="array" ref="K53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3" s="148" t="e" cm="1">
        <f t="array" ref="L53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3" s="148" t="e" cm="1">
        <f t="array" ref="M53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3" s="148" t="e" cm="1">
        <f t="array" ref="N53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3" s="149" t="str">
        <f>IF(Table117821341[[#This Row],[Pos.]]="QB1",_xlfn.XLOOKUP(Table117821341[[#This Row],[Opp]],Table123[DEF],Table123[P]),"#N/A")</f>
        <v>#N/A</v>
      </c>
      <c r="P533" s="149" t="str">
        <f>IF(Table117821341[[#This Row],[Pos.]]="QB1",_xlfn.XLOOKUP(Table117821341[[#This Row],[Opp]],Table123[DEF],Table123[P+R]),"#N/A")</f>
        <v>#N/A</v>
      </c>
      <c r="Q533" s="150" t="str">
        <f>IF(Table117821341[[#This Row],[Pos.]]="QB1",_xlfn.XLOOKUP(Table117821341[[#This Row],[Opp]],Table123[DEF],Table123[P TD]),"#N/A")</f>
        <v>#N/A</v>
      </c>
      <c r="R533" s="149" t="e" cm="1">
        <f t="array" ref="R53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3" s="150" t="e" cm="1">
        <f t="array" ref="S53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3" s="150" t="e" cm="1">
        <f t="array" ref="T53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3" s="150" t="e" cm="1">
        <f t="array" ref="U53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3" s="150" t="e" cm="1">
        <f t="array" ref="V53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3" s="148" t="e" cm="1">
        <f t="array" ref="W533">_xlfn.IFS(Table117821341[[#This Row],[Pos.]]="QB1",AVERAGE(G533,H533,I533,J533,N533),Table117821341[[#This Row],[Pos.]]="RB1",AVERAGE(J533,K533,N533),Table117821341[[#This Row],[Pos.]]="RB2",AVERAGE(J533,K533,N533),Table117821341[[#This Row],[Pos.]]="WR1",AVERAGE(L533,M533,N533),Table117821341[[#This Row],[Pos.]]="WR2",AVERAGE(L533,M533,N533),Table117821341[[#This Row],[Pos.]]="WR3",AVERAGE(L533,M533,N533),Table117821341[[#This Row],[Pos.]]="WR4",AVERAGE(L533,M533,N533),Table117821341[[#This Row],[Pos.]]="TE1",AVERAGE(L533,M533,N533),Table117821341[[#This Row],[Pos.]]="TE2",AVERAGE(L533,M533,N533),Table117821341[[#This Row],[Pos.]]="D/ST",AVERAGE(Table117821341[[#This Row],[*TD*]]))</f>
        <v>#N/A</v>
      </c>
      <c r="X533" s="94" t="e">
        <f t="shared" si="8"/>
        <v>#N/A</v>
      </c>
    </row>
    <row r="534" spans="2:24" hidden="1" x14ac:dyDescent="0.35">
      <c r="B534" s="6" t="s">
        <v>375</v>
      </c>
      <c r="C534" s="97" t="s">
        <v>54</v>
      </c>
      <c r="D534" s="97" t="s">
        <v>443</v>
      </c>
      <c r="E534" s="23" t="str" cm="1">
        <f t="array" ref="E534">_xlfn.XLOOKUP(Table117821341[[#This Row],[Team]],Table4334[Team],'2425'!$C$3:$C$34)</f>
        <v>n/a</v>
      </c>
      <c r="F534" s="97" t="str">
        <f>_xlfn.XLOOKUP(Table117821341[[#This Row],[Team]],Table4334[Team],Table4334[OPP])</f>
        <v>n/a</v>
      </c>
      <c r="G534" s="148" t="str" cm="1">
        <f t="array" ref="G534">IF(Table117821341[[#This Row],[Pos.]]="QB1",_xlfn.XLOOKUP(Table117821341[[#This Row],[Opp]],Table123[DEF],'2425'!$G$3:$G$34),"#N/A")</f>
        <v>#N/A</v>
      </c>
      <c r="H534" s="148" t="str" cm="1">
        <f t="array" ref="H534">IF(Table117821341[[#This Row],[Pos.]]="QB1",_xlfn.XLOOKUP(Table117821341[[#This Row],[Opp]],Table123[DEF],'2425'!$J$3:$J$34),"#N/A")</f>
        <v>#N/A</v>
      </c>
      <c r="I534" s="148" t="str" cm="1">
        <f t="array" ref="I534">IF(Table117821341[[#This Row],[Pos.]]="QB1",_xlfn.XLOOKUP(Table117821341[[#This Row],[Opp]],Table123[DEF],'2425'!$K$3:$K$34),"#N/A")</f>
        <v>#N/A</v>
      </c>
      <c r="J534" s="148" t="e" cm="1">
        <f t="array" ref="J53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4" s="148" t="e" cm="1">
        <f t="array" ref="K53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4" s="148" t="e" cm="1">
        <f t="array" ref="L53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4" s="148" t="e" cm="1">
        <f t="array" ref="M53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4" s="148" t="e" cm="1">
        <f t="array" ref="N53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4" s="149" t="str">
        <f>IF(Table117821341[[#This Row],[Pos.]]="QB1",_xlfn.XLOOKUP(Table117821341[[#This Row],[Opp]],Table123[DEF],Table123[P]),"#N/A")</f>
        <v>#N/A</v>
      </c>
      <c r="P534" s="149" t="str">
        <f>IF(Table117821341[[#This Row],[Pos.]]="QB1",_xlfn.XLOOKUP(Table117821341[[#This Row],[Opp]],Table123[DEF],Table123[P+R]),"#N/A")</f>
        <v>#N/A</v>
      </c>
      <c r="Q534" s="150" t="str">
        <f>IF(Table117821341[[#This Row],[Pos.]]="QB1",_xlfn.XLOOKUP(Table117821341[[#This Row],[Opp]],Table123[DEF],Table123[P TD]),"#N/A")</f>
        <v>#N/A</v>
      </c>
      <c r="R534" s="149" t="e" cm="1">
        <f t="array" ref="R53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4" s="150" t="e" cm="1">
        <f t="array" ref="S53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4" s="150" t="e" cm="1">
        <f t="array" ref="T53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4" s="150" t="e" cm="1">
        <f t="array" ref="U53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4" s="150" t="e" cm="1">
        <f t="array" ref="V53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4" s="148" t="e" cm="1">
        <f t="array" ref="W534">_xlfn.IFS(Table117821341[[#This Row],[Pos.]]="QB1",AVERAGE(G534,H534,I534,J534,N534),Table117821341[[#This Row],[Pos.]]="RB1",AVERAGE(J534,K534,N534),Table117821341[[#This Row],[Pos.]]="RB2",AVERAGE(J534,K534,N534),Table117821341[[#This Row],[Pos.]]="WR1",AVERAGE(L534,M534,N534),Table117821341[[#This Row],[Pos.]]="WR2",AVERAGE(L534,M534,N534),Table117821341[[#This Row],[Pos.]]="WR3",AVERAGE(L534,M534,N534),Table117821341[[#This Row],[Pos.]]="WR4",AVERAGE(L534,M534,N534),Table117821341[[#This Row],[Pos.]]="TE1",AVERAGE(L534,M534,N534),Table117821341[[#This Row],[Pos.]]="TE2",AVERAGE(L534,M534,N534),Table117821341[[#This Row],[Pos.]]="D/ST",AVERAGE(Table117821341[[#This Row],[*TD*]]))</f>
        <v>#N/A</v>
      </c>
      <c r="X534" s="94" t="e">
        <f t="shared" si="8"/>
        <v>#N/A</v>
      </c>
    </row>
    <row r="535" spans="2:24" hidden="1" x14ac:dyDescent="0.35">
      <c r="B535" s="6" t="s">
        <v>346</v>
      </c>
      <c r="C535" s="97" t="s">
        <v>54</v>
      </c>
      <c r="D535" s="97" t="s">
        <v>546</v>
      </c>
      <c r="E535" s="23" t="str" cm="1">
        <f t="array" ref="E535">_xlfn.XLOOKUP(Table117821341[[#This Row],[Team]],Table4334[Team],'2425'!$C$3:$C$34)</f>
        <v>n/a</v>
      </c>
      <c r="F535" s="97" t="str">
        <f>_xlfn.XLOOKUP(Table117821341[[#This Row],[Team]],Table4334[Team],Table4334[OPP])</f>
        <v>n/a</v>
      </c>
      <c r="G535" s="148" t="str" cm="1">
        <f t="array" ref="G535">IF(Table117821341[[#This Row],[Pos.]]="QB1",_xlfn.XLOOKUP(Table117821341[[#This Row],[Opp]],Table123[DEF],'2425'!$G$3:$G$34),"#N/A")</f>
        <v>#N/A</v>
      </c>
      <c r="H535" s="148" t="str" cm="1">
        <f t="array" ref="H535">IF(Table117821341[[#This Row],[Pos.]]="QB1",_xlfn.XLOOKUP(Table117821341[[#This Row],[Opp]],Table123[DEF],'2425'!$J$3:$J$34),"#N/A")</f>
        <v>#N/A</v>
      </c>
      <c r="I535" s="148" t="str" cm="1">
        <f t="array" ref="I535">IF(Table117821341[[#This Row],[Pos.]]="QB1",_xlfn.XLOOKUP(Table117821341[[#This Row],[Opp]],Table123[DEF],'2425'!$K$3:$K$34),"#N/A")</f>
        <v>#N/A</v>
      </c>
      <c r="J535" s="148" t="e" cm="1">
        <f t="array" ref="J53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5" s="148" t="e" cm="1">
        <f t="array" ref="K53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5" s="148" t="e" cm="1">
        <f t="array" ref="L53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5" s="148" t="e" cm="1">
        <f t="array" ref="M53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5" s="148" t="e" cm="1">
        <f t="array" ref="N53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5" s="149" t="str">
        <f>IF(Table117821341[[#This Row],[Pos.]]="QB1",_xlfn.XLOOKUP(Table117821341[[#This Row],[Opp]],Table123[DEF],Table123[P]),"#N/A")</f>
        <v>#N/A</v>
      </c>
      <c r="P535" s="149" t="str">
        <f>IF(Table117821341[[#This Row],[Pos.]]="QB1",_xlfn.XLOOKUP(Table117821341[[#This Row],[Opp]],Table123[DEF],Table123[P+R]),"#N/A")</f>
        <v>#N/A</v>
      </c>
      <c r="Q535" s="150" t="str">
        <f>IF(Table117821341[[#This Row],[Pos.]]="QB1",_xlfn.XLOOKUP(Table117821341[[#This Row],[Opp]],Table123[DEF],Table123[P TD]),"#N/A")</f>
        <v>#N/A</v>
      </c>
      <c r="R535" s="149" t="e" cm="1">
        <f t="array" ref="R53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5" s="150" t="e" cm="1">
        <f t="array" ref="S53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5" s="150" t="e" cm="1">
        <f t="array" ref="T53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5" s="150" t="e" cm="1">
        <f t="array" ref="U53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5" s="150" t="e" cm="1">
        <f t="array" ref="V53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5" s="148" t="e" cm="1">
        <f t="array" ref="W535">_xlfn.IFS(Table117821341[[#This Row],[Pos.]]="QB1",AVERAGE(G535,H535,I535,J535,N535),Table117821341[[#This Row],[Pos.]]="RB1",AVERAGE(J535,K535,N535),Table117821341[[#This Row],[Pos.]]="RB2",AVERAGE(J535,K535,N535),Table117821341[[#This Row],[Pos.]]="WR1",AVERAGE(L535,M535,N535),Table117821341[[#This Row],[Pos.]]="WR2",AVERAGE(L535,M535,N535),Table117821341[[#This Row],[Pos.]]="WR3",AVERAGE(L535,M535,N535),Table117821341[[#This Row],[Pos.]]="WR4",AVERAGE(L535,M535,N535),Table117821341[[#This Row],[Pos.]]="TE1",AVERAGE(L535,M535,N535),Table117821341[[#This Row],[Pos.]]="TE2",AVERAGE(L535,M535,N535),Table117821341[[#This Row],[Pos.]]="D/ST",AVERAGE(Table117821341[[#This Row],[*TD*]]))</f>
        <v>#N/A</v>
      </c>
      <c r="X535" s="94" t="e">
        <f t="shared" si="8"/>
        <v>#N/A</v>
      </c>
    </row>
    <row r="536" spans="2:24" x14ac:dyDescent="0.35">
      <c r="B536" s="6" t="s">
        <v>723</v>
      </c>
      <c r="C536" s="97" t="s">
        <v>42</v>
      </c>
      <c r="D536" s="97" t="s">
        <v>71</v>
      </c>
      <c r="E536" s="23" t="str" cm="1">
        <f t="array" ref="E536">_xlfn.XLOOKUP(Table117821341[[#This Row],[Team]],Table4334[Team],'2425'!$C$3:$C$34)</f>
        <v>n/a</v>
      </c>
      <c r="F536" s="97" t="str">
        <f>_xlfn.XLOOKUP(Table117821341[[#This Row],[Team]],Table4334[Team],Table4334[OPP])</f>
        <v>n/a</v>
      </c>
      <c r="G536" s="148" t="str" cm="1">
        <f t="array" ref="G536">IF(Table117821341[[#This Row],[Pos.]]="QB1",_xlfn.XLOOKUP(Table117821341[[#This Row],[Opp]],Table123[DEF],'2425'!$G$3:$G$34),"#N/A")</f>
        <v>#N/A</v>
      </c>
      <c r="H536" s="148" t="str" cm="1">
        <f t="array" ref="H536">IF(Table117821341[[#This Row],[Pos.]]="QB1",_xlfn.XLOOKUP(Table117821341[[#This Row],[Opp]],Table123[DEF],'2425'!$J$3:$J$34),"#N/A")</f>
        <v>#N/A</v>
      </c>
      <c r="I536" s="148" t="str" cm="1">
        <f t="array" ref="I536">IF(Table117821341[[#This Row],[Pos.]]="QB1",_xlfn.XLOOKUP(Table117821341[[#This Row],[Opp]],Table123[DEF],'2425'!$K$3:$K$34),"#N/A")</f>
        <v>#N/A</v>
      </c>
      <c r="J536" s="148" t="e" cm="1">
        <f t="array" ref="J53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6" s="148" t="e" cm="1">
        <f t="array" ref="K53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6" s="148" t="e" cm="1">
        <f t="array" ref="L53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6" s="148" t="e" cm="1">
        <f t="array" ref="M53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6" s="148" t="e" cm="1">
        <f t="array" ref="N53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6" s="149" t="str">
        <f>IF(Table117821341[[#This Row],[Pos.]]="QB1",_xlfn.XLOOKUP(Table117821341[[#This Row],[Opp]],Table123[DEF],Table123[P]),"#N/A")</f>
        <v>#N/A</v>
      </c>
      <c r="P536" s="149" t="str">
        <f>IF(Table117821341[[#This Row],[Pos.]]="QB1",_xlfn.XLOOKUP(Table117821341[[#This Row],[Opp]],Table123[DEF],Table123[P+R]),"#N/A")</f>
        <v>#N/A</v>
      </c>
      <c r="Q536" s="150" t="str">
        <f>IF(Table117821341[[#This Row],[Pos.]]="QB1",_xlfn.XLOOKUP(Table117821341[[#This Row],[Opp]],Table123[DEF],Table123[P TD]),"#N/A")</f>
        <v>#N/A</v>
      </c>
      <c r="R536" s="149" t="e" cm="1">
        <f t="array" ref="R53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6" s="150" t="e" cm="1">
        <f t="array" ref="S53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6" s="150" t="e" cm="1">
        <f t="array" ref="T53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6" s="150" t="e" cm="1">
        <f t="array" ref="U53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6" s="162" t="e" cm="1">
        <f t="array" ref="V53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6" s="148" t="e" cm="1">
        <f t="array" ref="W536">_xlfn.IFS(Table117821341[[#This Row],[Pos.]]="QB1",AVERAGE(G536,H536,I536,J536,N536),Table117821341[[#This Row],[Pos.]]="RB1",AVERAGE(J536,K536,N536),Table117821341[[#This Row],[Pos.]]="RB2",AVERAGE(J536,K536,N536),Table117821341[[#This Row],[Pos.]]="WR1",AVERAGE(L536,M536,N536),Table117821341[[#This Row],[Pos.]]="WR2",AVERAGE(L536,M536,N536),Table117821341[[#This Row],[Pos.]]="WR3",AVERAGE(L536,M536,N536),Table117821341[[#This Row],[Pos.]]="WR4",AVERAGE(L536,M536,N536),Table117821341[[#This Row],[Pos.]]="TE1",AVERAGE(L536,M536,N536),Table117821341[[#This Row],[Pos.]]="TE2",AVERAGE(L536,M536,N536),Table117821341[[#This Row],[Pos.]]="D/ST",AVERAGE(Table117821341[[#This Row],[*TD*]]))</f>
        <v>#N/A</v>
      </c>
      <c r="X536" s="94" t="e">
        <f t="shared" si="8"/>
        <v>#N/A</v>
      </c>
    </row>
    <row r="537" spans="2:24" hidden="1" x14ac:dyDescent="0.35">
      <c r="B537" s="6" t="s">
        <v>255</v>
      </c>
      <c r="C537" s="97" t="s">
        <v>41</v>
      </c>
      <c r="D537" s="97" t="s">
        <v>399</v>
      </c>
      <c r="E537" s="23" t="str" cm="1">
        <f t="array" ref="E537">_xlfn.XLOOKUP(Table117821341[[#This Row],[Team]],Table4334[Team],'2425'!$C$3:$C$34)</f>
        <v>n/a</v>
      </c>
      <c r="F537" s="97" t="str">
        <f>_xlfn.XLOOKUP(Table117821341[[#This Row],[Team]],Table4334[Team],Table4334[OPP])</f>
        <v>n/a</v>
      </c>
      <c r="G537" s="148" t="e" cm="1">
        <f t="array" ref="G537">IF(Table117821341[[#This Row],[Pos.]]="QB1",_xlfn.XLOOKUP(Table117821341[[#This Row],[Opp]],Table123[DEF],'2425'!$G$3:$G$34),"#N/A")</f>
        <v>#N/A</v>
      </c>
      <c r="H537" s="148" t="e" cm="1">
        <f t="array" ref="H537">IF(Table117821341[[#This Row],[Pos.]]="QB1",_xlfn.XLOOKUP(Table117821341[[#This Row],[Opp]],Table123[DEF],'2425'!$J$3:$J$34),"#N/A")</f>
        <v>#N/A</v>
      </c>
      <c r="I537" s="148" t="e" cm="1">
        <f t="array" ref="I537">IF(Table117821341[[#This Row],[Pos.]]="QB1",_xlfn.XLOOKUP(Table117821341[[#This Row],[Opp]],Table123[DEF],'2425'!$K$3:$K$34),"#N/A")</f>
        <v>#N/A</v>
      </c>
      <c r="J537" s="148" t="e" cm="1">
        <f t="array" ref="J53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7" s="148" t="e" cm="1">
        <f t="array" ref="K53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7" s="148" t="e" cm="1">
        <f t="array" ref="L53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7" s="148" t="e" cm="1">
        <f t="array" ref="M53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7" s="148" t="e" cm="1">
        <f t="array" ref="N53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7" s="149" t="e">
        <f>IF(Table117821341[[#This Row],[Pos.]]="QB1",_xlfn.XLOOKUP(Table117821341[[#This Row],[Opp]],Table123[DEF],Table123[P]),"#N/A")</f>
        <v>#N/A</v>
      </c>
      <c r="P537" s="149" t="e">
        <f>IF(Table117821341[[#This Row],[Pos.]]="QB1",_xlfn.XLOOKUP(Table117821341[[#This Row],[Opp]],Table123[DEF],Table123[P+R]),"#N/A")</f>
        <v>#N/A</v>
      </c>
      <c r="Q537" s="150" t="e">
        <f>IF(Table117821341[[#This Row],[Pos.]]="QB1",_xlfn.XLOOKUP(Table117821341[[#This Row],[Opp]],Table123[DEF],Table123[P TD]),"#N/A")</f>
        <v>#N/A</v>
      </c>
      <c r="R537" s="149" t="e" cm="1">
        <f t="array" ref="R53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7" s="150" t="e" cm="1">
        <f t="array" ref="S53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7" s="150" t="e" cm="1">
        <f t="array" ref="T53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7" s="150" t="e" cm="1">
        <f t="array" ref="U53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7" s="162" t="e" cm="1">
        <f t="array" ref="V53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7" s="148" t="e" cm="1">
        <f t="array" ref="W537">_xlfn.IFS(Table117821341[[#This Row],[Pos.]]="QB1",AVERAGE(G537,H537,I537,J537,N537),Table117821341[[#This Row],[Pos.]]="RB1",AVERAGE(J537,K537,N537),Table117821341[[#This Row],[Pos.]]="RB2",AVERAGE(J537,K537,N537),Table117821341[[#This Row],[Pos.]]="WR1",AVERAGE(L537,M537,N537),Table117821341[[#This Row],[Pos.]]="WR2",AVERAGE(L537,M537,N537),Table117821341[[#This Row],[Pos.]]="WR3",AVERAGE(L537,M537,N537),Table117821341[[#This Row],[Pos.]]="WR4",AVERAGE(L537,M537,N537),Table117821341[[#This Row],[Pos.]]="TE1",AVERAGE(L537,M537,N537),Table117821341[[#This Row],[Pos.]]="TE2",AVERAGE(L537,M537,N537),Table117821341[[#This Row],[Pos.]]="D/ST",AVERAGE(Table117821341[[#This Row],[*TD*]]))</f>
        <v>#N/A</v>
      </c>
      <c r="X537" s="94" t="e">
        <f t="shared" si="8"/>
        <v>#N/A</v>
      </c>
    </row>
    <row r="538" spans="2:24" hidden="1" x14ac:dyDescent="0.35">
      <c r="B538" s="142" t="s">
        <v>331</v>
      </c>
      <c r="C538" s="143" t="s">
        <v>55</v>
      </c>
      <c r="D538" s="146" t="s">
        <v>405</v>
      </c>
      <c r="E538" s="23" t="str" cm="1">
        <f t="array" ref="E538">_xlfn.XLOOKUP(Table117821341[[#This Row],[Team]],Table4334[Team],'2425'!$C$3:$C$34)</f>
        <v>n/a</v>
      </c>
      <c r="F538" s="97" t="str">
        <f>_xlfn.XLOOKUP(Table117821341[[#This Row],[Team]],Table4334[Team],Table4334[OPP])</f>
        <v>n/a</v>
      </c>
      <c r="G538" s="148" t="str" cm="1">
        <f t="array" ref="G538">IF(Table117821341[[#This Row],[Pos.]]="QB1",_xlfn.XLOOKUP(Table117821341[[#This Row],[Opp]],Table123[DEF],'2425'!$G$3:$G$34),"#N/A")</f>
        <v>#N/A</v>
      </c>
      <c r="H538" s="148" t="str" cm="1">
        <f t="array" ref="H538">IF(Table117821341[[#This Row],[Pos.]]="QB1",_xlfn.XLOOKUP(Table117821341[[#This Row],[Opp]],Table123[DEF],'2425'!$J$3:$J$34),"#N/A")</f>
        <v>#N/A</v>
      </c>
      <c r="I538" s="148" t="str" cm="1">
        <f t="array" ref="I538">IF(Table117821341[[#This Row],[Pos.]]="QB1",_xlfn.XLOOKUP(Table117821341[[#This Row],[Opp]],Table123[DEF],'2425'!$K$3:$K$34),"#N/A")</f>
        <v>#N/A</v>
      </c>
      <c r="J538" s="148" t="e" cm="1">
        <f t="array" ref="J53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8" s="148" t="e" cm="1">
        <f t="array" ref="K53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8" s="148" t="e" cm="1">
        <f t="array" ref="L53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8" s="148" t="e" cm="1">
        <f t="array" ref="M53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8" s="148" t="e" cm="1">
        <f t="array" ref="N53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8" s="149" t="str">
        <f>IF(Table117821341[[#This Row],[Pos.]]="QB1",_xlfn.XLOOKUP(Table117821341[[#This Row],[Opp]],Table123[DEF],Table123[P]),"#N/A")</f>
        <v>#N/A</v>
      </c>
      <c r="P538" s="149" t="str">
        <f>IF(Table117821341[[#This Row],[Pos.]]="QB1",_xlfn.XLOOKUP(Table117821341[[#This Row],[Opp]],Table123[DEF],Table123[P+R]),"#N/A")</f>
        <v>#N/A</v>
      </c>
      <c r="Q538" s="150" t="str">
        <f>IF(Table117821341[[#This Row],[Pos.]]="QB1",_xlfn.XLOOKUP(Table117821341[[#This Row],[Opp]],Table123[DEF],Table123[P TD]),"#N/A")</f>
        <v>#N/A</v>
      </c>
      <c r="R538" s="149" t="e" cm="1">
        <f t="array" ref="R53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8" s="150" t="e" cm="1">
        <f t="array" ref="S53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8" s="150" t="e" cm="1">
        <f t="array" ref="T53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8" s="150" t="e" cm="1">
        <f t="array" ref="U53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8" s="150" t="e" cm="1">
        <f t="array" ref="V53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8" s="148" t="e" cm="1">
        <f t="array" ref="W538">_xlfn.IFS(Table117821341[[#This Row],[Pos.]]="QB1",AVERAGE(G538,H538,I538,J538,N538),Table117821341[[#This Row],[Pos.]]="RB1",AVERAGE(J538,K538,N538),Table117821341[[#This Row],[Pos.]]="RB2",AVERAGE(J538,K538,N538),Table117821341[[#This Row],[Pos.]]="WR1",AVERAGE(L538,M538,N538),Table117821341[[#This Row],[Pos.]]="WR2",AVERAGE(L538,M538,N538),Table117821341[[#This Row],[Pos.]]="WR3",AVERAGE(L538,M538,N538),Table117821341[[#This Row],[Pos.]]="WR4",AVERAGE(L538,M538,N538),Table117821341[[#This Row],[Pos.]]="TE1",AVERAGE(L538,M538,N538),Table117821341[[#This Row],[Pos.]]="TE2",AVERAGE(L538,M538,N538),Table117821341[[#This Row],[Pos.]]="D/ST",AVERAGE(Table117821341[[#This Row],[*TD*]]))</f>
        <v>#N/A</v>
      </c>
      <c r="X538" s="94" t="e">
        <f t="shared" si="8"/>
        <v>#N/A</v>
      </c>
    </row>
    <row r="539" spans="2:24" hidden="1" x14ac:dyDescent="0.35">
      <c r="B539" s="142" t="s">
        <v>377</v>
      </c>
      <c r="C539" s="143" t="s">
        <v>55</v>
      </c>
      <c r="D539" s="143" t="s">
        <v>425</v>
      </c>
      <c r="E539" s="23" t="str" cm="1">
        <f t="array" ref="E539">_xlfn.XLOOKUP(Table117821341[[#This Row],[Team]],Table4334[Team],'2425'!$C$3:$C$34)</f>
        <v>n/a</v>
      </c>
      <c r="F539" s="143" t="str">
        <f>_xlfn.XLOOKUP(Table117821341[[#This Row],[Team]],Table4334[Team],Table4334[OPP])</f>
        <v>n/a</v>
      </c>
      <c r="G539" s="151" t="str" cm="1">
        <f t="array" ref="G539">IF(Table117821341[[#This Row],[Pos.]]="QB1",_xlfn.XLOOKUP(Table117821341[[#This Row],[Opp]],Table123[DEF],'2425'!$G$3:$G$34),"#N/A")</f>
        <v>#N/A</v>
      </c>
      <c r="H539" s="151" t="str" cm="1">
        <f t="array" ref="H539">IF(Table117821341[[#This Row],[Pos.]]="QB1",_xlfn.XLOOKUP(Table117821341[[#This Row],[Opp]],Table123[DEF],'2425'!$J$3:$J$34),"#N/A")</f>
        <v>#N/A</v>
      </c>
      <c r="I539" s="152" t="str" cm="1">
        <f t="array" ref="I539">IF(Table117821341[[#This Row],[Pos.]]="QB1",_xlfn.XLOOKUP(Table117821341[[#This Row],[Opp]],Table123[DEF],'2425'!$K$3:$K$34),"#N/A")</f>
        <v>#N/A</v>
      </c>
      <c r="J539" s="151" t="e" cm="1">
        <f t="array" ref="J53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39" s="151" t="e" cm="1">
        <f t="array" ref="K53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39" s="151" t="e" cm="1">
        <f t="array" ref="L53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39" s="151" t="e" cm="1">
        <f t="array" ref="M53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39" s="148" t="e" cm="1">
        <f t="array" ref="N53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39" s="149" t="str">
        <f>IF(Table117821341[[#This Row],[Pos.]]="QB1",_xlfn.XLOOKUP(Table117821341[[#This Row],[Opp]],Table123[DEF],Table123[P]),"#N/A")</f>
        <v>#N/A</v>
      </c>
      <c r="P539" s="149" t="str">
        <f>IF(Table117821341[[#This Row],[Pos.]]="QB1",_xlfn.XLOOKUP(Table117821341[[#This Row],[Opp]],Table123[DEF],Table123[P+R]),"#N/A")</f>
        <v>#N/A</v>
      </c>
      <c r="Q539" s="150" t="str">
        <f>IF(Table117821341[[#This Row],[Pos.]]="QB1",_xlfn.XLOOKUP(Table117821341[[#This Row],[Opp]],Table123[DEF],Table123[P TD]),"#N/A")</f>
        <v>#N/A</v>
      </c>
      <c r="R539" s="149" t="e" cm="1">
        <f t="array" ref="R53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39" s="150" t="e" cm="1">
        <f t="array" ref="S53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39" s="150" t="e" cm="1">
        <f t="array" ref="T53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39" s="150" t="e" cm="1">
        <f t="array" ref="U53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39" s="150" t="e" cm="1">
        <f t="array" ref="V53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39" s="148" t="e" cm="1">
        <f t="array" ref="W539">_xlfn.IFS(Table117821341[[#This Row],[Pos.]]="QB1",AVERAGE(G539,H539,I539,J539,N539),Table117821341[[#This Row],[Pos.]]="RB1",AVERAGE(J539,K539,N539),Table117821341[[#This Row],[Pos.]]="RB2",AVERAGE(J539,K539,N539),Table117821341[[#This Row],[Pos.]]="WR1",AVERAGE(L539,M539,N539),Table117821341[[#This Row],[Pos.]]="WR2",AVERAGE(L539,M539,N539),Table117821341[[#This Row],[Pos.]]="WR3",AVERAGE(L539,M539,N539),Table117821341[[#This Row],[Pos.]]="WR4",AVERAGE(L539,M539,N539),Table117821341[[#This Row],[Pos.]]="TE1",AVERAGE(L539,M539,N539),Table117821341[[#This Row],[Pos.]]="TE2",AVERAGE(L539,M539,N539),Table117821341[[#This Row],[Pos.]]="D/ST",AVERAGE(Table117821341[[#This Row],[*TD*]]))</f>
        <v>#N/A</v>
      </c>
      <c r="X539" s="94" t="e">
        <f t="shared" si="8"/>
        <v>#N/A</v>
      </c>
    </row>
    <row r="540" spans="2:24" hidden="1" x14ac:dyDescent="0.35">
      <c r="B540" s="6" t="s">
        <v>717</v>
      </c>
      <c r="C540" s="97" t="s">
        <v>36</v>
      </c>
      <c r="D540" s="143" t="s">
        <v>71</v>
      </c>
      <c r="E540" s="23" t="str" cm="1">
        <f t="array" ref="E540">_xlfn.XLOOKUP(Table117821341[[#This Row],[Team]],Table4334[Team],'2425'!$C$3:$C$34)</f>
        <v>n/a</v>
      </c>
      <c r="F540" s="97" t="str">
        <f>_xlfn.XLOOKUP(Table117821341[[#This Row],[Team]],Table4334[Team],Table4334[OPP])</f>
        <v>n/a</v>
      </c>
      <c r="G540" s="148" t="str" cm="1">
        <f t="array" ref="G540">IF(Table117821341[[#This Row],[Pos.]]="QB1",_xlfn.XLOOKUP(Table117821341[[#This Row],[Opp]],Table123[DEF],'2425'!$G$3:$G$34),"#N/A")</f>
        <v>#N/A</v>
      </c>
      <c r="H540" s="148" t="str" cm="1">
        <f t="array" ref="H540">IF(Table117821341[[#This Row],[Pos.]]="QB1",_xlfn.XLOOKUP(Table117821341[[#This Row],[Opp]],Table123[DEF],'2425'!$J$3:$J$34),"#N/A")</f>
        <v>#N/A</v>
      </c>
      <c r="I540" s="153" t="str" cm="1">
        <f t="array" ref="I540">IF(Table117821341[[#This Row],[Pos.]]="QB1",_xlfn.XLOOKUP(Table117821341[[#This Row],[Opp]],Table123[DEF],'2425'!$K$3:$K$34),"#N/A")</f>
        <v>#N/A</v>
      </c>
      <c r="J540" s="148" t="e" cm="1">
        <f t="array" ref="J54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0" s="148" t="e" cm="1">
        <f t="array" ref="K54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0" s="148" t="e" cm="1">
        <f t="array" ref="L54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0" s="148" t="e" cm="1">
        <f t="array" ref="M54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0" s="148" t="e" cm="1">
        <f t="array" ref="N54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0" s="149" t="str">
        <f>IF(Table117821341[[#This Row],[Pos.]]="QB1",_xlfn.XLOOKUP(Table117821341[[#This Row],[Opp]],Table123[DEF],Table123[P]),"#N/A")</f>
        <v>#N/A</v>
      </c>
      <c r="P540" s="149" t="str">
        <f>IF(Table117821341[[#This Row],[Pos.]]="QB1",_xlfn.XLOOKUP(Table117821341[[#This Row],[Opp]],Table123[DEF],Table123[P+R]),"#N/A")</f>
        <v>#N/A</v>
      </c>
      <c r="Q540" s="150" t="str">
        <f>IF(Table117821341[[#This Row],[Pos.]]="QB1",_xlfn.XLOOKUP(Table117821341[[#This Row],[Opp]],Table123[DEF],Table123[P TD]),"#N/A")</f>
        <v>#N/A</v>
      </c>
      <c r="R540" s="149" t="e" cm="1">
        <f t="array" ref="R54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0" s="150" t="e" cm="1">
        <f t="array" ref="S54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0" s="150" t="e" cm="1">
        <f t="array" ref="T54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0" s="150" t="e" cm="1">
        <f t="array" ref="U54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0" s="163" t="e" cm="1">
        <f t="array" ref="V54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0" s="148" t="e" cm="1">
        <f t="array" ref="W540">_xlfn.IFS(Table117821341[[#This Row],[Pos.]]="QB1",AVERAGE(G540,H540,I540,J540,N540),Table117821341[[#This Row],[Pos.]]="RB1",AVERAGE(J540,K540,N540),Table117821341[[#This Row],[Pos.]]="RB2",AVERAGE(J540,K540,N540),Table117821341[[#This Row],[Pos.]]="WR1",AVERAGE(L540,M540,N540),Table117821341[[#This Row],[Pos.]]="WR2",AVERAGE(L540,M540,N540),Table117821341[[#This Row],[Pos.]]="WR3",AVERAGE(L540,M540,N540),Table117821341[[#This Row],[Pos.]]="WR4",AVERAGE(L540,M540,N540),Table117821341[[#This Row],[Pos.]]="TE1",AVERAGE(L540,M540,N540),Table117821341[[#This Row],[Pos.]]="TE2",AVERAGE(L540,M540,N540),Table117821341[[#This Row],[Pos.]]="D/ST",AVERAGE(Table117821341[[#This Row],[*TD*]]))</f>
        <v>#N/A</v>
      </c>
      <c r="X540" s="94" t="e">
        <f t="shared" si="8"/>
        <v>#N/A</v>
      </c>
    </row>
    <row r="541" spans="2:24" hidden="1" x14ac:dyDescent="0.35">
      <c r="B541" s="6" t="s">
        <v>589</v>
      </c>
      <c r="C541" s="97" t="s">
        <v>55</v>
      </c>
      <c r="D541" s="143" t="s">
        <v>394</v>
      </c>
      <c r="E541" s="23" t="str" cm="1">
        <f t="array" ref="E541">_xlfn.XLOOKUP(Table117821341[[#This Row],[Team]],Table4334[Team],'2425'!$C$3:$C$34)</f>
        <v>n/a</v>
      </c>
      <c r="F541" s="97" t="str">
        <f>_xlfn.XLOOKUP(Table117821341[[#This Row],[Team]],Table4334[Team],Table4334[OPP])</f>
        <v>n/a</v>
      </c>
      <c r="G541" s="148" t="str" cm="1">
        <f t="array" ref="G541">IF(Table117821341[[#This Row],[Pos.]]="QB1",_xlfn.XLOOKUP(Table117821341[[#This Row],[Opp]],Table123[DEF],'2425'!$G$3:$G$34),"#N/A")</f>
        <v>#N/A</v>
      </c>
      <c r="H541" s="148" t="str" cm="1">
        <f t="array" ref="H541">IF(Table117821341[[#This Row],[Pos.]]="QB1",_xlfn.XLOOKUP(Table117821341[[#This Row],[Opp]],Table123[DEF],'2425'!$J$3:$J$34),"#N/A")</f>
        <v>#N/A</v>
      </c>
      <c r="I541" s="153" t="str" cm="1">
        <f t="array" ref="I541">IF(Table117821341[[#This Row],[Pos.]]="QB1",_xlfn.XLOOKUP(Table117821341[[#This Row],[Opp]],Table123[DEF],'2425'!$K$3:$K$34),"#N/A")</f>
        <v>#N/A</v>
      </c>
      <c r="J541" s="148" t="e" cm="1">
        <f t="array" ref="J54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1" s="148" t="e" cm="1">
        <f t="array" ref="K54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1" s="148" t="e" cm="1">
        <f t="array" ref="L54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1" s="148" t="e" cm="1">
        <f t="array" ref="M54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1" s="148" t="e" cm="1">
        <f t="array" ref="N54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1" s="149" t="str">
        <f>IF(Table117821341[[#This Row],[Pos.]]="QB1",_xlfn.XLOOKUP(Table117821341[[#This Row],[Opp]],Table123[DEF],Table123[P]),"#N/A")</f>
        <v>#N/A</v>
      </c>
      <c r="P541" s="149" t="str">
        <f>IF(Table117821341[[#This Row],[Pos.]]="QB1",_xlfn.XLOOKUP(Table117821341[[#This Row],[Opp]],Table123[DEF],Table123[P+R]),"#N/A")</f>
        <v>#N/A</v>
      </c>
      <c r="Q541" s="150" t="str">
        <f>IF(Table117821341[[#This Row],[Pos.]]="QB1",_xlfn.XLOOKUP(Table117821341[[#This Row],[Opp]],Table123[DEF],Table123[P TD]),"#N/A")</f>
        <v>#N/A</v>
      </c>
      <c r="R541" s="149" t="e" cm="1">
        <f t="array" ref="R54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1" s="150" t="e" cm="1">
        <f t="array" ref="S54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1" s="150" t="e" cm="1">
        <f t="array" ref="T54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1" s="150" t="e" cm="1">
        <f t="array" ref="U54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1" s="154" t="e" cm="1">
        <f t="array" ref="V54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1" s="148" t="e" cm="1">
        <f t="array" ref="W541">_xlfn.IFS(Table117821341[[#This Row],[Pos.]]="QB1",AVERAGE(G541,H541,I541,J541,N541),Table117821341[[#This Row],[Pos.]]="RB1",AVERAGE(J541,K541,N541),Table117821341[[#This Row],[Pos.]]="RB2",AVERAGE(J541,K541,N541),Table117821341[[#This Row],[Pos.]]="WR1",AVERAGE(L541,M541,N541),Table117821341[[#This Row],[Pos.]]="WR2",AVERAGE(L541,M541,N541),Table117821341[[#This Row],[Pos.]]="WR3",AVERAGE(L541,M541,N541),Table117821341[[#This Row],[Pos.]]="WR4",AVERAGE(L541,M541,N541),Table117821341[[#This Row],[Pos.]]="TE1",AVERAGE(L541,M541,N541),Table117821341[[#This Row],[Pos.]]="TE2",AVERAGE(L541,M541,N541),Table117821341[[#This Row],[Pos.]]="D/ST",AVERAGE(Table117821341[[#This Row],[*TD*]]))</f>
        <v>#N/A</v>
      </c>
      <c r="X541" s="94" t="e">
        <f t="shared" si="8"/>
        <v>#N/A</v>
      </c>
    </row>
    <row r="542" spans="2:24" hidden="1" x14ac:dyDescent="0.35">
      <c r="B542" s="6" t="s">
        <v>380</v>
      </c>
      <c r="C542" s="97" t="s">
        <v>55</v>
      </c>
      <c r="D542" s="143" t="s">
        <v>396</v>
      </c>
      <c r="E542" s="23" t="str" cm="1">
        <f t="array" ref="E542">_xlfn.XLOOKUP(Table117821341[[#This Row],[Team]],Table4334[Team],'2425'!$C$3:$C$34)</f>
        <v>n/a</v>
      </c>
      <c r="F542" s="97" t="str">
        <f>_xlfn.XLOOKUP(Table117821341[[#This Row],[Team]],Table4334[Team],Table4334[OPP])</f>
        <v>n/a</v>
      </c>
      <c r="G542" s="148" t="str" cm="1">
        <f t="array" ref="G542">IF(Table117821341[[#This Row],[Pos.]]="QB1",_xlfn.XLOOKUP(Table117821341[[#This Row],[Opp]],Table123[DEF],'2425'!$G$3:$G$34),"#N/A")</f>
        <v>#N/A</v>
      </c>
      <c r="H542" s="148" t="str" cm="1">
        <f t="array" ref="H542">IF(Table117821341[[#This Row],[Pos.]]="QB1",_xlfn.XLOOKUP(Table117821341[[#This Row],[Opp]],Table123[DEF],'2425'!$J$3:$J$34),"#N/A")</f>
        <v>#N/A</v>
      </c>
      <c r="I542" s="153" t="str" cm="1">
        <f t="array" ref="I542">IF(Table117821341[[#This Row],[Pos.]]="QB1",_xlfn.XLOOKUP(Table117821341[[#This Row],[Opp]],Table123[DEF],'2425'!$K$3:$K$34),"#N/A")</f>
        <v>#N/A</v>
      </c>
      <c r="J542" s="148" t="e" cm="1">
        <f t="array" ref="J54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2" s="148" t="e" cm="1">
        <f t="array" ref="K54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2" s="148" t="e" cm="1">
        <f t="array" ref="L54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2" s="148" t="e" cm="1">
        <f t="array" ref="M54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2" s="148" t="e" cm="1">
        <f t="array" ref="N54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2" s="149" t="str">
        <f>IF(Table117821341[[#This Row],[Pos.]]="QB1",_xlfn.XLOOKUP(Table117821341[[#This Row],[Opp]],Table123[DEF],Table123[P]),"#N/A")</f>
        <v>#N/A</v>
      </c>
      <c r="P542" s="149" t="str">
        <f>IF(Table117821341[[#This Row],[Pos.]]="QB1",_xlfn.XLOOKUP(Table117821341[[#This Row],[Opp]],Table123[DEF],Table123[P+R]),"#N/A")</f>
        <v>#N/A</v>
      </c>
      <c r="Q542" s="150" t="str">
        <f>IF(Table117821341[[#This Row],[Pos.]]="QB1",_xlfn.XLOOKUP(Table117821341[[#This Row],[Opp]],Table123[DEF],Table123[P TD]),"#N/A")</f>
        <v>#N/A</v>
      </c>
      <c r="R542" s="149" t="e" cm="1">
        <f t="array" ref="R54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2" s="150" t="e" cm="1">
        <f t="array" ref="S54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2" s="150" t="e" cm="1">
        <f t="array" ref="T54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2" s="150" t="e" cm="1">
        <f t="array" ref="U54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2" s="154" t="e" cm="1">
        <f t="array" ref="V54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2" s="148" t="e" cm="1">
        <f t="array" ref="W542">_xlfn.IFS(Table117821341[[#This Row],[Pos.]]="QB1",AVERAGE(G542,H542,I542,J542,N542),Table117821341[[#This Row],[Pos.]]="RB1",AVERAGE(J542,K542,N542),Table117821341[[#This Row],[Pos.]]="RB2",AVERAGE(J542,K542,N542),Table117821341[[#This Row],[Pos.]]="WR1",AVERAGE(L542,M542,N542),Table117821341[[#This Row],[Pos.]]="WR2",AVERAGE(L542,M542,N542),Table117821341[[#This Row],[Pos.]]="WR3",AVERAGE(L542,M542,N542),Table117821341[[#This Row],[Pos.]]="WR4",AVERAGE(L542,M542,N542),Table117821341[[#This Row],[Pos.]]="TE1",AVERAGE(L542,M542,N542),Table117821341[[#This Row],[Pos.]]="TE2",AVERAGE(L542,M542,N542),Table117821341[[#This Row],[Pos.]]="D/ST",AVERAGE(Table117821341[[#This Row],[*TD*]]))</f>
        <v>#N/A</v>
      </c>
      <c r="X542" s="94" t="e">
        <f t="shared" si="8"/>
        <v>#N/A</v>
      </c>
    </row>
    <row r="543" spans="2:24" hidden="1" x14ac:dyDescent="0.35">
      <c r="B543" s="6" t="s">
        <v>379</v>
      </c>
      <c r="C543" s="97" t="s">
        <v>55</v>
      </c>
      <c r="D543" s="143" t="s">
        <v>407</v>
      </c>
      <c r="E543" s="23" t="str" cm="1">
        <f t="array" ref="E543">_xlfn.XLOOKUP(Table117821341[[#This Row],[Team]],Table4334[Team],'2425'!$C$3:$C$34)</f>
        <v>n/a</v>
      </c>
      <c r="F543" s="97" t="str">
        <f>_xlfn.XLOOKUP(Table117821341[[#This Row],[Team]],Table4334[Team],Table4334[OPP])</f>
        <v>n/a</v>
      </c>
      <c r="G543" s="148" t="str" cm="1">
        <f t="array" ref="G543">IF(Table117821341[[#This Row],[Pos.]]="QB1",_xlfn.XLOOKUP(Table117821341[[#This Row],[Opp]],Table123[DEF],'2425'!$G$3:$G$34),"#N/A")</f>
        <v>#N/A</v>
      </c>
      <c r="H543" s="148" t="str" cm="1">
        <f t="array" ref="H543">IF(Table117821341[[#This Row],[Pos.]]="QB1",_xlfn.XLOOKUP(Table117821341[[#This Row],[Opp]],Table123[DEF],'2425'!$J$3:$J$34),"#N/A")</f>
        <v>#N/A</v>
      </c>
      <c r="I543" s="153" t="str" cm="1">
        <f t="array" ref="I543">IF(Table117821341[[#This Row],[Pos.]]="QB1",_xlfn.XLOOKUP(Table117821341[[#This Row],[Opp]],Table123[DEF],'2425'!$K$3:$K$34),"#N/A")</f>
        <v>#N/A</v>
      </c>
      <c r="J543" s="148" t="e" cm="1">
        <f t="array" ref="J54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3" s="148" t="e" cm="1">
        <f t="array" ref="K54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3" s="148" t="e" cm="1">
        <f t="array" ref="L54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3" s="148" t="e" cm="1">
        <f t="array" ref="M54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3" s="148" t="e" cm="1">
        <f t="array" ref="N54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3" s="149" t="str">
        <f>IF(Table117821341[[#This Row],[Pos.]]="QB1",_xlfn.XLOOKUP(Table117821341[[#This Row],[Opp]],Table123[DEF],Table123[P]),"#N/A")</f>
        <v>#N/A</v>
      </c>
      <c r="P543" s="149" t="str">
        <f>IF(Table117821341[[#This Row],[Pos.]]="QB1",_xlfn.XLOOKUP(Table117821341[[#This Row],[Opp]],Table123[DEF],Table123[P+R]),"#N/A")</f>
        <v>#N/A</v>
      </c>
      <c r="Q543" s="150" t="str">
        <f>IF(Table117821341[[#This Row],[Pos.]]="QB1",_xlfn.XLOOKUP(Table117821341[[#This Row],[Opp]],Table123[DEF],Table123[P TD]),"#N/A")</f>
        <v>#N/A</v>
      </c>
      <c r="R543" s="149" t="e" cm="1">
        <f t="array" ref="R54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3" s="150" t="e" cm="1">
        <f t="array" ref="S54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3" s="150" t="e" cm="1">
        <f t="array" ref="T54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3" s="150" t="e" cm="1">
        <f t="array" ref="U54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3" s="154" t="e" cm="1">
        <f t="array" ref="V54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3" s="148" t="e" cm="1">
        <f t="array" ref="W543">_xlfn.IFS(Table117821341[[#This Row],[Pos.]]="QB1",AVERAGE(G543,H543,I543,J543,N543),Table117821341[[#This Row],[Pos.]]="RB1",AVERAGE(J543,K543,N543),Table117821341[[#This Row],[Pos.]]="RB2",AVERAGE(J543,K543,N543),Table117821341[[#This Row],[Pos.]]="WR1",AVERAGE(L543,M543,N543),Table117821341[[#This Row],[Pos.]]="WR2",AVERAGE(L543,M543,N543),Table117821341[[#This Row],[Pos.]]="WR3",AVERAGE(L543,M543,N543),Table117821341[[#This Row],[Pos.]]="WR4",AVERAGE(L543,M543,N543),Table117821341[[#This Row],[Pos.]]="TE1",AVERAGE(L543,M543,N543),Table117821341[[#This Row],[Pos.]]="TE2",AVERAGE(L543,M543,N543),Table117821341[[#This Row],[Pos.]]="D/ST",AVERAGE(Table117821341[[#This Row],[*TD*]]))</f>
        <v>#N/A</v>
      </c>
      <c r="X543" s="94" t="e">
        <f t="shared" ref="X543:X567" si="9">AVERAGE(N543,W543)</f>
        <v>#N/A</v>
      </c>
    </row>
    <row r="544" spans="2:24" x14ac:dyDescent="0.35">
      <c r="B544" s="6" t="s">
        <v>727</v>
      </c>
      <c r="C544" s="97" t="s">
        <v>46</v>
      </c>
      <c r="D544" s="143" t="s">
        <v>71</v>
      </c>
      <c r="E544" s="23" t="str" cm="1">
        <f t="array" ref="E544">_xlfn.XLOOKUP(Table117821341[[#This Row],[Team]],Table4334[Team],'2425'!$C$3:$C$34)</f>
        <v>SB LX</v>
      </c>
      <c r="F544" s="97" t="str">
        <f>_xlfn.XLOOKUP(Table117821341[[#This Row],[Team]],Table4334[Team],Table4334[OPP])</f>
        <v>SEA</v>
      </c>
      <c r="G544" s="148" t="str" cm="1">
        <f t="array" ref="G544">IF(Table117821341[[#This Row],[Pos.]]="QB1",_xlfn.XLOOKUP(Table117821341[[#This Row],[Opp]],Table123[DEF],'2425'!$G$3:$G$34),"#N/A")</f>
        <v>#N/A</v>
      </c>
      <c r="H544" s="148" t="str" cm="1">
        <f t="array" ref="H544">IF(Table117821341[[#This Row],[Pos.]]="QB1",_xlfn.XLOOKUP(Table117821341[[#This Row],[Opp]],Table123[DEF],'2425'!$J$3:$J$34),"#N/A")</f>
        <v>#N/A</v>
      </c>
      <c r="I544" s="153" t="str" cm="1">
        <f t="array" ref="I544">IF(Table117821341[[#This Row],[Pos.]]="QB1",_xlfn.XLOOKUP(Table117821341[[#This Row],[Opp]],Table123[DEF],'2425'!$K$3:$K$34),"#N/A")</f>
        <v>#N/A</v>
      </c>
      <c r="J544" s="148" t="e" cm="1">
        <f t="array" ref="J54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4" s="148" t="e" cm="1">
        <f t="array" ref="K54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4" s="148" t="e" cm="1">
        <f t="array" ref="L54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4" s="148" t="e" cm="1">
        <f t="array" ref="M54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4" s="148" cm="1">
        <f t="array" ref="N54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11</v>
      </c>
      <c r="O544" s="149" t="str">
        <f>IF(Table117821341[[#This Row],[Pos.]]="QB1",_xlfn.XLOOKUP(Table117821341[[#This Row],[Opp]],Table123[DEF],Table123[P]),"#N/A")</f>
        <v>#N/A</v>
      </c>
      <c r="P544" s="149" t="str">
        <f>IF(Table117821341[[#This Row],[Pos.]]="QB1",_xlfn.XLOOKUP(Table117821341[[#This Row],[Opp]],Table123[DEF],Table123[P+R]),"#N/A")</f>
        <v>#N/A</v>
      </c>
      <c r="Q544" s="150" t="str">
        <f>IF(Table117821341[[#This Row],[Pos.]]="QB1",_xlfn.XLOOKUP(Table117821341[[#This Row],[Opp]],Table123[DEF],Table123[P TD]),"#N/A")</f>
        <v>#N/A</v>
      </c>
      <c r="R544" s="149" t="e" cm="1">
        <f t="array" ref="R54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4" s="150" t="e" cm="1">
        <f t="array" ref="S54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4" s="150" t="e" cm="1">
        <f t="array" ref="T54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4" s="150" t="e" cm="1">
        <f t="array" ref="U54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4" s="163" cm="1">
        <f t="array" ref="V54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0.14705882352941177</v>
      </c>
      <c r="W544" s="148" cm="1">
        <f t="array" ref="W544">_xlfn.IFS(Table117821341[[#This Row],[Pos.]]="QB1",AVERAGE(G544,H544,I544,J544,N544),Table117821341[[#This Row],[Pos.]]="RB1",AVERAGE(J544,K544,N544),Table117821341[[#This Row],[Pos.]]="RB2",AVERAGE(J544,K544,N544),Table117821341[[#This Row],[Pos.]]="WR1",AVERAGE(L544,M544,N544),Table117821341[[#This Row],[Pos.]]="WR2",AVERAGE(L544,M544,N544),Table117821341[[#This Row],[Pos.]]="WR3",AVERAGE(L544,M544,N544),Table117821341[[#This Row],[Pos.]]="WR4",AVERAGE(L544,M544,N544),Table117821341[[#This Row],[Pos.]]="TE1",AVERAGE(L544,M544,N544),Table117821341[[#This Row],[Pos.]]="TE2",AVERAGE(L544,M544,N544),Table117821341[[#This Row],[Pos.]]="D/ST",AVERAGE(Table117821341[[#This Row],[*TD*]]))</f>
        <v>11</v>
      </c>
      <c r="X544" s="94">
        <f t="shared" si="9"/>
        <v>11</v>
      </c>
    </row>
    <row r="545" spans="2:24" hidden="1" x14ac:dyDescent="0.35">
      <c r="B545" s="6" t="s">
        <v>594</v>
      </c>
      <c r="C545" s="97" t="s">
        <v>55</v>
      </c>
      <c r="D545" s="143" t="s">
        <v>398</v>
      </c>
      <c r="E545" s="23" t="str" cm="1">
        <f t="array" ref="E545">_xlfn.XLOOKUP(Table117821341[[#This Row],[Team]],Table4334[Team],'2425'!$C$3:$C$34)</f>
        <v>n/a</v>
      </c>
      <c r="F545" s="97" t="str">
        <f>_xlfn.XLOOKUP(Table117821341[[#This Row],[Team]],Table4334[Team],Table4334[OPP])</f>
        <v>n/a</v>
      </c>
      <c r="G545" s="148" t="str" cm="1">
        <f t="array" ref="G545">IF(Table117821341[[#This Row],[Pos.]]="QB1",_xlfn.XLOOKUP(Table117821341[[#This Row],[Opp]],Table123[DEF],'2425'!$G$3:$G$34),"#N/A")</f>
        <v>#N/A</v>
      </c>
      <c r="H545" s="148" t="str" cm="1">
        <f t="array" ref="H545">IF(Table117821341[[#This Row],[Pos.]]="QB1",_xlfn.XLOOKUP(Table117821341[[#This Row],[Opp]],Table123[DEF],'2425'!$J$3:$J$34),"#N/A")</f>
        <v>#N/A</v>
      </c>
      <c r="I545" s="153" t="str" cm="1">
        <f t="array" ref="I545">IF(Table117821341[[#This Row],[Pos.]]="QB1",_xlfn.XLOOKUP(Table117821341[[#This Row],[Opp]],Table123[DEF],'2425'!$K$3:$K$34),"#N/A")</f>
        <v>#N/A</v>
      </c>
      <c r="J545" s="148" t="e" cm="1">
        <f t="array" ref="J54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5" s="148" t="e" cm="1">
        <f t="array" ref="K54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5" s="148" t="e" cm="1">
        <f t="array" ref="L54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5" s="148" t="e" cm="1">
        <f t="array" ref="M54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5" s="148" t="e" cm="1">
        <f t="array" ref="N54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5" s="149" t="str">
        <f>IF(Table117821341[[#This Row],[Pos.]]="QB1",_xlfn.XLOOKUP(Table117821341[[#This Row],[Opp]],Table123[DEF],Table123[P]),"#N/A")</f>
        <v>#N/A</v>
      </c>
      <c r="P545" s="149" t="str">
        <f>IF(Table117821341[[#This Row],[Pos.]]="QB1",_xlfn.XLOOKUP(Table117821341[[#This Row],[Opp]],Table123[DEF],Table123[P+R]),"#N/A")</f>
        <v>#N/A</v>
      </c>
      <c r="Q545" s="150" t="str">
        <f>IF(Table117821341[[#This Row],[Pos.]]="QB1",_xlfn.XLOOKUP(Table117821341[[#This Row],[Opp]],Table123[DEF],Table123[P TD]),"#N/A")</f>
        <v>#N/A</v>
      </c>
      <c r="R545" s="149" t="e" cm="1">
        <f t="array" ref="R54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5" s="150" t="e" cm="1">
        <f t="array" ref="S54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5" s="150" t="e" cm="1">
        <f t="array" ref="T54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5" s="150" t="e" cm="1">
        <f t="array" ref="U54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5" s="154" t="e" cm="1">
        <f t="array" ref="V54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5" s="148" t="e" cm="1">
        <f t="array" ref="W545">_xlfn.IFS(Table117821341[[#This Row],[Pos.]]="QB1",AVERAGE(G545,H545,I545,J545,N545),Table117821341[[#This Row],[Pos.]]="RB1",AVERAGE(J545,K545,N545),Table117821341[[#This Row],[Pos.]]="RB2",AVERAGE(J545,K545,N545),Table117821341[[#This Row],[Pos.]]="WR1",AVERAGE(L545,M545,N545),Table117821341[[#This Row],[Pos.]]="WR2",AVERAGE(L545,M545,N545),Table117821341[[#This Row],[Pos.]]="WR3",AVERAGE(L545,M545,N545),Table117821341[[#This Row],[Pos.]]="WR4",AVERAGE(L545,M545,N545),Table117821341[[#This Row],[Pos.]]="TE1",AVERAGE(L545,M545,N545),Table117821341[[#This Row],[Pos.]]="TE2",AVERAGE(L545,M545,N545),Table117821341[[#This Row],[Pos.]]="D/ST",AVERAGE(Table117821341[[#This Row],[*TD*]]))</f>
        <v>#N/A</v>
      </c>
      <c r="X545" s="94" t="e">
        <f t="shared" si="9"/>
        <v>#N/A</v>
      </c>
    </row>
    <row r="546" spans="2:24" hidden="1" x14ac:dyDescent="0.35">
      <c r="B546" s="6" t="s">
        <v>595</v>
      </c>
      <c r="C546" s="97" t="s">
        <v>55</v>
      </c>
      <c r="D546" s="143" t="s">
        <v>430</v>
      </c>
      <c r="E546" s="23" t="str" cm="1">
        <f t="array" ref="E546">_xlfn.XLOOKUP(Table117821341[[#This Row],[Team]],Table4334[Team],'2425'!$C$3:$C$34)</f>
        <v>n/a</v>
      </c>
      <c r="F546" s="97" t="str">
        <f>_xlfn.XLOOKUP(Table117821341[[#This Row],[Team]],Table4334[Team],Table4334[OPP])</f>
        <v>n/a</v>
      </c>
      <c r="G546" s="148" t="str" cm="1">
        <f t="array" ref="G546">IF(Table117821341[[#This Row],[Pos.]]="QB1",_xlfn.XLOOKUP(Table117821341[[#This Row],[Opp]],Table123[DEF],'2425'!$G$3:$G$34),"#N/A")</f>
        <v>#N/A</v>
      </c>
      <c r="H546" s="148" t="str" cm="1">
        <f t="array" ref="H546">IF(Table117821341[[#This Row],[Pos.]]="QB1",_xlfn.XLOOKUP(Table117821341[[#This Row],[Opp]],Table123[DEF],'2425'!$J$3:$J$34),"#N/A")</f>
        <v>#N/A</v>
      </c>
      <c r="I546" s="153" t="str" cm="1">
        <f t="array" ref="I546">IF(Table117821341[[#This Row],[Pos.]]="QB1",_xlfn.XLOOKUP(Table117821341[[#This Row],[Opp]],Table123[DEF],'2425'!$K$3:$K$34),"#N/A")</f>
        <v>#N/A</v>
      </c>
      <c r="J546" s="148" t="e" cm="1">
        <f t="array" ref="J54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6" s="148" t="e" cm="1">
        <f t="array" ref="K54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6" s="148" t="e" cm="1">
        <f t="array" ref="L54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6" s="148" t="e" cm="1">
        <f t="array" ref="M54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6" s="148" t="e" cm="1">
        <f t="array" ref="N54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6" s="149" t="str">
        <f>IF(Table117821341[[#This Row],[Pos.]]="QB1",_xlfn.XLOOKUP(Table117821341[[#This Row],[Opp]],Table123[DEF],Table123[P]),"#N/A")</f>
        <v>#N/A</v>
      </c>
      <c r="P546" s="149" t="str">
        <f>IF(Table117821341[[#This Row],[Pos.]]="QB1",_xlfn.XLOOKUP(Table117821341[[#This Row],[Opp]],Table123[DEF],Table123[P+R]),"#N/A")</f>
        <v>#N/A</v>
      </c>
      <c r="Q546" s="150" t="str">
        <f>IF(Table117821341[[#This Row],[Pos.]]="QB1",_xlfn.XLOOKUP(Table117821341[[#This Row],[Opp]],Table123[DEF],Table123[P TD]),"#N/A")</f>
        <v>#N/A</v>
      </c>
      <c r="R546" s="149" t="e" cm="1">
        <f t="array" ref="R54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6" s="150" t="e" cm="1">
        <f t="array" ref="S54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6" s="150" t="e" cm="1">
        <f t="array" ref="T54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6" s="150" t="e" cm="1">
        <f t="array" ref="U54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6" s="154" t="e" cm="1">
        <f t="array" ref="V54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6" s="148" t="e" cm="1">
        <f t="array" ref="W546">_xlfn.IFS(Table117821341[[#This Row],[Pos.]]="QB1",AVERAGE(G546,H546,I546,J546,N546),Table117821341[[#This Row],[Pos.]]="RB1",AVERAGE(J546,K546,N546),Table117821341[[#This Row],[Pos.]]="RB2",AVERAGE(J546,K546,N546),Table117821341[[#This Row],[Pos.]]="WR1",AVERAGE(L546,M546,N546),Table117821341[[#This Row],[Pos.]]="WR2",AVERAGE(L546,M546,N546),Table117821341[[#This Row],[Pos.]]="WR3",AVERAGE(L546,M546,N546),Table117821341[[#This Row],[Pos.]]="WR4",AVERAGE(L546,M546,N546),Table117821341[[#This Row],[Pos.]]="TE1",AVERAGE(L546,M546,N546),Table117821341[[#This Row],[Pos.]]="TE2",AVERAGE(L546,M546,N546),Table117821341[[#This Row],[Pos.]]="D/ST",AVERAGE(Table117821341[[#This Row],[*TD*]]))</f>
        <v>#N/A</v>
      </c>
      <c r="X546" s="94" t="e">
        <f t="shared" si="9"/>
        <v>#N/A</v>
      </c>
    </row>
    <row r="547" spans="2:24" x14ac:dyDescent="0.35">
      <c r="B547" s="6" t="s">
        <v>223</v>
      </c>
      <c r="C547" s="97" t="s">
        <v>37</v>
      </c>
      <c r="D547" s="143" t="s">
        <v>401</v>
      </c>
      <c r="E547" s="23" t="str" cm="1">
        <f t="array" ref="E547">_xlfn.XLOOKUP(Table117821341[[#This Row],[Team]],Table4334[Team],'2425'!$C$3:$C$34)</f>
        <v>n/a</v>
      </c>
      <c r="F547" s="97" t="str">
        <f>_xlfn.XLOOKUP(Table117821341[[#This Row],[Team]],Table4334[Team],Table4334[OPP])</f>
        <v>n/a</v>
      </c>
      <c r="G547" s="148" t="str" cm="1">
        <f t="array" ref="G547">IF(Table117821341[[#This Row],[Pos.]]="QB1",_xlfn.XLOOKUP(Table117821341[[#This Row],[Opp]],Table123[DEF],'2425'!$G$3:$G$34),"#N/A")</f>
        <v>#N/A</v>
      </c>
      <c r="H547" s="148" t="str" cm="1">
        <f t="array" ref="H547">IF(Table117821341[[#This Row],[Pos.]]="QB1",_xlfn.XLOOKUP(Table117821341[[#This Row],[Opp]],Table123[DEF],'2425'!$J$3:$J$34),"#N/A")</f>
        <v>#N/A</v>
      </c>
      <c r="I547" s="153" t="str" cm="1">
        <f t="array" ref="I547">IF(Table117821341[[#This Row],[Pos.]]="QB1",_xlfn.XLOOKUP(Table117821341[[#This Row],[Opp]],Table123[DEF],'2425'!$K$3:$K$34),"#N/A")</f>
        <v>#N/A</v>
      </c>
      <c r="J547" s="148" t="e" cm="1">
        <f t="array" ref="J54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7" s="148" t="e" cm="1">
        <f t="array" ref="K54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7" s="148" t="e" cm="1">
        <f t="array" ref="L54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7" s="148" t="e" cm="1">
        <f t="array" ref="M54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7" s="148" t="e" cm="1">
        <f t="array" ref="N54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7" s="149" t="str">
        <f>IF(Table117821341[[#This Row],[Pos.]]="QB1",_xlfn.XLOOKUP(Table117821341[[#This Row],[Opp]],Table123[DEF],Table123[P]),"#N/A")</f>
        <v>#N/A</v>
      </c>
      <c r="P547" s="149" t="str">
        <f>IF(Table117821341[[#This Row],[Pos.]]="QB1",_xlfn.XLOOKUP(Table117821341[[#This Row],[Opp]],Table123[DEF],Table123[P+R]),"#N/A")</f>
        <v>#N/A</v>
      </c>
      <c r="Q547" s="150" t="str">
        <f>IF(Table117821341[[#This Row],[Pos.]]="QB1",_xlfn.XLOOKUP(Table117821341[[#This Row],[Opp]],Table123[DEF],Table123[P TD]),"#N/A")</f>
        <v>#N/A</v>
      </c>
      <c r="R547" s="149" t="e" cm="1">
        <f t="array" ref="R54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7" s="150" t="e" cm="1">
        <f t="array" ref="S54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7" s="150" t="e" cm="1">
        <f t="array" ref="T54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7" s="150" t="e" cm="1">
        <f t="array" ref="U54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7" s="163" t="e" cm="1">
        <f t="array" ref="V54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7" s="148" t="e" cm="1">
        <f t="array" ref="W547">_xlfn.IFS(Table117821341[[#This Row],[Pos.]]="QB1",AVERAGE(G547,H547,I547,J547,N547),Table117821341[[#This Row],[Pos.]]="RB1",AVERAGE(J547,K547,N547),Table117821341[[#This Row],[Pos.]]="RB2",AVERAGE(J547,K547,N547),Table117821341[[#This Row],[Pos.]]="WR1",AVERAGE(L547,M547,N547),Table117821341[[#This Row],[Pos.]]="WR2",AVERAGE(L547,M547,N547),Table117821341[[#This Row],[Pos.]]="WR3",AVERAGE(L547,M547,N547),Table117821341[[#This Row],[Pos.]]="WR4",AVERAGE(L547,M547,N547),Table117821341[[#This Row],[Pos.]]="TE1",AVERAGE(L547,M547,N547),Table117821341[[#This Row],[Pos.]]="TE2",AVERAGE(L547,M547,N547),Table117821341[[#This Row],[Pos.]]="D/ST",AVERAGE(Table117821341[[#This Row],[*TD*]]))</f>
        <v>#N/A</v>
      </c>
      <c r="X547" s="94" t="e">
        <f t="shared" si="9"/>
        <v>#N/A</v>
      </c>
    </row>
    <row r="548" spans="2:24" hidden="1" x14ac:dyDescent="0.35">
      <c r="B548" s="6" t="s">
        <v>492</v>
      </c>
      <c r="C548" s="97" t="s">
        <v>51</v>
      </c>
      <c r="D548" s="143" t="s">
        <v>401</v>
      </c>
      <c r="E548" s="23" t="str" cm="1">
        <f t="array" ref="E548">_xlfn.XLOOKUP(Table117821341[[#This Row],[Team]],Table4334[Team],'2425'!$C$3:$C$34)</f>
        <v>n/a</v>
      </c>
      <c r="F548" s="97" t="str">
        <f>_xlfn.XLOOKUP(Table117821341[[#This Row],[Team]],Table4334[Team],Table4334[OPP])</f>
        <v>n/a</v>
      </c>
      <c r="G548" s="148" t="str" cm="1">
        <f t="array" ref="G548">IF(Table117821341[[#This Row],[Pos.]]="QB1",_xlfn.XLOOKUP(Table117821341[[#This Row],[Opp]],Table123[DEF],'2425'!$G$3:$G$34),"#N/A")</f>
        <v>#N/A</v>
      </c>
      <c r="H548" s="148" t="str" cm="1">
        <f t="array" ref="H548">IF(Table117821341[[#This Row],[Pos.]]="QB1",_xlfn.XLOOKUP(Table117821341[[#This Row],[Opp]],Table123[DEF],'2425'!$J$3:$J$34),"#N/A")</f>
        <v>#N/A</v>
      </c>
      <c r="I548" s="153" t="str" cm="1">
        <f t="array" ref="I548">IF(Table117821341[[#This Row],[Pos.]]="QB1",_xlfn.XLOOKUP(Table117821341[[#This Row],[Opp]],Table123[DEF],'2425'!$K$3:$K$34),"#N/A")</f>
        <v>#N/A</v>
      </c>
      <c r="J548" s="148" t="e" cm="1">
        <f t="array" ref="J54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8" s="148" t="e" cm="1">
        <f t="array" ref="K54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8" s="148" t="e" cm="1">
        <f t="array" ref="L54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8" s="148" t="e" cm="1">
        <f t="array" ref="M54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8" s="148" t="e" cm="1">
        <f t="array" ref="N54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8" s="149" t="str">
        <f>IF(Table117821341[[#This Row],[Pos.]]="QB1",_xlfn.XLOOKUP(Table117821341[[#This Row],[Opp]],Table123[DEF],Table123[P]),"#N/A")</f>
        <v>#N/A</v>
      </c>
      <c r="P548" s="149" t="str">
        <f>IF(Table117821341[[#This Row],[Pos.]]="QB1",_xlfn.XLOOKUP(Table117821341[[#This Row],[Opp]],Table123[DEF],Table123[P+R]),"#N/A")</f>
        <v>#N/A</v>
      </c>
      <c r="Q548" s="150" t="str">
        <f>IF(Table117821341[[#This Row],[Pos.]]="QB1",_xlfn.XLOOKUP(Table117821341[[#This Row],[Opp]],Table123[DEF],Table123[P TD]),"#N/A")</f>
        <v>#N/A</v>
      </c>
      <c r="R548" s="149" t="e" cm="1">
        <f t="array" ref="R54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8" s="150" t="e" cm="1">
        <f t="array" ref="S54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8" s="150" t="e" cm="1">
        <f t="array" ref="T54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8" s="150" t="e" cm="1">
        <f t="array" ref="U54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8" s="163" t="e" cm="1">
        <f t="array" ref="V54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8" s="148" t="e" cm="1">
        <f t="array" ref="W548">_xlfn.IFS(Table117821341[[#This Row],[Pos.]]="QB1",AVERAGE(G548,H548,I548,J548,N548),Table117821341[[#This Row],[Pos.]]="RB1",AVERAGE(J548,K548,N548),Table117821341[[#This Row],[Pos.]]="RB2",AVERAGE(J548,K548,N548),Table117821341[[#This Row],[Pos.]]="WR1",AVERAGE(L548,M548,N548),Table117821341[[#This Row],[Pos.]]="WR2",AVERAGE(L548,M548,N548),Table117821341[[#This Row],[Pos.]]="WR3",AVERAGE(L548,M548,N548),Table117821341[[#This Row],[Pos.]]="WR4",AVERAGE(L548,M548,N548),Table117821341[[#This Row],[Pos.]]="TE1",AVERAGE(L548,M548,N548),Table117821341[[#This Row],[Pos.]]="TE2",AVERAGE(L548,M548,N548),Table117821341[[#This Row],[Pos.]]="D/ST",AVERAGE(Table117821341[[#This Row],[*TD*]]))</f>
        <v>#N/A</v>
      </c>
      <c r="X548" s="94" t="e">
        <f t="shared" si="9"/>
        <v>#N/A</v>
      </c>
    </row>
    <row r="549" spans="2:24" x14ac:dyDescent="0.35">
      <c r="B549" s="6" t="s">
        <v>400</v>
      </c>
      <c r="C549" s="97" t="s">
        <v>17</v>
      </c>
      <c r="D549" s="143" t="s">
        <v>401</v>
      </c>
      <c r="E549" s="23" t="str" cm="1">
        <f t="array" ref="E549">_xlfn.XLOOKUP(Table117821341[[#This Row],[Team]],Table4334[Team],'2425'!$C$3:$C$34)</f>
        <v>n/a</v>
      </c>
      <c r="F549" s="97" t="str">
        <f>_xlfn.XLOOKUP(Table117821341[[#This Row],[Team]],Table4334[Team],Table4334[OPP])</f>
        <v>n/a</v>
      </c>
      <c r="G549" s="148" t="str" cm="1">
        <f t="array" ref="G549">IF(Table117821341[[#This Row],[Pos.]]="QB1",_xlfn.XLOOKUP(Table117821341[[#This Row],[Opp]],Table123[DEF],'2425'!$G$3:$G$34),"#N/A")</f>
        <v>#N/A</v>
      </c>
      <c r="H549" s="148" t="str" cm="1">
        <f t="array" ref="H549">IF(Table117821341[[#This Row],[Pos.]]="QB1",_xlfn.XLOOKUP(Table117821341[[#This Row],[Opp]],Table123[DEF],'2425'!$J$3:$J$34),"#N/A")</f>
        <v>#N/A</v>
      </c>
      <c r="I549" s="153" t="str" cm="1">
        <f t="array" ref="I549">IF(Table117821341[[#This Row],[Pos.]]="QB1",_xlfn.XLOOKUP(Table117821341[[#This Row],[Opp]],Table123[DEF],'2425'!$K$3:$K$34),"#N/A")</f>
        <v>#N/A</v>
      </c>
      <c r="J549" s="148" t="e" cm="1">
        <f t="array" ref="J54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49" s="148" t="e" cm="1">
        <f t="array" ref="K54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49" s="148" t="e" cm="1">
        <f t="array" ref="L54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49" s="148" t="e" cm="1">
        <f t="array" ref="M54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49" s="148" t="e" cm="1">
        <f t="array" ref="N54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49" s="149" t="str">
        <f>IF(Table117821341[[#This Row],[Pos.]]="QB1",_xlfn.XLOOKUP(Table117821341[[#This Row],[Opp]],Table123[DEF],Table123[P]),"#N/A")</f>
        <v>#N/A</v>
      </c>
      <c r="P549" s="149" t="str">
        <f>IF(Table117821341[[#This Row],[Pos.]]="QB1",_xlfn.XLOOKUP(Table117821341[[#This Row],[Opp]],Table123[DEF],Table123[P+R]),"#N/A")</f>
        <v>#N/A</v>
      </c>
      <c r="Q549" s="150" t="str">
        <f>IF(Table117821341[[#This Row],[Pos.]]="QB1",_xlfn.XLOOKUP(Table117821341[[#This Row],[Opp]],Table123[DEF],Table123[P TD]),"#N/A")</f>
        <v>#N/A</v>
      </c>
      <c r="R549" s="149" t="e" cm="1">
        <f t="array" ref="R54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49" s="150" t="e" cm="1">
        <f t="array" ref="S54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49" s="150" t="e" cm="1">
        <f t="array" ref="T54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49" s="150" t="e" cm="1">
        <f t="array" ref="U54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49" s="163" t="e" cm="1">
        <f t="array" ref="V54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49" s="148" t="e" cm="1">
        <f t="array" ref="W549">_xlfn.IFS(Table117821341[[#This Row],[Pos.]]="QB1",AVERAGE(G549,H549,I549,J549,N549),Table117821341[[#This Row],[Pos.]]="RB1",AVERAGE(J549,K549,N549),Table117821341[[#This Row],[Pos.]]="RB2",AVERAGE(J549,K549,N549),Table117821341[[#This Row],[Pos.]]="WR1",AVERAGE(L549,M549,N549),Table117821341[[#This Row],[Pos.]]="WR2",AVERAGE(L549,M549,N549),Table117821341[[#This Row],[Pos.]]="WR3",AVERAGE(L549,M549,N549),Table117821341[[#This Row],[Pos.]]="WR4",AVERAGE(L549,M549,N549),Table117821341[[#This Row],[Pos.]]="TE1",AVERAGE(L549,M549,N549),Table117821341[[#This Row],[Pos.]]="TE2",AVERAGE(L549,M549,N549),Table117821341[[#This Row],[Pos.]]="D/ST",AVERAGE(Table117821341[[#This Row],[*TD*]]))</f>
        <v>#N/A</v>
      </c>
      <c r="X549" s="94" t="e">
        <f t="shared" si="9"/>
        <v>#N/A</v>
      </c>
    </row>
    <row r="550" spans="2:24" hidden="1" x14ac:dyDescent="0.35">
      <c r="B550" s="6" t="s">
        <v>214</v>
      </c>
      <c r="C550" s="97" t="s">
        <v>36</v>
      </c>
      <c r="D550" s="143" t="s">
        <v>401</v>
      </c>
      <c r="E550" s="23" t="str" cm="1">
        <f t="array" ref="E550">_xlfn.XLOOKUP(Table117821341[[#This Row],[Team]],Table4334[Team],'2425'!$C$3:$C$34)</f>
        <v>n/a</v>
      </c>
      <c r="F550" s="97" t="str">
        <f>_xlfn.XLOOKUP(Table117821341[[#This Row],[Team]],Table4334[Team],Table4334[OPP])</f>
        <v>n/a</v>
      </c>
      <c r="G550" s="148" t="str" cm="1">
        <f t="array" ref="G550">IF(Table117821341[[#This Row],[Pos.]]="QB1",_xlfn.XLOOKUP(Table117821341[[#This Row],[Opp]],Table123[DEF],'2425'!$G$3:$G$34),"#N/A")</f>
        <v>#N/A</v>
      </c>
      <c r="H550" s="148" t="str" cm="1">
        <f t="array" ref="H550">IF(Table117821341[[#This Row],[Pos.]]="QB1",_xlfn.XLOOKUP(Table117821341[[#This Row],[Opp]],Table123[DEF],'2425'!$J$3:$J$34),"#N/A")</f>
        <v>#N/A</v>
      </c>
      <c r="I550" s="153" t="str" cm="1">
        <f t="array" ref="I550">IF(Table117821341[[#This Row],[Pos.]]="QB1",_xlfn.XLOOKUP(Table117821341[[#This Row],[Opp]],Table123[DEF],'2425'!$K$3:$K$34),"#N/A")</f>
        <v>#N/A</v>
      </c>
      <c r="J550" s="148" t="e" cm="1">
        <f t="array" ref="J55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0" s="148" t="e" cm="1">
        <f t="array" ref="K55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0" s="148" t="e" cm="1">
        <f t="array" ref="L55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0" s="148" t="e" cm="1">
        <f t="array" ref="M55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0" s="148" t="e" cm="1">
        <f t="array" ref="N55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0" s="149" t="str">
        <f>IF(Table117821341[[#This Row],[Pos.]]="QB1",_xlfn.XLOOKUP(Table117821341[[#This Row],[Opp]],Table123[DEF],Table123[P]),"#N/A")</f>
        <v>#N/A</v>
      </c>
      <c r="P550" s="149" t="str">
        <f>IF(Table117821341[[#This Row],[Pos.]]="QB1",_xlfn.XLOOKUP(Table117821341[[#This Row],[Opp]],Table123[DEF],Table123[P+R]),"#N/A")</f>
        <v>#N/A</v>
      </c>
      <c r="Q550" s="150" t="str">
        <f>IF(Table117821341[[#This Row],[Pos.]]="QB1",_xlfn.XLOOKUP(Table117821341[[#This Row],[Opp]],Table123[DEF],Table123[P TD]),"#N/A")</f>
        <v>#N/A</v>
      </c>
      <c r="R550" s="149" t="e" cm="1">
        <f t="array" ref="R55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0" s="150" t="e" cm="1">
        <f t="array" ref="S55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0" s="150" t="e" cm="1">
        <f t="array" ref="T55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0" s="150" t="e" cm="1">
        <f t="array" ref="U55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0" s="163" t="e" cm="1">
        <f t="array" ref="V55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0" s="148" t="e" cm="1">
        <f t="array" ref="W550">_xlfn.IFS(Table117821341[[#This Row],[Pos.]]="QB1",AVERAGE(G550,H550,I550,J550,N550),Table117821341[[#This Row],[Pos.]]="RB1",AVERAGE(J550,K550,N550),Table117821341[[#This Row],[Pos.]]="RB2",AVERAGE(J550,K550,N550),Table117821341[[#This Row],[Pos.]]="WR1",AVERAGE(L550,M550,N550),Table117821341[[#This Row],[Pos.]]="WR2",AVERAGE(L550,M550,N550),Table117821341[[#This Row],[Pos.]]="WR3",AVERAGE(L550,M550,N550),Table117821341[[#This Row],[Pos.]]="WR4",AVERAGE(L550,M550,N550),Table117821341[[#This Row],[Pos.]]="TE1",AVERAGE(L550,M550,N550),Table117821341[[#This Row],[Pos.]]="TE2",AVERAGE(L550,M550,N550),Table117821341[[#This Row],[Pos.]]="D/ST",AVERAGE(Table117821341[[#This Row],[*TD*]]))</f>
        <v>#N/A</v>
      </c>
      <c r="X550" s="94" t="e">
        <f t="shared" si="9"/>
        <v>#N/A</v>
      </c>
    </row>
    <row r="551" spans="2:24" hidden="1" x14ac:dyDescent="0.35">
      <c r="B551" s="6" t="s">
        <v>592</v>
      </c>
      <c r="C551" s="97" t="s">
        <v>55</v>
      </c>
      <c r="D551" s="143" t="s">
        <v>403</v>
      </c>
      <c r="E551" s="23" t="str" cm="1">
        <f t="array" ref="E551">_xlfn.XLOOKUP(Table117821341[[#This Row],[Team]],Table4334[Team],'2425'!$C$3:$C$34)</f>
        <v>n/a</v>
      </c>
      <c r="F551" s="97" t="str">
        <f>_xlfn.XLOOKUP(Table117821341[[#This Row],[Team]],Table4334[Team],Table4334[OPP])</f>
        <v>n/a</v>
      </c>
      <c r="G551" s="148" t="str" cm="1">
        <f t="array" ref="G551">IF(Table117821341[[#This Row],[Pos.]]="QB1",_xlfn.XLOOKUP(Table117821341[[#This Row],[Opp]],Table123[DEF],'2425'!$G$3:$G$34),"#N/A")</f>
        <v>#N/A</v>
      </c>
      <c r="H551" s="148" t="str" cm="1">
        <f t="array" ref="H551">IF(Table117821341[[#This Row],[Pos.]]="QB1",_xlfn.XLOOKUP(Table117821341[[#This Row],[Opp]],Table123[DEF],'2425'!$J$3:$J$34),"#N/A")</f>
        <v>#N/A</v>
      </c>
      <c r="I551" s="153" t="str" cm="1">
        <f t="array" ref="I551">IF(Table117821341[[#This Row],[Pos.]]="QB1",_xlfn.XLOOKUP(Table117821341[[#This Row],[Opp]],Table123[DEF],'2425'!$K$3:$K$34),"#N/A")</f>
        <v>#N/A</v>
      </c>
      <c r="J551" s="148" t="e" cm="1">
        <f t="array" ref="J55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1" s="148" t="e" cm="1">
        <f t="array" ref="K55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1" s="148" t="e" cm="1">
        <f t="array" ref="L55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1" s="148" t="e" cm="1">
        <f t="array" ref="M55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1" s="148" t="e" cm="1">
        <f t="array" ref="N55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1" s="149" t="str">
        <f>IF(Table117821341[[#This Row],[Pos.]]="QB1",_xlfn.XLOOKUP(Table117821341[[#This Row],[Opp]],Table123[DEF],Table123[P]),"#N/A")</f>
        <v>#N/A</v>
      </c>
      <c r="P551" s="149" t="str">
        <f>IF(Table117821341[[#This Row],[Pos.]]="QB1",_xlfn.XLOOKUP(Table117821341[[#This Row],[Opp]],Table123[DEF],Table123[P+R]),"#N/A")</f>
        <v>#N/A</v>
      </c>
      <c r="Q551" s="150" t="str">
        <f>IF(Table117821341[[#This Row],[Pos.]]="QB1",_xlfn.XLOOKUP(Table117821341[[#This Row],[Opp]],Table123[DEF],Table123[P TD]),"#N/A")</f>
        <v>#N/A</v>
      </c>
      <c r="R551" s="149" t="e" cm="1">
        <f t="array" ref="R55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1" s="150" t="e" cm="1">
        <f t="array" ref="S55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1" s="150" t="e" cm="1">
        <f t="array" ref="T55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1" s="150" t="e" cm="1">
        <f t="array" ref="U55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1" s="154" t="e" cm="1">
        <f t="array" ref="V55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1" s="148" t="e" cm="1">
        <f t="array" ref="W551">_xlfn.IFS(Table117821341[[#This Row],[Pos.]]="QB1",AVERAGE(G551,H551,I551,J551,N551),Table117821341[[#This Row],[Pos.]]="RB1",AVERAGE(J551,K551,N551),Table117821341[[#This Row],[Pos.]]="RB2",AVERAGE(J551,K551,N551),Table117821341[[#This Row],[Pos.]]="WR1",AVERAGE(L551,M551,N551),Table117821341[[#This Row],[Pos.]]="WR2",AVERAGE(L551,M551,N551),Table117821341[[#This Row],[Pos.]]="WR3",AVERAGE(L551,M551,N551),Table117821341[[#This Row],[Pos.]]="WR4",AVERAGE(L551,M551,N551),Table117821341[[#This Row],[Pos.]]="TE1",AVERAGE(L551,M551,N551),Table117821341[[#This Row],[Pos.]]="TE2",AVERAGE(L551,M551,N551),Table117821341[[#This Row],[Pos.]]="D/ST",AVERAGE(Table117821341[[#This Row],[*TD*]]))</f>
        <v>#N/A</v>
      </c>
      <c r="X551" s="94" t="e">
        <f t="shared" si="9"/>
        <v>#N/A</v>
      </c>
    </row>
    <row r="552" spans="2:24" hidden="1" x14ac:dyDescent="0.35">
      <c r="B552" s="6" t="s">
        <v>593</v>
      </c>
      <c r="C552" s="97" t="s">
        <v>55</v>
      </c>
      <c r="D552" s="143" t="s">
        <v>411</v>
      </c>
      <c r="E552" s="23" t="str" cm="1">
        <f t="array" ref="E552">_xlfn.XLOOKUP(Table117821341[[#This Row],[Team]],Table4334[Team],'2425'!$C$3:$C$34)</f>
        <v>n/a</v>
      </c>
      <c r="F552" s="97" t="str">
        <f>_xlfn.XLOOKUP(Table117821341[[#This Row],[Team]],Table4334[Team],Table4334[OPP])</f>
        <v>n/a</v>
      </c>
      <c r="G552" s="148" t="str" cm="1">
        <f t="array" ref="G552">IF(Table117821341[[#This Row],[Pos.]]="QB1",_xlfn.XLOOKUP(Table117821341[[#This Row],[Opp]],Table123[DEF],'2425'!$G$3:$G$34),"#N/A")</f>
        <v>#N/A</v>
      </c>
      <c r="H552" s="148" t="str" cm="1">
        <f t="array" ref="H552">IF(Table117821341[[#This Row],[Pos.]]="QB1",_xlfn.XLOOKUP(Table117821341[[#This Row],[Opp]],Table123[DEF],'2425'!$J$3:$J$34),"#N/A")</f>
        <v>#N/A</v>
      </c>
      <c r="I552" s="153" t="str" cm="1">
        <f t="array" ref="I552">IF(Table117821341[[#This Row],[Pos.]]="QB1",_xlfn.XLOOKUP(Table117821341[[#This Row],[Opp]],Table123[DEF],'2425'!$K$3:$K$34),"#N/A")</f>
        <v>#N/A</v>
      </c>
      <c r="J552" s="148" t="e" cm="1">
        <f t="array" ref="J55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2" s="148" t="e" cm="1">
        <f t="array" ref="K55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2" s="148" t="e" cm="1">
        <f t="array" ref="L55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2" s="148" t="e" cm="1">
        <f t="array" ref="M55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2" s="148" t="e" cm="1">
        <f t="array" ref="N55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2" s="149" t="str">
        <f>IF(Table117821341[[#This Row],[Pos.]]="QB1",_xlfn.XLOOKUP(Table117821341[[#This Row],[Opp]],Table123[DEF],Table123[P]),"#N/A")</f>
        <v>#N/A</v>
      </c>
      <c r="P552" s="149" t="str">
        <f>IF(Table117821341[[#This Row],[Pos.]]="QB1",_xlfn.XLOOKUP(Table117821341[[#This Row],[Opp]],Table123[DEF],Table123[P+R]),"#N/A")</f>
        <v>#N/A</v>
      </c>
      <c r="Q552" s="150" t="str">
        <f>IF(Table117821341[[#This Row],[Pos.]]="QB1",_xlfn.XLOOKUP(Table117821341[[#This Row],[Opp]],Table123[DEF],Table123[P TD]),"#N/A")</f>
        <v>#N/A</v>
      </c>
      <c r="R552" s="149" t="e" cm="1">
        <f t="array" ref="R55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2" s="150" t="e" cm="1">
        <f t="array" ref="S55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2" s="150" t="e" cm="1">
        <f t="array" ref="T55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2" s="150" t="e" cm="1">
        <f t="array" ref="U55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2" s="154" t="e" cm="1">
        <f t="array" ref="V55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2" s="148" t="e" cm="1">
        <f t="array" ref="W552">_xlfn.IFS(Table117821341[[#This Row],[Pos.]]="QB1",AVERAGE(G552,H552,I552,J552,N552),Table117821341[[#This Row],[Pos.]]="RB1",AVERAGE(J552,K552,N552),Table117821341[[#This Row],[Pos.]]="RB2",AVERAGE(J552,K552,N552),Table117821341[[#This Row],[Pos.]]="WR1",AVERAGE(L552,M552,N552),Table117821341[[#This Row],[Pos.]]="WR2",AVERAGE(L552,M552,N552),Table117821341[[#This Row],[Pos.]]="WR3",AVERAGE(L552,M552,N552),Table117821341[[#This Row],[Pos.]]="WR4",AVERAGE(L552,M552,N552),Table117821341[[#This Row],[Pos.]]="TE1",AVERAGE(L552,M552,N552),Table117821341[[#This Row],[Pos.]]="TE2",AVERAGE(L552,M552,N552),Table117821341[[#This Row],[Pos.]]="D/ST",AVERAGE(Table117821341[[#This Row],[*TD*]]))</f>
        <v>#N/A</v>
      </c>
      <c r="X552" s="94" t="e">
        <f t="shared" si="9"/>
        <v>#N/A</v>
      </c>
    </row>
    <row r="553" spans="2:24" hidden="1" x14ac:dyDescent="0.35">
      <c r="B553" s="6" t="s">
        <v>263</v>
      </c>
      <c r="C553" s="97" t="s">
        <v>41</v>
      </c>
      <c r="D553" s="143" t="s">
        <v>401</v>
      </c>
      <c r="E553" s="23" t="str" cm="1">
        <f t="array" ref="E553">_xlfn.XLOOKUP(Table117821341[[#This Row],[Team]],Table4334[Team],'2425'!$C$3:$C$34)</f>
        <v>n/a</v>
      </c>
      <c r="F553" s="97" t="str">
        <f>_xlfn.XLOOKUP(Table117821341[[#This Row],[Team]],Table4334[Team],Table4334[OPP])</f>
        <v>n/a</v>
      </c>
      <c r="G553" s="148" t="str" cm="1">
        <f t="array" ref="G553">IF(Table117821341[[#This Row],[Pos.]]="QB1",_xlfn.XLOOKUP(Table117821341[[#This Row],[Opp]],Table123[DEF],'2425'!$G$3:$G$34),"#N/A")</f>
        <v>#N/A</v>
      </c>
      <c r="H553" s="148" t="str" cm="1">
        <f t="array" ref="H553">IF(Table117821341[[#This Row],[Pos.]]="QB1",_xlfn.XLOOKUP(Table117821341[[#This Row],[Opp]],Table123[DEF],'2425'!$J$3:$J$34),"#N/A")</f>
        <v>#N/A</v>
      </c>
      <c r="I553" s="153" t="str" cm="1">
        <f t="array" ref="I553">IF(Table117821341[[#This Row],[Pos.]]="QB1",_xlfn.XLOOKUP(Table117821341[[#This Row],[Opp]],Table123[DEF],'2425'!$K$3:$K$34),"#N/A")</f>
        <v>#N/A</v>
      </c>
      <c r="J553" s="148" t="e" cm="1">
        <f t="array" ref="J55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3" s="148" t="e" cm="1">
        <f t="array" ref="K55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3" s="148" t="e" cm="1">
        <f t="array" ref="L55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3" s="148" t="e" cm="1">
        <f t="array" ref="M55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3" s="148" t="e" cm="1">
        <f t="array" ref="N55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3" s="149" t="str">
        <f>IF(Table117821341[[#This Row],[Pos.]]="QB1",_xlfn.XLOOKUP(Table117821341[[#This Row],[Opp]],Table123[DEF],Table123[P]),"#N/A")</f>
        <v>#N/A</v>
      </c>
      <c r="P553" s="149" t="str">
        <f>IF(Table117821341[[#This Row],[Pos.]]="QB1",_xlfn.XLOOKUP(Table117821341[[#This Row],[Opp]],Table123[DEF],Table123[P+R]),"#N/A")</f>
        <v>#N/A</v>
      </c>
      <c r="Q553" s="150" t="str">
        <f>IF(Table117821341[[#This Row],[Pos.]]="QB1",_xlfn.XLOOKUP(Table117821341[[#This Row],[Opp]],Table123[DEF],Table123[P TD]),"#N/A")</f>
        <v>#N/A</v>
      </c>
      <c r="R553" s="149" t="e" cm="1">
        <f t="array" ref="R55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3" s="150" t="e" cm="1">
        <f t="array" ref="S55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3" s="150" t="e" cm="1">
        <f t="array" ref="T55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3" s="150" t="e" cm="1">
        <f t="array" ref="U55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3" s="163" t="e" cm="1">
        <f t="array" ref="V55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3" s="148" t="e" cm="1">
        <f t="array" ref="W553">_xlfn.IFS(Table117821341[[#This Row],[Pos.]]="QB1",AVERAGE(G553,H553,I553,J553,N553),Table117821341[[#This Row],[Pos.]]="RB1",AVERAGE(J553,K553,N553),Table117821341[[#This Row],[Pos.]]="RB2",AVERAGE(J553,K553,N553),Table117821341[[#This Row],[Pos.]]="WR1",AVERAGE(L553,M553,N553),Table117821341[[#This Row],[Pos.]]="WR2",AVERAGE(L553,M553,N553),Table117821341[[#This Row],[Pos.]]="WR3",AVERAGE(L553,M553,N553),Table117821341[[#This Row],[Pos.]]="WR4",AVERAGE(L553,M553,N553),Table117821341[[#This Row],[Pos.]]="TE1",AVERAGE(L553,M553,N553),Table117821341[[#This Row],[Pos.]]="TE2",AVERAGE(L553,M553,N553),Table117821341[[#This Row],[Pos.]]="D/ST",AVERAGE(Table117821341[[#This Row],[*TD*]]))</f>
        <v>#N/A</v>
      </c>
      <c r="X553" s="94" t="e">
        <f t="shared" si="9"/>
        <v>#N/A</v>
      </c>
    </row>
    <row r="554" spans="2:24" x14ac:dyDescent="0.35">
      <c r="B554" s="6" t="s">
        <v>544</v>
      </c>
      <c r="C554" s="97" t="s">
        <v>53</v>
      </c>
      <c r="D554" s="143" t="s">
        <v>401</v>
      </c>
      <c r="E554" s="23" t="str" cm="1">
        <f t="array" ref="E554">_xlfn.XLOOKUP(Table117821341[[#This Row],[Team]],Table4334[Team],'2425'!$C$3:$C$34)</f>
        <v>n/a</v>
      </c>
      <c r="F554" s="97" t="str">
        <f>_xlfn.XLOOKUP(Table117821341[[#This Row],[Team]],Table4334[Team],Table4334[OPP])</f>
        <v>n/a</v>
      </c>
      <c r="G554" s="148" t="str" cm="1">
        <f t="array" ref="G554">IF(Table117821341[[#This Row],[Pos.]]="QB1",_xlfn.XLOOKUP(Table117821341[[#This Row],[Opp]],Table123[DEF],'2425'!$G$3:$G$34),"#N/A")</f>
        <v>#N/A</v>
      </c>
      <c r="H554" s="148" t="str" cm="1">
        <f t="array" ref="H554">IF(Table117821341[[#This Row],[Pos.]]="QB1",_xlfn.XLOOKUP(Table117821341[[#This Row],[Opp]],Table123[DEF],'2425'!$J$3:$J$34),"#N/A")</f>
        <v>#N/A</v>
      </c>
      <c r="I554" s="153" t="str" cm="1">
        <f t="array" ref="I554">IF(Table117821341[[#This Row],[Pos.]]="QB1",_xlfn.XLOOKUP(Table117821341[[#This Row],[Opp]],Table123[DEF],'2425'!$K$3:$K$34),"#N/A")</f>
        <v>#N/A</v>
      </c>
      <c r="J554" s="148" t="e" cm="1">
        <f t="array" ref="J55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4" s="148" t="e" cm="1">
        <f t="array" ref="K55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4" s="148" t="e" cm="1">
        <f t="array" ref="L55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4" s="148" t="e" cm="1">
        <f t="array" ref="M55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4" s="148" t="e" cm="1">
        <f t="array" ref="N55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4" s="149" t="str">
        <f>IF(Table117821341[[#This Row],[Pos.]]="QB1",_xlfn.XLOOKUP(Table117821341[[#This Row],[Opp]],Table123[DEF],Table123[P]),"#N/A")</f>
        <v>#N/A</v>
      </c>
      <c r="P554" s="149" t="str">
        <f>IF(Table117821341[[#This Row],[Pos.]]="QB1",_xlfn.XLOOKUP(Table117821341[[#This Row],[Opp]],Table123[DEF],Table123[P+R]),"#N/A")</f>
        <v>#N/A</v>
      </c>
      <c r="Q554" s="150" t="str">
        <f>IF(Table117821341[[#This Row],[Pos.]]="QB1",_xlfn.XLOOKUP(Table117821341[[#This Row],[Opp]],Table123[DEF],Table123[P TD]),"#N/A")</f>
        <v>#N/A</v>
      </c>
      <c r="R554" s="149" t="e" cm="1">
        <f t="array" ref="R55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4" s="150" t="e" cm="1">
        <f t="array" ref="S55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4" s="150" t="e" cm="1">
        <f t="array" ref="T55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4" s="150" t="e" cm="1">
        <f t="array" ref="U55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4" s="163" t="e" cm="1">
        <f t="array" ref="V55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4" s="148" t="e" cm="1">
        <f t="array" ref="W554">_xlfn.IFS(Table117821341[[#This Row],[Pos.]]="QB1",AVERAGE(G554,H554,I554,J554,N554),Table117821341[[#This Row],[Pos.]]="RB1",AVERAGE(J554,K554,N554),Table117821341[[#This Row],[Pos.]]="RB2",AVERAGE(J554,K554,N554),Table117821341[[#This Row],[Pos.]]="WR1",AVERAGE(L554,M554,N554),Table117821341[[#This Row],[Pos.]]="WR2",AVERAGE(L554,M554,N554),Table117821341[[#This Row],[Pos.]]="WR3",AVERAGE(L554,M554,N554),Table117821341[[#This Row],[Pos.]]="WR4",AVERAGE(L554,M554,N554),Table117821341[[#This Row],[Pos.]]="TE1",AVERAGE(L554,M554,N554),Table117821341[[#This Row],[Pos.]]="TE2",AVERAGE(L554,M554,N554),Table117821341[[#This Row],[Pos.]]="D/ST",AVERAGE(Table117821341[[#This Row],[*TD*]]))</f>
        <v>#N/A</v>
      </c>
      <c r="X554" s="94" t="e">
        <f t="shared" si="9"/>
        <v>#N/A</v>
      </c>
    </row>
    <row r="555" spans="2:24" hidden="1" x14ac:dyDescent="0.35">
      <c r="B555" s="6" t="s">
        <v>460</v>
      </c>
      <c r="C555" s="97" t="s">
        <v>56</v>
      </c>
      <c r="D555" s="143" t="s">
        <v>405</v>
      </c>
      <c r="E555" s="23" t="str" cm="1">
        <f t="array" ref="E555">_xlfn.XLOOKUP(Table117821341[[#This Row],[Team]],Table4334[Team],'2425'!$C$3:$C$34)</f>
        <v>n/a</v>
      </c>
      <c r="F555" s="97" t="str">
        <f>_xlfn.XLOOKUP(Table117821341[[#This Row],[Team]],Table4334[Team],Table4334[OPP])</f>
        <v>n/a</v>
      </c>
      <c r="G555" s="148" t="str" cm="1">
        <f t="array" ref="G555">IF(Table117821341[[#This Row],[Pos.]]="QB1",_xlfn.XLOOKUP(Table117821341[[#This Row],[Opp]],Table123[DEF],'2425'!$G$3:$G$34),"#N/A")</f>
        <v>#N/A</v>
      </c>
      <c r="H555" s="148" t="str" cm="1">
        <f t="array" ref="H555">IF(Table117821341[[#This Row],[Pos.]]="QB1",_xlfn.XLOOKUP(Table117821341[[#This Row],[Opp]],Table123[DEF],'2425'!$J$3:$J$34),"#N/A")</f>
        <v>#N/A</v>
      </c>
      <c r="I555" s="153" t="str" cm="1">
        <f t="array" ref="I555">IF(Table117821341[[#This Row],[Pos.]]="QB1",_xlfn.XLOOKUP(Table117821341[[#This Row],[Opp]],Table123[DEF],'2425'!$K$3:$K$34),"#N/A")</f>
        <v>#N/A</v>
      </c>
      <c r="J555" s="148" t="e" cm="1">
        <f t="array" ref="J55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5" s="148" t="e" cm="1">
        <f t="array" ref="K55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5" s="148" t="e" cm="1">
        <f t="array" ref="L55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5" s="148" t="e" cm="1">
        <f t="array" ref="M55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5" s="148" t="e" cm="1">
        <f t="array" ref="N55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5" s="149" t="str">
        <f>IF(Table117821341[[#This Row],[Pos.]]="QB1",_xlfn.XLOOKUP(Table117821341[[#This Row],[Opp]],Table123[DEF],Table123[P]),"#N/A")</f>
        <v>#N/A</v>
      </c>
      <c r="P555" s="149" t="str">
        <f>IF(Table117821341[[#This Row],[Pos.]]="QB1",_xlfn.XLOOKUP(Table117821341[[#This Row],[Opp]],Table123[DEF],Table123[P+R]),"#N/A")</f>
        <v>#N/A</v>
      </c>
      <c r="Q555" s="150" t="str">
        <f>IF(Table117821341[[#This Row],[Pos.]]="QB1",_xlfn.XLOOKUP(Table117821341[[#This Row],[Opp]],Table123[DEF],Table123[P TD]),"#N/A")</f>
        <v>#N/A</v>
      </c>
      <c r="R555" s="149" t="e" cm="1">
        <f t="array" ref="R55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5" s="150" t="e" cm="1">
        <f t="array" ref="S55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5" s="150" t="e" cm="1">
        <f t="array" ref="T55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5" s="150" t="e" cm="1">
        <f t="array" ref="U55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5" s="154" t="e" cm="1">
        <f t="array" ref="V55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5" s="148" t="e" cm="1">
        <f t="array" ref="W555">_xlfn.IFS(Table117821341[[#This Row],[Pos.]]="QB1",AVERAGE(G555,H555,I555,J555,N555),Table117821341[[#This Row],[Pos.]]="RB1",AVERAGE(J555,K555,N555),Table117821341[[#This Row],[Pos.]]="RB2",AVERAGE(J555,K555,N555),Table117821341[[#This Row],[Pos.]]="WR1",AVERAGE(L555,M555,N555),Table117821341[[#This Row],[Pos.]]="WR2",AVERAGE(L555,M555,N555),Table117821341[[#This Row],[Pos.]]="WR3",AVERAGE(L555,M555,N555),Table117821341[[#This Row],[Pos.]]="WR4",AVERAGE(L555,M555,N555),Table117821341[[#This Row],[Pos.]]="TE1",AVERAGE(L555,M555,N555),Table117821341[[#This Row],[Pos.]]="TE2",AVERAGE(L555,M555,N555),Table117821341[[#This Row],[Pos.]]="D/ST",AVERAGE(Table117821341[[#This Row],[*TD*]]))</f>
        <v>#N/A</v>
      </c>
      <c r="X555" s="94" t="e">
        <f t="shared" si="9"/>
        <v>#N/A</v>
      </c>
    </row>
    <row r="556" spans="2:24" hidden="1" x14ac:dyDescent="0.35">
      <c r="B556" s="6" t="s">
        <v>317</v>
      </c>
      <c r="C556" s="97" t="s">
        <v>56</v>
      </c>
      <c r="D556" s="143" t="s">
        <v>425</v>
      </c>
      <c r="E556" s="23" t="str" cm="1">
        <f t="array" ref="E556">_xlfn.XLOOKUP(Table117821341[[#This Row],[Team]],Table4334[Team],'2425'!$C$3:$C$34)</f>
        <v>n/a</v>
      </c>
      <c r="F556" s="97" t="str">
        <f>_xlfn.XLOOKUP(Table117821341[[#This Row],[Team]],Table4334[Team],Table4334[OPP])</f>
        <v>n/a</v>
      </c>
      <c r="G556" s="148" t="str" cm="1">
        <f t="array" ref="G556">IF(Table117821341[[#This Row],[Pos.]]="QB1",_xlfn.XLOOKUP(Table117821341[[#This Row],[Opp]],Table123[DEF],'2425'!$G$3:$G$34),"#N/A")</f>
        <v>#N/A</v>
      </c>
      <c r="H556" s="148" t="str" cm="1">
        <f t="array" ref="H556">IF(Table117821341[[#This Row],[Pos.]]="QB1",_xlfn.XLOOKUP(Table117821341[[#This Row],[Opp]],Table123[DEF],'2425'!$J$3:$J$34),"#N/A")</f>
        <v>#N/A</v>
      </c>
      <c r="I556" s="153" t="str" cm="1">
        <f t="array" ref="I556">IF(Table117821341[[#This Row],[Pos.]]="QB1",_xlfn.XLOOKUP(Table117821341[[#This Row],[Opp]],Table123[DEF],'2425'!$K$3:$K$34),"#N/A")</f>
        <v>#N/A</v>
      </c>
      <c r="J556" s="148" t="e" cm="1">
        <f t="array" ref="J55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6" s="148" t="e" cm="1">
        <f t="array" ref="K55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6" s="148" t="e" cm="1">
        <f t="array" ref="L55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6" s="148" t="e" cm="1">
        <f t="array" ref="M55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6" s="148" t="e" cm="1">
        <f t="array" ref="N55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6" s="149" t="str">
        <f>IF(Table117821341[[#This Row],[Pos.]]="QB1",_xlfn.XLOOKUP(Table117821341[[#This Row],[Opp]],Table123[DEF],Table123[P]),"#N/A")</f>
        <v>#N/A</v>
      </c>
      <c r="P556" s="149" t="str">
        <f>IF(Table117821341[[#This Row],[Pos.]]="QB1",_xlfn.XLOOKUP(Table117821341[[#This Row],[Opp]],Table123[DEF],Table123[P+R]),"#N/A")</f>
        <v>#N/A</v>
      </c>
      <c r="Q556" s="150" t="str">
        <f>IF(Table117821341[[#This Row],[Pos.]]="QB1",_xlfn.XLOOKUP(Table117821341[[#This Row],[Opp]],Table123[DEF],Table123[P TD]),"#N/A")</f>
        <v>#N/A</v>
      </c>
      <c r="R556" s="149" t="e" cm="1">
        <f t="array" ref="R55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6" s="150" t="e" cm="1">
        <f t="array" ref="S55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6" s="150" t="e" cm="1">
        <f t="array" ref="T55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6" s="150" t="e" cm="1">
        <f t="array" ref="U55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6" s="154" t="e" cm="1">
        <f t="array" ref="V55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6" s="148" t="e" cm="1">
        <f t="array" ref="W556">_xlfn.IFS(Table117821341[[#This Row],[Pos.]]="QB1",AVERAGE(G556,H556,I556,J556,N556),Table117821341[[#This Row],[Pos.]]="RB1",AVERAGE(J556,K556,N556),Table117821341[[#This Row],[Pos.]]="RB2",AVERAGE(J556,K556,N556),Table117821341[[#This Row],[Pos.]]="WR1",AVERAGE(L556,M556,N556),Table117821341[[#This Row],[Pos.]]="WR2",AVERAGE(L556,M556,N556),Table117821341[[#This Row],[Pos.]]="WR3",AVERAGE(L556,M556,N556),Table117821341[[#This Row],[Pos.]]="WR4",AVERAGE(L556,M556,N556),Table117821341[[#This Row],[Pos.]]="TE1",AVERAGE(L556,M556,N556),Table117821341[[#This Row],[Pos.]]="TE2",AVERAGE(L556,M556,N556),Table117821341[[#This Row],[Pos.]]="D/ST",AVERAGE(Table117821341[[#This Row],[*TD*]]))</f>
        <v>#N/A</v>
      </c>
      <c r="X556" s="94" t="e">
        <f t="shared" si="9"/>
        <v>#N/A</v>
      </c>
    </row>
    <row r="557" spans="2:24" x14ac:dyDescent="0.35">
      <c r="B557" s="6" t="s">
        <v>274</v>
      </c>
      <c r="C557" s="97" t="s">
        <v>42</v>
      </c>
      <c r="D557" s="143" t="s">
        <v>401</v>
      </c>
      <c r="E557" s="23" t="str" cm="1">
        <f t="array" ref="E557">_xlfn.XLOOKUP(Table117821341[[#This Row],[Team]],Table4334[Team],'2425'!$C$3:$C$34)</f>
        <v>n/a</v>
      </c>
      <c r="F557" s="97" t="str">
        <f>_xlfn.XLOOKUP(Table117821341[[#This Row],[Team]],Table4334[Team],Table4334[OPP])</f>
        <v>n/a</v>
      </c>
      <c r="G557" s="148" t="str" cm="1">
        <f t="array" ref="G557">IF(Table117821341[[#This Row],[Pos.]]="QB1",_xlfn.XLOOKUP(Table117821341[[#This Row],[Opp]],Table123[DEF],'2425'!$G$3:$G$34),"#N/A")</f>
        <v>#N/A</v>
      </c>
      <c r="H557" s="148" t="str" cm="1">
        <f t="array" ref="H557">IF(Table117821341[[#This Row],[Pos.]]="QB1",_xlfn.XLOOKUP(Table117821341[[#This Row],[Opp]],Table123[DEF],'2425'!$J$3:$J$34),"#N/A")</f>
        <v>#N/A</v>
      </c>
      <c r="I557" s="153" t="str" cm="1">
        <f t="array" ref="I557">IF(Table117821341[[#This Row],[Pos.]]="QB1",_xlfn.XLOOKUP(Table117821341[[#This Row],[Opp]],Table123[DEF],'2425'!$K$3:$K$34),"#N/A")</f>
        <v>#N/A</v>
      </c>
      <c r="J557" s="148" t="e" cm="1">
        <f t="array" ref="J55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7" s="148" t="e" cm="1">
        <f t="array" ref="K55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7" s="148" t="e" cm="1">
        <f t="array" ref="L55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7" s="148" t="e" cm="1">
        <f t="array" ref="M55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7" s="148" t="e" cm="1">
        <f t="array" ref="N55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7" s="149" t="str">
        <f>IF(Table117821341[[#This Row],[Pos.]]="QB1",_xlfn.XLOOKUP(Table117821341[[#This Row],[Opp]],Table123[DEF],Table123[P]),"#N/A")</f>
        <v>#N/A</v>
      </c>
      <c r="P557" s="149" t="str">
        <f>IF(Table117821341[[#This Row],[Pos.]]="QB1",_xlfn.XLOOKUP(Table117821341[[#This Row],[Opp]],Table123[DEF],Table123[P+R]),"#N/A")</f>
        <v>#N/A</v>
      </c>
      <c r="Q557" s="150" t="str">
        <f>IF(Table117821341[[#This Row],[Pos.]]="QB1",_xlfn.XLOOKUP(Table117821341[[#This Row],[Opp]],Table123[DEF],Table123[P TD]),"#N/A")</f>
        <v>#N/A</v>
      </c>
      <c r="R557" s="149" t="e" cm="1">
        <f t="array" ref="R55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7" s="150" t="e" cm="1">
        <f t="array" ref="S55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7" s="150" t="e" cm="1">
        <f t="array" ref="T55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7" s="150" t="e" cm="1">
        <f t="array" ref="U55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7" s="163" t="e" cm="1">
        <f t="array" ref="V55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7" s="148" t="e" cm="1">
        <f t="array" ref="W557">_xlfn.IFS(Table117821341[[#This Row],[Pos.]]="QB1",AVERAGE(G557,H557,I557,J557,N557),Table117821341[[#This Row],[Pos.]]="RB1",AVERAGE(J557,K557,N557),Table117821341[[#This Row],[Pos.]]="RB2",AVERAGE(J557,K557,N557),Table117821341[[#This Row],[Pos.]]="WR1",AVERAGE(L557,M557,N557),Table117821341[[#This Row],[Pos.]]="WR2",AVERAGE(L557,M557,N557),Table117821341[[#This Row],[Pos.]]="WR3",AVERAGE(L557,M557,N557),Table117821341[[#This Row],[Pos.]]="WR4",AVERAGE(L557,M557,N557),Table117821341[[#This Row],[Pos.]]="TE1",AVERAGE(L557,M557,N557),Table117821341[[#This Row],[Pos.]]="TE2",AVERAGE(L557,M557,N557),Table117821341[[#This Row],[Pos.]]="D/ST",AVERAGE(Table117821341[[#This Row],[*TD*]]))</f>
        <v>#N/A</v>
      </c>
      <c r="X557" s="94" t="e">
        <f t="shared" si="9"/>
        <v>#N/A</v>
      </c>
    </row>
    <row r="558" spans="2:24" hidden="1" x14ac:dyDescent="0.35">
      <c r="B558" s="6" t="s">
        <v>461</v>
      </c>
      <c r="C558" s="97" t="s">
        <v>56</v>
      </c>
      <c r="D558" s="143" t="s">
        <v>394</v>
      </c>
      <c r="E558" s="23" t="str" cm="1">
        <f t="array" ref="E558">_xlfn.XLOOKUP(Table117821341[[#This Row],[Team]],Table4334[Team],'2425'!$C$3:$C$34)</f>
        <v>n/a</v>
      </c>
      <c r="F558" s="97" t="str">
        <f>_xlfn.XLOOKUP(Table117821341[[#This Row],[Team]],Table4334[Team],Table4334[OPP])</f>
        <v>n/a</v>
      </c>
      <c r="G558" s="148" t="str" cm="1">
        <f t="array" ref="G558">IF(Table117821341[[#This Row],[Pos.]]="QB1",_xlfn.XLOOKUP(Table117821341[[#This Row],[Opp]],Table123[DEF],'2425'!$G$3:$G$34),"#N/A")</f>
        <v>#N/A</v>
      </c>
      <c r="H558" s="148" t="str" cm="1">
        <f t="array" ref="H558">IF(Table117821341[[#This Row],[Pos.]]="QB1",_xlfn.XLOOKUP(Table117821341[[#This Row],[Opp]],Table123[DEF],'2425'!$J$3:$J$34),"#N/A")</f>
        <v>#N/A</v>
      </c>
      <c r="I558" s="153" t="str" cm="1">
        <f t="array" ref="I558">IF(Table117821341[[#This Row],[Pos.]]="QB1",_xlfn.XLOOKUP(Table117821341[[#This Row],[Opp]],Table123[DEF],'2425'!$K$3:$K$34),"#N/A")</f>
        <v>#N/A</v>
      </c>
      <c r="J558" s="148" t="e" cm="1">
        <f t="array" ref="J55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8" s="148" t="e" cm="1">
        <f t="array" ref="K55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8" s="148" t="e" cm="1">
        <f t="array" ref="L55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8" s="148" t="e" cm="1">
        <f t="array" ref="M55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8" s="148" t="e" cm="1">
        <f t="array" ref="N55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8" s="149" t="str">
        <f>IF(Table117821341[[#This Row],[Pos.]]="QB1",_xlfn.XLOOKUP(Table117821341[[#This Row],[Opp]],Table123[DEF],Table123[P]),"#N/A")</f>
        <v>#N/A</v>
      </c>
      <c r="P558" s="149" t="str">
        <f>IF(Table117821341[[#This Row],[Pos.]]="QB1",_xlfn.XLOOKUP(Table117821341[[#This Row],[Opp]],Table123[DEF],Table123[P+R]),"#N/A")</f>
        <v>#N/A</v>
      </c>
      <c r="Q558" s="150" t="str">
        <f>IF(Table117821341[[#This Row],[Pos.]]="QB1",_xlfn.XLOOKUP(Table117821341[[#This Row],[Opp]],Table123[DEF],Table123[P TD]),"#N/A")</f>
        <v>#N/A</v>
      </c>
      <c r="R558" s="149" t="e" cm="1">
        <f t="array" ref="R55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8" s="150" t="e" cm="1">
        <f t="array" ref="S55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8" s="150" t="e" cm="1">
        <f t="array" ref="T55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8" s="150" t="e" cm="1">
        <f t="array" ref="U55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8" s="154" t="e" cm="1">
        <f t="array" ref="V55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8" s="148" t="e" cm="1">
        <f t="array" ref="W558">_xlfn.IFS(Table117821341[[#This Row],[Pos.]]="QB1",AVERAGE(G558,H558,I558,J558,N558),Table117821341[[#This Row],[Pos.]]="RB1",AVERAGE(J558,K558,N558),Table117821341[[#This Row],[Pos.]]="RB2",AVERAGE(J558,K558,N558),Table117821341[[#This Row],[Pos.]]="WR1",AVERAGE(L558,M558,N558),Table117821341[[#This Row],[Pos.]]="WR2",AVERAGE(L558,M558,N558),Table117821341[[#This Row],[Pos.]]="WR3",AVERAGE(L558,M558,N558),Table117821341[[#This Row],[Pos.]]="WR4",AVERAGE(L558,M558,N558),Table117821341[[#This Row],[Pos.]]="TE1",AVERAGE(L558,M558,N558),Table117821341[[#This Row],[Pos.]]="TE2",AVERAGE(L558,M558,N558),Table117821341[[#This Row],[Pos.]]="D/ST",AVERAGE(Table117821341[[#This Row],[*TD*]]))</f>
        <v>#N/A</v>
      </c>
      <c r="X558" s="94" t="e">
        <f t="shared" si="9"/>
        <v>#N/A</v>
      </c>
    </row>
    <row r="559" spans="2:24" hidden="1" x14ac:dyDescent="0.35">
      <c r="B559" s="6" t="s">
        <v>462</v>
      </c>
      <c r="C559" s="97" t="s">
        <v>56</v>
      </c>
      <c r="D559" s="143" t="s">
        <v>396</v>
      </c>
      <c r="E559" s="23" t="str" cm="1">
        <f t="array" ref="E559">_xlfn.XLOOKUP(Table117821341[[#This Row],[Team]],Table4334[Team],'2425'!$C$3:$C$34)</f>
        <v>n/a</v>
      </c>
      <c r="F559" s="97" t="str">
        <f>_xlfn.XLOOKUP(Table117821341[[#This Row],[Team]],Table4334[Team],Table4334[OPP])</f>
        <v>n/a</v>
      </c>
      <c r="G559" s="148" t="str" cm="1">
        <f t="array" ref="G559">IF(Table117821341[[#This Row],[Pos.]]="QB1",_xlfn.XLOOKUP(Table117821341[[#This Row],[Opp]],Table123[DEF],'2425'!$G$3:$G$34),"#N/A")</f>
        <v>#N/A</v>
      </c>
      <c r="H559" s="148" t="str" cm="1">
        <f t="array" ref="H559">IF(Table117821341[[#This Row],[Pos.]]="QB1",_xlfn.XLOOKUP(Table117821341[[#This Row],[Opp]],Table123[DEF],'2425'!$J$3:$J$34),"#N/A")</f>
        <v>#N/A</v>
      </c>
      <c r="I559" s="153" t="str" cm="1">
        <f t="array" ref="I559">IF(Table117821341[[#This Row],[Pos.]]="QB1",_xlfn.XLOOKUP(Table117821341[[#This Row],[Opp]],Table123[DEF],'2425'!$K$3:$K$34),"#N/A")</f>
        <v>#N/A</v>
      </c>
      <c r="J559" s="148" t="e" cm="1">
        <f t="array" ref="J55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59" s="148" t="e" cm="1">
        <f t="array" ref="K55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59" s="148" t="e" cm="1">
        <f t="array" ref="L55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59" s="148" t="e" cm="1">
        <f t="array" ref="M55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59" s="148" t="e" cm="1">
        <f t="array" ref="N55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59" s="149" t="str">
        <f>IF(Table117821341[[#This Row],[Pos.]]="QB1",_xlfn.XLOOKUP(Table117821341[[#This Row],[Opp]],Table123[DEF],Table123[P]),"#N/A")</f>
        <v>#N/A</v>
      </c>
      <c r="P559" s="149" t="str">
        <f>IF(Table117821341[[#This Row],[Pos.]]="QB1",_xlfn.XLOOKUP(Table117821341[[#This Row],[Opp]],Table123[DEF],Table123[P+R]),"#N/A")</f>
        <v>#N/A</v>
      </c>
      <c r="Q559" s="150" t="str">
        <f>IF(Table117821341[[#This Row],[Pos.]]="QB1",_xlfn.XLOOKUP(Table117821341[[#This Row],[Opp]],Table123[DEF],Table123[P TD]),"#N/A")</f>
        <v>#N/A</v>
      </c>
      <c r="R559" s="149" t="e" cm="1">
        <f t="array" ref="R55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59" s="150" t="e" cm="1">
        <f t="array" ref="S55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59" s="150" t="e" cm="1">
        <f t="array" ref="T55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59" s="150" t="e" cm="1">
        <f t="array" ref="U55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59" s="154" t="e" cm="1">
        <f t="array" ref="V55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59" s="148" t="e" cm="1">
        <f t="array" ref="W559">_xlfn.IFS(Table117821341[[#This Row],[Pos.]]="QB1",AVERAGE(G559,H559,I559,J559,N559),Table117821341[[#This Row],[Pos.]]="RB1",AVERAGE(J559,K559,N559),Table117821341[[#This Row],[Pos.]]="RB2",AVERAGE(J559,K559,N559),Table117821341[[#This Row],[Pos.]]="WR1",AVERAGE(L559,M559,N559),Table117821341[[#This Row],[Pos.]]="WR2",AVERAGE(L559,M559,N559),Table117821341[[#This Row],[Pos.]]="WR3",AVERAGE(L559,M559,N559),Table117821341[[#This Row],[Pos.]]="WR4",AVERAGE(L559,M559,N559),Table117821341[[#This Row],[Pos.]]="TE1",AVERAGE(L559,M559,N559),Table117821341[[#This Row],[Pos.]]="TE2",AVERAGE(L559,M559,N559),Table117821341[[#This Row],[Pos.]]="D/ST",AVERAGE(Table117821341[[#This Row],[*TD*]]))</f>
        <v>#N/A</v>
      </c>
      <c r="X559" s="94" t="e">
        <f t="shared" si="9"/>
        <v>#N/A</v>
      </c>
    </row>
    <row r="560" spans="2:24" hidden="1" x14ac:dyDescent="0.35">
      <c r="B560" s="6" t="s">
        <v>387</v>
      </c>
      <c r="C560" s="97" t="s">
        <v>56</v>
      </c>
      <c r="D560" s="143" t="s">
        <v>407</v>
      </c>
      <c r="E560" s="23" t="str" cm="1">
        <f t="array" ref="E560">_xlfn.XLOOKUP(Table117821341[[#This Row],[Team]],Table4334[Team],'2425'!$C$3:$C$34)</f>
        <v>n/a</v>
      </c>
      <c r="F560" s="97" t="str">
        <f>_xlfn.XLOOKUP(Table117821341[[#This Row],[Team]],Table4334[Team],Table4334[OPP])</f>
        <v>n/a</v>
      </c>
      <c r="G560" s="148" t="str" cm="1">
        <f t="array" ref="G560">IF(Table117821341[[#This Row],[Pos.]]="QB1",_xlfn.XLOOKUP(Table117821341[[#This Row],[Opp]],Table123[DEF],'2425'!$G$3:$G$34),"#N/A")</f>
        <v>#N/A</v>
      </c>
      <c r="H560" s="148" t="str" cm="1">
        <f t="array" ref="H560">IF(Table117821341[[#This Row],[Pos.]]="QB1",_xlfn.XLOOKUP(Table117821341[[#This Row],[Opp]],Table123[DEF],'2425'!$J$3:$J$34),"#N/A")</f>
        <v>#N/A</v>
      </c>
      <c r="I560" s="153" t="str" cm="1">
        <f t="array" ref="I560">IF(Table117821341[[#This Row],[Pos.]]="QB1",_xlfn.XLOOKUP(Table117821341[[#This Row],[Opp]],Table123[DEF],'2425'!$K$3:$K$34),"#N/A")</f>
        <v>#N/A</v>
      </c>
      <c r="J560" s="148" t="e" cm="1">
        <f t="array" ref="J56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0" s="148" t="e" cm="1">
        <f t="array" ref="K56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0" s="148" t="e" cm="1">
        <f t="array" ref="L56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0" s="148" t="e" cm="1">
        <f t="array" ref="M56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0" s="148" t="e" cm="1">
        <f t="array" ref="N56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0" s="149" t="str">
        <f>IF(Table117821341[[#This Row],[Pos.]]="QB1",_xlfn.XLOOKUP(Table117821341[[#This Row],[Opp]],Table123[DEF],Table123[P]),"#N/A")</f>
        <v>#N/A</v>
      </c>
      <c r="P560" s="149" t="str">
        <f>IF(Table117821341[[#This Row],[Pos.]]="QB1",_xlfn.XLOOKUP(Table117821341[[#This Row],[Opp]],Table123[DEF],Table123[P+R]),"#N/A")</f>
        <v>#N/A</v>
      </c>
      <c r="Q560" s="150" t="str">
        <f>IF(Table117821341[[#This Row],[Pos.]]="QB1",_xlfn.XLOOKUP(Table117821341[[#This Row],[Opp]],Table123[DEF],Table123[P TD]),"#N/A")</f>
        <v>#N/A</v>
      </c>
      <c r="R560" s="149" t="e" cm="1">
        <f t="array" ref="R56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0" s="150" t="e" cm="1">
        <f t="array" ref="S56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0" s="150" t="e" cm="1">
        <f t="array" ref="T56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0" s="150" t="e" cm="1">
        <f t="array" ref="U56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0" s="154" t="e" cm="1">
        <f t="array" ref="V56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0" s="148" t="e" cm="1">
        <f t="array" ref="W560">_xlfn.IFS(Table117821341[[#This Row],[Pos.]]="QB1",AVERAGE(G560,H560,I560,J560,N560),Table117821341[[#This Row],[Pos.]]="RB1",AVERAGE(J560,K560,N560),Table117821341[[#This Row],[Pos.]]="RB2",AVERAGE(J560,K560,N560),Table117821341[[#This Row],[Pos.]]="WR1",AVERAGE(L560,M560,N560),Table117821341[[#This Row],[Pos.]]="WR2",AVERAGE(L560,M560,N560),Table117821341[[#This Row],[Pos.]]="WR3",AVERAGE(L560,M560,N560),Table117821341[[#This Row],[Pos.]]="WR4",AVERAGE(L560,M560,N560),Table117821341[[#This Row],[Pos.]]="TE1",AVERAGE(L560,M560,N560),Table117821341[[#This Row],[Pos.]]="TE2",AVERAGE(L560,M560,N560),Table117821341[[#This Row],[Pos.]]="D/ST",AVERAGE(Table117821341[[#This Row],[*TD*]]))</f>
        <v>#N/A</v>
      </c>
      <c r="X560" s="94" t="e">
        <f t="shared" si="9"/>
        <v>#N/A</v>
      </c>
    </row>
    <row r="561" spans="2:24" hidden="1" x14ac:dyDescent="0.35">
      <c r="B561" s="6" t="s">
        <v>732</v>
      </c>
      <c r="C561" s="97" t="s">
        <v>51</v>
      </c>
      <c r="D561" s="143" t="s">
        <v>71</v>
      </c>
      <c r="E561" s="23" t="str" cm="1">
        <f t="array" ref="E561">_xlfn.XLOOKUP(Table117821341[[#This Row],[Team]],Table4334[Team],'2425'!$C$3:$C$34)</f>
        <v>n/a</v>
      </c>
      <c r="F561" s="97" t="str">
        <f>_xlfn.XLOOKUP(Table117821341[[#This Row],[Team]],Table4334[Team],Table4334[OPP])</f>
        <v>n/a</v>
      </c>
      <c r="G561" s="148" t="str" cm="1">
        <f t="array" ref="G561">IF(Table117821341[[#This Row],[Pos.]]="QB1",_xlfn.XLOOKUP(Table117821341[[#This Row],[Opp]],Table123[DEF],'2425'!$G$3:$G$34),"#N/A")</f>
        <v>#N/A</v>
      </c>
      <c r="H561" s="148" t="str" cm="1">
        <f t="array" ref="H561">IF(Table117821341[[#This Row],[Pos.]]="QB1",_xlfn.XLOOKUP(Table117821341[[#This Row],[Opp]],Table123[DEF],'2425'!$J$3:$J$34),"#N/A")</f>
        <v>#N/A</v>
      </c>
      <c r="I561" s="153" t="str" cm="1">
        <f t="array" ref="I561">IF(Table117821341[[#This Row],[Pos.]]="QB1",_xlfn.XLOOKUP(Table117821341[[#This Row],[Opp]],Table123[DEF],'2425'!$K$3:$K$34),"#N/A")</f>
        <v>#N/A</v>
      </c>
      <c r="J561" s="148" t="e" cm="1">
        <f t="array" ref="J561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1" s="148" t="e" cm="1">
        <f t="array" ref="K561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1" s="148" t="e" cm="1">
        <f t="array" ref="L561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1" s="148" t="e" cm="1">
        <f t="array" ref="M561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1" s="148" t="e" cm="1">
        <f t="array" ref="N561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1" s="149" t="str">
        <f>IF(Table117821341[[#This Row],[Pos.]]="QB1",_xlfn.XLOOKUP(Table117821341[[#This Row],[Opp]],Table123[DEF],Table123[P]),"#N/A")</f>
        <v>#N/A</v>
      </c>
      <c r="P561" s="149" t="str">
        <f>IF(Table117821341[[#This Row],[Pos.]]="QB1",_xlfn.XLOOKUP(Table117821341[[#This Row],[Opp]],Table123[DEF],Table123[P+R]),"#N/A")</f>
        <v>#N/A</v>
      </c>
      <c r="Q561" s="150" t="str">
        <f>IF(Table117821341[[#This Row],[Pos.]]="QB1",_xlfn.XLOOKUP(Table117821341[[#This Row],[Opp]],Table123[DEF],Table123[P TD]),"#N/A")</f>
        <v>#N/A</v>
      </c>
      <c r="R561" s="149" t="e" cm="1">
        <f t="array" ref="R561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1" s="150" t="e" cm="1">
        <f t="array" ref="S561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1" s="150" t="e" cm="1">
        <f t="array" ref="T561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1" s="150" t="e" cm="1">
        <f t="array" ref="U561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1" s="163" t="e" cm="1">
        <f t="array" ref="V561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1" s="148" t="e" cm="1">
        <f t="array" ref="W561">_xlfn.IFS(Table117821341[[#This Row],[Pos.]]="QB1",AVERAGE(G561,H561,I561,J561,N561),Table117821341[[#This Row],[Pos.]]="RB1",AVERAGE(J561,K561,N561),Table117821341[[#This Row],[Pos.]]="RB2",AVERAGE(J561,K561,N561),Table117821341[[#This Row],[Pos.]]="WR1",AVERAGE(L561,M561,N561),Table117821341[[#This Row],[Pos.]]="WR2",AVERAGE(L561,M561,N561),Table117821341[[#This Row],[Pos.]]="WR3",AVERAGE(L561,M561,N561),Table117821341[[#This Row],[Pos.]]="WR4",AVERAGE(L561,M561,N561),Table117821341[[#This Row],[Pos.]]="TE1",AVERAGE(L561,M561,N561),Table117821341[[#This Row],[Pos.]]="TE2",AVERAGE(L561,M561,N561),Table117821341[[#This Row],[Pos.]]="D/ST",AVERAGE(Table117821341[[#This Row],[*TD*]]))</f>
        <v>#N/A</v>
      </c>
      <c r="X561" s="94" t="e">
        <f t="shared" si="9"/>
        <v>#N/A</v>
      </c>
    </row>
    <row r="562" spans="2:24" hidden="1" x14ac:dyDescent="0.35">
      <c r="B562" s="6" t="s">
        <v>466</v>
      </c>
      <c r="C562" s="97" t="s">
        <v>56</v>
      </c>
      <c r="D562" s="143" t="s">
        <v>398</v>
      </c>
      <c r="E562" s="23" t="str" cm="1">
        <f t="array" ref="E562">_xlfn.XLOOKUP(Table117821341[[#This Row],[Team]],Table4334[Team],'2425'!$C$3:$C$34)</f>
        <v>n/a</v>
      </c>
      <c r="F562" s="97" t="str">
        <f>_xlfn.XLOOKUP(Table117821341[[#This Row],[Team]],Table4334[Team],Table4334[OPP])</f>
        <v>n/a</v>
      </c>
      <c r="G562" s="148" t="str" cm="1">
        <f t="array" ref="G562">IF(Table117821341[[#This Row],[Pos.]]="QB1",_xlfn.XLOOKUP(Table117821341[[#This Row],[Opp]],Table123[DEF],'2425'!$G$3:$G$34),"#N/A")</f>
        <v>#N/A</v>
      </c>
      <c r="H562" s="148" t="str" cm="1">
        <f t="array" ref="H562">IF(Table117821341[[#This Row],[Pos.]]="QB1",_xlfn.XLOOKUP(Table117821341[[#This Row],[Opp]],Table123[DEF],'2425'!$J$3:$J$34),"#N/A")</f>
        <v>#N/A</v>
      </c>
      <c r="I562" s="153" t="str" cm="1">
        <f t="array" ref="I562">IF(Table117821341[[#This Row],[Pos.]]="QB1",_xlfn.XLOOKUP(Table117821341[[#This Row],[Opp]],Table123[DEF],'2425'!$K$3:$K$34),"#N/A")</f>
        <v>#N/A</v>
      </c>
      <c r="J562" s="148" t="e" cm="1">
        <f t="array" ref="J562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2" s="148" t="e" cm="1">
        <f t="array" ref="K562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2" s="148" t="e" cm="1">
        <f t="array" ref="L562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2" s="148" t="e" cm="1">
        <f t="array" ref="M562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2" s="148" t="e" cm="1">
        <f t="array" ref="N562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2" s="149" t="str">
        <f>IF(Table117821341[[#This Row],[Pos.]]="QB1",_xlfn.XLOOKUP(Table117821341[[#This Row],[Opp]],Table123[DEF],Table123[P]),"#N/A")</f>
        <v>#N/A</v>
      </c>
      <c r="P562" s="149" t="str">
        <f>IF(Table117821341[[#This Row],[Pos.]]="QB1",_xlfn.XLOOKUP(Table117821341[[#This Row],[Opp]],Table123[DEF],Table123[P+R]),"#N/A")</f>
        <v>#N/A</v>
      </c>
      <c r="Q562" s="150" t="str">
        <f>IF(Table117821341[[#This Row],[Pos.]]="QB1",_xlfn.XLOOKUP(Table117821341[[#This Row],[Opp]],Table123[DEF],Table123[P TD]),"#N/A")</f>
        <v>#N/A</v>
      </c>
      <c r="R562" s="149" t="e" cm="1">
        <f t="array" ref="R562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2" s="150" t="e" cm="1">
        <f t="array" ref="S562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2" s="150" t="e" cm="1">
        <f t="array" ref="T562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2" s="150" t="e" cm="1">
        <f t="array" ref="U562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2" s="154" t="e" cm="1">
        <f t="array" ref="V562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2" s="148" t="e" cm="1">
        <f t="array" ref="W562">_xlfn.IFS(Table117821341[[#This Row],[Pos.]]="QB1",AVERAGE(G562,H562,I562,J562,N562),Table117821341[[#This Row],[Pos.]]="RB1",AVERAGE(J562,K562,N562),Table117821341[[#This Row],[Pos.]]="RB2",AVERAGE(J562,K562,N562),Table117821341[[#This Row],[Pos.]]="WR1",AVERAGE(L562,M562,N562),Table117821341[[#This Row],[Pos.]]="WR2",AVERAGE(L562,M562,N562),Table117821341[[#This Row],[Pos.]]="WR3",AVERAGE(L562,M562,N562),Table117821341[[#This Row],[Pos.]]="WR4",AVERAGE(L562,M562,N562),Table117821341[[#This Row],[Pos.]]="TE1",AVERAGE(L562,M562,N562),Table117821341[[#This Row],[Pos.]]="TE2",AVERAGE(L562,M562,N562),Table117821341[[#This Row],[Pos.]]="D/ST",AVERAGE(Table117821341[[#This Row],[*TD*]]))</f>
        <v>#N/A</v>
      </c>
      <c r="X562" s="94" t="e">
        <f t="shared" si="9"/>
        <v>#N/A</v>
      </c>
    </row>
    <row r="563" spans="2:24" hidden="1" x14ac:dyDescent="0.35">
      <c r="B563" s="6" t="s">
        <v>389</v>
      </c>
      <c r="C563" s="97" t="s">
        <v>56</v>
      </c>
      <c r="D563" s="143" t="s">
        <v>430</v>
      </c>
      <c r="E563" s="23" t="str" cm="1">
        <f t="array" ref="E563">_xlfn.XLOOKUP(Table117821341[[#This Row],[Team]],Table4334[Team],'2425'!$C$3:$C$34)</f>
        <v>n/a</v>
      </c>
      <c r="F563" s="97" t="str">
        <f>_xlfn.XLOOKUP(Table117821341[[#This Row],[Team]],Table4334[Team],Table4334[OPP])</f>
        <v>n/a</v>
      </c>
      <c r="G563" s="148" t="str" cm="1">
        <f t="array" ref="G563">IF(Table117821341[[#This Row],[Pos.]]="QB1",_xlfn.XLOOKUP(Table117821341[[#This Row],[Opp]],Table123[DEF],'2425'!$G$3:$G$34),"#N/A")</f>
        <v>#N/A</v>
      </c>
      <c r="H563" s="148" t="str" cm="1">
        <f t="array" ref="H563">IF(Table117821341[[#This Row],[Pos.]]="QB1",_xlfn.XLOOKUP(Table117821341[[#This Row],[Opp]],Table123[DEF],'2425'!$J$3:$J$34),"#N/A")</f>
        <v>#N/A</v>
      </c>
      <c r="I563" s="153" t="str" cm="1">
        <f t="array" ref="I563">IF(Table117821341[[#This Row],[Pos.]]="QB1",_xlfn.XLOOKUP(Table117821341[[#This Row],[Opp]],Table123[DEF],'2425'!$K$3:$K$34),"#N/A")</f>
        <v>#N/A</v>
      </c>
      <c r="J563" s="148" t="e" cm="1">
        <f t="array" ref="J563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3" s="148" t="e" cm="1">
        <f t="array" ref="K563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3" s="148" t="e" cm="1">
        <f t="array" ref="L563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3" s="148" t="e" cm="1">
        <f t="array" ref="M563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3" s="148" t="e" cm="1">
        <f t="array" ref="N563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3" s="149" t="str">
        <f>IF(Table117821341[[#This Row],[Pos.]]="QB1",_xlfn.XLOOKUP(Table117821341[[#This Row],[Opp]],Table123[DEF],Table123[P]),"#N/A")</f>
        <v>#N/A</v>
      </c>
      <c r="P563" s="149" t="str">
        <f>IF(Table117821341[[#This Row],[Pos.]]="QB1",_xlfn.XLOOKUP(Table117821341[[#This Row],[Opp]],Table123[DEF],Table123[P+R]),"#N/A")</f>
        <v>#N/A</v>
      </c>
      <c r="Q563" s="150" t="str">
        <f>IF(Table117821341[[#This Row],[Pos.]]="QB1",_xlfn.XLOOKUP(Table117821341[[#This Row],[Opp]],Table123[DEF],Table123[P TD]),"#N/A")</f>
        <v>#N/A</v>
      </c>
      <c r="R563" s="149" t="e" cm="1">
        <f t="array" ref="R563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3" s="150" t="e" cm="1">
        <f t="array" ref="S563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3" s="150" t="e" cm="1">
        <f t="array" ref="T563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3" s="150" t="e" cm="1">
        <f t="array" ref="U563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3" s="154" t="e" cm="1">
        <f t="array" ref="V563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3" s="148" t="e" cm="1">
        <f t="array" ref="W563">_xlfn.IFS(Table117821341[[#This Row],[Pos.]]="QB1",AVERAGE(G563,H563,I563,J563,N563),Table117821341[[#This Row],[Pos.]]="RB1",AVERAGE(J563,K563,N563),Table117821341[[#This Row],[Pos.]]="RB2",AVERAGE(J563,K563,N563),Table117821341[[#This Row],[Pos.]]="WR1",AVERAGE(L563,M563,N563),Table117821341[[#This Row],[Pos.]]="WR2",AVERAGE(L563,M563,N563),Table117821341[[#This Row],[Pos.]]="WR3",AVERAGE(L563,M563,N563),Table117821341[[#This Row],[Pos.]]="WR4",AVERAGE(L563,M563,N563),Table117821341[[#This Row],[Pos.]]="TE1",AVERAGE(L563,M563,N563),Table117821341[[#This Row],[Pos.]]="TE2",AVERAGE(L563,M563,N563),Table117821341[[#This Row],[Pos.]]="D/ST",AVERAGE(Table117821341[[#This Row],[*TD*]]))</f>
        <v>#N/A</v>
      </c>
      <c r="X563" s="94" t="e">
        <f t="shared" si="9"/>
        <v>#N/A</v>
      </c>
    </row>
    <row r="564" spans="2:24" hidden="1" x14ac:dyDescent="0.35">
      <c r="B564" s="6" t="s">
        <v>467</v>
      </c>
      <c r="C564" s="97" t="s">
        <v>56</v>
      </c>
      <c r="D564" s="143" t="s">
        <v>435</v>
      </c>
      <c r="E564" s="23" t="str" cm="1">
        <f t="array" ref="E564">_xlfn.XLOOKUP(Table117821341[[#This Row],[Team]],Table4334[Team],'2425'!$C$3:$C$34)</f>
        <v>n/a</v>
      </c>
      <c r="F564" s="97" t="str">
        <f>_xlfn.XLOOKUP(Table117821341[[#This Row],[Team]],Table4334[Team],Table4334[OPP])</f>
        <v>n/a</v>
      </c>
      <c r="G564" s="148" t="str" cm="1">
        <f t="array" ref="G564">IF(Table117821341[[#This Row],[Pos.]]="QB1",_xlfn.XLOOKUP(Table117821341[[#This Row],[Opp]],Table123[DEF],'2425'!$G$3:$G$34),"#N/A")</f>
        <v>#N/A</v>
      </c>
      <c r="H564" s="148" t="str" cm="1">
        <f t="array" ref="H564">IF(Table117821341[[#This Row],[Pos.]]="QB1",_xlfn.XLOOKUP(Table117821341[[#This Row],[Opp]],Table123[DEF],'2425'!$J$3:$J$34),"#N/A")</f>
        <v>#N/A</v>
      </c>
      <c r="I564" s="153" t="str" cm="1">
        <f t="array" ref="I564">IF(Table117821341[[#This Row],[Pos.]]="QB1",_xlfn.XLOOKUP(Table117821341[[#This Row],[Opp]],Table123[DEF],'2425'!$K$3:$K$34),"#N/A")</f>
        <v>#N/A</v>
      </c>
      <c r="J564" s="148" t="e" cm="1">
        <f t="array" ref="J564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4" s="148" t="e" cm="1">
        <f t="array" ref="K564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4" s="148" t="e" cm="1">
        <f t="array" ref="L564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4" s="148" t="e" cm="1">
        <f t="array" ref="M564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4" s="148" t="e" cm="1">
        <f t="array" ref="N564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4" s="149" t="str">
        <f>IF(Table117821341[[#This Row],[Pos.]]="QB1",_xlfn.XLOOKUP(Table117821341[[#This Row],[Opp]],Table123[DEF],Table123[P]),"#N/A")</f>
        <v>#N/A</v>
      </c>
      <c r="P564" s="149" t="str">
        <f>IF(Table117821341[[#This Row],[Pos.]]="QB1",_xlfn.XLOOKUP(Table117821341[[#This Row],[Opp]],Table123[DEF],Table123[P+R]),"#N/A")</f>
        <v>#N/A</v>
      </c>
      <c r="Q564" s="150" t="str">
        <f>IF(Table117821341[[#This Row],[Pos.]]="QB1",_xlfn.XLOOKUP(Table117821341[[#This Row],[Opp]],Table123[DEF],Table123[P TD]),"#N/A")</f>
        <v>#N/A</v>
      </c>
      <c r="R564" s="149" t="e" cm="1">
        <f t="array" ref="R564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4" s="150" t="e" cm="1">
        <f t="array" ref="S564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4" s="150" t="e" cm="1">
        <f t="array" ref="T564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4" s="150" t="e" cm="1">
        <f t="array" ref="U564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4" s="154" t="e" cm="1">
        <f t="array" ref="V564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4" s="148" t="e" cm="1">
        <f t="array" ref="W564">_xlfn.IFS(Table117821341[[#This Row],[Pos.]]="QB1",AVERAGE(G564,H564,I564,J564,N564),Table117821341[[#This Row],[Pos.]]="RB1",AVERAGE(J564,K564,N564),Table117821341[[#This Row],[Pos.]]="RB2",AVERAGE(J564,K564,N564),Table117821341[[#This Row],[Pos.]]="WR1",AVERAGE(L564,M564,N564),Table117821341[[#This Row],[Pos.]]="WR2",AVERAGE(L564,M564,N564),Table117821341[[#This Row],[Pos.]]="WR3",AVERAGE(L564,M564,N564),Table117821341[[#This Row],[Pos.]]="WR4",AVERAGE(L564,M564,N564),Table117821341[[#This Row],[Pos.]]="TE1",AVERAGE(L564,M564,N564),Table117821341[[#This Row],[Pos.]]="TE2",AVERAGE(L564,M564,N564),Table117821341[[#This Row],[Pos.]]="D/ST",AVERAGE(Table117821341[[#This Row],[*TD*]]))</f>
        <v>#N/A</v>
      </c>
      <c r="X564" s="94" t="e">
        <f t="shared" si="9"/>
        <v>#N/A</v>
      </c>
    </row>
    <row r="565" spans="2:24" hidden="1" x14ac:dyDescent="0.35">
      <c r="B565" s="6" t="s">
        <v>720</v>
      </c>
      <c r="C565" s="97" t="s">
        <v>39</v>
      </c>
      <c r="D565" s="143" t="s">
        <v>71</v>
      </c>
      <c r="E565" s="23" t="str" cm="1">
        <f t="array" ref="E565">_xlfn.XLOOKUP(Table117821341[[#This Row],[Team]],Table4334[Team],'2425'!$C$3:$C$34)</f>
        <v>n/a</v>
      </c>
      <c r="F565" s="97" t="str">
        <f>_xlfn.XLOOKUP(Table117821341[[#This Row],[Team]],Table4334[Team],Table4334[OPP])</f>
        <v>n/a</v>
      </c>
      <c r="G565" s="148" t="str" cm="1">
        <f t="array" ref="G565">IF(Table117821341[[#This Row],[Pos.]]="QB1",_xlfn.XLOOKUP(Table117821341[[#This Row],[Opp]],Table123[DEF],'2425'!$G$3:$G$34),"#N/A")</f>
        <v>#N/A</v>
      </c>
      <c r="H565" s="148" t="str" cm="1">
        <f t="array" ref="H565">IF(Table117821341[[#This Row],[Pos.]]="QB1",_xlfn.XLOOKUP(Table117821341[[#This Row],[Opp]],Table123[DEF],'2425'!$J$3:$J$34),"#N/A")</f>
        <v>#N/A</v>
      </c>
      <c r="I565" s="153" t="str" cm="1">
        <f t="array" ref="I565">IF(Table117821341[[#This Row],[Pos.]]="QB1",_xlfn.XLOOKUP(Table117821341[[#This Row],[Opp]],Table123[DEF],'2425'!$K$3:$K$34),"#N/A")</f>
        <v>#N/A</v>
      </c>
      <c r="J565" s="148" t="e" cm="1">
        <f t="array" ref="J565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5" s="148" t="e" cm="1">
        <f t="array" ref="K565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5" s="148" t="e" cm="1">
        <f t="array" ref="L565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5" s="148" t="e" cm="1">
        <f t="array" ref="M565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5" s="148" t="e" cm="1">
        <f t="array" ref="N565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5" s="149" t="str">
        <f>IF(Table117821341[[#This Row],[Pos.]]="QB1",_xlfn.XLOOKUP(Table117821341[[#This Row],[Opp]],Table123[DEF],Table123[P]),"#N/A")</f>
        <v>#N/A</v>
      </c>
      <c r="P565" s="149" t="str">
        <f>IF(Table117821341[[#This Row],[Pos.]]="QB1",_xlfn.XLOOKUP(Table117821341[[#This Row],[Opp]],Table123[DEF],Table123[P+R]),"#N/A")</f>
        <v>#N/A</v>
      </c>
      <c r="Q565" s="150" t="str">
        <f>IF(Table117821341[[#This Row],[Pos.]]="QB1",_xlfn.XLOOKUP(Table117821341[[#This Row],[Opp]],Table123[DEF],Table123[P TD]),"#N/A")</f>
        <v>#N/A</v>
      </c>
      <c r="R565" s="149" t="e" cm="1">
        <f t="array" ref="R565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5" s="150" t="e" cm="1">
        <f t="array" ref="S565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5" s="150" t="e" cm="1">
        <f t="array" ref="T565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5" s="150" t="e" cm="1">
        <f t="array" ref="U565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5" s="163" t="e" cm="1">
        <f t="array" ref="V565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5" s="148" t="e" cm="1">
        <f t="array" ref="W565">_xlfn.IFS(Table117821341[[#This Row],[Pos.]]="QB1",AVERAGE(G565,H565,I565,J565,N565),Table117821341[[#This Row],[Pos.]]="RB1",AVERAGE(J565,K565,N565),Table117821341[[#This Row],[Pos.]]="RB2",AVERAGE(J565,K565,N565),Table117821341[[#This Row],[Pos.]]="WR1",AVERAGE(L565,M565,N565),Table117821341[[#This Row],[Pos.]]="WR2",AVERAGE(L565,M565,N565),Table117821341[[#This Row],[Pos.]]="WR3",AVERAGE(L565,M565,N565),Table117821341[[#This Row],[Pos.]]="WR4",AVERAGE(L565,M565,N565),Table117821341[[#This Row],[Pos.]]="TE1",AVERAGE(L565,M565,N565),Table117821341[[#This Row],[Pos.]]="TE2",AVERAGE(L565,M565,N565),Table117821341[[#This Row],[Pos.]]="D/ST",AVERAGE(Table117821341[[#This Row],[*TD*]]))</f>
        <v>#N/A</v>
      </c>
      <c r="X565" s="94" t="e">
        <f t="shared" si="9"/>
        <v>#N/A</v>
      </c>
    </row>
    <row r="566" spans="2:24" x14ac:dyDescent="0.35">
      <c r="B566" s="6" t="s">
        <v>310</v>
      </c>
      <c r="C566" s="97" t="s">
        <v>46</v>
      </c>
      <c r="D566" s="143" t="s">
        <v>401</v>
      </c>
      <c r="E566" s="23" t="str" cm="1">
        <f t="array" ref="E566">_xlfn.XLOOKUP(Table117821341[[#This Row],[Team]],Table4334[Team],'2425'!$C$3:$C$34)</f>
        <v>SB LX</v>
      </c>
      <c r="F566" s="97" t="str">
        <f>_xlfn.XLOOKUP(Table117821341[[#This Row],[Team]],Table4334[Team],Table4334[OPP])</f>
        <v>SEA</v>
      </c>
      <c r="G566" s="148" t="str" cm="1">
        <f t="array" ref="G566">IF(Table117821341[[#This Row],[Pos.]]="QB1",_xlfn.XLOOKUP(Table117821341[[#This Row],[Opp]],Table123[DEF],'2425'!$G$3:$G$34),"#N/A")</f>
        <v>#N/A</v>
      </c>
      <c r="H566" s="148" t="str" cm="1">
        <f t="array" ref="H566">IF(Table117821341[[#This Row],[Pos.]]="QB1",_xlfn.XLOOKUP(Table117821341[[#This Row],[Opp]],Table123[DEF],'2425'!$J$3:$J$34),"#N/A")</f>
        <v>#N/A</v>
      </c>
      <c r="I566" s="153" t="str" cm="1">
        <f t="array" ref="I566">IF(Table117821341[[#This Row],[Pos.]]="QB1",_xlfn.XLOOKUP(Table117821341[[#This Row],[Opp]],Table123[DEF],'2425'!$K$3:$K$34),"#N/A")</f>
        <v>#N/A</v>
      </c>
      <c r="J566" s="148" t="e" cm="1">
        <f t="array" ref="J566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6" s="148" t="e" cm="1">
        <f t="array" ref="K566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6" s="148" cm="1">
        <f t="array" ref="L566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23</v>
      </c>
      <c r="M566" s="148" cm="1">
        <f t="array" ref="M566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19</v>
      </c>
      <c r="N566" s="148" cm="1">
        <f t="array" ref="N566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17</v>
      </c>
      <c r="O566" s="149" t="str">
        <f>IF(Table117821341[[#This Row],[Pos.]]="QB1",_xlfn.XLOOKUP(Table117821341[[#This Row],[Opp]],Table123[DEF],Table123[P]),"#N/A")</f>
        <v>#N/A</v>
      </c>
      <c r="P566" s="149" t="str">
        <f>IF(Table117821341[[#This Row],[Pos.]]="QB1",_xlfn.XLOOKUP(Table117821341[[#This Row],[Opp]],Table123[DEF],Table123[P+R]),"#N/A")</f>
        <v>#N/A</v>
      </c>
      <c r="Q566" s="150" t="str">
        <f>IF(Table117821341[[#This Row],[Pos.]]="QB1",_xlfn.XLOOKUP(Table117821341[[#This Row],[Opp]],Table123[DEF],Table123[P TD]),"#N/A")</f>
        <v>#N/A</v>
      </c>
      <c r="R566" s="149" t="e" cm="1">
        <f t="array" ref="R566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6" s="150" t="e" cm="1">
        <f t="array" ref="S566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6" s="150" cm="1">
        <f t="array" ref="T566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0.8529411764705882</v>
      </c>
      <c r="U566" s="150" cm="1">
        <f t="array" ref="U566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9.7941176470588225</v>
      </c>
      <c r="V566" s="163" cm="1">
        <f t="array" ref="V566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5.8823529411764705E-2</v>
      </c>
      <c r="W566" s="148" cm="1">
        <f t="array" ref="W566">_xlfn.IFS(Table117821341[[#This Row],[Pos.]]="QB1",AVERAGE(G566,H566,I566,J566,N566),Table117821341[[#This Row],[Pos.]]="RB1",AVERAGE(J566,K566,N566),Table117821341[[#This Row],[Pos.]]="RB2",AVERAGE(J566,K566,N566),Table117821341[[#This Row],[Pos.]]="WR1",AVERAGE(L566,M566,N566),Table117821341[[#This Row],[Pos.]]="WR2",AVERAGE(L566,M566,N566),Table117821341[[#This Row],[Pos.]]="WR3",AVERAGE(L566,M566,N566),Table117821341[[#This Row],[Pos.]]="WR4",AVERAGE(L566,M566,N566),Table117821341[[#This Row],[Pos.]]="TE1",AVERAGE(L566,M566,N566),Table117821341[[#This Row],[Pos.]]="TE2",AVERAGE(L566,M566,N566),Table117821341[[#This Row],[Pos.]]="D/ST",AVERAGE(Table117821341[[#This Row],[*TD*]]))</f>
        <v>19.666666666666668</v>
      </c>
      <c r="X566" s="94">
        <f t="shared" si="9"/>
        <v>18.333333333333336</v>
      </c>
    </row>
    <row r="567" spans="2:24" x14ac:dyDescent="0.35">
      <c r="B567" s="6" t="s">
        <v>709</v>
      </c>
      <c r="C567" s="97" t="s">
        <v>17</v>
      </c>
      <c r="D567" s="143" t="s">
        <v>71</v>
      </c>
      <c r="E567" s="23" t="str" cm="1">
        <f t="array" ref="E567">_xlfn.XLOOKUP(Table117821341[[#This Row],[Team]],Table4334[Team],'2425'!$C$3:$C$34)</f>
        <v>n/a</v>
      </c>
      <c r="F567" s="97" t="str">
        <f>_xlfn.XLOOKUP(Table117821341[[#This Row],[Team]],Table4334[Team],Table4334[OPP])</f>
        <v>n/a</v>
      </c>
      <c r="G567" s="148" t="str" cm="1">
        <f t="array" ref="G567">IF(Table117821341[[#This Row],[Pos.]]="QB1",_xlfn.XLOOKUP(Table117821341[[#This Row],[Opp]],Table123[DEF],'2425'!$G$3:$G$34),"#N/A")</f>
        <v>#N/A</v>
      </c>
      <c r="H567" s="148" t="str" cm="1">
        <f t="array" ref="H567">IF(Table117821341[[#This Row],[Pos.]]="QB1",_xlfn.XLOOKUP(Table117821341[[#This Row],[Opp]],Table123[DEF],'2425'!$J$3:$J$34),"#N/A")</f>
        <v>#N/A</v>
      </c>
      <c r="I567" s="153" t="str" cm="1">
        <f t="array" ref="I567">IF(Table117821341[[#This Row],[Pos.]]="QB1",_xlfn.XLOOKUP(Table117821341[[#This Row],[Opp]],Table123[DEF],'2425'!$K$3:$K$34),"#N/A")</f>
        <v>#N/A</v>
      </c>
      <c r="J567" s="148" t="e" cm="1">
        <f t="array" ref="J567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7" s="148" t="e" cm="1">
        <f t="array" ref="K567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7" s="148" t="e" cm="1">
        <f t="array" ref="L567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7" s="148" t="e" cm="1">
        <f t="array" ref="M567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7" s="148" t="e" cm="1">
        <f t="array" ref="N567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7" s="149" t="str">
        <f>IF(Table117821341[[#This Row],[Pos.]]="QB1",_xlfn.XLOOKUP(Table117821341[[#This Row],[Opp]],Table123[DEF],Table123[P]),"#N/A")</f>
        <v>#N/A</v>
      </c>
      <c r="P567" s="149" t="str">
        <f>IF(Table117821341[[#This Row],[Pos.]]="QB1",_xlfn.XLOOKUP(Table117821341[[#This Row],[Opp]],Table123[DEF],Table123[P+R]),"#N/A")</f>
        <v>#N/A</v>
      </c>
      <c r="Q567" s="150" t="str">
        <f>IF(Table117821341[[#This Row],[Pos.]]="QB1",_xlfn.XLOOKUP(Table117821341[[#This Row],[Opp]],Table123[DEF],Table123[P TD]),"#N/A")</f>
        <v>#N/A</v>
      </c>
      <c r="R567" s="149" t="e" cm="1">
        <f t="array" ref="R567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7" s="150" t="e" cm="1">
        <f t="array" ref="S567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7" s="150" t="e" cm="1">
        <f t="array" ref="T567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7" s="150" t="e" cm="1">
        <f t="array" ref="U567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7" s="163" t="e" cm="1">
        <f t="array" ref="V567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7" s="148" t="e" cm="1">
        <f t="array" ref="W567">_xlfn.IFS(Table117821341[[#This Row],[Pos.]]="QB1",AVERAGE(G567,H567,I567,J567,N567),Table117821341[[#This Row],[Pos.]]="RB1",AVERAGE(J567,K567,N567),Table117821341[[#This Row],[Pos.]]="RB2",AVERAGE(J567,K567,N567),Table117821341[[#This Row],[Pos.]]="WR1",AVERAGE(L567,M567,N567),Table117821341[[#This Row],[Pos.]]="WR2",AVERAGE(L567,M567,N567),Table117821341[[#This Row],[Pos.]]="WR3",AVERAGE(L567,M567,N567),Table117821341[[#This Row],[Pos.]]="WR4",AVERAGE(L567,M567,N567),Table117821341[[#This Row],[Pos.]]="TE1",AVERAGE(L567,M567,N567),Table117821341[[#This Row],[Pos.]]="TE2",AVERAGE(L567,M567,N567),Table117821341[[#This Row],[Pos.]]="D/ST",AVERAGE(Table117821341[[#This Row],[*TD*]]))</f>
        <v>#N/A</v>
      </c>
      <c r="X567" s="94" t="e">
        <f t="shared" si="9"/>
        <v>#N/A</v>
      </c>
    </row>
    <row r="568" spans="2:24" hidden="1" x14ac:dyDescent="0.35">
      <c r="B568" s="6" t="s">
        <v>242</v>
      </c>
      <c r="C568" s="97" t="s">
        <v>39</v>
      </c>
      <c r="D568" s="143" t="s">
        <v>401</v>
      </c>
      <c r="E568" s="23" t="str" cm="1">
        <f t="array" ref="E568">_xlfn.XLOOKUP(Table117821341[[#This Row],[Team]],Table4334[Team],'2425'!$C$3:$C$34)</f>
        <v>n/a</v>
      </c>
      <c r="F568" s="97" t="str">
        <f>_xlfn.XLOOKUP(Table117821341[[#This Row],[Team]],Table4334[Team],Table4334[OPP])</f>
        <v>n/a</v>
      </c>
      <c r="G568" s="148" t="str" cm="1">
        <f t="array" ref="G568">IF(Table117821341[[#This Row],[Pos.]]="QB1",_xlfn.XLOOKUP(Table117821341[[#This Row],[Opp]],Table123[DEF],'2425'!$G$3:$G$34),"#N/A")</f>
        <v>#N/A</v>
      </c>
      <c r="H568" s="148" t="str" cm="1">
        <f t="array" ref="H568">IF(Table117821341[[#This Row],[Pos.]]="QB1",_xlfn.XLOOKUP(Table117821341[[#This Row],[Opp]],Table123[DEF],'2425'!$J$3:$J$34),"#N/A")</f>
        <v>#N/A</v>
      </c>
      <c r="I568" s="153" t="str" cm="1">
        <f t="array" ref="I568">IF(Table117821341[[#This Row],[Pos.]]="QB1",_xlfn.XLOOKUP(Table117821341[[#This Row],[Opp]],Table123[DEF],'2425'!$K$3:$K$34),"#N/A")</f>
        <v>#N/A</v>
      </c>
      <c r="J568" s="148" t="e" cm="1">
        <f t="array" ref="J568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8" s="148" t="e" cm="1">
        <f t="array" ref="K568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8" s="148" t="e" cm="1">
        <f t="array" ref="L568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8" s="148" t="e" cm="1">
        <f t="array" ref="M568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8" s="148" t="e" cm="1">
        <f t="array" ref="N568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8" s="149" t="str">
        <f>IF(Table117821341[[#This Row],[Pos.]]="QB1",_xlfn.XLOOKUP(Table117821341[[#This Row],[Opp]],Table123[DEF],Table123[P]),"#N/A")</f>
        <v>#N/A</v>
      </c>
      <c r="P568" s="149" t="str">
        <f>IF(Table117821341[[#This Row],[Pos.]]="QB1",_xlfn.XLOOKUP(Table117821341[[#This Row],[Opp]],Table123[DEF],Table123[P+R]),"#N/A")</f>
        <v>#N/A</v>
      </c>
      <c r="Q568" s="150" t="str">
        <f>IF(Table117821341[[#This Row],[Pos.]]="QB1",_xlfn.XLOOKUP(Table117821341[[#This Row],[Opp]],Table123[DEF],Table123[P TD]),"#N/A")</f>
        <v>#N/A</v>
      </c>
      <c r="R568" s="149" t="e" cm="1">
        <f t="array" ref="R568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8" s="150" t="e" cm="1">
        <f t="array" ref="S568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8" s="150" t="e" cm="1">
        <f t="array" ref="T568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8" s="150" t="e" cm="1">
        <f t="array" ref="U568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8" s="163" t="e" cm="1">
        <f t="array" ref="V568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8" s="148" t="e" cm="1">
        <f t="array" ref="W568">_xlfn.IFS(Table117821341[[#This Row],[Pos.]]="QB1",AVERAGE(G568,H568,I568,J568,N568),Table117821341[[#This Row],[Pos.]]="RB1",AVERAGE(J568,K568,N568),Table117821341[[#This Row],[Pos.]]="RB2",AVERAGE(J568,K568,N568),Table117821341[[#This Row],[Pos.]]="WR1",AVERAGE(L568,M568,N568),Table117821341[[#This Row],[Pos.]]="WR2",AVERAGE(L568,M568,N568),Table117821341[[#This Row],[Pos.]]="WR3",AVERAGE(L568,M568,N568),Table117821341[[#This Row],[Pos.]]="WR4",AVERAGE(L568,M568,N568),Table117821341[[#This Row],[Pos.]]="TE1",AVERAGE(L568,M568,N568),Table117821341[[#This Row],[Pos.]]="TE2",AVERAGE(L568,M568,N568),Table117821341[[#This Row],[Pos.]]="D/ST",AVERAGE(Table117821341[[#This Row],[*TD*]]))</f>
        <v>#N/A</v>
      </c>
      <c r="X568" s="94" t="e">
        <f t="shared" ref="X568" si="10">AVERAGE(N568,W568)</f>
        <v>#N/A</v>
      </c>
    </row>
    <row r="569" spans="2:24" hidden="1" x14ac:dyDescent="0.35">
      <c r="B569" s="142" t="s">
        <v>465</v>
      </c>
      <c r="C569" s="143" t="s">
        <v>56</v>
      </c>
      <c r="D569" s="143" t="s">
        <v>403</v>
      </c>
      <c r="E569" s="23" t="str" cm="1">
        <f t="array" ref="E569">_xlfn.XLOOKUP(Table117821341[[#This Row],[Team]],Table4334[Team],'2425'!$C$3:$C$34)</f>
        <v>n/a</v>
      </c>
      <c r="F569" s="143" t="str">
        <f>_xlfn.XLOOKUP(Table117821341[[#This Row],[Team]],Table4334[Team],Table4334[OPP])</f>
        <v>n/a</v>
      </c>
      <c r="G569" s="151" t="str" cm="1">
        <f t="array" ref="G569">IF(Table117821341[[#This Row],[Pos.]]="QB1",_xlfn.XLOOKUP(Table117821341[[#This Row],[Opp]],Table123[DEF],'2425'!$G$3:$G$34),"#N/A")</f>
        <v>#N/A</v>
      </c>
      <c r="H569" s="151" t="str" cm="1">
        <f t="array" ref="H569">IF(Table117821341[[#This Row],[Pos.]]="QB1",_xlfn.XLOOKUP(Table117821341[[#This Row],[Opp]],Table123[DEF],'2425'!$J$3:$J$34),"#N/A")</f>
        <v>#N/A</v>
      </c>
      <c r="I569" s="152" t="str" cm="1">
        <f t="array" ref="I569">IF(Table117821341[[#This Row],[Pos.]]="QB1",_xlfn.XLOOKUP(Table117821341[[#This Row],[Opp]],Table123[DEF],'2425'!$K$3:$K$34),"#N/A")</f>
        <v>#N/A</v>
      </c>
      <c r="J569" s="151" t="e" cm="1">
        <f t="array" ref="J569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69" s="151" t="e" cm="1">
        <f t="array" ref="K569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69" s="151" t="e" cm="1">
        <f t="array" ref="L569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69" s="151" t="e" cm="1">
        <f t="array" ref="M569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69" s="151" t="e" cm="1">
        <f t="array" ref="N569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69" s="149" t="str">
        <f>IF(Table117821341[[#This Row],[Pos.]]="QB1",_xlfn.XLOOKUP(Table117821341[[#This Row],[Opp]],Table123[DEF],Table123[P]),"#N/A")</f>
        <v>#N/A</v>
      </c>
      <c r="P569" s="149" t="str">
        <f>IF(Table117821341[[#This Row],[Pos.]]="QB1",_xlfn.XLOOKUP(Table117821341[[#This Row],[Opp]],Table123[DEF],Table123[P+R]),"#N/A")</f>
        <v>#N/A</v>
      </c>
      <c r="Q569" s="150" t="str">
        <f>IF(Table117821341[[#This Row],[Pos.]]="QB1",_xlfn.XLOOKUP(Table117821341[[#This Row],[Opp]],Table123[DEF],Table123[P TD]),"#N/A")</f>
        <v>#N/A</v>
      </c>
      <c r="R569" s="149" t="e" cm="1">
        <f t="array" ref="R569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69" s="150" t="e" cm="1">
        <f t="array" ref="S569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69" s="150" t="e" cm="1">
        <f t="array" ref="T569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69" s="150" t="e" cm="1">
        <f t="array" ref="U569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69" s="154" t="e" cm="1">
        <f t="array" ref="V569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69" s="151" t="e" cm="1">
        <f t="array" ref="W569">_xlfn.IFS(Table117821341[[#This Row],[Pos.]]="QB1",AVERAGE(G569,H569,I569,J569,N569),Table117821341[[#This Row],[Pos.]]="RB1",AVERAGE(J569,K569,N569),Table117821341[[#This Row],[Pos.]]="RB2",AVERAGE(J569,K569,N569),Table117821341[[#This Row],[Pos.]]="WR1",AVERAGE(L569,M569,N569),Table117821341[[#This Row],[Pos.]]="WR2",AVERAGE(L569,M569,N569),Table117821341[[#This Row],[Pos.]]="WR3",AVERAGE(L569,M569,N569),Table117821341[[#This Row],[Pos.]]="WR4",AVERAGE(L569,M569,N569),Table117821341[[#This Row],[Pos.]]="TE1",AVERAGE(L569,M569,N569),Table117821341[[#This Row],[Pos.]]="TE2",AVERAGE(L569,M569,N569),Table117821341[[#This Row],[Pos.]]="D/ST",AVERAGE(Table117821341[[#This Row],[*TD*]]))</f>
        <v>#N/A</v>
      </c>
      <c r="X569" s="94" t="e">
        <f t="shared" ref="X569:X570" si="11">AVERAGE(N569,W569)</f>
        <v>#N/A</v>
      </c>
    </row>
    <row r="570" spans="2:24" hidden="1" x14ac:dyDescent="0.35">
      <c r="B570" s="142" t="s">
        <v>463</v>
      </c>
      <c r="C570" s="160" t="s">
        <v>56</v>
      </c>
      <c r="D570" s="143" t="s">
        <v>411</v>
      </c>
      <c r="E570" s="123" t="str" cm="1">
        <f t="array" ref="E570">_xlfn.XLOOKUP(Table117821341[[#This Row],[Team]],Table4334[Team],'2425'!$C$3:$C$34)</f>
        <v>n/a</v>
      </c>
      <c r="F570" s="143" t="str">
        <f>_xlfn.XLOOKUP(Table117821341[[#This Row],[Team]],Table4334[Team],Table4334[OPP])</f>
        <v>n/a</v>
      </c>
      <c r="G570" s="151" t="str" cm="1">
        <f t="array" ref="G570">IF(Table117821341[[#This Row],[Pos.]]="QB1",_xlfn.XLOOKUP(Table117821341[[#This Row],[Opp]],Table123[DEF],'2425'!$G$3:$G$34),"#N/A")</f>
        <v>#N/A</v>
      </c>
      <c r="H570" s="151" t="str" cm="1">
        <f t="array" ref="H570">IF(Table117821341[[#This Row],[Pos.]]="QB1",_xlfn.XLOOKUP(Table117821341[[#This Row],[Opp]],Table123[DEF],'2425'!$J$3:$J$34),"#N/A")</f>
        <v>#N/A</v>
      </c>
      <c r="I570" s="152" t="str" cm="1">
        <f t="array" ref="I570">IF(Table117821341[[#This Row],[Pos.]]="QB1",_xlfn.XLOOKUP(Table117821341[[#This Row],[Opp]],Table123[DEF],'2425'!$K$3:$K$34),"#N/A")</f>
        <v>#N/A</v>
      </c>
      <c r="J570" s="151" t="e" cm="1">
        <f t="array" ref="J570">_xlfn.IFS(Table117821341[[#This Row],[Pos.]]="QB1",_xlfn.XLOOKUP(Table117821341[[#This Row],[Opp]],Table123[DEF],'2425'!$I$3:$I$34),Table117821341[[#This Row],[Pos.]]="RB1",_xlfn.XLOOKUP(Table117821341[[#This Row],[Opp]],Table2040[DEF],'2425'!$H$38:$H$69),Table117821341[[#This Row],[Pos.]]="RB2",_xlfn.XLOOKUP(Table117821341[[#This Row],[Opp]],Table2040[DEF],'2425'!$H$38:$H$69))</f>
        <v>#N/A</v>
      </c>
      <c r="K570" s="151" t="e" cm="1">
        <f t="array" ref="K570">_xlfn.IFS(Table117821341[[#This Row],[Pos.]]="RB1",_xlfn.XLOOKUP(Table117821341[[#This Row],[Opp]],Table2040[DEF],'2425'!$K$38:$K$69),Table117821341[[#This Row],[Pos.]]="RB2",_xlfn.XLOOKUP(Table117821341[[#This Row],[Opp]],Table2040[DEF],'2425'!$K$38:$K$69))</f>
        <v>#N/A</v>
      </c>
      <c r="L570" s="151" t="e" cm="1">
        <f t="array" ref="L570">_xlfn.IFS(Table117821341[[#This Row],[Pos.]]="WR1",_xlfn.XLOOKUP(Table117821341[[#This Row],[Opp]],Table731[DEF],'2425'!$U$3:$U$34),Table117821341[[#This Row],[Pos.]]="WR2",_xlfn.XLOOKUP(Table117821341[[#This Row],[Opp]],Table71236[DEF],'2425'!$AD$3:$AD$34),Table117821341[[#This Row],[Pos.]]="WR3",_xlfn.XLOOKUP(Table117821341[[#This Row],[Opp]],Table7121437[DEF],'2425'!$U$38:$U$69),Table117821341[[#This Row],[Pos.]]="WR4",_xlfn.XLOOKUP(Table117821341[[#This Row],[Opp]],Table712141538[DEF],'2425'!$AD$38:$AD$69),Table117821341[[#This Row],[Pos.]]="TE1",_xlfn.XLOOKUP(Table117821341[[#This Row],[Opp]],Table832[DEF],'2425'!$AM$3:$AM$34),Table117821341[[#This Row],[Pos.]]="TE2",_xlfn.XLOOKUP(Table117821341[[#This Row],[Opp]],Table832[DEF],'2425'!$AM$3:$AM$34),Table117821341[[#This Row],[Pos.]]="RB1",_xlfn.XLOOKUP(Table117821341[[#This Row],[Opp]],Table2040[DEF],'2425'!$I$38:$I$69),Table117821341[[#This Row],[Pos.]]="RB2",_xlfn.XLOOKUP(Table117821341[[#This Row],[Opp]],Table2040[DEF],'2425'!$I$38:$I$69))</f>
        <v>#N/A</v>
      </c>
      <c r="M570" s="151" t="e" cm="1">
        <f t="array" ref="M570">_xlfn.IFS(Table117821341[[#This Row],[Pos.]]="WR1",_xlfn.XLOOKUP(Table117821341[[#This Row],[Opp]],Table731[DEF],'2425'!$V$3:$V$34),Table117821341[[#This Row],[Pos.]]="WR2",_xlfn.XLOOKUP(Table117821341[[#This Row],[Opp]],Table71236[DEF],'2425'!$AE$3:$AE$34),Table117821341[[#This Row],[Pos.]]="WR3",_xlfn.XLOOKUP(Table117821341[[#This Row],[Opp]],Table7121437[DEF],'2425'!$V$38:$V$69),Table117821341[[#This Row],[Pos.]]="WR4",_xlfn.XLOOKUP(Table117821341[[#This Row],[Opp]],Table712141538[DEF],'2425'!$AE$38:$AE$69),Table117821341[[#This Row],[Pos.]]="TE1",_xlfn.XLOOKUP(Table117821341[[#This Row],[Opp]],Table832[DEF],'2425'!$AN$3:$AN$34),Table117821341[[#This Row],[Pos.]]="TE2",_xlfn.XLOOKUP(Table117821341[[#This Row],[Opp]],Table832[DEF],'2425'!$AN$3:$AN$34),Table117821341[[#This Row],[Pos.]]="RB1",_xlfn.XLOOKUP(Table117821341[[#This Row],[Opp]],Table2040[DEF],'2425'!$J$38:$J$69),Table117821341[[#This Row],[Pos.]]="RB2",_xlfn.XLOOKUP(Table117821341[[#This Row],[Opp]],Table2040[DEF],'2425'!$J$38:$J$69))</f>
        <v>#N/A</v>
      </c>
      <c r="N570" s="151" t="e" cm="1">
        <f t="array" ref="N570">_xlfn.IFS(Table117821341[[#This Row],[Pos.]]="WR1",_xlfn.XLOOKUP(Table117821341[[#This Row],[Opp]],Table731[DEF],'2425'!$W$3:$W$34),Table117821341[[#This Row],[Pos.]]="WR2",_xlfn.XLOOKUP(Table117821341[[#This Row],[Opp]],Table71236[DEF],'2425'!$AF$3:$AF$34),Table117821341[[#This Row],[Pos.]]="WR3",_xlfn.XLOOKUP(Table117821341[[#This Row],[Opp]],Table7121437[DEF],'2425'!$W$38:$W$69),Table117821341[[#This Row],[Pos.]]="WR4",_xlfn.XLOOKUP(Table117821341[[#This Row],[Opp]],Table712141538[DEF],'2425'!$AF$38:$AF$69),Table117821341[[#This Row],[Pos.]]="QB1",_xlfn.XLOOKUP(Table117821341[[#This Row],[Opp]],Table123[DEF],'2425'!$L$3:$L$34),Table117821341[[#This Row],[Pos.]]="RB1",_xlfn.XLOOKUP(Table117821341[[#This Row],[Opp]],Table2040[DEF],'2425'!$L$38:$L$69),Table117821341[[#This Row],[Pos.]]="RB2",_xlfn.XLOOKUP(Table117821341[[#This Row],[Opp]],Table2040[DEF],'2425'!$L$38:$L$69),Table117821341[[#This Row],[Pos.]]="TE1",_xlfn.XLOOKUP(Table117821341[[#This Row],[Opp]],Table832[DEF],'2425'!$AO$3:$AO$34),Table117821341[[#This Row],[Pos.]]="TE2",_xlfn.XLOOKUP(Table117821341[[#This Row],[Opp]],Table832[DEF],'2425'!$AO$3:$AO$34),Table117821341[[#This Row],[Pos.]]="D/ST",_xlfn.XLOOKUP(Table117821341[[#This Row],[Opp]],Table1033[DEF],'2425'!$C$38:$C$69))</f>
        <v>#N/A</v>
      </c>
      <c r="O570" s="149" t="str">
        <f>IF(Table117821341[[#This Row],[Pos.]]="QB1",_xlfn.XLOOKUP(Table117821341[[#This Row],[Opp]],Table123[DEF],Table123[P]),"#N/A")</f>
        <v>#N/A</v>
      </c>
      <c r="P570" s="149" t="str">
        <f>IF(Table117821341[[#This Row],[Pos.]]="QB1",_xlfn.XLOOKUP(Table117821341[[#This Row],[Opp]],Table123[DEF],Table123[P+R]),"#N/A")</f>
        <v>#N/A</v>
      </c>
      <c r="Q570" s="150" t="str">
        <f>IF(Table117821341[[#This Row],[Pos.]]="QB1",_xlfn.XLOOKUP(Table117821341[[#This Row],[Opp]],Table123[DEF],Table123[P TD]),"#N/A")</f>
        <v>#N/A</v>
      </c>
      <c r="R570" s="149" t="e" cm="1">
        <f t="array" ref="R570">_xlfn.IFS(Table117821341[[#This Row],[Pos.]]="QB1",_xlfn.XLOOKUP(Table117821341[[#This Row],[Opp]],Table123[DEF],Table123[R]),Table117821341[[#This Row],[Pos.]]="RB1",_xlfn.XLOOKUP(Table117821341[[#This Row],[Opp]],Table2040[DEF],Table2040[R]),Table117821341[[#This Row],[Pos.]]="RB2",_xlfn.XLOOKUP(Table117821341[[#This Row],[Opp]],Table2040[DEF],Table2040[R]))</f>
        <v>#N/A</v>
      </c>
      <c r="S570" s="150" t="e" cm="1">
        <f t="array" ref="S570">_xlfn.IFS(Table117821341[[#This Row],[Pos.]]="RB1",_xlfn.XLOOKUP(Table117821341[[#This Row],[Opp]],Table2040[DEF],Table2040[R+R]),Table117821341[[#This Row],[Pos.]]="RB2",_xlfn.XLOOKUP(Table117821341[[#This Row],[Opp]],Table2040[DEF],Table2040[R+R]))</f>
        <v>#N/A</v>
      </c>
      <c r="T570" s="150" t="e" cm="1">
        <f t="array" ref="T570">_xlfn.IFS(Table117821341[[#This Row],[Pos.]]="RB1",_xlfn.XLOOKUP(Table117821341[[#This Row],[Opp]],Table2040[DEF],Table2040[REC]),Table117821341[[#This Row],[Pos.]]="RB2",_xlfn.XLOOKUP(Table117821341[[#This Row],[Opp]],Table2040[DEF],Table2040[REC]),Table117821341[[#This Row],[Pos.]]="WR1",_xlfn.XLOOKUP(Table117821341[[#This Row],[Opp]],Table731[DEF],Table731[REC]),Table117821341[[#This Row],[Pos.]]="WR2",_xlfn.XLOOKUP(Table117821341[[#This Row],[Opp]],Table71236[DEF],Table71236[REC]),Table117821341[[#This Row],[Pos.]]="WR3",_xlfn.XLOOKUP(Table117821341[[#This Row],[Opp]],Table7121437[DEF],Table7121437[REC]),Table117821341[[#This Row],[Pos.]]="WR4",_xlfn.XLOOKUP(Table117821341[[#This Row],[Opp]],Table712141538[DEF],Table712141538[REC]),Table117821341[[#This Row],[Pos.]]="TE1",_xlfn.XLOOKUP(Table117821341[[#This Row],[Opp]],Table832[DEF],Table832[REC]),Table117821341[[#This Row],[Pos.]]="TE2",_xlfn.XLOOKUP(Table117821341[[#This Row],[Opp]],Table832[DEF],Table832[REC]))</f>
        <v>#N/A</v>
      </c>
      <c r="U570" s="150" t="e" cm="1">
        <f t="array" ref="U570">_xlfn.IFS(Table117821341[[#This Row],[Pos.]]="RB1",_xlfn.XLOOKUP(Table117821341[[#This Row],[Opp]],Table2040[DEF],Table2040[Y]),Table117821341[[#This Row],[Pos.]]="RB2",_xlfn.XLOOKUP(Table117821341[[#This Row],[Opp]],Table2040[DEF],Table2040[Y]),Table117821341[[#This Row],[Pos.]]="WR1",_xlfn.XLOOKUP(Table117821341[[#This Row],[Opp]],Table731[DEF],Table731[Y]),Table117821341[[#This Row],[Pos.]]="WR2",_xlfn.XLOOKUP(Table117821341[[#This Row],[Opp]],Table71236[DEF],Table71236[Y]),Table117821341[[#This Row],[Pos.]]="WR3",_xlfn.XLOOKUP(Table117821341[[#This Row],[Opp]],Table7121437[DEF],Table7121437[Y]),Table117821341[[#This Row],[Pos.]]="WR4",_xlfn.XLOOKUP(Table117821341[[#This Row],[Opp]],Table712141538[DEF],Table712141538[Y]),Table117821341[[#This Row],[Pos.]]="TE1",_xlfn.XLOOKUP(Table117821341[[#This Row],[Opp]],Table832[DEF],Table832[Y]),Table117821341[[#This Row],[Pos.]]="TE2",_xlfn.XLOOKUP(Table117821341[[#This Row],[Opp]],Table832[DEF],Table832[Y]))</f>
        <v>#N/A</v>
      </c>
      <c r="V570" s="154" t="e" cm="1">
        <f t="array" ref="V570">_xlfn.IFS(Table117821341[[#This Row],[Pos.]]="QB1",_xlfn.XLOOKUP(Table117821341[[#This Row],[Opp]],Table123[DEF],Table123[TD]),Table117821341[[#This Row],[Pos.]]="RB1",_xlfn.XLOOKUP(Table117821341[[#This Row],[Opp]],Table2040[DEF],Table2040[TD]),Table117821341[[#This Row],[Pos.]]="RB2",_xlfn.XLOOKUP(Table117821341[[#This Row],[Opp]],Table2040[DEF],Table2040[TD]),Table117821341[[#This Row],[Pos.]]="WR1",_xlfn.XLOOKUP(Table117821341[[#This Row],[Opp]],Table731[DEF],Table731[TD]),Table117821341[[#This Row],[Pos.]]="WR2",_xlfn.XLOOKUP(Table117821341[[#This Row],[Opp]],Table71236[DEF],Table71236[TD]),Table117821341[[#This Row],[Pos.]]="WR3",_xlfn.XLOOKUP(Table117821341[[#This Row],[Opp]],Table7121437[DEF],Table7121437[TD]),Table117821341[[#This Row],[Pos.]]="WR4",_xlfn.XLOOKUP(Table117821341[[#This Row],[Opp]],Table712141538[DEF],Table712141538[TD]),Table117821341[[#This Row],[Pos.]]="TE1",_xlfn.XLOOKUP(Table117821341[[#This Row],[Opp]],Table832[DEF],Table832[TD]),Table117821341[[#This Row],[Pos.]]="TE2",_xlfn.XLOOKUP(Table117821341[[#This Row],[Opp]],Table832[DEF],Table832[TD]),Table117821341[[#This Row],[Pos.]]="D/ST",_xlfn.XLOOKUP(Table117821341[[#This Row],[Opp]],Table1033[DEF],Table1033[TD]))</f>
        <v>#N/A</v>
      </c>
      <c r="W570" s="151" t="e" cm="1">
        <f t="array" ref="W570">_xlfn.IFS(Table117821341[[#This Row],[Pos.]]="QB1",AVERAGE(G570,H570,I570,J570,N570),Table117821341[[#This Row],[Pos.]]="RB1",AVERAGE(J570,K570,N570),Table117821341[[#This Row],[Pos.]]="RB2",AVERAGE(J570,K570,N570),Table117821341[[#This Row],[Pos.]]="WR1",AVERAGE(L570,M570,N570),Table117821341[[#This Row],[Pos.]]="WR2",AVERAGE(L570,M570,N570),Table117821341[[#This Row],[Pos.]]="WR3",AVERAGE(L570,M570,N570),Table117821341[[#This Row],[Pos.]]="WR4",AVERAGE(L570,M570,N570),Table117821341[[#This Row],[Pos.]]="TE1",AVERAGE(L570,M570,N570),Table117821341[[#This Row],[Pos.]]="TE2",AVERAGE(L570,M570,N570),Table117821341[[#This Row],[Pos.]]="D/ST",AVERAGE(Table117821341[[#This Row],[*TD*]]))</f>
        <v>#N/A</v>
      </c>
      <c r="X570" s="110" t="e">
        <f t="shared" si="11"/>
        <v>#N/A</v>
      </c>
    </row>
    <row r="571" spans="2:24" x14ac:dyDescent="0.35">
      <c r="X571" s="95"/>
    </row>
    <row r="572" spans="2:24" x14ac:dyDescent="0.35">
      <c r="X572" s="95"/>
    </row>
    <row r="573" spans="2:24" x14ac:dyDescent="0.35">
      <c r="X573" s="95"/>
    </row>
    <row r="574" spans="2:24" x14ac:dyDescent="0.35">
      <c r="X574" s="95"/>
    </row>
    <row r="575" spans="2:24" x14ac:dyDescent="0.35">
      <c r="X575" s="95"/>
    </row>
    <row r="576" spans="2:24" x14ac:dyDescent="0.35">
      <c r="X576" s="95"/>
    </row>
    <row r="577" spans="24:24" x14ac:dyDescent="0.35">
      <c r="X577" s="95"/>
    </row>
    <row r="578" spans="24:24" x14ac:dyDescent="0.35">
      <c r="X578" s="95"/>
    </row>
    <row r="579" spans="24:24" x14ac:dyDescent="0.35">
      <c r="X579" s="95"/>
    </row>
    <row r="580" spans="24:24" x14ac:dyDescent="0.35">
      <c r="X580" s="95"/>
    </row>
    <row r="581" spans="24:24" x14ac:dyDescent="0.35">
      <c r="X581" s="95"/>
    </row>
    <row r="582" spans="24:24" x14ac:dyDescent="0.35">
      <c r="X582" s="95"/>
    </row>
    <row r="583" spans="24:24" x14ac:dyDescent="0.35">
      <c r="X583" s="95"/>
    </row>
    <row r="584" spans="24:24" x14ac:dyDescent="0.35">
      <c r="X584" s="95"/>
    </row>
    <row r="585" spans="24:24" x14ac:dyDescent="0.35">
      <c r="X585" s="95"/>
    </row>
    <row r="586" spans="24:24" x14ac:dyDescent="0.35">
      <c r="X586" s="95"/>
    </row>
    <row r="587" spans="24:24" x14ac:dyDescent="0.35">
      <c r="X587" s="95"/>
    </row>
    <row r="588" spans="24:24" x14ac:dyDescent="0.35">
      <c r="X588" s="95"/>
    </row>
    <row r="589" spans="24:24" x14ac:dyDescent="0.35">
      <c r="X589" s="95"/>
    </row>
    <row r="590" spans="24:24" x14ac:dyDescent="0.35">
      <c r="X590" s="95"/>
    </row>
  </sheetData>
  <mergeCells count="5">
    <mergeCell ref="B1:F1"/>
    <mergeCell ref="G1:K1"/>
    <mergeCell ref="L1:M1"/>
    <mergeCell ref="O1:S1"/>
    <mergeCell ref="T1:U1"/>
  </mergeCells>
  <phoneticPr fontId="5" type="noConversion"/>
  <conditionalFormatting sqref="C3:C570 F3:F570">
    <cfRule type="cellIs" dxfId="4087" priority="36" operator="equal">
      <formula>"CAR"</formula>
    </cfRule>
    <cfRule type="cellIs" dxfId="4086" priority="59" operator="equal">
      <formula>"KC"</formula>
    </cfRule>
    <cfRule type="cellIs" dxfId="4085" priority="60" operator="equal">
      <formula>"BAL"</formula>
    </cfRule>
    <cfRule type="cellIs" dxfId="4084" priority="61" operator="equal">
      <formula>"PHI"</formula>
    </cfRule>
    <cfRule type="cellIs" dxfId="4083" priority="30" operator="equal">
      <formula>"BYE"</formula>
    </cfRule>
    <cfRule type="cellIs" dxfId="4082" priority="31" operator="equal">
      <formula>"LV"</formula>
    </cfRule>
    <cfRule type="cellIs" dxfId="4081" priority="32" operator="equal">
      <formula>"NE"</formula>
    </cfRule>
    <cfRule type="cellIs" dxfId="4080" priority="33" operator="equal">
      <formula>"MIN"</formula>
    </cfRule>
    <cfRule type="cellIs" dxfId="4079" priority="34" operator="equal">
      <formula>"PIT"</formula>
    </cfRule>
    <cfRule type="cellIs" dxfId="4078" priority="35" operator="equal">
      <formula>"DEN"</formula>
    </cfRule>
    <cfRule type="cellIs" dxfId="4077" priority="46" operator="equal">
      <formula>"ATL"</formula>
    </cfRule>
    <cfRule type="cellIs" dxfId="4076" priority="37" operator="equal">
      <formula>"NYG"</formula>
    </cfRule>
    <cfRule type="cellIs" dxfId="4075" priority="38" operator="equal">
      <formula>"NO"</formula>
    </cfRule>
    <cfRule type="cellIs" dxfId="4074" priority="39" operator="equal">
      <formula>"TEN"</formula>
    </cfRule>
    <cfRule type="cellIs" dxfId="4073" priority="40" operator="equal">
      <formula>"TB"</formula>
    </cfRule>
    <cfRule type="cellIs" dxfId="4072" priority="41" operator="equal">
      <formula>"CLE"</formula>
    </cfRule>
    <cfRule type="cellIs" dxfId="4071" priority="42" operator="equal">
      <formula>"NYJ"</formula>
    </cfRule>
    <cfRule type="cellIs" dxfId="4070" priority="43" operator="equal">
      <formula>"SEA"</formula>
    </cfRule>
    <cfRule type="cellIs" dxfId="4069" priority="44" operator="equal">
      <formula>"LAC"</formula>
    </cfRule>
    <cfRule type="cellIs" dxfId="4068" priority="45" operator="equal">
      <formula>"LAR"</formula>
    </cfRule>
    <cfRule type="cellIs" dxfId="4067" priority="62" operator="equal">
      <formula>"BUF"</formula>
    </cfRule>
    <cfRule type="cellIs" dxfId="4066" priority="47" operator="equal">
      <formula>"JAX"</formula>
    </cfRule>
    <cfRule type="cellIs" dxfId="4065" priority="48" operator="equal">
      <formula>"CHI"</formula>
    </cfRule>
    <cfRule type="cellIs" dxfId="4064" priority="49" operator="equal">
      <formula>"MIA"</formula>
    </cfRule>
    <cfRule type="cellIs" dxfId="4063" priority="50" operator="equal">
      <formula>"DET"</formula>
    </cfRule>
    <cfRule type="cellIs" dxfId="4062" priority="51" operator="equal">
      <formula>"SF"</formula>
    </cfRule>
    <cfRule type="cellIs" dxfId="4061" priority="52" operator="equal">
      <formula>"WAS"</formula>
    </cfRule>
    <cfRule type="cellIs" dxfId="4060" priority="53" operator="equal">
      <formula>"GB"</formula>
    </cfRule>
    <cfRule type="cellIs" dxfId="4059" priority="54" operator="equal">
      <formula>"DAL"</formula>
    </cfRule>
    <cfRule type="cellIs" dxfId="4058" priority="55" operator="equal">
      <formula>"CIN"</formula>
    </cfRule>
    <cfRule type="cellIs" dxfId="4057" priority="56" operator="equal">
      <formula>"ARI"</formula>
    </cfRule>
    <cfRule type="cellIs" dxfId="4056" priority="57" operator="equal">
      <formula>"HOU"</formula>
    </cfRule>
    <cfRule type="cellIs" dxfId="4055" priority="58" operator="equal">
      <formula>"IND"</formula>
    </cfRule>
  </conditionalFormatting>
  <conditionalFormatting sqref="D3:D570">
    <cfRule type="cellIs" dxfId="4054" priority="117" operator="equal">
      <formula>"WR1"</formula>
    </cfRule>
    <cfRule type="cellIs" dxfId="4053" priority="118" operator="equal">
      <formula>"RB1"</formula>
    </cfRule>
    <cfRule type="cellIs" dxfId="4052" priority="13" operator="equal">
      <formula>"d/st"</formula>
    </cfRule>
    <cfRule type="cellIs" dxfId="4051" priority="119" operator="equal">
      <formula>"QB1"</formula>
    </cfRule>
    <cfRule type="cellIs" dxfId="4050" priority="96" operator="equal">
      <formula>"WR9"</formula>
    </cfRule>
    <cfRule type="cellIs" dxfId="4049" priority="97" operator="equal">
      <formula>"WR8"</formula>
    </cfRule>
    <cfRule type="cellIs" dxfId="4048" priority="98" operator="equal">
      <formula>"WR7"</formula>
    </cfRule>
    <cfRule type="cellIs" dxfId="4047" priority="99" operator="equal">
      <formula>"WR6"</formula>
    </cfRule>
    <cfRule type="cellIs" dxfId="4046" priority="100" operator="equal">
      <formula>"TE5"</formula>
    </cfRule>
    <cfRule type="cellIs" dxfId="4045" priority="101" operator="equal">
      <formula>"WR5"</formula>
    </cfRule>
    <cfRule type="cellIs" dxfId="4044" priority="102" operator="equal">
      <formula>"RB5"</formula>
    </cfRule>
    <cfRule type="cellIs" dxfId="4043" priority="103" operator="equal">
      <formula>"QB5"</formula>
    </cfRule>
    <cfRule type="cellIs" dxfId="4042" priority="104" operator="equal">
      <formula>"TE4"</formula>
    </cfRule>
    <cfRule type="cellIs" dxfId="4041" priority="105" operator="equal">
      <formula>"WR4"</formula>
    </cfRule>
    <cfRule type="cellIs" dxfId="4040" priority="106" operator="equal">
      <formula>"RB4"</formula>
    </cfRule>
    <cfRule type="cellIs" dxfId="4039" priority="107" operator="equal">
      <formula>"QB4"</formula>
    </cfRule>
    <cfRule type="cellIs" dxfId="4038" priority="108" operator="equal">
      <formula>"TE3"</formula>
    </cfRule>
    <cfRule type="cellIs" dxfId="4037" priority="109" operator="equal">
      <formula>"WR3"</formula>
    </cfRule>
    <cfRule type="cellIs" dxfId="4036" priority="110" operator="equal">
      <formula>"RB3"</formula>
    </cfRule>
    <cfRule type="cellIs" dxfId="4035" priority="111" operator="equal">
      <formula>"QB3"</formula>
    </cfRule>
    <cfRule type="cellIs" dxfId="4034" priority="112" operator="equal">
      <formula>"TE2"</formula>
    </cfRule>
    <cfRule type="cellIs" dxfId="4033" priority="113" operator="equal">
      <formula>"WR2"</formula>
    </cfRule>
    <cfRule type="cellIs" dxfId="4032" priority="114" operator="equal">
      <formula>"RB2"</formula>
    </cfRule>
    <cfRule type="cellIs" dxfId="4031" priority="115" operator="equal">
      <formula>"QB2"</formula>
    </cfRule>
    <cfRule type="cellIs" dxfId="4030" priority="116" operator="equal">
      <formula>"TE1"</formula>
    </cfRule>
  </conditionalFormatting>
  <conditionalFormatting sqref="E3:E570">
    <cfRule type="cellIs" dxfId="4029" priority="3" operator="equal">
      <formula>"EURO"</formula>
    </cfRule>
    <cfRule type="cellIs" dxfId="4028" priority="9001" operator="equal">
      <formula>"bye"</formula>
    </cfRule>
    <cfRule type="cellIs" dxfId="4027" priority="9002" operator="equal">
      <formula>"snf"</formula>
    </cfRule>
    <cfRule type="cellIs" dxfId="4026" priority="9003" operator="equal">
      <formula>"mnf"</formula>
    </cfRule>
    <cfRule type="cellIs" dxfId="4025" priority="9004" operator="equal">
      <formula>"pm"</formula>
    </cfRule>
    <cfRule type="cellIs" dxfId="4024" priority="9005" operator="equal">
      <formula>"am"</formula>
    </cfRule>
    <cfRule type="cellIs" dxfId="4023" priority="9006" operator="equal">
      <formula>"tnf"</formula>
    </cfRule>
    <cfRule type="colorScale" priority="9007">
      <colorScale>
        <cfvo type="num" val="0"/>
        <cfvo type="num" val="1"/>
        <color rgb="FFF8696B"/>
        <color rgb="FF63BE7B"/>
      </colorScale>
    </cfRule>
  </conditionalFormatting>
  <conditionalFormatting sqref="G3:N570">
    <cfRule type="colorScale" priority="90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O3:O570">
    <cfRule type="colorScale" priority="9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570">
    <cfRule type="colorScale" priority="9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570">
    <cfRule type="colorScale" priority="9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570">
    <cfRule type="colorScale" priority="9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570">
    <cfRule type="colorScale" priority="9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570">
    <cfRule type="colorScale" priority="9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570">
    <cfRule type="colorScale" priority="9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570">
    <cfRule type="colorScale" priority="90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570">
    <cfRule type="colorScale" priority="903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3:X590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verticalCentered="1"/>
  <pageMargins left="0" right="0" top="0.25" bottom="0.25" header="0.05" footer="0.05"/>
  <pageSetup paperSize="3" scale="20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008" id="{8942DC4A-5D50-4DB5-83A7-87CC3EB0DE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E3:E570</xm:sqref>
        </x14:conditionalFormatting>
        <x14:conditionalFormatting xmlns:xm="http://schemas.microsoft.com/office/excel/2006/main">
          <x14:cfRule type="iconSet" priority="9017" id="{46A28244-57E8-48B7-8A2C-4F4BFF19FB1A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G3:N570</xm:sqref>
        </x14:conditionalFormatting>
        <x14:conditionalFormatting xmlns:xm="http://schemas.microsoft.com/office/excel/2006/main">
          <x14:cfRule type="iconSet" priority="9037" id="{76046689-3F92-4FC9-A6D7-7DBAE261DB5A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W3:W570</xm:sqref>
        </x14:conditionalFormatting>
        <x14:conditionalFormatting xmlns:xm="http://schemas.microsoft.com/office/excel/2006/main">
          <x14:cfRule type="iconSet" priority="1" id="{172B72C7-F6A9-4D4F-9501-BAB43DDBA7AC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X3:X590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4636-16E2-487B-B516-E8106A162D89}">
  <sheetPr>
    <tabColor theme="3" tint="0.89999084444715716"/>
    <pageSetUpPr fitToPage="1"/>
  </sheetPr>
  <dimension ref="B1:AU76"/>
  <sheetViews>
    <sheetView zoomScaleNormal="100" workbookViewId="0">
      <selection activeCell="E80" sqref="E80"/>
    </sheetView>
  </sheetViews>
  <sheetFormatPr defaultRowHeight="14.5" x14ac:dyDescent="0.35"/>
  <cols>
    <col min="1" max="1" width="1.6328125" customWidth="1"/>
    <col min="2" max="3" width="9.1796875" bestFit="1" customWidth="1"/>
    <col min="4" max="4" width="9.453125" bestFit="1" customWidth="1"/>
    <col min="5" max="5" width="8.54296875" bestFit="1" customWidth="1"/>
    <col min="6" max="6" width="1.6328125" customWidth="1"/>
    <col min="7" max="8" width="2.81640625" bestFit="1" customWidth="1"/>
    <col min="9" max="9" width="3.90625" bestFit="1" customWidth="1"/>
    <col min="10" max="10" width="3.7265625" bestFit="1" customWidth="1"/>
    <col min="11" max="11" width="4.1796875" bestFit="1" customWidth="1"/>
    <col min="12" max="12" width="2.81640625" bestFit="1" customWidth="1"/>
    <col min="13" max="13" width="8.36328125" bestFit="1" customWidth="1"/>
    <col min="14" max="14" width="6.36328125" bestFit="1" customWidth="1"/>
    <col min="15" max="15" width="8.453125" bestFit="1" customWidth="1"/>
    <col min="16" max="16" width="8.26953125" bestFit="1" customWidth="1"/>
    <col min="17" max="17" width="8.7265625" bestFit="1" customWidth="1"/>
    <col min="18" max="18" width="7.36328125" bestFit="1" customWidth="1"/>
    <col min="19" max="19" width="1.6328125" customWidth="1"/>
    <col min="20" max="20" width="2.81640625" bestFit="1" customWidth="1"/>
    <col min="21" max="21" width="3.90625" bestFit="1" customWidth="1"/>
    <col min="22" max="23" width="2.81640625" bestFit="1" customWidth="1"/>
    <col min="24" max="24" width="8.36328125" bestFit="1" customWidth="1"/>
    <col min="25" max="25" width="8.453125" bestFit="1" customWidth="1"/>
    <col min="26" max="26" width="6.36328125" bestFit="1" customWidth="1"/>
    <col min="27" max="27" width="7.36328125" bestFit="1" customWidth="1"/>
    <col min="28" max="28" width="1.6328125" customWidth="1"/>
    <col min="29" max="29" width="2.81640625" bestFit="1" customWidth="1"/>
    <col min="30" max="30" width="3.90625" bestFit="1" customWidth="1"/>
    <col min="31" max="32" width="2.81640625" bestFit="1" customWidth="1"/>
    <col min="33" max="33" width="8.36328125" bestFit="1" customWidth="1"/>
    <col min="34" max="34" width="8.453125" bestFit="1" customWidth="1"/>
    <col min="35" max="35" width="6.36328125" bestFit="1" customWidth="1"/>
    <col min="36" max="36" width="7.36328125" bestFit="1" customWidth="1"/>
    <col min="37" max="37" width="1.6328125" customWidth="1"/>
    <col min="38" max="38" width="2.81640625" bestFit="1" customWidth="1"/>
    <col min="39" max="39" width="3.90625" bestFit="1" customWidth="1"/>
    <col min="40" max="41" width="2.81640625" bestFit="1" customWidth="1"/>
    <col min="42" max="42" width="8.36328125" bestFit="1" customWidth="1"/>
    <col min="43" max="43" width="8.453125" bestFit="1" customWidth="1"/>
    <col min="44" max="44" width="6.36328125" bestFit="1" customWidth="1"/>
    <col min="45" max="45" width="7.36328125" bestFit="1" customWidth="1"/>
  </cols>
  <sheetData>
    <row r="1" spans="2:45" ht="17.5" customHeight="1" thickBot="1" x14ac:dyDescent="0.45">
      <c r="B1" s="199" t="s">
        <v>738</v>
      </c>
      <c r="C1" s="199"/>
      <c r="D1" s="199"/>
      <c r="E1" s="199"/>
      <c r="G1" s="212" t="s">
        <v>684</v>
      </c>
      <c r="H1" s="212"/>
      <c r="I1" s="212"/>
      <c r="J1" s="212"/>
      <c r="K1" s="212"/>
      <c r="L1" s="213"/>
      <c r="M1" s="218" t="s">
        <v>102</v>
      </c>
      <c r="N1" s="219"/>
      <c r="O1" s="219"/>
      <c r="P1" s="219"/>
      <c r="Q1" s="219"/>
      <c r="R1" s="219"/>
      <c r="T1" s="205" t="s">
        <v>684</v>
      </c>
      <c r="U1" s="205"/>
      <c r="V1" s="205"/>
      <c r="W1" s="206"/>
      <c r="X1" s="207" t="s">
        <v>678</v>
      </c>
      <c r="Y1" s="208"/>
      <c r="Z1" s="208"/>
      <c r="AA1" s="209"/>
      <c r="AC1" s="205" t="s">
        <v>684</v>
      </c>
      <c r="AD1" s="205"/>
      <c r="AE1" s="205"/>
      <c r="AF1" s="206"/>
      <c r="AG1" s="207" t="s">
        <v>679</v>
      </c>
      <c r="AH1" s="208"/>
      <c r="AI1" s="208"/>
      <c r="AJ1" s="209"/>
      <c r="AL1" s="205" t="s">
        <v>684</v>
      </c>
      <c r="AM1" s="205"/>
      <c r="AN1" s="205"/>
      <c r="AO1" s="206"/>
      <c r="AP1" s="202" t="s">
        <v>681</v>
      </c>
      <c r="AQ1" s="203"/>
      <c r="AR1" s="203"/>
      <c r="AS1" s="204"/>
    </row>
    <row r="2" spans="2:45" s="129" customFormat="1" ht="14.5" customHeight="1" x14ac:dyDescent="0.3">
      <c r="B2" s="141" t="s">
        <v>686</v>
      </c>
      <c r="C2" s="156" t="s">
        <v>739</v>
      </c>
      <c r="D2" s="68" t="s">
        <v>58</v>
      </c>
      <c r="E2" s="136" t="s">
        <v>106</v>
      </c>
      <c r="G2" s="130" t="s">
        <v>649</v>
      </c>
      <c r="H2" s="130" t="s">
        <v>73</v>
      </c>
      <c r="I2" s="130" t="s">
        <v>74</v>
      </c>
      <c r="J2" s="130" t="s">
        <v>96</v>
      </c>
      <c r="K2" s="130" t="s">
        <v>19</v>
      </c>
      <c r="L2" s="130" t="s">
        <v>72</v>
      </c>
      <c r="M2" s="61" t="s">
        <v>105</v>
      </c>
      <c r="N2" s="137" t="s">
        <v>73</v>
      </c>
      <c r="O2" s="137" t="s">
        <v>74</v>
      </c>
      <c r="P2" s="137" t="s">
        <v>96</v>
      </c>
      <c r="Q2" s="137" t="s">
        <v>19</v>
      </c>
      <c r="R2" s="138" t="s">
        <v>72</v>
      </c>
      <c r="S2" s="132"/>
      <c r="T2" s="130" t="s">
        <v>649</v>
      </c>
      <c r="U2" s="133" t="s">
        <v>98</v>
      </c>
      <c r="V2" s="133" t="s">
        <v>104</v>
      </c>
      <c r="W2" s="133" t="s">
        <v>72</v>
      </c>
      <c r="X2" s="61" t="s">
        <v>105</v>
      </c>
      <c r="Y2" s="134" t="s">
        <v>98</v>
      </c>
      <c r="Z2" s="134" t="s">
        <v>104</v>
      </c>
      <c r="AA2" s="134" t="s">
        <v>72</v>
      </c>
      <c r="AC2" s="130" t="s">
        <v>649</v>
      </c>
      <c r="AD2" s="133" t="s">
        <v>98</v>
      </c>
      <c r="AE2" s="133" t="s">
        <v>104</v>
      </c>
      <c r="AF2" s="133" t="s">
        <v>72</v>
      </c>
      <c r="AG2" s="61" t="s">
        <v>105</v>
      </c>
      <c r="AH2" s="134" t="s">
        <v>98</v>
      </c>
      <c r="AI2" s="134" t="s">
        <v>104</v>
      </c>
      <c r="AJ2" s="134" t="s">
        <v>72</v>
      </c>
      <c r="AL2" s="130" t="s">
        <v>649</v>
      </c>
      <c r="AM2" s="133" t="s">
        <v>98</v>
      </c>
      <c r="AN2" s="133" t="s">
        <v>104</v>
      </c>
      <c r="AO2" s="133" t="s">
        <v>72</v>
      </c>
      <c r="AP2" s="61" t="s">
        <v>105</v>
      </c>
      <c r="AQ2" s="135" t="s">
        <v>98</v>
      </c>
      <c r="AR2" s="135" t="s">
        <v>104</v>
      </c>
      <c r="AS2" s="135" t="s">
        <v>72</v>
      </c>
    </row>
    <row r="3" spans="2:45" ht="14.5" customHeight="1" x14ac:dyDescent="0.35">
      <c r="B3" s="23">
        <v>1</v>
      </c>
      <c r="C3" s="155" t="s">
        <v>1198</v>
      </c>
      <c r="D3" s="21" t="s">
        <v>0</v>
      </c>
      <c r="E3" s="23" t="s">
        <v>1198</v>
      </c>
      <c r="G3" s="119">
        <f>AVERAGE(H3:L3)</f>
        <v>16.8</v>
      </c>
      <c r="H3" s="119" cm="1">
        <f t="array" ref="H3:H34">_xlfn.RANK.AVG(Table123[P],Table123[P])</f>
        <v>10</v>
      </c>
      <c r="I3" s="119" cm="1">
        <f t="array" ref="I3:I34">_xlfn.RANK.AVG(Table123[R],Table123[R])</f>
        <v>31</v>
      </c>
      <c r="J3" s="119">
        <f>_xlfn.RANK.AVG(Table123[[#This Row],[P+R]],Table123[P+R])</f>
        <v>13</v>
      </c>
      <c r="K3" s="119" cm="1">
        <f t="array" ref="K3:K34">_xlfn.RANK.AVG(Table123[P TD],Table123[P TD])</f>
        <v>18</v>
      </c>
      <c r="L3" s="119" cm="1">
        <f t="array" ref="L3:L34">_xlfn.RANK.AVG(Table123[TD],Table123[TD])</f>
        <v>12</v>
      </c>
      <c r="M3" s="21" t="s">
        <v>0</v>
      </c>
      <c r="N3" s="22">
        <f>(_xlfn.XLOOKUP(Table123[[#This Row],[DEF]],Table1[DEF],Table1[P])+_xlfn.XLOOKUP(Table123[[#This Row],[DEF]],Table14[DEF],Table14[P]))/2</f>
        <v>237</v>
      </c>
      <c r="O3" s="22">
        <f>(_xlfn.XLOOKUP(Table123[[#This Row],[DEF]],Table1[DEF],Table1[R])+_xlfn.XLOOKUP(Table123[[#This Row],[DEF]],Table14[DEF],Table14[R]))/2</f>
        <v>13.941176470588236</v>
      </c>
      <c r="P3" s="22">
        <f>(_xlfn.XLOOKUP(Table123[[#This Row],[DEF]],Table1[DEF],Table1[P+R])+_xlfn.XLOOKUP(Table123[[#This Row],[DEF]],Table14[DEF],Table14[P+R]))/2</f>
        <v>250.94117647058823</v>
      </c>
      <c r="Q3" s="22">
        <f>(_xlfn.XLOOKUP(Table123[[#This Row],[DEF]],Table1[DEF],Table1[P TD])+_xlfn.XLOOKUP(Table123[[#This Row],[DEF]],Table14[DEF],Table14[P TD]))/2</f>
        <v>1.5</v>
      </c>
      <c r="R3" s="22">
        <f>(_xlfn.XLOOKUP(Table123[[#This Row],[DEF]],Table1[DEF],Table1[TD])+_xlfn.XLOOKUP(Table123[[#This Row],[DEF]],Table14[DEF],Table14[TD]))/2</f>
        <v>0.23529411764705882</v>
      </c>
      <c r="S3" s="121"/>
      <c r="T3" s="119">
        <f>AVERAGE(U3:W3)</f>
        <v>11.666666666666666</v>
      </c>
      <c r="U3" s="119" cm="1">
        <f t="array" ref="U3:U34">_xlfn.RANK.AVG(Table731[REC],Table731[REC])</f>
        <v>10</v>
      </c>
      <c r="V3" s="119">
        <f>_xlfn.RANK.AVG(Table731[[#This Row],[Y]],Table731[Y])</f>
        <v>13</v>
      </c>
      <c r="W3" s="119" cm="1">
        <f t="array" ref="W3:W34">_xlfn.RANK.AVG(Table731[TD],Table731[TD])</f>
        <v>12</v>
      </c>
      <c r="X3" s="21" t="s">
        <v>0</v>
      </c>
      <c r="Y3" s="22">
        <f>(_xlfn.XLOOKUP(Table731[[#This Row],[DEF]],Table7[DEF],Table7[REC])+_xlfn.XLOOKUP(Table731[[#This Row],[DEF]],Table948[Defense],Table948[WR1C]))/2</f>
        <v>5.1764705882352935</v>
      </c>
      <c r="Z3" s="22">
        <f>(_xlfn.XLOOKUP(Table731[[#This Row],[DEF]],Table7[DEF],Table7[Y])+_xlfn.XLOOKUP(Table731[[#This Row],[DEF]],Table948[Defense],Table948[WR1Y]))/2</f>
        <v>64.676470588235304</v>
      </c>
      <c r="AA3" s="22">
        <f>(_xlfn.XLOOKUP(Table731[[#This Row],[DEF]],Table7[DEF],Table7[TD])+_xlfn.XLOOKUP(Table731[[#This Row],[DEF]],Table948[Defense],Table948[WR1]))/2</f>
        <v>0.44117647058823528</v>
      </c>
      <c r="AC3" s="119">
        <f>AVERAGE(AD3:AF3)</f>
        <v>16.166666666666668</v>
      </c>
      <c r="AD3" s="119" cm="1">
        <f t="array" ref="AD3:AD34">_xlfn.RANK.AVG(Table71236[REC],Table71236[REC])</f>
        <v>6</v>
      </c>
      <c r="AE3" s="119">
        <f>_xlfn.RANK.AVG(Table71236[[#This Row],[Y]],Table71236[Y])</f>
        <v>14.5</v>
      </c>
      <c r="AF3" s="119" cm="1">
        <f t="array" ref="AF3:AF34">_xlfn.RANK.AVG(Table71236[TD],Table71236[TD])</f>
        <v>28</v>
      </c>
      <c r="AG3" s="21" t="s">
        <v>0</v>
      </c>
      <c r="AH3" s="22">
        <f>(_xlfn.XLOOKUP(Table71236[[#This Row],[DEF]],Table712[DEF],Table712[REC])+_xlfn.XLOOKUP(Table71236[[#This Row],[DEF]],Table948[Defense],Table948[WR2C]))/2</f>
        <v>3.8823529411764706</v>
      </c>
      <c r="AI3" s="22">
        <f>(_xlfn.XLOOKUP(Table71236[[#This Row],[DEF]],Table712[DEF],Table712[Y])+_xlfn.XLOOKUP(Table71236[[#This Row],[DEF]],Table948[Defense],Table948[WR2Y]))/2</f>
        <v>45.882352941176471</v>
      </c>
      <c r="AJ3" s="22">
        <f>(_xlfn.XLOOKUP(Table71236[[#This Row],[DEF]],Table712[DEF],Table712[TD])+_xlfn.XLOOKUP(Table71236[[#This Row],[DEF]],Table948[Defense],Table948[WR2]))/2</f>
        <v>0.23529411764705882</v>
      </c>
      <c r="AL3" s="119">
        <f>AVERAGE(AM3:AO3)</f>
        <v>11.5</v>
      </c>
      <c r="AM3" s="119" cm="1">
        <f t="array" ref="AM3:AM34">_xlfn.RANK.AVG(Table832[REC],Table832[REC])</f>
        <v>10.5</v>
      </c>
      <c r="AN3" s="119">
        <f>_xlfn.RANK.AVG(Table832[[#This Row],[Y]],Table832[Y])</f>
        <v>10</v>
      </c>
      <c r="AO3" s="119" cm="1">
        <f t="array" ref="AO3:AO34">_xlfn.RANK.AVG(Table832[TD],Table832[TD])</f>
        <v>14</v>
      </c>
      <c r="AP3" s="21" t="s">
        <v>0</v>
      </c>
      <c r="AQ3" s="22">
        <f>(_xlfn.XLOOKUP(Table832[[#This Row],[DEF]],Table8[DEF],Table8[REC])+_xlfn.XLOOKUP(Table832[[#This Row],[DEF]],Table816[DEF],Table816[REC])+_xlfn.XLOOKUP(Table832[[#This Row],[DEF]],Table845[DEF],Table845[REC]))/2</f>
        <v>5.5588235294117645</v>
      </c>
      <c r="AR3" s="22">
        <f>(_xlfn.XLOOKUP(Table832[[#This Row],[DEF]],Table8[DEF],Table8[Y])+_xlfn.XLOOKUP(Table832[[#This Row],[DEF]],Table816[DEF],Table816[Y])+_xlfn.XLOOKUP(Table832[[#This Row],[DEF]],Table845[DEF],Table845[Y]))/2</f>
        <v>56.117647058823529</v>
      </c>
      <c r="AS3" s="22">
        <f>(_xlfn.XLOOKUP(Table832[[#This Row],[DEF]],Table8[DEF],Table8[TD])+_xlfn.XLOOKUP(Table832[[#This Row],[DEF]],Table816[DEF],Table816[TD])+_xlfn.XLOOKUP(Table832[[#This Row],[DEF]],Table845[DEF],Table845[TD]))/2</f>
        <v>0.41176470588235298</v>
      </c>
    </row>
    <row r="4" spans="2:45" ht="14.5" customHeight="1" x14ac:dyDescent="0.35">
      <c r="B4" s="23">
        <v>1</v>
      </c>
      <c r="C4" s="155" t="s">
        <v>1198</v>
      </c>
      <c r="D4" s="23" t="s">
        <v>15</v>
      </c>
      <c r="E4" s="23" t="s">
        <v>1198</v>
      </c>
      <c r="G4" s="119">
        <f t="shared" ref="G4:G34" si="0">AVERAGE(H4:L4)</f>
        <v>8.3000000000000007</v>
      </c>
      <c r="H4" s="119">
        <v>13.5</v>
      </c>
      <c r="I4" s="119">
        <v>2</v>
      </c>
      <c r="J4" s="119">
        <f>_xlfn.RANK.AVG(Table123[[#This Row],[P+R]],Table123[P+R])</f>
        <v>10</v>
      </c>
      <c r="K4" s="119">
        <v>4</v>
      </c>
      <c r="L4" s="119">
        <v>12</v>
      </c>
      <c r="M4" s="23" t="s">
        <v>15</v>
      </c>
      <c r="N4" s="22">
        <f>(_xlfn.XLOOKUP(Table123[[#This Row],[DEF]],Table1[DEF],Table1[P])+_xlfn.XLOOKUP(Table123[[#This Row],[DEF]],Table14[DEF],Table14[P]))/2</f>
        <v>228.73529411764707</v>
      </c>
      <c r="O4" s="22">
        <f>(_xlfn.XLOOKUP(Table123[[#This Row],[DEF]],Table1[DEF],Table1[R])+_xlfn.XLOOKUP(Table123[[#This Row],[DEF]],Table14[DEF],Table14[R]))/2</f>
        <v>26.323529411764703</v>
      </c>
      <c r="P4" s="22">
        <f>(_xlfn.XLOOKUP(Table123[[#This Row],[DEF]],Table1[DEF],Table1[P+R])+_xlfn.XLOOKUP(Table123[[#This Row],[DEF]],Table14[DEF],Table14[P+R]))/2</f>
        <v>255.05882352941177</v>
      </c>
      <c r="Q4" s="22">
        <f>(_xlfn.XLOOKUP(Table123[[#This Row],[DEF]],Table1[DEF],Table1[P TD])+_xlfn.XLOOKUP(Table123[[#This Row],[DEF]],Table14[DEF],Table14[P TD]))/2</f>
        <v>1.7941176470588234</v>
      </c>
      <c r="R4" s="22">
        <f>(_xlfn.XLOOKUP(Table123[[#This Row],[DEF]],Table1[DEF],Table1[TD])+_xlfn.XLOOKUP(Table123[[#This Row],[DEF]],Table14[DEF],Table14[TD]))/2</f>
        <v>0.23529411764705882</v>
      </c>
      <c r="S4" s="121"/>
      <c r="T4" s="119">
        <f>AVERAGE(U4:W4)</f>
        <v>5.333333333333333</v>
      </c>
      <c r="U4" s="119">
        <v>4</v>
      </c>
      <c r="V4" s="119">
        <f>_xlfn.RANK.AVG(Table731[[#This Row],[Y]],Table731[Y])</f>
        <v>8</v>
      </c>
      <c r="W4" s="119">
        <v>4</v>
      </c>
      <c r="X4" s="23" t="s">
        <v>15</v>
      </c>
      <c r="Y4" s="22">
        <f>(_xlfn.XLOOKUP(Table731[[#This Row],[DEF]],Table7[DEF],Table7[REC])+_xlfn.XLOOKUP(Table731[[#This Row],[DEF]],Table948[Defense],Table948[WR1C]))/2</f>
        <v>5.3529411764705879</v>
      </c>
      <c r="Z4" s="22">
        <f>(_xlfn.XLOOKUP(Table731[[#This Row],[DEF]],Table7[DEF],Table7[Y])+_xlfn.XLOOKUP(Table731[[#This Row],[DEF]],Table948[Defense],Table948[WR1Y]))/2</f>
        <v>67.117647058823536</v>
      </c>
      <c r="AA4" s="22">
        <f>(_xlfn.XLOOKUP(Table731[[#This Row],[DEF]],Table7[DEF],Table7[TD])+_xlfn.XLOOKUP(Table731[[#This Row],[DEF]],Table948[Defense],Table948[WR1]))/2</f>
        <v>0.55882352941176472</v>
      </c>
      <c r="AC4" s="119">
        <f t="shared" ref="AC4:AC34" si="1">AVERAGE(AD4:AF4)</f>
        <v>10.5</v>
      </c>
      <c r="AD4" s="119">
        <v>12</v>
      </c>
      <c r="AE4" s="119">
        <f>_xlfn.RANK.AVG(Table71236[[#This Row],[Y]],Table71236[Y])</f>
        <v>16</v>
      </c>
      <c r="AF4" s="119">
        <v>3.5</v>
      </c>
      <c r="AG4" s="23" t="s">
        <v>15</v>
      </c>
      <c r="AH4" s="22">
        <f>(_xlfn.XLOOKUP(Table71236[[#This Row],[DEF]],Table712[DEF],Table712[REC])+_xlfn.XLOOKUP(Table71236[[#This Row],[DEF]],Table948[Defense],Table948[WR2C]))/2</f>
        <v>3.7352941176470589</v>
      </c>
      <c r="AI4" s="22">
        <f>(_xlfn.XLOOKUP(Table71236[[#This Row],[DEF]],Table712[DEF],Table712[Y])+_xlfn.XLOOKUP(Table71236[[#This Row],[DEF]],Table948[Defense],Table948[WR2Y]))/2</f>
        <v>45.558823529411768</v>
      </c>
      <c r="AJ4" s="22">
        <f>(_xlfn.XLOOKUP(Table71236[[#This Row],[DEF]],Table712[DEF],Table712[TD])+_xlfn.XLOOKUP(Table71236[[#This Row],[DEF]],Table948[Defense],Table948[WR2]))/2</f>
        <v>0.47058823529411764</v>
      </c>
      <c r="AL4" s="119">
        <f t="shared" ref="AL4:AL34" si="2">AVERAGE(AM4:AO4)</f>
        <v>26.666666666666668</v>
      </c>
      <c r="AM4" s="119">
        <v>29</v>
      </c>
      <c r="AN4" s="119">
        <f>_xlfn.RANK.AVG(Table832[[#This Row],[Y]],Table832[Y])</f>
        <v>23</v>
      </c>
      <c r="AO4" s="119">
        <v>28</v>
      </c>
      <c r="AP4" s="119" t="s">
        <v>15</v>
      </c>
      <c r="AQ4" s="22">
        <f>(_xlfn.XLOOKUP(Table832[[#This Row],[DEF]],Table8[DEF],Table8[REC])+_xlfn.XLOOKUP(Table832[[#This Row],[DEF]],Table816[DEF],Table816[REC])+_xlfn.XLOOKUP(Table832[[#This Row],[DEF]],Table845[DEF],Table845[REC]))/2</f>
        <v>4.4411764705882355</v>
      </c>
      <c r="AR4" s="22">
        <f>(_xlfn.XLOOKUP(Table832[[#This Row],[DEF]],Table8[DEF],Table8[Y])+_xlfn.XLOOKUP(Table832[[#This Row],[DEF]],Table816[DEF],Table816[Y])+_xlfn.XLOOKUP(Table832[[#This Row],[DEF]],Table845[DEF],Table845[Y]))/2</f>
        <v>48.323529411764703</v>
      </c>
      <c r="AS4" s="22">
        <f>(_xlfn.XLOOKUP(Table832[[#This Row],[DEF]],Table8[DEF],Table8[TD])+_xlfn.XLOOKUP(Table832[[#This Row],[DEF]],Table816[DEF],Table816[TD])+_xlfn.XLOOKUP(Table832[[#This Row],[DEF]],Table845[DEF],Table845[TD]))/2</f>
        <v>0.26470588235294118</v>
      </c>
    </row>
    <row r="5" spans="2:45" ht="14.5" customHeight="1" x14ac:dyDescent="0.35">
      <c r="B5" s="23">
        <v>1</v>
      </c>
      <c r="C5" s="155" t="s">
        <v>1198</v>
      </c>
      <c r="D5" s="21" t="s">
        <v>16</v>
      </c>
      <c r="E5" s="23" t="s">
        <v>1198</v>
      </c>
      <c r="G5" s="119">
        <f t="shared" si="0"/>
        <v>10.7</v>
      </c>
      <c r="H5" s="119">
        <v>1</v>
      </c>
      <c r="I5" s="119">
        <v>23</v>
      </c>
      <c r="J5" s="119">
        <f>_xlfn.RANK.AVG(Table123[[#This Row],[P+R]],Table123[P+R])</f>
        <v>3</v>
      </c>
      <c r="K5" s="119">
        <v>18</v>
      </c>
      <c r="L5" s="119">
        <v>8.5</v>
      </c>
      <c r="M5" s="21" t="s">
        <v>16</v>
      </c>
      <c r="N5" s="22">
        <f>(_xlfn.XLOOKUP(Table123[[#This Row],[DEF]],Table1[DEF],Table1[P])+_xlfn.XLOOKUP(Table123[[#This Row],[DEF]],Table14[DEF],Table14[P]))/2</f>
        <v>260.91176470588232</v>
      </c>
      <c r="O5" s="22">
        <f>(_xlfn.XLOOKUP(Table123[[#This Row],[DEF]],Table1[DEF],Table1[R])+_xlfn.XLOOKUP(Table123[[#This Row],[DEF]],Table14[DEF],Table14[R]))/2</f>
        <v>15.911764705882351</v>
      </c>
      <c r="P5" s="22">
        <f>(_xlfn.XLOOKUP(Table123[[#This Row],[DEF]],Table1[DEF],Table1[P+R])+_xlfn.XLOOKUP(Table123[[#This Row],[DEF]],Table14[DEF],Table14[P+R]))/2</f>
        <v>276.8235294117647</v>
      </c>
      <c r="Q5" s="22">
        <f>(_xlfn.XLOOKUP(Table123[[#This Row],[DEF]],Table1[DEF],Table1[P TD])+_xlfn.XLOOKUP(Table123[[#This Row],[DEF]],Table14[DEF],Table14[P TD]))/2</f>
        <v>1.5</v>
      </c>
      <c r="R5" s="22">
        <f>(_xlfn.XLOOKUP(Table123[[#This Row],[DEF]],Table1[DEF],Table1[TD])+_xlfn.XLOOKUP(Table123[[#This Row],[DEF]],Table14[DEF],Table14[TD]))/2</f>
        <v>0.26470588235294118</v>
      </c>
      <c r="S5" s="121"/>
      <c r="T5" s="119">
        <f t="shared" ref="T5:T34" si="3">AVERAGE(U5:W5)</f>
        <v>3.6666666666666665</v>
      </c>
      <c r="U5" s="119">
        <v>1</v>
      </c>
      <c r="V5" s="119">
        <f>_xlfn.RANK.AVG(Table731[[#This Row],[Y]],Table731[Y])</f>
        <v>1</v>
      </c>
      <c r="W5" s="119">
        <v>9</v>
      </c>
      <c r="X5" s="21" t="s">
        <v>16</v>
      </c>
      <c r="Y5" s="22">
        <f>(_xlfn.XLOOKUP(Table731[[#This Row],[DEF]],Table7[DEF],Table7[REC])+_xlfn.XLOOKUP(Table731[[#This Row],[DEF]],Table948[Defense],Table948[WR1C]))/2</f>
        <v>6.1470588235294112</v>
      </c>
      <c r="Z5" s="22">
        <f>(_xlfn.XLOOKUP(Table731[[#This Row],[DEF]],Table7[DEF],Table7[Y])+_xlfn.XLOOKUP(Table731[[#This Row],[DEF]],Table948[Defense],Table948[WR1Y]))/2</f>
        <v>88.470588235294116</v>
      </c>
      <c r="AA5" s="22">
        <f>(_xlfn.XLOOKUP(Table731[[#This Row],[DEF]],Table7[DEF],Table7[TD])+_xlfn.XLOOKUP(Table731[[#This Row],[DEF]],Table948[Defense],Table948[WR1]))/2</f>
        <v>0.47058823529411764</v>
      </c>
      <c r="AC5" s="119">
        <f t="shared" si="1"/>
        <v>27</v>
      </c>
      <c r="AD5" s="119">
        <v>30</v>
      </c>
      <c r="AE5" s="119">
        <f>_xlfn.RANK.AVG(Table71236[[#This Row],[Y]],Table71236[Y])</f>
        <v>27</v>
      </c>
      <c r="AF5" s="119">
        <v>24</v>
      </c>
      <c r="AG5" s="21" t="s">
        <v>16</v>
      </c>
      <c r="AH5" s="22">
        <f>(_xlfn.XLOOKUP(Table71236[[#This Row],[DEF]],Table712[DEF],Table712[REC])+_xlfn.XLOOKUP(Table71236[[#This Row],[DEF]],Table948[Defense],Table948[WR2C]))/2</f>
        <v>3.0294117647058822</v>
      </c>
      <c r="AI5" s="22">
        <f>(_xlfn.XLOOKUP(Table71236[[#This Row],[DEF]],Table712[DEF],Table712[Y])+_xlfn.XLOOKUP(Table71236[[#This Row],[DEF]],Table948[Defense],Table948[WR2Y]))/2</f>
        <v>40.82352941176471</v>
      </c>
      <c r="AJ5" s="22">
        <f>(_xlfn.XLOOKUP(Table71236[[#This Row],[DEF]],Table712[DEF],Table712[TD])+_xlfn.XLOOKUP(Table71236[[#This Row],[DEF]],Table948[Defense],Table948[WR2]))/2</f>
        <v>0.26470588235294118</v>
      </c>
      <c r="AL5" s="119">
        <f t="shared" si="2"/>
        <v>18.333333333333332</v>
      </c>
      <c r="AM5" s="119">
        <v>15</v>
      </c>
      <c r="AN5" s="119">
        <f>_xlfn.RANK.AVG(Table832[[#This Row],[Y]],Table832[Y])</f>
        <v>17</v>
      </c>
      <c r="AO5" s="119">
        <v>23</v>
      </c>
      <c r="AP5" s="120" t="s">
        <v>16</v>
      </c>
      <c r="AQ5" s="22">
        <f>(_xlfn.XLOOKUP(Table832[[#This Row],[DEF]],Table8[DEF],Table8[REC])+_xlfn.XLOOKUP(Table832[[#This Row],[DEF]],Table816[DEF],Table816[REC])+_xlfn.XLOOKUP(Table832[[#This Row],[DEF]],Table845[DEF],Table845[REC]))/2</f>
        <v>5.2647058823529411</v>
      </c>
      <c r="AR5" s="22">
        <f>(_xlfn.XLOOKUP(Table832[[#This Row],[DEF]],Table8[DEF],Table8[Y])+_xlfn.XLOOKUP(Table832[[#This Row],[DEF]],Table816[DEF],Table816[Y])+_xlfn.XLOOKUP(Table832[[#This Row],[DEF]],Table845[DEF],Table845[Y]))/2</f>
        <v>51.470588235294116</v>
      </c>
      <c r="AS5" s="22">
        <f>(_xlfn.XLOOKUP(Table832[[#This Row],[DEF]],Table8[DEF],Table8[TD])+_xlfn.XLOOKUP(Table832[[#This Row],[DEF]],Table816[DEF],Table816[TD])+_xlfn.XLOOKUP(Table832[[#This Row],[DEF]],Table845[DEF],Table845[TD]))/2</f>
        <v>0.29411764705882354</v>
      </c>
    </row>
    <row r="6" spans="2:45" ht="14.5" customHeight="1" x14ac:dyDescent="0.35">
      <c r="B6" s="23">
        <v>1</v>
      </c>
      <c r="C6" s="155" t="s">
        <v>1198</v>
      </c>
      <c r="D6" s="23" t="s">
        <v>17</v>
      </c>
      <c r="E6" s="23" t="s">
        <v>1198</v>
      </c>
      <c r="G6" s="119">
        <f t="shared" si="0"/>
        <v>25.9</v>
      </c>
      <c r="H6" s="119">
        <v>31</v>
      </c>
      <c r="I6" s="119">
        <v>20</v>
      </c>
      <c r="J6" s="119">
        <f>_xlfn.RANK.AVG(Table123[[#This Row],[P+R]],Table123[P+R])</f>
        <v>31</v>
      </c>
      <c r="K6" s="119">
        <v>24.5</v>
      </c>
      <c r="L6" s="119">
        <v>23</v>
      </c>
      <c r="M6" s="23" t="s">
        <v>17</v>
      </c>
      <c r="N6" s="22">
        <f>(_xlfn.XLOOKUP(Table123[[#This Row],[DEF]],Table1[DEF],Table1[P])+_xlfn.XLOOKUP(Table123[[#This Row],[DEF]],Table14[DEF],Table14[P]))/2</f>
        <v>205.70588235294119</v>
      </c>
      <c r="O6" s="22">
        <f>(_xlfn.XLOOKUP(Table123[[#This Row],[DEF]],Table1[DEF],Table1[R])+_xlfn.XLOOKUP(Table123[[#This Row],[DEF]],Table14[DEF],Table14[R]))/2</f>
        <v>18.558823529411764</v>
      </c>
      <c r="P6" s="22">
        <f>(_xlfn.XLOOKUP(Table123[[#This Row],[DEF]],Table1[DEF],Table1[P+R])+_xlfn.XLOOKUP(Table123[[#This Row],[DEF]],Table14[DEF],Table14[P+R]))/2</f>
        <v>224.26470588235293</v>
      </c>
      <c r="Q6" s="22">
        <f>(_xlfn.XLOOKUP(Table123[[#This Row],[DEF]],Table1[DEF],Table1[P TD])+_xlfn.XLOOKUP(Table123[[#This Row],[DEF]],Table14[DEF],Table14[P TD]))/2</f>
        <v>1.3823529411764706</v>
      </c>
      <c r="R6" s="22">
        <f>(_xlfn.XLOOKUP(Table123[[#This Row],[DEF]],Table1[DEF],Table1[TD])+_xlfn.XLOOKUP(Table123[[#This Row],[DEF]],Table14[DEF],Table14[TD]))/2</f>
        <v>0.1764705882352941</v>
      </c>
      <c r="S6" s="121"/>
      <c r="T6" s="119">
        <f t="shared" si="3"/>
        <v>19.333333333333332</v>
      </c>
      <c r="U6" s="119">
        <v>16</v>
      </c>
      <c r="V6" s="119">
        <f>_xlfn.RANK.AVG(Table731[[#This Row],[Y]],Table731[Y])</f>
        <v>14</v>
      </c>
      <c r="W6" s="119">
        <v>28</v>
      </c>
      <c r="X6" s="23" t="s">
        <v>17</v>
      </c>
      <c r="Y6" s="22">
        <f>(_xlfn.XLOOKUP(Table731[[#This Row],[DEF]],Table7[DEF],Table7[REC])+_xlfn.XLOOKUP(Table731[[#This Row],[DEF]],Table948[Defense],Table948[WR1C]))/2</f>
        <v>4.8529411764705888</v>
      </c>
      <c r="Z6" s="22">
        <f>(_xlfn.XLOOKUP(Table731[[#This Row],[DEF]],Table7[DEF],Table7[Y])+_xlfn.XLOOKUP(Table731[[#This Row],[DEF]],Table948[Defense],Table948[WR1Y]))/2</f>
        <v>63.970588235294116</v>
      </c>
      <c r="AA6" s="22">
        <f>(_xlfn.XLOOKUP(Table731[[#This Row],[DEF]],Table7[DEF],Table7[TD])+_xlfn.XLOOKUP(Table731[[#This Row],[DEF]],Table948[Defense],Table948[WR1]))/2</f>
        <v>0.29411764705882354</v>
      </c>
      <c r="AC6" s="119">
        <f t="shared" si="1"/>
        <v>18.166666666666668</v>
      </c>
      <c r="AD6" s="119">
        <v>26</v>
      </c>
      <c r="AE6" s="119">
        <f>_xlfn.RANK.AVG(Table71236[[#This Row],[Y]],Table71236[Y])</f>
        <v>25</v>
      </c>
      <c r="AF6" s="119">
        <v>3.5</v>
      </c>
      <c r="AG6" s="23" t="s">
        <v>17</v>
      </c>
      <c r="AH6" s="22">
        <f>(_xlfn.XLOOKUP(Table71236[[#This Row],[DEF]],Table712[DEF],Table712[REC])+_xlfn.XLOOKUP(Table71236[[#This Row],[DEF]],Table948[Defense],Table948[WR2C]))/2</f>
        <v>3.3235294117647056</v>
      </c>
      <c r="AI6" s="22">
        <f>(_xlfn.XLOOKUP(Table71236[[#This Row],[DEF]],Table712[DEF],Table712[Y])+_xlfn.XLOOKUP(Table71236[[#This Row],[DEF]],Table948[Defense],Table948[WR2Y]))/2</f>
        <v>41.117647058823529</v>
      </c>
      <c r="AJ6" s="22">
        <f>(_xlfn.XLOOKUP(Table71236[[#This Row],[DEF]],Table712[DEF],Table712[TD])+_xlfn.XLOOKUP(Table71236[[#This Row],[DEF]],Table948[Defense],Table948[WR2]))/2</f>
        <v>0.47058823529411764</v>
      </c>
      <c r="AL6" s="119">
        <f t="shared" si="2"/>
        <v>27.166666666666668</v>
      </c>
      <c r="AM6" s="119">
        <v>31</v>
      </c>
      <c r="AN6" s="119">
        <f>_xlfn.RANK.AVG(Table832[[#This Row],[Y]],Table832[Y])</f>
        <v>31</v>
      </c>
      <c r="AO6" s="119">
        <v>19.5</v>
      </c>
      <c r="AP6" s="119" t="s">
        <v>17</v>
      </c>
      <c r="AQ6" s="22">
        <f>(_xlfn.XLOOKUP(Table832[[#This Row],[DEF]],Table8[DEF],Table8[REC])+_xlfn.XLOOKUP(Table832[[#This Row],[DEF]],Table816[DEF],Table816[REC])+_xlfn.XLOOKUP(Table832[[#This Row],[DEF]],Table845[DEF],Table845[REC]))/2</f>
        <v>4.117647058823529</v>
      </c>
      <c r="AR6" s="22">
        <f>(_xlfn.XLOOKUP(Table832[[#This Row],[DEF]],Table8[DEF],Table8[Y])+_xlfn.XLOOKUP(Table832[[#This Row],[DEF]],Table816[DEF],Table816[Y])+_xlfn.XLOOKUP(Table832[[#This Row],[DEF]],Table845[DEF],Table845[Y]))/2</f>
        <v>39.264705882352942</v>
      </c>
      <c r="AS6" s="22">
        <f>(_xlfn.XLOOKUP(Table832[[#This Row],[DEF]],Table8[DEF],Table8[TD])+_xlfn.XLOOKUP(Table832[[#This Row],[DEF]],Table816[DEF],Table816[TD])+_xlfn.XLOOKUP(Table832[[#This Row],[DEF]],Table845[DEF],Table845[TD]))/2</f>
        <v>0.3235294117647059</v>
      </c>
    </row>
    <row r="7" spans="2:45" ht="14.5" customHeight="1" x14ac:dyDescent="0.35">
      <c r="B7" s="23">
        <v>1</v>
      </c>
      <c r="C7" s="155" t="s">
        <v>1198</v>
      </c>
      <c r="D7" s="21" t="s">
        <v>29</v>
      </c>
      <c r="E7" s="23" t="s">
        <v>1198</v>
      </c>
      <c r="G7" s="119">
        <f t="shared" si="0"/>
        <v>12.9</v>
      </c>
      <c r="H7" s="119">
        <v>17</v>
      </c>
      <c r="I7" s="119">
        <v>13</v>
      </c>
      <c r="J7" s="119">
        <f>_xlfn.RANK.AVG(Table123[[#This Row],[P+R]],Table123[P+R])</f>
        <v>15</v>
      </c>
      <c r="K7" s="119">
        <v>7.5</v>
      </c>
      <c r="L7" s="119">
        <v>12</v>
      </c>
      <c r="M7" s="21" t="s">
        <v>29</v>
      </c>
      <c r="N7" s="22">
        <f>(_xlfn.XLOOKUP(Table123[[#This Row],[DEF]],Table1[DEF],Table1[P])+_xlfn.XLOOKUP(Table123[[#This Row],[DEF]],Table14[DEF],Table14[P]))/2</f>
        <v>226.47058823529412</v>
      </c>
      <c r="O7" s="22">
        <f>(_xlfn.XLOOKUP(Table123[[#This Row],[DEF]],Table1[DEF],Table1[R])+_xlfn.XLOOKUP(Table123[[#This Row],[DEF]],Table14[DEF],Table14[R]))/2</f>
        <v>21.058823529411764</v>
      </c>
      <c r="P7" s="22">
        <f>(_xlfn.XLOOKUP(Table123[[#This Row],[DEF]],Table1[DEF],Table1[P+R])+_xlfn.XLOOKUP(Table123[[#This Row],[DEF]],Table14[DEF],Table14[P+R]))/2</f>
        <v>247.52941176470588</v>
      </c>
      <c r="Q7" s="22">
        <f>(_xlfn.XLOOKUP(Table123[[#This Row],[DEF]],Table1[DEF],Table1[P TD])+_xlfn.XLOOKUP(Table123[[#This Row],[DEF]],Table14[DEF],Table14[P TD]))/2</f>
        <v>1.6176470588235294</v>
      </c>
      <c r="R7" s="22">
        <f>(_xlfn.XLOOKUP(Table123[[#This Row],[DEF]],Table1[DEF],Table1[TD])+_xlfn.XLOOKUP(Table123[[#This Row],[DEF]],Table14[DEF],Table14[TD]))/2</f>
        <v>0.23529411764705882</v>
      </c>
      <c r="S7" s="121"/>
      <c r="T7" s="119">
        <f t="shared" si="3"/>
        <v>6</v>
      </c>
      <c r="U7" s="119">
        <v>8</v>
      </c>
      <c r="V7" s="119">
        <f>_xlfn.RANK.AVG(Table731[[#This Row],[Y]],Table731[Y])</f>
        <v>4</v>
      </c>
      <c r="W7" s="119">
        <v>6</v>
      </c>
      <c r="X7" s="21" t="s">
        <v>29</v>
      </c>
      <c r="Y7" s="22">
        <f>(_xlfn.XLOOKUP(Table731[[#This Row],[DEF]],Table7[DEF],Table7[REC])+_xlfn.XLOOKUP(Table731[[#This Row],[DEF]],Table948[Defense],Table948[WR1C]))/2</f>
        <v>5.235294117647058</v>
      </c>
      <c r="Z7" s="22">
        <f>(_xlfn.XLOOKUP(Table731[[#This Row],[DEF]],Table7[DEF],Table7[Y])+_xlfn.XLOOKUP(Table731[[#This Row],[DEF]],Table948[Defense],Table948[WR1Y]))/2</f>
        <v>70.882352941176464</v>
      </c>
      <c r="AA7" s="22">
        <f>(_xlfn.XLOOKUP(Table731[[#This Row],[DEF]],Table7[DEF],Table7[TD])+_xlfn.XLOOKUP(Table731[[#This Row],[DEF]],Table948[Defense],Table948[WR1]))/2</f>
        <v>0.52941176470588236</v>
      </c>
      <c r="AC7" s="119">
        <f t="shared" si="1"/>
        <v>22.666666666666668</v>
      </c>
      <c r="AD7" s="119">
        <v>23</v>
      </c>
      <c r="AE7" s="119">
        <f>_xlfn.RANK.AVG(Table71236[[#This Row],[Y]],Table71236[Y])</f>
        <v>30</v>
      </c>
      <c r="AF7" s="119">
        <v>15</v>
      </c>
      <c r="AG7" s="21" t="s">
        <v>29</v>
      </c>
      <c r="AH7" s="22">
        <f>(_xlfn.XLOOKUP(Table71236[[#This Row],[DEF]],Table712[DEF],Table712[REC])+_xlfn.XLOOKUP(Table71236[[#This Row],[DEF]],Table948[Defense],Table948[WR2C]))/2</f>
        <v>3.3529411764705883</v>
      </c>
      <c r="AI7" s="22">
        <f>(_xlfn.XLOOKUP(Table71236[[#This Row],[DEF]],Table712[DEF],Table712[Y])+_xlfn.XLOOKUP(Table71236[[#This Row],[DEF]],Table948[Defense],Table948[WR2Y]))/2</f>
        <v>37.529411764705884</v>
      </c>
      <c r="AJ7" s="22">
        <f>(_xlfn.XLOOKUP(Table71236[[#This Row],[DEF]],Table712[DEF],Table712[TD])+_xlfn.XLOOKUP(Table71236[[#This Row],[DEF]],Table948[Defense],Table948[WR2]))/2</f>
        <v>0.32352941176470584</v>
      </c>
      <c r="AL7" s="119">
        <f t="shared" si="2"/>
        <v>10.333333333333334</v>
      </c>
      <c r="AM7" s="119">
        <v>20</v>
      </c>
      <c r="AN7" s="119">
        <f>_xlfn.RANK.AVG(Table832[[#This Row],[Y]],Table832[Y])</f>
        <v>8</v>
      </c>
      <c r="AO7" s="119">
        <v>3</v>
      </c>
      <c r="AP7" s="120" t="s">
        <v>29</v>
      </c>
      <c r="AQ7" s="22">
        <f>(_xlfn.XLOOKUP(Table832[[#This Row],[DEF]],Table8[DEF],Table8[REC])+_xlfn.XLOOKUP(Table832[[#This Row],[DEF]],Table816[DEF],Table816[REC])+_xlfn.XLOOKUP(Table832[[#This Row],[DEF]],Table845[DEF],Table845[REC]))/2</f>
        <v>5</v>
      </c>
      <c r="AR7" s="22">
        <f>(_xlfn.XLOOKUP(Table832[[#This Row],[DEF]],Table8[DEF],Table8[Y])+_xlfn.XLOOKUP(Table832[[#This Row],[DEF]],Table816[DEF],Table816[Y])+_xlfn.XLOOKUP(Table832[[#This Row],[DEF]],Table845[DEF],Table845[Y]))/2</f>
        <v>57.029411764705884</v>
      </c>
      <c r="AS7" s="22">
        <f>(_xlfn.XLOOKUP(Table832[[#This Row],[DEF]],Table8[DEF],Table8[TD])+_xlfn.XLOOKUP(Table832[[#This Row],[DEF]],Table816[DEF],Table816[TD])+_xlfn.XLOOKUP(Table832[[#This Row],[DEF]],Table845[DEF],Table845[TD]))/2</f>
        <v>0.55882352941176472</v>
      </c>
    </row>
    <row r="8" spans="2:45" ht="14.5" customHeight="1" x14ac:dyDescent="0.35">
      <c r="B8" s="23">
        <v>1</v>
      </c>
      <c r="C8" s="155" t="s">
        <v>1198</v>
      </c>
      <c r="D8" s="23" t="s">
        <v>30</v>
      </c>
      <c r="E8" s="23" t="s">
        <v>1198</v>
      </c>
      <c r="G8" s="119">
        <f t="shared" si="0"/>
        <v>17.100000000000001</v>
      </c>
      <c r="H8" s="119">
        <v>11</v>
      </c>
      <c r="I8" s="119">
        <v>21</v>
      </c>
      <c r="J8" s="119">
        <f>_xlfn.RANK.AVG(Table123[[#This Row],[P+R]],Table123[P+R])</f>
        <v>11</v>
      </c>
      <c r="K8" s="119">
        <v>22</v>
      </c>
      <c r="L8" s="119">
        <v>20.5</v>
      </c>
      <c r="M8" s="23" t="s">
        <v>30</v>
      </c>
      <c r="N8" s="22">
        <f>(_xlfn.XLOOKUP(Table123[[#This Row],[DEF]],Table1[DEF],Table1[P])+_xlfn.XLOOKUP(Table123[[#This Row],[DEF]],Table14[DEF],Table14[P]))/2</f>
        <v>236.05882352941177</v>
      </c>
      <c r="O8" s="22">
        <f>(_xlfn.XLOOKUP(Table123[[#This Row],[DEF]],Table1[DEF],Table1[R])+_xlfn.XLOOKUP(Table123[[#This Row],[DEF]],Table14[DEF],Table14[R]))/2</f>
        <v>17.941176470588236</v>
      </c>
      <c r="P8" s="22">
        <f>(_xlfn.XLOOKUP(Table123[[#This Row],[DEF]],Table1[DEF],Table1[P+R])+_xlfn.XLOOKUP(Table123[[#This Row],[DEF]],Table14[DEF],Table14[P+R]))/2</f>
        <v>254</v>
      </c>
      <c r="Q8" s="22">
        <f>(_xlfn.XLOOKUP(Table123[[#This Row],[DEF]],Table1[DEF],Table1[P TD])+_xlfn.XLOOKUP(Table123[[#This Row],[DEF]],Table14[DEF],Table14[P TD]))/2</f>
        <v>1.4411764705882353</v>
      </c>
      <c r="R8" s="22">
        <f>(_xlfn.XLOOKUP(Table123[[#This Row],[DEF]],Table1[DEF],Table1[TD])+_xlfn.XLOOKUP(Table123[[#This Row],[DEF]],Table14[DEF],Table14[TD]))/2</f>
        <v>0.17647058823529413</v>
      </c>
      <c r="S8" s="121"/>
      <c r="T8" s="119">
        <f t="shared" si="3"/>
        <v>12.833333333333334</v>
      </c>
      <c r="U8" s="119">
        <v>18</v>
      </c>
      <c r="V8" s="119">
        <f>_xlfn.RANK.AVG(Table731[[#This Row],[Y]],Table731[Y])</f>
        <v>18</v>
      </c>
      <c r="W8" s="119">
        <v>2.5</v>
      </c>
      <c r="X8" s="23" t="s">
        <v>30</v>
      </c>
      <c r="Y8" s="22">
        <f>(_xlfn.XLOOKUP(Table731[[#This Row],[DEF]],Table7[DEF],Table7[REC])+_xlfn.XLOOKUP(Table731[[#This Row],[DEF]],Table948[Defense],Table948[WR1C]))/2</f>
        <v>4.7941176470588234</v>
      </c>
      <c r="Z8" s="22">
        <f>(_xlfn.XLOOKUP(Table731[[#This Row],[DEF]],Table7[DEF],Table7[Y])+_xlfn.XLOOKUP(Table731[[#This Row],[DEF]],Table948[Defense],Table948[WR1Y]))/2</f>
        <v>62.647058823529406</v>
      </c>
      <c r="AA8" s="22">
        <f>(_xlfn.XLOOKUP(Table731[[#This Row],[DEF]],Table7[DEF],Table7[TD])+_xlfn.XLOOKUP(Table731[[#This Row],[DEF]],Table948[Defense],Table948[WR1]))/2</f>
        <v>0.58823529411764708</v>
      </c>
      <c r="AC8" s="119">
        <f t="shared" si="1"/>
        <v>20.666666666666668</v>
      </c>
      <c r="AD8" s="119">
        <v>27</v>
      </c>
      <c r="AE8" s="119">
        <f>_xlfn.RANK.AVG(Table71236[[#This Row],[Y]],Table71236[Y])</f>
        <v>7</v>
      </c>
      <c r="AF8" s="119">
        <v>28</v>
      </c>
      <c r="AG8" s="23" t="s">
        <v>30</v>
      </c>
      <c r="AH8" s="22">
        <f>(_xlfn.XLOOKUP(Table71236[[#This Row],[DEF]],Table712[DEF],Table712[REC])+_xlfn.XLOOKUP(Table71236[[#This Row],[DEF]],Table948[Defense],Table948[WR2C]))/2</f>
        <v>3.2941176470588234</v>
      </c>
      <c r="AI8" s="22">
        <f>(_xlfn.XLOOKUP(Table71236[[#This Row],[DEF]],Table712[DEF],Table712[Y])+_xlfn.XLOOKUP(Table71236[[#This Row],[DEF]],Table948[Defense],Table948[WR2Y]))/2</f>
        <v>49.235294117647058</v>
      </c>
      <c r="AJ8" s="22">
        <f>(_xlfn.XLOOKUP(Table71236[[#This Row],[DEF]],Table712[DEF],Table712[TD])+_xlfn.XLOOKUP(Table71236[[#This Row],[DEF]],Table948[Defense],Table948[WR2]))/2</f>
        <v>0.23529411764705882</v>
      </c>
      <c r="AL8" s="119">
        <f t="shared" si="2"/>
        <v>14.833333333333334</v>
      </c>
      <c r="AM8" s="119">
        <v>14</v>
      </c>
      <c r="AN8" s="119">
        <f>_xlfn.RANK.AVG(Table832[[#This Row],[Y]],Table832[Y])</f>
        <v>11</v>
      </c>
      <c r="AO8" s="119">
        <v>19.5</v>
      </c>
      <c r="AP8" s="119" t="s">
        <v>30</v>
      </c>
      <c r="AQ8" s="22">
        <f>(_xlfn.XLOOKUP(Table832[[#This Row],[DEF]],Table8[DEF],Table8[REC])+_xlfn.XLOOKUP(Table832[[#This Row],[DEF]],Table816[DEF],Table816[REC])+_xlfn.XLOOKUP(Table832[[#This Row],[DEF]],Table845[DEF],Table845[REC]))/2</f>
        <v>5.3235294117647065</v>
      </c>
      <c r="AR8" s="22">
        <f>(_xlfn.XLOOKUP(Table832[[#This Row],[DEF]],Table8[DEF],Table8[Y])+_xlfn.XLOOKUP(Table832[[#This Row],[DEF]],Table816[DEF],Table816[Y])+_xlfn.XLOOKUP(Table832[[#This Row],[DEF]],Table845[DEF],Table845[Y]))/2</f>
        <v>55.5</v>
      </c>
      <c r="AS8" s="22">
        <f>(_xlfn.XLOOKUP(Table832[[#This Row],[DEF]],Table8[DEF],Table8[TD])+_xlfn.XLOOKUP(Table832[[#This Row],[DEF]],Table816[DEF],Table816[TD])+_xlfn.XLOOKUP(Table832[[#This Row],[DEF]],Table845[DEF],Table845[TD]))/2</f>
        <v>0.3235294117647059</v>
      </c>
    </row>
    <row r="9" spans="2:45" ht="14.5" customHeight="1" x14ac:dyDescent="0.35">
      <c r="B9" s="23">
        <v>1</v>
      </c>
      <c r="C9" s="155" t="s">
        <v>1198</v>
      </c>
      <c r="D9" s="21" t="s">
        <v>31</v>
      </c>
      <c r="E9" s="23" t="s">
        <v>1198</v>
      </c>
      <c r="G9" s="119">
        <f t="shared" si="0"/>
        <v>7.4</v>
      </c>
      <c r="H9" s="119">
        <v>8</v>
      </c>
      <c r="I9" s="119">
        <v>3</v>
      </c>
      <c r="J9" s="119">
        <f>_xlfn.RANK.AVG(Table123[[#This Row],[P+R]],Table123[P+R])</f>
        <v>8</v>
      </c>
      <c r="K9" s="119">
        <v>2</v>
      </c>
      <c r="L9" s="119">
        <v>16</v>
      </c>
      <c r="M9" s="21" t="s">
        <v>31</v>
      </c>
      <c r="N9" s="22">
        <f>(_xlfn.XLOOKUP(Table123[[#This Row],[DEF]],Table1[DEF],Table1[P])+_xlfn.XLOOKUP(Table123[[#This Row],[DEF]],Table14[DEF],Table14[P]))/2</f>
        <v>240.91176470588238</v>
      </c>
      <c r="O9" s="22">
        <f>(_xlfn.XLOOKUP(Table123[[#This Row],[DEF]],Table1[DEF],Table1[R])+_xlfn.XLOOKUP(Table123[[#This Row],[DEF]],Table14[DEF],Table14[R]))/2</f>
        <v>24.970588235294116</v>
      </c>
      <c r="P9" s="22">
        <f>(_xlfn.XLOOKUP(Table123[[#This Row],[DEF]],Table1[DEF],Table1[P+R])+_xlfn.XLOOKUP(Table123[[#This Row],[DEF]],Table14[DEF],Table14[P+R]))/2</f>
        <v>265.88235294117646</v>
      </c>
      <c r="Q9" s="22">
        <f>(_xlfn.XLOOKUP(Table123[[#This Row],[DEF]],Table1[DEF],Table1[P TD])+_xlfn.XLOOKUP(Table123[[#This Row],[DEF]],Table14[DEF],Table14[P TD]))/2</f>
        <v>1.8529411764705883</v>
      </c>
      <c r="R9" s="22">
        <f>(_xlfn.XLOOKUP(Table123[[#This Row],[DEF]],Table1[DEF],Table1[TD])+_xlfn.XLOOKUP(Table123[[#This Row],[DEF]],Table14[DEF],Table14[TD]))/2</f>
        <v>0.20588235294117646</v>
      </c>
      <c r="S9" s="121"/>
      <c r="T9" s="119">
        <f t="shared" si="3"/>
        <v>25.5</v>
      </c>
      <c r="U9" s="119">
        <v>31</v>
      </c>
      <c r="V9" s="119">
        <f>_xlfn.RANK.AVG(Table731[[#This Row],[Y]],Table731[Y])</f>
        <v>21</v>
      </c>
      <c r="W9" s="119">
        <v>24.5</v>
      </c>
      <c r="X9" s="21" t="s">
        <v>31</v>
      </c>
      <c r="Y9" s="22">
        <f>(_xlfn.XLOOKUP(Table731[[#This Row],[DEF]],Table7[DEF],Table7[REC])+_xlfn.XLOOKUP(Table731[[#This Row],[DEF]],Table948[Defense],Table948[WR1C]))/2</f>
        <v>4.2058823529411766</v>
      </c>
      <c r="Z9" s="22">
        <f>(_xlfn.XLOOKUP(Table731[[#This Row],[DEF]],Table7[DEF],Table7[Y])+_xlfn.XLOOKUP(Table731[[#This Row],[DEF]],Table948[Defense],Table948[WR1Y]))/2</f>
        <v>59.970588235294116</v>
      </c>
      <c r="AA9" s="22">
        <f>(_xlfn.XLOOKUP(Table731[[#This Row],[DEF]],Table7[DEF],Table7[TD])+_xlfn.XLOOKUP(Table731[[#This Row],[DEF]],Table948[Defense],Table948[WR1]))/2</f>
        <v>0.3235294117647059</v>
      </c>
      <c r="AC9" s="119">
        <f t="shared" si="1"/>
        <v>29.333333333333332</v>
      </c>
      <c r="AD9" s="119">
        <v>32</v>
      </c>
      <c r="AE9" s="119">
        <f>_xlfn.RANK.AVG(Table71236[[#This Row],[Y]],Table71236[Y])</f>
        <v>32</v>
      </c>
      <c r="AF9" s="119">
        <v>24</v>
      </c>
      <c r="AG9" s="21" t="s">
        <v>31</v>
      </c>
      <c r="AH9" s="22">
        <f>(_xlfn.XLOOKUP(Table71236[[#This Row],[DEF]],Table712[DEF],Table712[REC])+_xlfn.XLOOKUP(Table71236[[#This Row],[DEF]],Table948[Defense],Table948[WR2C]))/2</f>
        <v>2.7352941176470589</v>
      </c>
      <c r="AI9" s="22">
        <f>(_xlfn.XLOOKUP(Table71236[[#This Row],[DEF]],Table712[DEF],Table712[Y])+_xlfn.XLOOKUP(Table71236[[#This Row],[DEF]],Table948[Defense],Table948[WR2Y]))/2</f>
        <v>31.911764705882355</v>
      </c>
      <c r="AJ9" s="22">
        <f>(_xlfn.XLOOKUP(Table71236[[#This Row],[DEF]],Table712[DEF],Table712[TD])+_xlfn.XLOOKUP(Table71236[[#This Row],[DEF]],Table948[Defense],Table948[WR2]))/2</f>
        <v>0.26470588235294118</v>
      </c>
      <c r="AL9" s="119">
        <f t="shared" si="2"/>
        <v>1</v>
      </c>
      <c r="AM9" s="119">
        <v>1</v>
      </c>
      <c r="AN9" s="119">
        <f>_xlfn.RANK.AVG(Table832[[#This Row],[Y]],Table832[Y])</f>
        <v>1</v>
      </c>
      <c r="AO9" s="119">
        <v>1</v>
      </c>
      <c r="AP9" s="120" t="s">
        <v>31</v>
      </c>
      <c r="AQ9" s="22">
        <f>(_xlfn.XLOOKUP(Table832[[#This Row],[DEF]],Table8[DEF],Table8[REC])+_xlfn.XLOOKUP(Table832[[#This Row],[DEF]],Table816[DEF],Table816[REC])+_xlfn.XLOOKUP(Table832[[#This Row],[DEF]],Table845[DEF],Table845[REC]))/2</f>
        <v>6.7941176470588243</v>
      </c>
      <c r="AR9" s="22">
        <f>(_xlfn.XLOOKUP(Table832[[#This Row],[DEF]],Table8[DEF],Table8[Y])+_xlfn.XLOOKUP(Table832[[#This Row],[DEF]],Table816[DEF],Table816[Y])+_xlfn.XLOOKUP(Table832[[#This Row],[DEF]],Table845[DEF],Table845[Y]))/2</f>
        <v>75.941176470588232</v>
      </c>
      <c r="AS9" s="22">
        <f>(_xlfn.XLOOKUP(Table832[[#This Row],[DEF]],Table8[DEF],Table8[TD])+_xlfn.XLOOKUP(Table832[[#This Row],[DEF]],Table816[DEF],Table816[TD])+_xlfn.XLOOKUP(Table832[[#This Row],[DEF]],Table845[DEF],Table845[TD]))/2</f>
        <v>0.82352941176470584</v>
      </c>
    </row>
    <row r="10" spans="2:45" ht="14.5" customHeight="1" x14ac:dyDescent="0.35">
      <c r="B10" s="23">
        <v>1</v>
      </c>
      <c r="C10" s="155" t="s">
        <v>1198</v>
      </c>
      <c r="D10" s="23" t="s">
        <v>32</v>
      </c>
      <c r="E10" s="23" t="s">
        <v>1198</v>
      </c>
      <c r="G10" s="119">
        <f t="shared" si="0"/>
        <v>21.6</v>
      </c>
      <c r="H10" s="119">
        <v>29</v>
      </c>
      <c r="I10" s="119">
        <v>5</v>
      </c>
      <c r="J10" s="119">
        <f>_xlfn.RANK.AVG(Table123[[#This Row],[P+R]],Table123[P+R])</f>
        <v>28</v>
      </c>
      <c r="K10" s="119">
        <v>18</v>
      </c>
      <c r="L10" s="119">
        <v>28</v>
      </c>
      <c r="M10" s="23" t="s">
        <v>32</v>
      </c>
      <c r="N10" s="22">
        <f>(_xlfn.XLOOKUP(Table123[[#This Row],[DEF]],Table1[DEF],Table1[P])+_xlfn.XLOOKUP(Table123[[#This Row],[DEF]],Table14[DEF],Table14[P]))/2</f>
        <v>208.76470588235293</v>
      </c>
      <c r="O10" s="22">
        <f>(_xlfn.XLOOKUP(Table123[[#This Row],[DEF]],Table1[DEF],Table1[R])+_xlfn.XLOOKUP(Table123[[#This Row],[DEF]],Table14[DEF],Table14[R]))/2</f>
        <v>23.02941176470588</v>
      </c>
      <c r="P10" s="22">
        <f>(_xlfn.XLOOKUP(Table123[[#This Row],[DEF]],Table1[DEF],Table1[P+R])+_xlfn.XLOOKUP(Table123[[#This Row],[DEF]],Table14[DEF],Table14[P+R]))/2</f>
        <v>231.79411764705881</v>
      </c>
      <c r="Q10" s="22">
        <f>(_xlfn.XLOOKUP(Table123[[#This Row],[DEF]],Table1[DEF],Table1[P TD])+_xlfn.XLOOKUP(Table123[[#This Row],[DEF]],Table14[DEF],Table14[P TD]))/2</f>
        <v>1.5</v>
      </c>
      <c r="R10" s="22">
        <f>(_xlfn.XLOOKUP(Table123[[#This Row],[DEF]],Table1[DEF],Table1[TD])+_xlfn.XLOOKUP(Table123[[#This Row],[DEF]],Table14[DEF],Table14[TD]))/2</f>
        <v>8.8235294117647051E-2</v>
      </c>
      <c r="S10" s="121"/>
      <c r="T10" s="119">
        <f t="shared" si="3"/>
        <v>19.333333333333332</v>
      </c>
      <c r="U10" s="119">
        <v>29</v>
      </c>
      <c r="V10" s="119">
        <f>_xlfn.RANK.AVG(Table731[[#This Row],[Y]],Table731[Y])</f>
        <v>20</v>
      </c>
      <c r="W10" s="119">
        <v>9</v>
      </c>
      <c r="X10" s="23" t="s">
        <v>32</v>
      </c>
      <c r="Y10" s="22">
        <f>(_xlfn.XLOOKUP(Table731[[#This Row],[DEF]],Table7[DEF],Table7[REC])+_xlfn.XLOOKUP(Table731[[#This Row],[DEF]],Table948[Defense],Table948[WR1C]))/2</f>
        <v>4.4117647058823533</v>
      </c>
      <c r="Z10" s="22">
        <f>(_xlfn.XLOOKUP(Table731[[#This Row],[DEF]],Table7[DEF],Table7[Y])+_xlfn.XLOOKUP(Table731[[#This Row],[DEF]],Table948[Defense],Table948[WR1Y]))/2</f>
        <v>61.117647058823529</v>
      </c>
      <c r="AA10" s="22">
        <f>(_xlfn.XLOOKUP(Table731[[#This Row],[DEF]],Table7[DEF],Table7[TD])+_xlfn.XLOOKUP(Table731[[#This Row],[DEF]],Table948[Defense],Table948[WR1]))/2</f>
        <v>0.47058823529411764</v>
      </c>
      <c r="AC10" s="119">
        <f t="shared" si="1"/>
        <v>23.5</v>
      </c>
      <c r="AD10" s="119">
        <v>28</v>
      </c>
      <c r="AE10" s="119">
        <f>_xlfn.RANK.AVG(Table71236[[#This Row],[Y]],Table71236[Y])</f>
        <v>29</v>
      </c>
      <c r="AF10" s="119">
        <v>13.5</v>
      </c>
      <c r="AG10" s="23" t="s">
        <v>32</v>
      </c>
      <c r="AH10" s="22">
        <f>(_xlfn.XLOOKUP(Table71236[[#This Row],[DEF]],Table712[DEF],Table712[REC])+_xlfn.XLOOKUP(Table71236[[#This Row],[DEF]],Table948[Defense],Table948[WR2C]))/2</f>
        <v>3.1764705882352944</v>
      </c>
      <c r="AI10" s="22">
        <f>(_xlfn.XLOOKUP(Table71236[[#This Row],[DEF]],Table712[DEF],Table712[Y])+_xlfn.XLOOKUP(Table71236[[#This Row],[DEF]],Table948[Defense],Table948[WR2Y]))/2</f>
        <v>39.5</v>
      </c>
      <c r="AJ10" s="22">
        <f>(_xlfn.XLOOKUP(Table71236[[#This Row],[DEF]],Table712[DEF],Table712[TD])+_xlfn.XLOOKUP(Table71236[[#This Row],[DEF]],Table948[Defense],Table948[WR2]))/2</f>
        <v>0.3529411764705882</v>
      </c>
      <c r="AL10" s="119">
        <f t="shared" si="2"/>
        <v>18.333333333333332</v>
      </c>
      <c r="AM10" s="119">
        <v>20</v>
      </c>
      <c r="AN10" s="119">
        <f>_xlfn.RANK.AVG(Table832[[#This Row],[Y]],Table832[Y])</f>
        <v>19.5</v>
      </c>
      <c r="AO10" s="119">
        <v>15.5</v>
      </c>
      <c r="AP10" s="119" t="s">
        <v>32</v>
      </c>
      <c r="AQ10" s="22">
        <f>(_xlfn.XLOOKUP(Table832[[#This Row],[DEF]],Table8[DEF],Table8[REC])+_xlfn.XLOOKUP(Table832[[#This Row],[DEF]],Table816[DEF],Table816[REC])+_xlfn.XLOOKUP(Table832[[#This Row],[DEF]],Table845[DEF],Table845[REC]))/2</f>
        <v>5</v>
      </c>
      <c r="AR10" s="22">
        <f>(_xlfn.XLOOKUP(Table832[[#This Row],[DEF]],Table8[DEF],Table8[Y])+_xlfn.XLOOKUP(Table832[[#This Row],[DEF]],Table816[DEF],Table816[Y])+_xlfn.XLOOKUP(Table832[[#This Row],[DEF]],Table845[DEF],Table845[Y]))/2</f>
        <v>50.529411764705884</v>
      </c>
      <c r="AS10" s="22">
        <f>(_xlfn.XLOOKUP(Table832[[#This Row],[DEF]],Table8[DEF],Table8[TD])+_xlfn.XLOOKUP(Table832[[#This Row],[DEF]],Table816[DEF],Table816[TD])+_xlfn.XLOOKUP(Table832[[#This Row],[DEF]],Table845[DEF],Table845[TD]))/2</f>
        <v>0.41176470588235292</v>
      </c>
    </row>
    <row r="11" spans="2:45" ht="14.5" customHeight="1" x14ac:dyDescent="0.35">
      <c r="B11" s="23">
        <v>1</v>
      </c>
      <c r="C11" s="155" t="s">
        <v>1198</v>
      </c>
      <c r="D11" s="21" t="s">
        <v>33</v>
      </c>
      <c r="E11" s="23" t="s">
        <v>1198</v>
      </c>
      <c r="G11" s="119">
        <f t="shared" si="0"/>
        <v>2.4</v>
      </c>
      <c r="H11" s="119">
        <v>5</v>
      </c>
      <c r="I11" s="119">
        <v>1</v>
      </c>
      <c r="J11" s="119">
        <f>_xlfn.RANK.AVG(Table123[[#This Row],[P+R]],Table123[P+R])</f>
        <v>2</v>
      </c>
      <c r="K11" s="119">
        <v>3</v>
      </c>
      <c r="L11" s="119">
        <v>1</v>
      </c>
      <c r="M11" s="21" t="s">
        <v>33</v>
      </c>
      <c r="N11" s="22">
        <f>(_xlfn.XLOOKUP(Table123[[#This Row],[DEF]],Table1[DEF],Table1[P])+_xlfn.XLOOKUP(Table123[[#This Row],[DEF]],Table14[DEF],Table14[P]))/2</f>
        <v>251.94117647058823</v>
      </c>
      <c r="O11" s="22">
        <f>(_xlfn.XLOOKUP(Table123[[#This Row],[DEF]],Table1[DEF],Table1[R])+_xlfn.XLOOKUP(Table123[[#This Row],[DEF]],Table14[DEF],Table14[R]))/2</f>
        <v>28.5</v>
      </c>
      <c r="P11" s="22">
        <f>(_xlfn.XLOOKUP(Table123[[#This Row],[DEF]],Table1[DEF],Table1[P+R])+_xlfn.XLOOKUP(Table123[[#This Row],[DEF]],Table14[DEF],Table14[P+R]))/2</f>
        <v>280.44117647058823</v>
      </c>
      <c r="Q11" s="22">
        <f>(_xlfn.XLOOKUP(Table123[[#This Row],[DEF]],Table1[DEF],Table1[P TD])+_xlfn.XLOOKUP(Table123[[#This Row],[DEF]],Table14[DEF],Table14[P TD]))/2</f>
        <v>1.8529411764705881</v>
      </c>
      <c r="R11" s="22">
        <f>(_xlfn.XLOOKUP(Table123[[#This Row],[DEF]],Table1[DEF],Table1[TD])+_xlfn.XLOOKUP(Table123[[#This Row],[DEF]],Table14[DEF],Table14[TD]))/2</f>
        <v>0.52941176470588236</v>
      </c>
      <c r="S11" s="121"/>
      <c r="T11" s="119">
        <f t="shared" si="3"/>
        <v>8</v>
      </c>
      <c r="U11" s="119">
        <v>11</v>
      </c>
      <c r="V11" s="119">
        <f>_xlfn.RANK.AVG(Table731[[#This Row],[Y]],Table731[Y])</f>
        <v>12</v>
      </c>
      <c r="W11" s="119">
        <v>1</v>
      </c>
      <c r="X11" s="21" t="s">
        <v>33</v>
      </c>
      <c r="Y11" s="22">
        <f>(_xlfn.XLOOKUP(Table731[[#This Row],[DEF]],Table7[DEF],Table7[REC])+_xlfn.XLOOKUP(Table731[[#This Row],[DEF]],Table948[Defense],Table948[WR1C]))/2</f>
        <v>5.1470588235294112</v>
      </c>
      <c r="Z11" s="22">
        <f>(_xlfn.XLOOKUP(Table731[[#This Row],[DEF]],Table7[DEF],Table7[Y])+_xlfn.XLOOKUP(Table731[[#This Row],[DEF]],Table948[Defense],Table948[WR1Y]))/2</f>
        <v>64.764705882352942</v>
      </c>
      <c r="AA11" s="22">
        <f>(_xlfn.XLOOKUP(Table731[[#This Row],[DEF]],Table7[DEF],Table7[TD])+_xlfn.XLOOKUP(Table731[[#This Row],[DEF]],Table948[Defense],Table948[WR1]))/2</f>
        <v>0.64705882352941169</v>
      </c>
      <c r="AC11" s="119">
        <f t="shared" si="1"/>
        <v>6.833333333333333</v>
      </c>
      <c r="AD11" s="119">
        <v>8</v>
      </c>
      <c r="AE11" s="119">
        <f>_xlfn.RANK.AVG(Table71236[[#This Row],[Y]],Table71236[Y])</f>
        <v>1</v>
      </c>
      <c r="AF11" s="119">
        <v>11.5</v>
      </c>
      <c r="AG11" s="21" t="s">
        <v>33</v>
      </c>
      <c r="AH11" s="22">
        <f>(_xlfn.XLOOKUP(Table71236[[#This Row],[DEF]],Table712[DEF],Table712[REC])+_xlfn.XLOOKUP(Table71236[[#This Row],[DEF]],Table948[Defense],Table948[WR2C]))/2</f>
        <v>3.8235294117647061</v>
      </c>
      <c r="AI11" s="22">
        <f>(_xlfn.XLOOKUP(Table71236[[#This Row],[DEF]],Table712[DEF],Table712[Y])+_xlfn.XLOOKUP(Table71236[[#This Row],[DEF]],Table948[Defense],Table948[WR2Y]))/2</f>
        <v>55.735294117647058</v>
      </c>
      <c r="AJ11" s="22">
        <f>(_xlfn.XLOOKUP(Table71236[[#This Row],[DEF]],Table712[DEF],Table712[TD])+_xlfn.XLOOKUP(Table71236[[#This Row],[DEF]],Table948[Defense],Table948[WR2]))/2</f>
        <v>0.38235294117647056</v>
      </c>
      <c r="AL11" s="119">
        <f t="shared" si="2"/>
        <v>23.333333333333332</v>
      </c>
      <c r="AM11" s="119">
        <v>27</v>
      </c>
      <c r="AN11" s="119">
        <f>_xlfn.RANK.AVG(Table832[[#This Row],[Y]],Table832[Y])</f>
        <v>26</v>
      </c>
      <c r="AO11" s="119">
        <v>17</v>
      </c>
      <c r="AP11" s="120" t="s">
        <v>33</v>
      </c>
      <c r="AQ11" s="22">
        <f>(_xlfn.XLOOKUP(Table832[[#This Row],[DEF]],Table8[DEF],Table8[REC])+_xlfn.XLOOKUP(Table832[[#This Row],[DEF]],Table816[DEF],Table816[REC])+_xlfn.XLOOKUP(Table832[[#This Row],[DEF]],Table845[DEF],Table845[REC]))/2</f>
        <v>4.5588235294117654</v>
      </c>
      <c r="AR11" s="22">
        <f>(_xlfn.XLOOKUP(Table832[[#This Row],[DEF]],Table8[DEF],Table8[Y])+_xlfn.XLOOKUP(Table832[[#This Row],[DEF]],Table816[DEF],Table816[Y])+_xlfn.XLOOKUP(Table832[[#This Row],[DEF]],Table845[DEF],Table845[Y]))/2</f>
        <v>46.705882352941174</v>
      </c>
      <c r="AS11" s="22">
        <f>(_xlfn.XLOOKUP(Table832[[#This Row],[DEF]],Table8[DEF],Table8[TD])+_xlfn.XLOOKUP(Table832[[#This Row],[DEF]],Table816[DEF],Table816[TD])+_xlfn.XLOOKUP(Table832[[#This Row],[DEF]],Table845[DEF],Table845[TD]))/2</f>
        <v>0.3529411764705882</v>
      </c>
    </row>
    <row r="12" spans="2:45" ht="14.5" customHeight="1" x14ac:dyDescent="0.35">
      <c r="B12" s="23">
        <v>1</v>
      </c>
      <c r="C12" s="155" t="s">
        <v>1198</v>
      </c>
      <c r="D12" s="23" t="s">
        <v>34</v>
      </c>
      <c r="E12" s="23" t="s">
        <v>1198</v>
      </c>
      <c r="G12" s="119">
        <f t="shared" si="0"/>
        <v>20.2</v>
      </c>
      <c r="H12" s="119">
        <v>16</v>
      </c>
      <c r="I12" s="119">
        <v>19</v>
      </c>
      <c r="J12" s="119">
        <f>_xlfn.RANK.AVG(Table123[[#This Row],[P+R]],Table123[P+R])</f>
        <v>16</v>
      </c>
      <c r="K12" s="119">
        <v>29.5</v>
      </c>
      <c r="L12" s="119">
        <v>20.5</v>
      </c>
      <c r="M12" s="23" t="s">
        <v>34</v>
      </c>
      <c r="N12" s="22">
        <f>(_xlfn.XLOOKUP(Table123[[#This Row],[DEF]],Table1[DEF],Table1[P])+_xlfn.XLOOKUP(Table123[[#This Row],[DEF]],Table14[DEF],Table14[P]))/2</f>
        <v>227</v>
      </c>
      <c r="O12" s="22">
        <f>(_xlfn.XLOOKUP(Table123[[#This Row],[DEF]],Table1[DEF],Table1[R])+_xlfn.XLOOKUP(Table123[[#This Row],[DEF]],Table14[DEF],Table14[R]))/2</f>
        <v>18.647058823529413</v>
      </c>
      <c r="P12" s="22">
        <f>(_xlfn.XLOOKUP(Table123[[#This Row],[DEF]],Table1[DEF],Table1[P+R])+_xlfn.XLOOKUP(Table123[[#This Row],[DEF]],Table14[DEF],Table14[P+R]))/2</f>
        <v>245.64705882352939</v>
      </c>
      <c r="Q12" s="22">
        <f>(_xlfn.XLOOKUP(Table123[[#This Row],[DEF]],Table1[DEF],Table1[P TD])+_xlfn.XLOOKUP(Table123[[#This Row],[DEF]],Table14[DEF],Table14[P TD]))/2</f>
        <v>1.1764705882352942</v>
      </c>
      <c r="R12" s="22">
        <f>(_xlfn.XLOOKUP(Table123[[#This Row],[DEF]],Table1[DEF],Table1[TD])+_xlfn.XLOOKUP(Table123[[#This Row],[DEF]],Table14[DEF],Table14[TD]))/2</f>
        <v>0.17647058823529413</v>
      </c>
      <c r="S12" s="121"/>
      <c r="T12" s="119">
        <f t="shared" si="3"/>
        <v>29</v>
      </c>
      <c r="U12" s="119">
        <v>25</v>
      </c>
      <c r="V12" s="119">
        <f>_xlfn.RANK.AVG(Table731[[#This Row],[Y]],Table731[Y])</f>
        <v>30</v>
      </c>
      <c r="W12" s="119">
        <v>32</v>
      </c>
      <c r="X12" s="23" t="s">
        <v>34</v>
      </c>
      <c r="Y12" s="22">
        <f>(_xlfn.XLOOKUP(Table731[[#This Row],[DEF]],Table7[DEF],Table7[REC])+_xlfn.XLOOKUP(Table731[[#This Row],[DEF]],Table948[Defense],Table948[WR1C]))/2</f>
        <v>4.617647058823529</v>
      </c>
      <c r="Z12" s="22">
        <f>(_xlfn.XLOOKUP(Table731[[#This Row],[DEF]],Table7[DEF],Table7[Y])+_xlfn.XLOOKUP(Table731[[#This Row],[DEF]],Table948[Defense],Table948[WR1Y]))/2</f>
        <v>54.588235294117652</v>
      </c>
      <c r="AA12" s="22">
        <f>(_xlfn.XLOOKUP(Table731[[#This Row],[DEF]],Table7[DEF],Table7[TD])+_xlfn.XLOOKUP(Table731[[#This Row],[DEF]],Table948[Defense],Table948[WR1]))/2</f>
        <v>0.14705882352941177</v>
      </c>
      <c r="AC12" s="119">
        <f t="shared" si="1"/>
        <v>17.5</v>
      </c>
      <c r="AD12" s="119">
        <v>2.5</v>
      </c>
      <c r="AE12" s="119">
        <f>_xlfn.RANK.AVG(Table71236[[#This Row],[Y]],Table71236[Y])</f>
        <v>18</v>
      </c>
      <c r="AF12" s="119">
        <v>32</v>
      </c>
      <c r="AG12" s="23" t="s">
        <v>34</v>
      </c>
      <c r="AH12" s="22">
        <f>(_xlfn.XLOOKUP(Table71236[[#This Row],[DEF]],Table712[DEF],Table712[REC])+_xlfn.XLOOKUP(Table71236[[#This Row],[DEF]],Table948[Defense],Table948[WR2C]))/2</f>
        <v>4</v>
      </c>
      <c r="AI12" s="22">
        <f>(_xlfn.XLOOKUP(Table71236[[#This Row],[DEF]],Table712[DEF],Table712[Y])+_xlfn.XLOOKUP(Table71236[[#This Row],[DEF]],Table948[Defense],Table948[WR2Y]))/2</f>
        <v>44.441176470588232</v>
      </c>
      <c r="AJ12" s="22">
        <f>(_xlfn.XLOOKUP(Table71236[[#This Row],[DEF]],Table712[DEF],Table712[TD])+_xlfn.XLOOKUP(Table71236[[#This Row],[DEF]],Table948[Defense],Table948[WR2]))/2</f>
        <v>0.17647058823529413</v>
      </c>
      <c r="AL12" s="119">
        <f t="shared" si="2"/>
        <v>13.5</v>
      </c>
      <c r="AM12" s="119">
        <v>8</v>
      </c>
      <c r="AN12" s="119">
        <f>_xlfn.RANK.AVG(Table832[[#This Row],[Y]],Table832[Y])</f>
        <v>13</v>
      </c>
      <c r="AO12" s="119">
        <v>19.5</v>
      </c>
      <c r="AP12" s="119" t="s">
        <v>34</v>
      </c>
      <c r="AQ12" s="22">
        <f>(_xlfn.XLOOKUP(Table832[[#This Row],[DEF]],Table8[DEF],Table8[REC])+_xlfn.XLOOKUP(Table832[[#This Row],[DEF]],Table816[DEF],Table816[REC])+_xlfn.XLOOKUP(Table832[[#This Row],[DEF]],Table845[DEF],Table845[REC]))/2</f>
        <v>5.6470588235294112</v>
      </c>
      <c r="AR12" s="22">
        <f>(_xlfn.XLOOKUP(Table832[[#This Row],[DEF]],Table8[DEF],Table8[Y])+_xlfn.XLOOKUP(Table832[[#This Row],[DEF]],Table816[DEF],Table816[Y])+_xlfn.XLOOKUP(Table832[[#This Row],[DEF]],Table845[DEF],Table845[Y]))/2</f>
        <v>54.323529411764703</v>
      </c>
      <c r="AS12" s="22">
        <f>(_xlfn.XLOOKUP(Table832[[#This Row],[DEF]],Table8[DEF],Table8[TD])+_xlfn.XLOOKUP(Table832[[#This Row],[DEF]],Table816[DEF],Table816[TD])+_xlfn.XLOOKUP(Table832[[#This Row],[DEF]],Table845[DEF],Table845[TD]))/2</f>
        <v>0.3235294117647059</v>
      </c>
    </row>
    <row r="13" spans="2:45" ht="14.5" customHeight="1" x14ac:dyDescent="0.35">
      <c r="B13" s="23">
        <v>1</v>
      </c>
      <c r="C13" s="155" t="s">
        <v>1198</v>
      </c>
      <c r="D13" s="21" t="s">
        <v>35</v>
      </c>
      <c r="E13" s="23" t="s">
        <v>1198</v>
      </c>
      <c r="G13" s="119">
        <f t="shared" si="0"/>
        <v>9.6999999999999993</v>
      </c>
      <c r="H13" s="119">
        <v>7</v>
      </c>
      <c r="I13" s="119">
        <v>14</v>
      </c>
      <c r="J13" s="119">
        <f>_xlfn.RANK.AVG(Table123[[#This Row],[P+R]],Table123[P+R])</f>
        <v>5</v>
      </c>
      <c r="K13" s="119">
        <v>18</v>
      </c>
      <c r="L13" s="119">
        <v>4.5</v>
      </c>
      <c r="M13" s="21" t="s">
        <v>35</v>
      </c>
      <c r="N13" s="22">
        <f>(_xlfn.XLOOKUP(Table123[[#This Row],[DEF]],Table1[DEF],Table1[P])+_xlfn.XLOOKUP(Table123[[#This Row],[DEF]],Table14[DEF],Table14[P]))/2</f>
        <v>247.97058823529412</v>
      </c>
      <c r="O13" s="22">
        <f>(_xlfn.XLOOKUP(Table123[[#This Row],[DEF]],Table1[DEF],Table1[R])+_xlfn.XLOOKUP(Table123[[#This Row],[DEF]],Table14[DEF],Table14[R]))/2</f>
        <v>20.941176470588236</v>
      </c>
      <c r="P13" s="22">
        <f>(_xlfn.XLOOKUP(Table123[[#This Row],[DEF]],Table1[DEF],Table1[P+R])+_xlfn.XLOOKUP(Table123[[#This Row],[DEF]],Table14[DEF],Table14[P+R]))/2</f>
        <v>268.91176470588232</v>
      </c>
      <c r="Q13" s="22">
        <f>(_xlfn.XLOOKUP(Table123[[#This Row],[DEF]],Table1[DEF],Table1[P TD])+_xlfn.XLOOKUP(Table123[[#This Row],[DEF]],Table14[DEF],Table14[P TD]))/2</f>
        <v>1.5</v>
      </c>
      <c r="R13" s="22">
        <f>(_xlfn.XLOOKUP(Table123[[#This Row],[DEF]],Table1[DEF],Table1[TD])+_xlfn.XLOOKUP(Table123[[#This Row],[DEF]],Table14[DEF],Table14[TD]))/2</f>
        <v>0.29411764705882354</v>
      </c>
      <c r="S13" s="121"/>
      <c r="T13" s="119">
        <f t="shared" si="3"/>
        <v>11.833333333333334</v>
      </c>
      <c r="U13" s="119">
        <v>7</v>
      </c>
      <c r="V13" s="119">
        <f>_xlfn.RANK.AVG(Table731[[#This Row],[Y]],Table731[Y])</f>
        <v>9</v>
      </c>
      <c r="W13" s="119">
        <v>19.5</v>
      </c>
      <c r="X13" s="21" t="s">
        <v>35</v>
      </c>
      <c r="Y13" s="22">
        <f>(_xlfn.XLOOKUP(Table731[[#This Row],[DEF]],Table7[DEF],Table7[REC])+_xlfn.XLOOKUP(Table731[[#This Row],[DEF]],Table948[Defense],Table948[WR1C]))/2</f>
        <v>5.2352941176470589</v>
      </c>
      <c r="Z13" s="22">
        <f>(_xlfn.XLOOKUP(Table731[[#This Row],[DEF]],Table7[DEF],Table7[Y])+_xlfn.XLOOKUP(Table731[[#This Row],[DEF]],Table948[Defense],Table948[WR1Y]))/2</f>
        <v>66.911764705882348</v>
      </c>
      <c r="AA13" s="22">
        <f>(_xlfn.XLOOKUP(Table731[[#This Row],[DEF]],Table7[DEF],Table7[TD])+_xlfn.XLOOKUP(Table731[[#This Row],[DEF]],Table948[Defense],Table948[WR1]))/2</f>
        <v>0.38235294117647056</v>
      </c>
      <c r="AC13" s="119">
        <f t="shared" si="1"/>
        <v>4.166666666666667</v>
      </c>
      <c r="AD13" s="119">
        <v>4</v>
      </c>
      <c r="AE13" s="119">
        <f>_xlfn.RANK.AVG(Table71236[[#This Row],[Y]],Table71236[Y])</f>
        <v>5</v>
      </c>
      <c r="AF13" s="119">
        <v>3.5</v>
      </c>
      <c r="AG13" s="21" t="s">
        <v>35</v>
      </c>
      <c r="AH13" s="22">
        <f>(_xlfn.XLOOKUP(Table71236[[#This Row],[DEF]],Table712[DEF],Table712[REC])+_xlfn.XLOOKUP(Table71236[[#This Row],[DEF]],Table948[Defense],Table948[WR2C]))/2</f>
        <v>3.9411764705882355</v>
      </c>
      <c r="AI13" s="22">
        <f>(_xlfn.XLOOKUP(Table71236[[#This Row],[DEF]],Table712[DEF],Table712[Y])+_xlfn.XLOOKUP(Table71236[[#This Row],[DEF]],Table948[Defense],Table948[WR2Y]))/2</f>
        <v>51.617647058823529</v>
      </c>
      <c r="AJ13" s="22">
        <f>(_xlfn.XLOOKUP(Table71236[[#This Row],[DEF]],Table712[DEF],Table712[TD])+_xlfn.XLOOKUP(Table71236[[#This Row],[DEF]],Table948[Defense],Table948[WR2]))/2</f>
        <v>0.47058823529411764</v>
      </c>
      <c r="AL13" s="119">
        <f t="shared" si="2"/>
        <v>24.333333333333332</v>
      </c>
      <c r="AM13" s="119">
        <v>26</v>
      </c>
      <c r="AN13" s="119">
        <f>_xlfn.RANK.AVG(Table832[[#This Row],[Y]],Table832[Y])</f>
        <v>24</v>
      </c>
      <c r="AO13" s="119">
        <v>23</v>
      </c>
      <c r="AP13" s="120" t="s">
        <v>35</v>
      </c>
      <c r="AQ13" s="22">
        <f>(_xlfn.XLOOKUP(Table832[[#This Row],[DEF]],Table8[DEF],Table8[REC])+_xlfn.XLOOKUP(Table832[[#This Row],[DEF]],Table816[DEF],Table816[REC])+_xlfn.XLOOKUP(Table832[[#This Row],[DEF]],Table845[DEF],Table845[REC]))/2</f>
        <v>4.5882352941176467</v>
      </c>
      <c r="AR13" s="22">
        <f>(_xlfn.XLOOKUP(Table832[[#This Row],[DEF]],Table8[DEF],Table8[Y])+_xlfn.XLOOKUP(Table832[[#This Row],[DEF]],Table816[DEF],Table816[Y])+_xlfn.XLOOKUP(Table832[[#This Row],[DEF]],Table845[DEF],Table845[Y]))/2</f>
        <v>47.617647058823529</v>
      </c>
      <c r="AS13" s="22">
        <f>(_xlfn.XLOOKUP(Table832[[#This Row],[DEF]],Table8[DEF],Table8[TD])+_xlfn.XLOOKUP(Table832[[#This Row],[DEF]],Table816[DEF],Table816[TD])+_xlfn.XLOOKUP(Table832[[#This Row],[DEF]],Table845[DEF],Table845[TD]))/2</f>
        <v>0.29411764705882354</v>
      </c>
    </row>
    <row r="14" spans="2:45" ht="14.5" customHeight="1" x14ac:dyDescent="0.35">
      <c r="B14" s="23">
        <v>1</v>
      </c>
      <c r="C14" s="155" t="s">
        <v>1198</v>
      </c>
      <c r="D14" s="23" t="s">
        <v>36</v>
      </c>
      <c r="E14" s="23" t="s">
        <v>1198</v>
      </c>
      <c r="G14" s="119">
        <f t="shared" si="0"/>
        <v>25.5</v>
      </c>
      <c r="H14" s="119">
        <v>23</v>
      </c>
      <c r="I14" s="119">
        <v>27</v>
      </c>
      <c r="J14" s="119">
        <f>_xlfn.RANK.AVG(Table123[[#This Row],[P+R]],Table123[P+R])</f>
        <v>25</v>
      </c>
      <c r="K14" s="119">
        <v>24.5</v>
      </c>
      <c r="L14" s="119">
        <v>28</v>
      </c>
      <c r="M14" s="23" t="s">
        <v>36</v>
      </c>
      <c r="N14" s="22">
        <f>(_xlfn.XLOOKUP(Table123[[#This Row],[DEF]],Table1[DEF],Table1[P])+_xlfn.XLOOKUP(Table123[[#This Row],[DEF]],Table14[DEF],Table14[P]))/2</f>
        <v>219.85294117647058</v>
      </c>
      <c r="O14" s="22">
        <f>(_xlfn.XLOOKUP(Table123[[#This Row],[DEF]],Table1[DEF],Table1[R])+_xlfn.XLOOKUP(Table123[[#This Row],[DEF]],Table14[DEF],Table14[R]))/2</f>
        <v>15.117647058823529</v>
      </c>
      <c r="P14" s="22">
        <f>(_xlfn.XLOOKUP(Table123[[#This Row],[DEF]],Table1[DEF],Table1[P+R])+_xlfn.XLOOKUP(Table123[[#This Row],[DEF]],Table14[DEF],Table14[P+R]))/2</f>
        <v>234.97058823529412</v>
      </c>
      <c r="Q14" s="22">
        <f>(_xlfn.XLOOKUP(Table123[[#This Row],[DEF]],Table1[DEF],Table1[P TD])+_xlfn.XLOOKUP(Table123[[#This Row],[DEF]],Table14[DEF],Table14[P TD]))/2</f>
        <v>1.3823529411764706</v>
      </c>
      <c r="R14" s="22">
        <f>(_xlfn.XLOOKUP(Table123[[#This Row],[DEF]],Table1[DEF],Table1[TD])+_xlfn.XLOOKUP(Table123[[#This Row],[DEF]],Table14[DEF],Table14[TD]))/2</f>
        <v>8.8235294117647051E-2</v>
      </c>
      <c r="S14" s="121"/>
      <c r="T14" s="119">
        <f t="shared" si="3"/>
        <v>20.333333333333332</v>
      </c>
      <c r="U14" s="119">
        <v>23</v>
      </c>
      <c r="V14" s="119">
        <f>_xlfn.RANK.AVG(Table731[[#This Row],[Y]],Table731[Y])</f>
        <v>22</v>
      </c>
      <c r="W14" s="119">
        <v>16</v>
      </c>
      <c r="X14" s="23" t="s">
        <v>36</v>
      </c>
      <c r="Y14" s="22">
        <f>(_xlfn.XLOOKUP(Table731[[#This Row],[DEF]],Table7[DEF],Table7[REC])+_xlfn.XLOOKUP(Table731[[#This Row],[DEF]],Table948[Defense],Table948[WR1C]))/2</f>
        <v>4.7058823529411766</v>
      </c>
      <c r="Z14" s="22">
        <f>(_xlfn.XLOOKUP(Table731[[#This Row],[DEF]],Table7[DEF],Table7[Y])+_xlfn.XLOOKUP(Table731[[#This Row],[DEF]],Table948[Defense],Table948[WR1Y]))/2</f>
        <v>58.911764705882348</v>
      </c>
      <c r="AA14" s="22">
        <f>(_xlfn.XLOOKUP(Table731[[#This Row],[DEF]],Table7[DEF],Table7[TD])+_xlfn.XLOOKUP(Table731[[#This Row],[DEF]],Table948[Defense],Table948[WR1]))/2</f>
        <v>0.41176470588235292</v>
      </c>
      <c r="AC14" s="119">
        <f t="shared" si="1"/>
        <v>15.333333333333334</v>
      </c>
      <c r="AD14" s="119">
        <v>10.5</v>
      </c>
      <c r="AE14" s="119">
        <f>_xlfn.RANK.AVG(Table71236[[#This Row],[Y]],Table71236[Y])</f>
        <v>17</v>
      </c>
      <c r="AF14" s="119">
        <v>18.5</v>
      </c>
      <c r="AG14" s="23" t="s">
        <v>36</v>
      </c>
      <c r="AH14" s="22">
        <f>(_xlfn.XLOOKUP(Table71236[[#This Row],[DEF]],Table712[DEF],Table712[REC])+_xlfn.XLOOKUP(Table71236[[#This Row],[DEF]],Table948[Defense],Table948[WR2C]))/2</f>
        <v>3.7647058823529411</v>
      </c>
      <c r="AI14" s="22">
        <f>(_xlfn.XLOOKUP(Table71236[[#This Row],[DEF]],Table712[DEF],Table712[Y])+_xlfn.XLOOKUP(Table71236[[#This Row],[DEF]],Table948[Defense],Table948[WR2Y]))/2</f>
        <v>44.882352941176471</v>
      </c>
      <c r="AJ14" s="22">
        <f>(_xlfn.XLOOKUP(Table71236[[#This Row],[DEF]],Table712[DEF],Table712[TD])+_xlfn.XLOOKUP(Table71236[[#This Row],[DEF]],Table948[Defense],Table948[WR2]))/2</f>
        <v>0.29411764705882354</v>
      </c>
      <c r="AL14" s="119">
        <f t="shared" si="2"/>
        <v>17.666666666666668</v>
      </c>
      <c r="AM14" s="119">
        <v>12</v>
      </c>
      <c r="AN14" s="119">
        <f>_xlfn.RANK.AVG(Table832[[#This Row],[Y]],Table832[Y])</f>
        <v>18</v>
      </c>
      <c r="AO14" s="119">
        <v>23</v>
      </c>
      <c r="AP14" s="119" t="s">
        <v>36</v>
      </c>
      <c r="AQ14" s="22">
        <f>(_xlfn.XLOOKUP(Table832[[#This Row],[DEF]],Table8[DEF],Table8[REC])+_xlfn.XLOOKUP(Table832[[#This Row],[DEF]],Table816[DEF],Table816[REC])+_xlfn.XLOOKUP(Table832[[#This Row],[DEF]],Table845[DEF],Table845[REC]))/2</f>
        <v>5.5294117647058822</v>
      </c>
      <c r="AR14" s="22">
        <f>(_xlfn.XLOOKUP(Table832[[#This Row],[DEF]],Table8[DEF],Table8[Y])+_xlfn.XLOOKUP(Table832[[#This Row],[DEF]],Table816[DEF],Table816[Y])+_xlfn.XLOOKUP(Table832[[#This Row],[DEF]],Table845[DEF],Table845[Y]))/2</f>
        <v>50.970588235294116</v>
      </c>
      <c r="AS14" s="22">
        <f>(_xlfn.XLOOKUP(Table832[[#This Row],[DEF]],Table8[DEF],Table8[TD])+_xlfn.XLOOKUP(Table832[[#This Row],[DEF]],Table816[DEF],Table816[TD])+_xlfn.XLOOKUP(Table832[[#This Row],[DEF]],Table845[DEF],Table845[TD]))/2</f>
        <v>0.29411764705882354</v>
      </c>
    </row>
    <row r="15" spans="2:45" ht="14.5" customHeight="1" x14ac:dyDescent="0.35">
      <c r="B15" s="23">
        <v>1</v>
      </c>
      <c r="C15" s="155" t="s">
        <v>1198</v>
      </c>
      <c r="D15" s="21" t="s">
        <v>37</v>
      </c>
      <c r="E15" s="23" t="s">
        <v>1198</v>
      </c>
      <c r="G15" s="119">
        <f t="shared" si="0"/>
        <v>21.4</v>
      </c>
      <c r="H15" s="119">
        <v>28</v>
      </c>
      <c r="I15" s="119">
        <v>10</v>
      </c>
      <c r="J15" s="119">
        <f>_xlfn.RANK.AVG(Table123[[#This Row],[P+R]],Table123[P+R])</f>
        <v>26</v>
      </c>
      <c r="K15" s="119">
        <v>18</v>
      </c>
      <c r="L15" s="119">
        <v>25</v>
      </c>
      <c r="M15" s="21" t="s">
        <v>37</v>
      </c>
      <c r="N15" s="22">
        <f>(_xlfn.XLOOKUP(Table123[[#This Row],[DEF]],Table1[DEF],Table1[P])+_xlfn.XLOOKUP(Table123[[#This Row],[DEF]],Table14[DEF],Table14[P]))/2</f>
        <v>213.05882352941177</v>
      </c>
      <c r="O15" s="22">
        <f>(_xlfn.XLOOKUP(Table123[[#This Row],[DEF]],Table1[DEF],Table1[R])+_xlfn.XLOOKUP(Table123[[#This Row],[DEF]],Table14[DEF],Table14[R]))/2</f>
        <v>21.588235294117649</v>
      </c>
      <c r="P15" s="22">
        <f>(_xlfn.XLOOKUP(Table123[[#This Row],[DEF]],Table1[DEF],Table1[P+R])+_xlfn.XLOOKUP(Table123[[#This Row],[DEF]],Table14[DEF],Table14[P+R]))/2</f>
        <v>234.64705882352942</v>
      </c>
      <c r="Q15" s="22">
        <f>(_xlfn.XLOOKUP(Table123[[#This Row],[DEF]],Table1[DEF],Table1[P TD])+_xlfn.XLOOKUP(Table123[[#This Row],[DEF]],Table14[DEF],Table14[P TD]))/2</f>
        <v>1.5</v>
      </c>
      <c r="R15" s="22">
        <f>(_xlfn.XLOOKUP(Table123[[#This Row],[DEF]],Table1[DEF],Table1[TD])+_xlfn.XLOOKUP(Table123[[#This Row],[DEF]],Table14[DEF],Table14[TD]))/2</f>
        <v>0.11764705882352941</v>
      </c>
      <c r="S15" s="121"/>
      <c r="T15" s="119">
        <f t="shared" si="3"/>
        <v>29.333333333333332</v>
      </c>
      <c r="U15" s="119">
        <v>32</v>
      </c>
      <c r="V15" s="119">
        <f>_xlfn.RANK.AVG(Table731[[#This Row],[Y]],Table731[Y])</f>
        <v>28</v>
      </c>
      <c r="W15" s="119">
        <v>28</v>
      </c>
      <c r="X15" s="21" t="s">
        <v>37</v>
      </c>
      <c r="Y15" s="22">
        <f>(_xlfn.XLOOKUP(Table731[[#This Row],[DEF]],Table7[DEF],Table7[REC])+_xlfn.XLOOKUP(Table731[[#This Row],[DEF]],Table948[Defense],Table948[WR1C]))/2</f>
        <v>4.1470588235294112</v>
      </c>
      <c r="Z15" s="22">
        <f>(_xlfn.XLOOKUP(Table731[[#This Row],[DEF]],Table7[DEF],Table7[Y])+_xlfn.XLOOKUP(Table731[[#This Row],[DEF]],Table948[Defense],Table948[WR1Y]))/2</f>
        <v>55.147058823529413</v>
      </c>
      <c r="AA15" s="22">
        <f>(_xlfn.XLOOKUP(Table731[[#This Row],[DEF]],Table7[DEF],Table7[TD])+_xlfn.XLOOKUP(Table731[[#This Row],[DEF]],Table948[Defense],Table948[WR1]))/2</f>
        <v>0.29411764705882354</v>
      </c>
      <c r="AC15" s="119">
        <f t="shared" si="1"/>
        <v>13</v>
      </c>
      <c r="AD15" s="119">
        <v>25</v>
      </c>
      <c r="AE15" s="119">
        <f>_xlfn.RANK.AVG(Table71236[[#This Row],[Y]],Table71236[Y])</f>
        <v>6</v>
      </c>
      <c r="AF15" s="119">
        <v>8</v>
      </c>
      <c r="AG15" s="21" t="s">
        <v>37</v>
      </c>
      <c r="AH15" s="22">
        <f>(_xlfn.XLOOKUP(Table71236[[#This Row],[DEF]],Table712[DEF],Table712[REC])+_xlfn.XLOOKUP(Table71236[[#This Row],[DEF]],Table948[Defense],Table948[WR2C]))/2</f>
        <v>3.3235294117647061</v>
      </c>
      <c r="AI15" s="22">
        <f>(_xlfn.XLOOKUP(Table71236[[#This Row],[DEF]],Table712[DEF],Table712[Y])+_xlfn.XLOOKUP(Table71236[[#This Row],[DEF]],Table948[Defense],Table948[WR2Y]))/2</f>
        <v>50.205882352941174</v>
      </c>
      <c r="AJ15" s="22">
        <f>(_xlfn.XLOOKUP(Table71236[[#This Row],[DEF]],Table712[DEF],Table712[TD])+_xlfn.XLOOKUP(Table71236[[#This Row],[DEF]],Table948[Defense],Table948[WR2]))/2</f>
        <v>0.41176470588235292</v>
      </c>
      <c r="AL15" s="119">
        <f t="shared" si="2"/>
        <v>20</v>
      </c>
      <c r="AM15" s="119">
        <v>24</v>
      </c>
      <c r="AN15" s="119">
        <f>_xlfn.RANK.AVG(Table832[[#This Row],[Y]],Table832[Y])</f>
        <v>29</v>
      </c>
      <c r="AO15" s="119">
        <v>7</v>
      </c>
      <c r="AP15" s="120" t="s">
        <v>37</v>
      </c>
      <c r="AQ15" s="22">
        <f>(_xlfn.XLOOKUP(Table832[[#This Row],[DEF]],Table8[DEF],Table8[REC])+_xlfn.XLOOKUP(Table832[[#This Row],[DEF]],Table816[DEF],Table816[REC])+_xlfn.XLOOKUP(Table832[[#This Row],[DEF]],Table845[DEF],Table845[REC]))/2</f>
        <v>4.7941176470588234</v>
      </c>
      <c r="AR15" s="22">
        <f>(_xlfn.XLOOKUP(Table832[[#This Row],[DEF]],Table8[DEF],Table8[Y])+_xlfn.XLOOKUP(Table832[[#This Row],[DEF]],Table816[DEF],Table816[Y])+_xlfn.XLOOKUP(Table832[[#This Row],[DEF]],Table845[DEF],Table845[Y]))/2</f>
        <v>43.705882352941174</v>
      </c>
      <c r="AS15" s="22">
        <f>(_xlfn.XLOOKUP(Table832[[#This Row],[DEF]],Table8[DEF],Table8[TD])+_xlfn.XLOOKUP(Table832[[#This Row],[DEF]],Table816[DEF],Table816[TD])+_xlfn.XLOOKUP(Table832[[#This Row],[DEF]],Table845[DEF],Table845[TD]))/2</f>
        <v>0.47058823529411764</v>
      </c>
    </row>
    <row r="16" spans="2:45" ht="14.5" customHeight="1" x14ac:dyDescent="0.35">
      <c r="B16" s="23">
        <v>1</v>
      </c>
      <c r="C16" s="155" t="s">
        <v>1198</v>
      </c>
      <c r="D16" s="23" t="s">
        <v>38</v>
      </c>
      <c r="E16" s="23" t="s">
        <v>1198</v>
      </c>
      <c r="G16" s="119">
        <f t="shared" si="0"/>
        <v>13.8</v>
      </c>
      <c r="H16" s="119">
        <v>3</v>
      </c>
      <c r="I16" s="119">
        <v>26</v>
      </c>
      <c r="J16" s="119">
        <f>_xlfn.RANK.AVG(Table123[[#This Row],[P+R]],Table123[P+R])</f>
        <v>6</v>
      </c>
      <c r="K16" s="119">
        <v>18</v>
      </c>
      <c r="L16" s="119">
        <v>16</v>
      </c>
      <c r="M16" s="23" t="s">
        <v>38</v>
      </c>
      <c r="N16" s="22">
        <f>(_xlfn.XLOOKUP(Table123[[#This Row],[DEF]],Table1[DEF],Table1[P])+_xlfn.XLOOKUP(Table123[[#This Row],[DEF]],Table14[DEF],Table14[P]))/2</f>
        <v>253.05882352941177</v>
      </c>
      <c r="O16" s="22">
        <f>(_xlfn.XLOOKUP(Table123[[#This Row],[DEF]],Table1[DEF],Table1[R])+_xlfn.XLOOKUP(Table123[[#This Row],[DEF]],Table14[DEF],Table14[R]))/2</f>
        <v>15.588235294117647</v>
      </c>
      <c r="P16" s="22">
        <f>(_xlfn.XLOOKUP(Table123[[#This Row],[DEF]],Table1[DEF],Table1[P+R])+_xlfn.XLOOKUP(Table123[[#This Row],[DEF]],Table14[DEF],Table14[P+R]))/2</f>
        <v>268.64705882352939</v>
      </c>
      <c r="Q16" s="22">
        <f>(_xlfn.XLOOKUP(Table123[[#This Row],[DEF]],Table1[DEF],Table1[P TD])+_xlfn.XLOOKUP(Table123[[#This Row],[DEF]],Table14[DEF],Table14[P TD]))/2</f>
        <v>1.5</v>
      </c>
      <c r="R16" s="22">
        <f>(_xlfn.XLOOKUP(Table123[[#This Row],[DEF]],Table1[DEF],Table1[TD])+_xlfn.XLOOKUP(Table123[[#This Row],[DEF]],Table14[DEF],Table14[TD]))/2</f>
        <v>0.20588235294117646</v>
      </c>
      <c r="S16" s="121"/>
      <c r="T16" s="119">
        <f t="shared" si="3"/>
        <v>18.666666666666668</v>
      </c>
      <c r="U16" s="119">
        <v>20</v>
      </c>
      <c r="V16" s="119">
        <f>_xlfn.RANK.AVG(Table731[[#This Row],[Y]],Table731[Y])</f>
        <v>6</v>
      </c>
      <c r="W16" s="119">
        <v>30</v>
      </c>
      <c r="X16" s="23" t="s">
        <v>38</v>
      </c>
      <c r="Y16" s="22">
        <f>(_xlfn.XLOOKUP(Table731[[#This Row],[DEF]],Table7[DEF],Table7[REC])+_xlfn.XLOOKUP(Table731[[#This Row],[DEF]],Table948[Defense],Table948[WR1C]))/2</f>
        <v>4.7647058823529411</v>
      </c>
      <c r="Z16" s="22">
        <f>(_xlfn.XLOOKUP(Table731[[#This Row],[DEF]],Table7[DEF],Table7[Y])+_xlfn.XLOOKUP(Table731[[#This Row],[DEF]],Table948[Defense],Table948[WR1Y]))/2</f>
        <v>68.67647058823529</v>
      </c>
      <c r="AA16" s="22">
        <f>(_xlfn.XLOOKUP(Table731[[#This Row],[DEF]],Table7[DEF],Table7[TD])+_xlfn.XLOOKUP(Table731[[#This Row],[DEF]],Table948[Defense],Table948[WR1]))/2</f>
        <v>0.26470588235294118</v>
      </c>
      <c r="AC16" s="119">
        <f t="shared" si="1"/>
        <v>7.5</v>
      </c>
      <c r="AD16" s="119">
        <v>2.5</v>
      </c>
      <c r="AE16" s="119">
        <f>_xlfn.RANK.AVG(Table71236[[#This Row],[Y]],Table71236[Y])</f>
        <v>12</v>
      </c>
      <c r="AF16" s="119">
        <v>8</v>
      </c>
      <c r="AG16" s="23" t="s">
        <v>38</v>
      </c>
      <c r="AH16" s="22">
        <f>(_xlfn.XLOOKUP(Table71236[[#This Row],[DEF]],Table712[DEF],Table712[REC])+_xlfn.XLOOKUP(Table71236[[#This Row],[DEF]],Table948[Defense],Table948[WR2C]))/2</f>
        <v>4</v>
      </c>
      <c r="AI16" s="22">
        <f>(_xlfn.XLOOKUP(Table71236[[#This Row],[DEF]],Table712[DEF],Table712[Y])+_xlfn.XLOOKUP(Table71236[[#This Row],[DEF]],Table948[Defense],Table948[WR2Y]))/2</f>
        <v>47.470588235294116</v>
      </c>
      <c r="AJ16" s="22">
        <f>(_xlfn.XLOOKUP(Table71236[[#This Row],[DEF]],Table712[DEF],Table712[TD])+_xlfn.XLOOKUP(Table71236[[#This Row],[DEF]],Table948[Defense],Table948[WR2]))/2</f>
        <v>0.41176470588235292</v>
      </c>
      <c r="AL16" s="119">
        <f t="shared" si="2"/>
        <v>6.166666666666667</v>
      </c>
      <c r="AM16" s="119">
        <v>5</v>
      </c>
      <c r="AN16" s="119">
        <f>_xlfn.RANK.AVG(Table832[[#This Row],[Y]],Table832[Y])</f>
        <v>2</v>
      </c>
      <c r="AO16" s="119">
        <v>11.5</v>
      </c>
      <c r="AP16" s="119" t="s">
        <v>38</v>
      </c>
      <c r="AQ16" s="22">
        <f>(_xlfn.XLOOKUP(Table832[[#This Row],[DEF]],Table8[DEF],Table8[REC])+_xlfn.XLOOKUP(Table832[[#This Row],[DEF]],Table816[DEF],Table816[REC])+_xlfn.XLOOKUP(Table832[[#This Row],[DEF]],Table845[DEF],Table845[REC]))/2</f>
        <v>5.9117647058823533</v>
      </c>
      <c r="AR16" s="22">
        <f>(_xlfn.XLOOKUP(Table832[[#This Row],[DEF]],Table8[DEF],Table8[Y])+_xlfn.XLOOKUP(Table832[[#This Row],[DEF]],Table816[DEF],Table816[Y])+_xlfn.XLOOKUP(Table832[[#This Row],[DEF]],Table845[DEF],Table845[Y]))/2</f>
        <v>63.588235294117652</v>
      </c>
      <c r="AS16" s="22">
        <f>(_xlfn.XLOOKUP(Table832[[#This Row],[DEF]],Table8[DEF],Table8[TD])+_xlfn.XLOOKUP(Table832[[#This Row],[DEF]],Table816[DEF],Table816[TD])+_xlfn.XLOOKUP(Table832[[#This Row],[DEF]],Table845[DEF],Table845[TD]))/2</f>
        <v>0.44117647058823528</v>
      </c>
    </row>
    <row r="17" spans="2:47" ht="14.5" customHeight="1" x14ac:dyDescent="0.35">
      <c r="B17" s="23">
        <v>1</v>
      </c>
      <c r="C17" s="155" t="s">
        <v>1198</v>
      </c>
      <c r="D17" s="21" t="s">
        <v>39</v>
      </c>
      <c r="E17" s="23" t="s">
        <v>1198</v>
      </c>
      <c r="G17" s="119">
        <f t="shared" si="0"/>
        <v>10.199999999999999</v>
      </c>
      <c r="H17" s="119">
        <v>6</v>
      </c>
      <c r="I17" s="119">
        <v>15</v>
      </c>
      <c r="J17" s="119">
        <f>_xlfn.RANK.AVG(Table123[[#This Row],[P+R]],Table123[P+R])</f>
        <v>4</v>
      </c>
      <c r="K17" s="119">
        <v>10</v>
      </c>
      <c r="L17" s="119">
        <v>16</v>
      </c>
      <c r="M17" s="21" t="s">
        <v>39</v>
      </c>
      <c r="N17" s="22">
        <f>(_xlfn.XLOOKUP(Table123[[#This Row],[DEF]],Table1[DEF],Table1[P])+_xlfn.XLOOKUP(Table123[[#This Row],[DEF]],Table14[DEF],Table14[P]))/2</f>
        <v>251.11764705882354</v>
      </c>
      <c r="O17" s="22">
        <f>(_xlfn.XLOOKUP(Table123[[#This Row],[DEF]],Table1[DEF],Table1[R])+_xlfn.XLOOKUP(Table123[[#This Row],[DEF]],Table14[DEF],Table14[R]))/2</f>
        <v>20.647058823529413</v>
      </c>
      <c r="P17" s="22">
        <f>(_xlfn.XLOOKUP(Table123[[#This Row],[DEF]],Table1[DEF],Table1[P+R])+_xlfn.XLOOKUP(Table123[[#This Row],[DEF]],Table14[DEF],Table14[P+R]))/2</f>
        <v>271.76470588235293</v>
      </c>
      <c r="Q17" s="22">
        <f>(_xlfn.XLOOKUP(Table123[[#This Row],[DEF]],Table1[DEF],Table1[P TD])+_xlfn.XLOOKUP(Table123[[#This Row],[DEF]],Table14[DEF],Table14[P TD]))/2</f>
        <v>1.5882352941176472</v>
      </c>
      <c r="R17" s="22">
        <f>(_xlfn.XLOOKUP(Table123[[#This Row],[DEF]],Table1[DEF],Table1[TD])+_xlfn.XLOOKUP(Table123[[#This Row],[DEF]],Table14[DEF],Table14[TD]))/2</f>
        <v>0.20588235294117646</v>
      </c>
      <c r="S17" s="121"/>
      <c r="T17" s="119">
        <f t="shared" si="3"/>
        <v>8.8333333333333339</v>
      </c>
      <c r="U17" s="119">
        <v>2</v>
      </c>
      <c r="V17" s="119">
        <f>_xlfn.RANK.AVG(Table731[[#This Row],[Y]],Table731[Y])</f>
        <v>2</v>
      </c>
      <c r="W17" s="119">
        <v>22.5</v>
      </c>
      <c r="X17" s="21" t="s">
        <v>39</v>
      </c>
      <c r="Y17" s="22">
        <f>(_xlfn.XLOOKUP(Table731[[#This Row],[DEF]],Table7[DEF],Table7[REC])+_xlfn.XLOOKUP(Table731[[#This Row],[DEF]],Table948[Defense],Table948[WR1C]))/2</f>
        <v>5.6764705882352944</v>
      </c>
      <c r="Z17" s="22">
        <f>(_xlfn.XLOOKUP(Table731[[#This Row],[DEF]],Table7[DEF],Table7[Y])+_xlfn.XLOOKUP(Table731[[#This Row],[DEF]],Table948[Defense],Table948[WR1Y]))/2</f>
        <v>72.323529411764696</v>
      </c>
      <c r="AA17" s="22">
        <f>(_xlfn.XLOOKUP(Table731[[#This Row],[DEF]],Table7[DEF],Table7[TD])+_xlfn.XLOOKUP(Table731[[#This Row],[DEF]],Table948[Defense],Table948[WR1]))/2</f>
        <v>0.3529411764705882</v>
      </c>
      <c r="AC17" s="119">
        <f t="shared" si="1"/>
        <v>14.833333333333334</v>
      </c>
      <c r="AD17" s="119">
        <v>18.5</v>
      </c>
      <c r="AE17" s="119">
        <f>_xlfn.RANK.AVG(Table71236[[#This Row],[Y]],Table71236[Y])</f>
        <v>14.5</v>
      </c>
      <c r="AF17" s="119">
        <v>11.5</v>
      </c>
      <c r="AG17" s="21" t="s">
        <v>39</v>
      </c>
      <c r="AH17" s="22">
        <f>(_xlfn.XLOOKUP(Table71236[[#This Row],[DEF]],Table712[DEF],Table712[REC])+_xlfn.XLOOKUP(Table71236[[#This Row],[DEF]],Table948[Defense],Table948[WR2C]))/2</f>
        <v>3.4705882352941178</v>
      </c>
      <c r="AI17" s="22">
        <f>(_xlfn.XLOOKUP(Table71236[[#This Row],[DEF]],Table712[DEF],Table712[Y])+_xlfn.XLOOKUP(Table71236[[#This Row],[DEF]],Table948[Defense],Table948[WR2Y]))/2</f>
        <v>45.882352941176471</v>
      </c>
      <c r="AJ17" s="22">
        <f>(_xlfn.XLOOKUP(Table71236[[#This Row],[DEF]],Table712[DEF],Table712[TD])+_xlfn.XLOOKUP(Table71236[[#This Row],[DEF]],Table948[Defense],Table948[WR2]))/2</f>
        <v>0.38235294117647056</v>
      </c>
      <c r="AL17" s="119">
        <f t="shared" si="2"/>
        <v>7.666666666666667</v>
      </c>
      <c r="AM17" s="119">
        <v>7</v>
      </c>
      <c r="AN17" s="119">
        <f>_xlfn.RANK.AVG(Table832[[#This Row],[Y]],Table832[Y])</f>
        <v>9</v>
      </c>
      <c r="AO17" s="119">
        <v>7</v>
      </c>
      <c r="AP17" s="120" t="s">
        <v>39</v>
      </c>
      <c r="AQ17" s="22">
        <f>(_xlfn.XLOOKUP(Table832[[#This Row],[DEF]],Table8[DEF],Table8[REC])+_xlfn.XLOOKUP(Table832[[#This Row],[DEF]],Table816[DEF],Table816[REC])+_xlfn.XLOOKUP(Table832[[#This Row],[DEF]],Table845[DEF],Table845[REC]))/2</f>
        <v>5.6764705882352935</v>
      </c>
      <c r="AR17" s="22">
        <f>(_xlfn.XLOOKUP(Table832[[#This Row],[DEF]],Table8[DEF],Table8[Y])+_xlfn.XLOOKUP(Table832[[#This Row],[DEF]],Table816[DEF],Table816[Y])+_xlfn.XLOOKUP(Table832[[#This Row],[DEF]],Table845[DEF],Table845[Y]))/2</f>
        <v>56.970588235294116</v>
      </c>
      <c r="AS17" s="22">
        <f>(_xlfn.XLOOKUP(Table832[[#This Row],[DEF]],Table8[DEF],Table8[TD])+_xlfn.XLOOKUP(Table832[[#This Row],[DEF]],Table816[DEF],Table816[TD])+_xlfn.XLOOKUP(Table832[[#This Row],[DEF]],Table845[DEF],Table845[TD]))/2</f>
        <v>0.47058823529411764</v>
      </c>
    </row>
    <row r="18" spans="2:47" ht="14.5" customHeight="1" x14ac:dyDescent="0.35">
      <c r="B18" s="23">
        <v>1</v>
      </c>
      <c r="C18" s="155" t="s">
        <v>1198</v>
      </c>
      <c r="D18" s="23" t="s">
        <v>40</v>
      </c>
      <c r="E18" s="23" t="s">
        <v>1198</v>
      </c>
      <c r="G18" s="119">
        <f t="shared" si="0"/>
        <v>16.7</v>
      </c>
      <c r="H18" s="119">
        <v>24</v>
      </c>
      <c r="I18" s="119">
        <v>8</v>
      </c>
      <c r="J18" s="119">
        <f>_xlfn.RANK.AVG(Table123[[#This Row],[P+R]],Table123[P+R])</f>
        <v>19</v>
      </c>
      <c r="K18" s="119">
        <v>28</v>
      </c>
      <c r="L18" s="119">
        <v>4.5</v>
      </c>
      <c r="M18" s="23" t="s">
        <v>40</v>
      </c>
      <c r="N18" s="22">
        <f>(_xlfn.XLOOKUP(Table123[[#This Row],[DEF]],Table1[DEF],Table1[P])+_xlfn.XLOOKUP(Table123[[#This Row],[DEF]],Table14[DEF],Table14[P]))/2</f>
        <v>219.3235294117647</v>
      </c>
      <c r="O18" s="22">
        <f>(_xlfn.XLOOKUP(Table123[[#This Row],[DEF]],Table1[DEF],Table1[R])+_xlfn.XLOOKUP(Table123[[#This Row],[DEF]],Table14[DEF],Table14[R]))/2</f>
        <v>22.411764705882355</v>
      </c>
      <c r="P18" s="22">
        <f>(_xlfn.XLOOKUP(Table123[[#This Row],[DEF]],Table1[DEF],Table1[P+R])+_xlfn.XLOOKUP(Table123[[#This Row],[DEF]],Table14[DEF],Table14[P+R]))/2</f>
        <v>241.73529411764707</v>
      </c>
      <c r="Q18" s="22">
        <f>(_xlfn.XLOOKUP(Table123[[#This Row],[DEF]],Table1[DEF],Table1[P TD])+_xlfn.XLOOKUP(Table123[[#This Row],[DEF]],Table14[DEF],Table14[P TD]))/2</f>
        <v>1.2352941176470589</v>
      </c>
      <c r="R18" s="22">
        <f>(_xlfn.XLOOKUP(Table123[[#This Row],[DEF]],Table1[DEF],Table1[TD])+_xlfn.XLOOKUP(Table123[[#This Row],[DEF]],Table14[DEF],Table14[TD]))/2</f>
        <v>0.29411764705882354</v>
      </c>
      <c r="S18" s="121"/>
      <c r="T18" s="119">
        <f t="shared" si="3"/>
        <v>28.833333333333332</v>
      </c>
      <c r="U18" s="119">
        <v>26.5</v>
      </c>
      <c r="V18" s="119">
        <f>_xlfn.RANK.AVG(Table731[[#This Row],[Y]],Table731[Y])</f>
        <v>29</v>
      </c>
      <c r="W18" s="119">
        <v>31</v>
      </c>
      <c r="X18" s="23" t="s">
        <v>40</v>
      </c>
      <c r="Y18" s="22">
        <f>(_xlfn.XLOOKUP(Table731[[#This Row],[DEF]],Table7[DEF],Table7[REC])+_xlfn.XLOOKUP(Table731[[#This Row],[DEF]],Table948[Defense],Table948[WR1C]))/2</f>
        <v>4.5882352941176467</v>
      </c>
      <c r="Z18" s="22">
        <f>(_xlfn.XLOOKUP(Table731[[#This Row],[DEF]],Table7[DEF],Table7[Y])+_xlfn.XLOOKUP(Table731[[#This Row],[DEF]],Table948[Defense],Table948[WR1Y]))/2</f>
        <v>54.852941176470587</v>
      </c>
      <c r="AA18" s="22">
        <f>(_xlfn.XLOOKUP(Table731[[#This Row],[DEF]],Table7[DEF],Table7[TD])+_xlfn.XLOOKUP(Table731[[#This Row],[DEF]],Table948[Defense],Table948[WR1]))/2</f>
        <v>0.20588235294117646</v>
      </c>
      <c r="AC18" s="119">
        <f t="shared" si="1"/>
        <v>14.333333333333334</v>
      </c>
      <c r="AD18" s="119">
        <v>14</v>
      </c>
      <c r="AE18" s="119">
        <f>_xlfn.RANK.AVG(Table71236[[#This Row],[Y]],Table71236[Y])</f>
        <v>21</v>
      </c>
      <c r="AF18" s="119">
        <v>8</v>
      </c>
      <c r="AG18" s="23" t="s">
        <v>40</v>
      </c>
      <c r="AH18" s="22">
        <f>(_xlfn.XLOOKUP(Table71236[[#This Row],[DEF]],Table712[DEF],Table712[REC])+_xlfn.XLOOKUP(Table71236[[#This Row],[DEF]],Table948[Defense],Table948[WR2C]))/2</f>
        <v>3.6470588235294121</v>
      </c>
      <c r="AI18" s="22">
        <f>(_xlfn.XLOOKUP(Table71236[[#This Row],[DEF]],Table712[DEF],Table712[Y])+_xlfn.XLOOKUP(Table71236[[#This Row],[DEF]],Table948[Defense],Table948[WR2Y]))/2</f>
        <v>43</v>
      </c>
      <c r="AJ18" s="22">
        <f>(_xlfn.XLOOKUP(Table71236[[#This Row],[DEF]],Table712[DEF],Table712[TD])+_xlfn.XLOOKUP(Table71236[[#This Row],[DEF]],Table948[Defense],Table948[WR2]))/2</f>
        <v>0.41176470588235292</v>
      </c>
      <c r="AL18" s="119">
        <f t="shared" si="2"/>
        <v>14.833333333333334</v>
      </c>
      <c r="AM18" s="119">
        <v>10.5</v>
      </c>
      <c r="AN18" s="119">
        <f>_xlfn.RANK.AVG(Table832[[#This Row],[Y]],Table832[Y])</f>
        <v>6</v>
      </c>
      <c r="AO18" s="119">
        <v>28</v>
      </c>
      <c r="AP18" s="119" t="s">
        <v>40</v>
      </c>
      <c r="AQ18" s="22">
        <f>(_xlfn.XLOOKUP(Table832[[#This Row],[DEF]],Table8[DEF],Table8[REC])+_xlfn.XLOOKUP(Table832[[#This Row],[DEF]],Table816[DEF],Table816[REC])+_xlfn.XLOOKUP(Table832[[#This Row],[DEF]],Table845[DEF],Table845[REC]))/2</f>
        <v>5.5588235294117645</v>
      </c>
      <c r="AR18" s="22">
        <f>(_xlfn.XLOOKUP(Table832[[#This Row],[DEF]],Table8[DEF],Table8[Y])+_xlfn.XLOOKUP(Table832[[#This Row],[DEF]],Table816[DEF],Table816[Y])+_xlfn.XLOOKUP(Table832[[#This Row],[DEF]],Table845[DEF],Table845[Y]))/2</f>
        <v>58.82352941176471</v>
      </c>
      <c r="AS18" s="22">
        <f>(_xlfn.XLOOKUP(Table832[[#This Row],[DEF]],Table8[DEF],Table8[TD])+_xlfn.XLOOKUP(Table832[[#This Row],[DEF]],Table816[DEF],Table816[TD])+_xlfn.XLOOKUP(Table832[[#This Row],[DEF]],Table845[DEF],Table845[TD]))/2</f>
        <v>0.26470588235294118</v>
      </c>
    </row>
    <row r="19" spans="2:47" ht="14.5" customHeight="1" x14ac:dyDescent="0.35">
      <c r="B19" s="23">
        <v>1</v>
      </c>
      <c r="C19" s="155" t="s">
        <v>1198</v>
      </c>
      <c r="D19" s="21" t="s">
        <v>41</v>
      </c>
      <c r="E19" s="23" t="s">
        <v>1198</v>
      </c>
      <c r="G19" s="119">
        <f t="shared" si="0"/>
        <v>23.1</v>
      </c>
      <c r="H19" s="119">
        <v>30</v>
      </c>
      <c r="I19" s="119">
        <v>11</v>
      </c>
      <c r="J19" s="119">
        <f>_xlfn.RANK.AVG(Table123[[#This Row],[P+R]],Table123[P+R])</f>
        <v>29</v>
      </c>
      <c r="K19" s="119">
        <v>29.5</v>
      </c>
      <c r="L19" s="119">
        <v>16</v>
      </c>
      <c r="M19" s="21" t="s">
        <v>41</v>
      </c>
      <c r="N19" s="22">
        <f>(_xlfn.XLOOKUP(Table123[[#This Row],[DEF]],Table1[DEF],Table1[P])+_xlfn.XLOOKUP(Table123[[#This Row],[DEF]],Table14[DEF],Table14[P]))/2</f>
        <v>208.11764705882354</v>
      </c>
      <c r="O19" s="22">
        <f>(_xlfn.XLOOKUP(Table123[[#This Row],[DEF]],Table1[DEF],Table1[R])+_xlfn.XLOOKUP(Table123[[#This Row],[DEF]],Table14[DEF],Table14[R]))/2</f>
        <v>21.411764705882355</v>
      </c>
      <c r="P19" s="22">
        <f>(_xlfn.XLOOKUP(Table123[[#This Row],[DEF]],Table1[DEF],Table1[P+R])+_xlfn.XLOOKUP(Table123[[#This Row],[DEF]],Table14[DEF],Table14[P+R]))/2</f>
        <v>229.52941176470588</v>
      </c>
      <c r="Q19" s="22">
        <f>(_xlfn.XLOOKUP(Table123[[#This Row],[DEF]],Table1[DEF],Table1[P TD])+_xlfn.XLOOKUP(Table123[[#This Row],[DEF]],Table14[DEF],Table14[P TD]))/2</f>
        <v>1.1764705882352942</v>
      </c>
      <c r="R19" s="22">
        <f>(_xlfn.XLOOKUP(Table123[[#This Row],[DEF]],Table1[DEF],Table1[TD])+_xlfn.XLOOKUP(Table123[[#This Row],[DEF]],Table14[DEF],Table14[TD]))/2</f>
        <v>0.20588235294117646</v>
      </c>
      <c r="S19" s="121"/>
      <c r="T19" s="119">
        <f t="shared" si="3"/>
        <v>11.333333333333334</v>
      </c>
      <c r="U19" s="119">
        <v>3</v>
      </c>
      <c r="V19" s="119">
        <f>_xlfn.RANK.AVG(Table731[[#This Row],[Y]],Table731[Y])</f>
        <v>10</v>
      </c>
      <c r="W19" s="119">
        <v>21</v>
      </c>
      <c r="X19" s="21" t="s">
        <v>41</v>
      </c>
      <c r="Y19" s="22">
        <f>(_xlfn.XLOOKUP(Table731[[#This Row],[DEF]],Table7[DEF],Table7[REC])+_xlfn.XLOOKUP(Table731[[#This Row],[DEF]],Table948[Defense],Table948[WR1C]))/2</f>
        <v>5.4117647058823533</v>
      </c>
      <c r="Z19" s="22">
        <f>(_xlfn.XLOOKUP(Table731[[#This Row],[DEF]],Table7[DEF],Table7[Y])+_xlfn.XLOOKUP(Table731[[#This Row],[DEF]],Table948[Defense],Table948[WR1Y]))/2</f>
        <v>65.64705882352942</v>
      </c>
      <c r="AA19" s="22">
        <f>(_xlfn.XLOOKUP(Table731[[#This Row],[DEF]],Table7[DEF],Table7[TD])+_xlfn.XLOOKUP(Table731[[#This Row],[DEF]],Table948[Defense],Table948[WR1]))/2</f>
        <v>0.35294117647058826</v>
      </c>
      <c r="AC19" s="119">
        <f t="shared" si="1"/>
        <v>24.5</v>
      </c>
      <c r="AD19" s="119">
        <v>29</v>
      </c>
      <c r="AE19" s="119">
        <f>_xlfn.RANK.AVG(Table71236[[#This Row],[Y]],Table71236[Y])</f>
        <v>26</v>
      </c>
      <c r="AF19" s="119">
        <v>18.5</v>
      </c>
      <c r="AG19" s="21" t="s">
        <v>41</v>
      </c>
      <c r="AH19" s="22">
        <f>(_xlfn.XLOOKUP(Table71236[[#This Row],[DEF]],Table712[DEF],Table712[REC])+_xlfn.XLOOKUP(Table71236[[#This Row],[DEF]],Table948[Defense],Table948[WR2C]))/2</f>
        <v>3.0882352941176467</v>
      </c>
      <c r="AI19" s="22">
        <f>(_xlfn.XLOOKUP(Table71236[[#This Row],[DEF]],Table712[DEF],Table712[Y])+_xlfn.XLOOKUP(Table71236[[#This Row],[DEF]],Table948[Defense],Table948[WR2Y]))/2</f>
        <v>41</v>
      </c>
      <c r="AJ19" s="22">
        <f>(_xlfn.XLOOKUP(Table71236[[#This Row],[DEF]],Table712[DEF],Table712[TD])+_xlfn.XLOOKUP(Table71236[[#This Row],[DEF]],Table948[Defense],Table948[WR2]))/2</f>
        <v>0.29411764705882354</v>
      </c>
      <c r="AL19" s="119">
        <f t="shared" si="2"/>
        <v>28.166666666666668</v>
      </c>
      <c r="AM19" s="119">
        <v>25</v>
      </c>
      <c r="AN19" s="119">
        <f>_xlfn.RANK.AVG(Table832[[#This Row],[Y]],Table832[Y])</f>
        <v>28</v>
      </c>
      <c r="AO19" s="119">
        <v>31.5</v>
      </c>
      <c r="AP19" s="120" t="s">
        <v>41</v>
      </c>
      <c r="AQ19" s="22">
        <f>(_xlfn.XLOOKUP(Table832[[#This Row],[DEF]],Table8[DEF],Table8[REC])+_xlfn.XLOOKUP(Table832[[#This Row],[DEF]],Table816[DEF],Table816[REC])+_xlfn.XLOOKUP(Table832[[#This Row],[DEF]],Table845[DEF],Table845[REC]))/2</f>
        <v>4.735294117647058</v>
      </c>
      <c r="AR19" s="22">
        <f>(_xlfn.XLOOKUP(Table832[[#This Row],[DEF]],Table8[DEF],Table8[Y])+_xlfn.XLOOKUP(Table832[[#This Row],[DEF]],Table816[DEF],Table816[Y])+_xlfn.XLOOKUP(Table832[[#This Row],[DEF]],Table845[DEF],Table845[Y]))/2</f>
        <v>43.882352941176464</v>
      </c>
      <c r="AS19" s="22">
        <f>(_xlfn.XLOOKUP(Table832[[#This Row],[DEF]],Table8[DEF],Table8[TD])+_xlfn.XLOOKUP(Table832[[#This Row],[DEF]],Table816[DEF],Table816[TD])+_xlfn.XLOOKUP(Table832[[#This Row],[DEF]],Table845[DEF],Table845[TD]))/2</f>
        <v>0.23529411764705882</v>
      </c>
    </row>
    <row r="20" spans="2:47" ht="14.5" customHeight="1" x14ac:dyDescent="0.35">
      <c r="B20" s="23">
        <v>1</v>
      </c>
      <c r="C20" s="155" t="s">
        <v>1198</v>
      </c>
      <c r="D20" s="23" t="s">
        <v>42</v>
      </c>
      <c r="E20" s="23" t="s">
        <v>1198</v>
      </c>
      <c r="G20" s="119">
        <f t="shared" si="0"/>
        <v>13.7</v>
      </c>
      <c r="H20" s="119">
        <v>9</v>
      </c>
      <c r="I20" s="119">
        <v>18</v>
      </c>
      <c r="J20" s="119">
        <f>_xlfn.RANK.AVG(Table123[[#This Row],[P+R]],Table123[P+R])</f>
        <v>9</v>
      </c>
      <c r="K20" s="119">
        <v>7.5</v>
      </c>
      <c r="L20" s="119">
        <v>25</v>
      </c>
      <c r="M20" s="23" t="s">
        <v>42</v>
      </c>
      <c r="N20" s="22">
        <f>(_xlfn.XLOOKUP(Table123[[#This Row],[DEF]],Table1[DEF],Table1[P])+_xlfn.XLOOKUP(Table123[[#This Row],[DEF]],Table14[DEF],Table14[P]))/2</f>
        <v>237.91176470588238</v>
      </c>
      <c r="O20" s="22">
        <f>(_xlfn.XLOOKUP(Table123[[#This Row],[DEF]],Table1[DEF],Table1[R])+_xlfn.XLOOKUP(Table123[[#This Row],[DEF]],Table14[DEF],Table14[R]))/2</f>
        <v>19.205882352941178</v>
      </c>
      <c r="P20" s="22">
        <f>(_xlfn.XLOOKUP(Table123[[#This Row],[DEF]],Table1[DEF],Table1[P+R])+_xlfn.XLOOKUP(Table123[[#This Row],[DEF]],Table14[DEF],Table14[P+R]))/2</f>
        <v>257.11764705882354</v>
      </c>
      <c r="Q20" s="22">
        <f>(_xlfn.XLOOKUP(Table123[[#This Row],[DEF]],Table1[DEF],Table1[P TD])+_xlfn.XLOOKUP(Table123[[#This Row],[DEF]],Table14[DEF],Table14[P TD]))/2</f>
        <v>1.6176470588235294</v>
      </c>
      <c r="R20" s="22">
        <f>(_xlfn.XLOOKUP(Table123[[#This Row],[DEF]],Table1[DEF],Table1[TD])+_xlfn.XLOOKUP(Table123[[#This Row],[DEF]],Table14[DEF],Table14[TD]))/2</f>
        <v>0.11764705882352941</v>
      </c>
      <c r="S20" s="121"/>
      <c r="T20" s="119">
        <f t="shared" si="3"/>
        <v>6.166666666666667</v>
      </c>
      <c r="U20" s="119">
        <v>13</v>
      </c>
      <c r="V20" s="119">
        <f>_xlfn.RANK.AVG(Table731[[#This Row],[Y]],Table731[Y])</f>
        <v>3</v>
      </c>
      <c r="W20" s="119">
        <v>2.5</v>
      </c>
      <c r="X20" s="23" t="s">
        <v>42</v>
      </c>
      <c r="Y20" s="22">
        <f>(_xlfn.XLOOKUP(Table731[[#This Row],[DEF]],Table7[DEF],Table7[REC])+_xlfn.XLOOKUP(Table731[[#This Row],[DEF]],Table948[Defense],Table948[WR1C]))/2</f>
        <v>5.0882352941176467</v>
      </c>
      <c r="Z20" s="22">
        <f>(_xlfn.XLOOKUP(Table731[[#This Row],[DEF]],Table7[DEF],Table7[Y])+_xlfn.XLOOKUP(Table731[[#This Row],[DEF]],Table948[Defense],Table948[WR1Y]))/2</f>
        <v>72.029411764705884</v>
      </c>
      <c r="AA20" s="22">
        <f>(_xlfn.XLOOKUP(Table731[[#This Row],[DEF]],Table7[DEF],Table7[TD])+_xlfn.XLOOKUP(Table731[[#This Row],[DEF]],Table948[Defense],Table948[WR1]))/2</f>
        <v>0.58823529411764708</v>
      </c>
      <c r="AC20" s="119">
        <f t="shared" si="1"/>
        <v>18.5</v>
      </c>
      <c r="AD20" s="119">
        <v>17</v>
      </c>
      <c r="AE20" s="119">
        <f>_xlfn.RANK.AVG(Table71236[[#This Row],[Y]],Table71236[Y])</f>
        <v>20</v>
      </c>
      <c r="AF20" s="119">
        <v>18.5</v>
      </c>
      <c r="AG20" s="23" t="s">
        <v>42</v>
      </c>
      <c r="AH20" s="22">
        <f>(_xlfn.XLOOKUP(Table71236[[#This Row],[DEF]],Table712[DEF],Table712[REC])+_xlfn.XLOOKUP(Table71236[[#This Row],[DEF]],Table948[Defense],Table948[WR2C]))/2</f>
        <v>3.5</v>
      </c>
      <c r="AI20" s="22">
        <f>(_xlfn.XLOOKUP(Table71236[[#This Row],[DEF]],Table712[DEF],Table712[Y])+_xlfn.XLOOKUP(Table71236[[#This Row],[DEF]],Table948[Defense],Table948[WR2Y]))/2</f>
        <v>43.647058823529413</v>
      </c>
      <c r="AJ20" s="22">
        <f>(_xlfn.XLOOKUP(Table71236[[#This Row],[DEF]],Table712[DEF],Table712[TD])+_xlfn.XLOOKUP(Table71236[[#This Row],[DEF]],Table948[Defense],Table948[WR2]))/2</f>
        <v>0.29411764705882354</v>
      </c>
      <c r="AL20" s="119">
        <f t="shared" si="2"/>
        <v>8.3333333333333339</v>
      </c>
      <c r="AM20" s="119">
        <v>6</v>
      </c>
      <c r="AN20" s="119">
        <f>_xlfn.RANK.AVG(Table832[[#This Row],[Y]],Table832[Y])</f>
        <v>12</v>
      </c>
      <c r="AO20" s="119">
        <v>7</v>
      </c>
      <c r="AP20" s="119" t="s">
        <v>42</v>
      </c>
      <c r="AQ20" s="22">
        <f>(_xlfn.XLOOKUP(Table832[[#This Row],[DEF]],Table8[DEF],Table8[REC])+_xlfn.XLOOKUP(Table832[[#This Row],[DEF]],Table816[DEF],Table816[REC])+_xlfn.XLOOKUP(Table832[[#This Row],[DEF]],Table845[DEF],Table845[REC]))/2</f>
        <v>5.8529411764705888</v>
      </c>
      <c r="AR20" s="22">
        <f>(_xlfn.XLOOKUP(Table832[[#This Row],[DEF]],Table8[DEF],Table8[Y])+_xlfn.XLOOKUP(Table832[[#This Row],[DEF]],Table816[DEF],Table816[Y])+_xlfn.XLOOKUP(Table832[[#This Row],[DEF]],Table845[DEF],Table845[Y]))/2</f>
        <v>55.294117647058826</v>
      </c>
      <c r="AS20" s="22">
        <f>(_xlfn.XLOOKUP(Table832[[#This Row],[DEF]],Table8[DEF],Table8[TD])+_xlfn.XLOOKUP(Table832[[#This Row],[DEF]],Table816[DEF],Table816[TD])+_xlfn.XLOOKUP(Table832[[#This Row],[DEF]],Table845[DEF],Table845[TD]))/2</f>
        <v>0.47058823529411764</v>
      </c>
    </row>
    <row r="21" spans="2:47" ht="14.5" customHeight="1" x14ac:dyDescent="0.35">
      <c r="B21" s="23">
        <v>1</v>
      </c>
      <c r="C21" s="155" t="s">
        <v>1198</v>
      </c>
      <c r="D21" s="21" t="s">
        <v>43</v>
      </c>
      <c r="E21" s="23" t="s">
        <v>1198</v>
      </c>
      <c r="G21" s="119">
        <f t="shared" si="0"/>
        <v>16.600000000000001</v>
      </c>
      <c r="H21" s="119">
        <v>18</v>
      </c>
      <c r="I21" s="119">
        <v>22</v>
      </c>
      <c r="J21" s="119">
        <f>_xlfn.RANK.AVG(Table123[[#This Row],[P+R]],Table123[P+R])</f>
        <v>21</v>
      </c>
      <c r="K21" s="119">
        <v>13.5</v>
      </c>
      <c r="L21" s="119">
        <v>8.5</v>
      </c>
      <c r="M21" s="21" t="s">
        <v>43</v>
      </c>
      <c r="N21" s="22">
        <f>(_xlfn.XLOOKUP(Table123[[#This Row],[DEF]],Table1[DEF],Table1[P])+_xlfn.XLOOKUP(Table123[[#This Row],[DEF]],Table14[DEF],Table14[P]))/2</f>
        <v>224.5</v>
      </c>
      <c r="O21" s="22">
        <f>(_xlfn.XLOOKUP(Table123[[#This Row],[DEF]],Table1[DEF],Table1[R])+_xlfn.XLOOKUP(Table123[[#This Row],[DEF]],Table14[DEF],Table14[R]))/2</f>
        <v>16.147058823529413</v>
      </c>
      <c r="P21" s="22">
        <f>(_xlfn.XLOOKUP(Table123[[#This Row],[DEF]],Table1[DEF],Table1[P+R])+_xlfn.XLOOKUP(Table123[[#This Row],[DEF]],Table14[DEF],Table14[P+R]))/2</f>
        <v>240.64705882352939</v>
      </c>
      <c r="Q21" s="22">
        <f>(_xlfn.XLOOKUP(Table123[[#This Row],[DEF]],Table1[DEF],Table1[P TD])+_xlfn.XLOOKUP(Table123[[#This Row],[DEF]],Table14[DEF],Table14[P TD]))/2</f>
        <v>1.5294117647058822</v>
      </c>
      <c r="R21" s="22">
        <f>(_xlfn.XLOOKUP(Table123[[#This Row],[DEF]],Table1[DEF],Table1[TD])+_xlfn.XLOOKUP(Table123[[#This Row],[DEF]],Table14[DEF],Table14[TD]))/2</f>
        <v>0.26470588235294118</v>
      </c>
      <c r="S21" s="121"/>
      <c r="T21" s="119">
        <f t="shared" si="3"/>
        <v>21.333333333333332</v>
      </c>
      <c r="U21" s="119">
        <v>24</v>
      </c>
      <c r="V21" s="119">
        <f>_xlfn.RANK.AVG(Table731[[#This Row],[Y]],Table731[Y])</f>
        <v>24</v>
      </c>
      <c r="W21" s="119">
        <v>16</v>
      </c>
      <c r="X21" s="21" t="s">
        <v>43</v>
      </c>
      <c r="Y21" s="22">
        <f>(_xlfn.XLOOKUP(Table731[[#This Row],[DEF]],Table7[DEF],Table7[REC])+_xlfn.XLOOKUP(Table731[[#This Row],[DEF]],Table948[Defense],Table948[WR1C]))/2</f>
        <v>4.6764705882352935</v>
      </c>
      <c r="Z21" s="22">
        <f>(_xlfn.XLOOKUP(Table731[[#This Row],[DEF]],Table7[DEF],Table7[Y])+_xlfn.XLOOKUP(Table731[[#This Row],[DEF]],Table948[Defense],Table948[WR1Y]))/2</f>
        <v>58.264705882352942</v>
      </c>
      <c r="AA21" s="22">
        <f>(_xlfn.XLOOKUP(Table731[[#This Row],[DEF]],Table7[DEF],Table7[TD])+_xlfn.XLOOKUP(Table731[[#This Row],[DEF]],Table948[Defense],Table948[WR1]))/2</f>
        <v>0.41176470588235292</v>
      </c>
      <c r="AC21" s="119">
        <f t="shared" si="1"/>
        <v>21.833333333333332</v>
      </c>
      <c r="AD21" s="119">
        <v>18.5</v>
      </c>
      <c r="AE21" s="119">
        <f>_xlfn.RANK.AVG(Table71236[[#This Row],[Y]],Table71236[Y])</f>
        <v>23</v>
      </c>
      <c r="AF21" s="119">
        <v>24</v>
      </c>
      <c r="AG21" s="21" t="s">
        <v>43</v>
      </c>
      <c r="AH21" s="22">
        <f>(_xlfn.XLOOKUP(Table71236[[#This Row],[DEF]],Table712[DEF],Table712[REC])+_xlfn.XLOOKUP(Table71236[[#This Row],[DEF]],Table948[Defense],Table948[WR2C]))/2</f>
        <v>3.4705882352941178</v>
      </c>
      <c r="AI21" s="22">
        <f>(_xlfn.XLOOKUP(Table71236[[#This Row],[DEF]],Table712[DEF],Table712[Y])+_xlfn.XLOOKUP(Table71236[[#This Row],[DEF]],Table948[Defense],Table948[WR2Y]))/2</f>
        <v>42.735294117647058</v>
      </c>
      <c r="AJ21" s="22">
        <f>(_xlfn.XLOOKUP(Table71236[[#This Row],[DEF]],Table712[DEF],Table712[TD])+_xlfn.XLOOKUP(Table71236[[#This Row],[DEF]],Table948[Defense],Table948[WR2]))/2</f>
        <v>0.26470588235294118</v>
      </c>
      <c r="AL21" s="119">
        <f t="shared" si="2"/>
        <v>15.166666666666666</v>
      </c>
      <c r="AM21" s="119">
        <v>18</v>
      </c>
      <c r="AN21" s="119">
        <f>_xlfn.RANK.AVG(Table832[[#This Row],[Y]],Table832[Y])</f>
        <v>16</v>
      </c>
      <c r="AO21" s="119">
        <v>11.5</v>
      </c>
      <c r="AP21" s="120" t="s">
        <v>43</v>
      </c>
      <c r="AQ21" s="22">
        <f>(_xlfn.XLOOKUP(Table832[[#This Row],[DEF]],Table8[DEF],Table8[REC])+_xlfn.XLOOKUP(Table832[[#This Row],[DEF]],Table816[DEF],Table816[REC])+_xlfn.XLOOKUP(Table832[[#This Row],[DEF]],Table845[DEF],Table845[REC]))/2</f>
        <v>5.0588235294117645</v>
      </c>
      <c r="AR21" s="22">
        <f>(_xlfn.XLOOKUP(Table832[[#This Row],[DEF]],Table8[DEF],Table8[Y])+_xlfn.XLOOKUP(Table832[[#This Row],[DEF]],Table816[DEF],Table816[Y])+_xlfn.XLOOKUP(Table832[[#This Row],[DEF]],Table845[DEF],Table845[Y]))/2</f>
        <v>51.82352941176471</v>
      </c>
      <c r="AS21" s="22">
        <f>(_xlfn.XLOOKUP(Table832[[#This Row],[DEF]],Table8[DEF],Table8[TD])+_xlfn.XLOOKUP(Table832[[#This Row],[DEF]],Table816[DEF],Table816[TD])+_xlfn.XLOOKUP(Table832[[#This Row],[DEF]],Table845[DEF],Table845[TD]))/2</f>
        <v>0.44117647058823528</v>
      </c>
    </row>
    <row r="22" spans="2:47" ht="14.5" customHeight="1" x14ac:dyDescent="0.35">
      <c r="B22" s="23">
        <v>1</v>
      </c>
      <c r="C22" s="155" t="s">
        <v>1198</v>
      </c>
      <c r="D22" s="23" t="s">
        <v>44</v>
      </c>
      <c r="E22" s="23" t="s">
        <v>1198</v>
      </c>
      <c r="G22" s="119">
        <f t="shared" si="0"/>
        <v>20.2</v>
      </c>
      <c r="H22" s="119">
        <v>15</v>
      </c>
      <c r="I22" s="119">
        <v>25</v>
      </c>
      <c r="J22" s="119">
        <f>_xlfn.RANK.AVG(Table123[[#This Row],[P+R]],Table123[P+R])</f>
        <v>18</v>
      </c>
      <c r="K22" s="119">
        <v>18</v>
      </c>
      <c r="L22" s="119">
        <v>25</v>
      </c>
      <c r="M22" s="23" t="s">
        <v>44</v>
      </c>
      <c r="N22" s="22">
        <f>(_xlfn.XLOOKUP(Table123[[#This Row],[DEF]],Table1[DEF],Table1[P])+_xlfn.XLOOKUP(Table123[[#This Row],[DEF]],Table14[DEF],Table14[P]))/2</f>
        <v>227.91176470588238</v>
      </c>
      <c r="O22" s="22">
        <f>(_xlfn.XLOOKUP(Table123[[#This Row],[DEF]],Table1[DEF],Table1[R])+_xlfn.XLOOKUP(Table123[[#This Row],[DEF]],Table14[DEF],Table14[R]))/2</f>
        <v>15.794117647058822</v>
      </c>
      <c r="P22" s="22">
        <f>(_xlfn.XLOOKUP(Table123[[#This Row],[DEF]],Table1[DEF],Table1[P+R])+_xlfn.XLOOKUP(Table123[[#This Row],[DEF]],Table14[DEF],Table14[P+R]))/2</f>
        <v>243.70588235294116</v>
      </c>
      <c r="Q22" s="22">
        <f>(_xlfn.XLOOKUP(Table123[[#This Row],[DEF]],Table1[DEF],Table1[P TD])+_xlfn.XLOOKUP(Table123[[#This Row],[DEF]],Table14[DEF],Table14[P TD]))/2</f>
        <v>1.5</v>
      </c>
      <c r="R22" s="22">
        <f>(_xlfn.XLOOKUP(Table123[[#This Row],[DEF]],Table1[DEF],Table1[TD])+_xlfn.XLOOKUP(Table123[[#This Row],[DEF]],Table14[DEF],Table14[TD]))/2</f>
        <v>0.11764705882352941</v>
      </c>
      <c r="S22" s="121"/>
      <c r="T22" s="119">
        <f t="shared" si="3"/>
        <v>17.666666666666668</v>
      </c>
      <c r="U22" s="119">
        <v>15</v>
      </c>
      <c r="V22" s="119">
        <f>_xlfn.RANK.AVG(Table731[[#This Row],[Y]],Table731[Y])</f>
        <v>26</v>
      </c>
      <c r="W22" s="119">
        <v>12</v>
      </c>
      <c r="X22" s="23" t="s">
        <v>44</v>
      </c>
      <c r="Y22" s="22">
        <f>(_xlfn.XLOOKUP(Table731[[#This Row],[DEF]],Table7[DEF],Table7[REC])+_xlfn.XLOOKUP(Table731[[#This Row],[DEF]],Table948[Defense],Table948[WR1C]))/2</f>
        <v>4.882352941176471</v>
      </c>
      <c r="Z22" s="22">
        <f>(_xlfn.XLOOKUP(Table731[[#This Row],[DEF]],Table7[DEF],Table7[Y])+_xlfn.XLOOKUP(Table731[[#This Row],[DEF]],Table948[Defense],Table948[WR1Y]))/2</f>
        <v>57.617647058823529</v>
      </c>
      <c r="AA22" s="22">
        <f>(_xlfn.XLOOKUP(Table731[[#This Row],[DEF]],Table7[DEF],Table7[TD])+_xlfn.XLOOKUP(Table731[[#This Row],[DEF]],Table948[Defense],Table948[WR1]))/2</f>
        <v>0.44117647058823528</v>
      </c>
      <c r="AC22" s="119">
        <f t="shared" si="1"/>
        <v>26.833333333333332</v>
      </c>
      <c r="AD22" s="119">
        <v>31</v>
      </c>
      <c r="AE22" s="119">
        <f>_xlfn.RANK.AVG(Table71236[[#This Row],[Y]],Table71236[Y])</f>
        <v>31</v>
      </c>
      <c r="AF22" s="119">
        <v>18.5</v>
      </c>
      <c r="AG22" s="23" t="s">
        <v>44</v>
      </c>
      <c r="AH22" s="22">
        <f>(_xlfn.XLOOKUP(Table71236[[#This Row],[DEF]],Table712[DEF],Table712[REC])+_xlfn.XLOOKUP(Table71236[[#This Row],[DEF]],Table948[Defense],Table948[WR2C]))/2</f>
        <v>2.7941176470588234</v>
      </c>
      <c r="AI22" s="22">
        <f>(_xlfn.XLOOKUP(Table71236[[#This Row],[DEF]],Table712[DEF],Table712[Y])+_xlfn.XLOOKUP(Table71236[[#This Row],[DEF]],Table948[Defense],Table948[WR2Y]))/2</f>
        <v>34.323529411764703</v>
      </c>
      <c r="AJ22" s="22">
        <f>(_xlfn.XLOOKUP(Table71236[[#This Row],[DEF]],Table712[DEF],Table712[TD])+_xlfn.XLOOKUP(Table71236[[#This Row],[DEF]],Table948[Defense],Table948[WR2]))/2</f>
        <v>0.29411764705882354</v>
      </c>
      <c r="AL22" s="119">
        <f t="shared" si="2"/>
        <v>6.5</v>
      </c>
      <c r="AM22" s="119">
        <v>4</v>
      </c>
      <c r="AN22" s="119">
        <f>_xlfn.RANK.AVG(Table832[[#This Row],[Y]],Table832[Y])</f>
        <v>4</v>
      </c>
      <c r="AO22" s="119">
        <v>11.5</v>
      </c>
      <c r="AP22" s="119" t="s">
        <v>44</v>
      </c>
      <c r="AQ22" s="22">
        <f>(_xlfn.XLOOKUP(Table832[[#This Row],[DEF]],Table8[DEF],Table8[REC])+_xlfn.XLOOKUP(Table832[[#This Row],[DEF]],Table816[DEF],Table816[REC])+_xlfn.XLOOKUP(Table832[[#This Row],[DEF]],Table845[DEF],Table845[REC]))/2</f>
        <v>6</v>
      </c>
      <c r="AR22" s="22">
        <f>(_xlfn.XLOOKUP(Table832[[#This Row],[DEF]],Table8[DEF],Table8[Y])+_xlfn.XLOOKUP(Table832[[#This Row],[DEF]],Table816[DEF],Table816[Y])+_xlfn.XLOOKUP(Table832[[#This Row],[DEF]],Table845[DEF],Table845[Y]))/2</f>
        <v>61.264705882352942</v>
      </c>
      <c r="AS22" s="22">
        <f>(_xlfn.XLOOKUP(Table832[[#This Row],[DEF]],Table8[DEF],Table8[TD])+_xlfn.XLOOKUP(Table832[[#This Row],[DEF]],Table816[DEF],Table816[TD])+_xlfn.XLOOKUP(Table832[[#This Row],[DEF]],Table845[DEF],Table845[TD]))/2</f>
        <v>0.44117647058823528</v>
      </c>
      <c r="AU22" t="s">
        <v>694</v>
      </c>
    </row>
    <row r="23" spans="2:47" ht="14.5" customHeight="1" x14ac:dyDescent="0.35">
      <c r="B23" s="23">
        <v>1</v>
      </c>
      <c r="C23" s="155" t="s">
        <v>1198</v>
      </c>
      <c r="D23" s="21" t="s">
        <v>45</v>
      </c>
      <c r="E23" s="23" t="s">
        <v>1198</v>
      </c>
      <c r="G23" s="119">
        <f t="shared" si="0"/>
        <v>28.6</v>
      </c>
      <c r="H23" s="119">
        <v>22</v>
      </c>
      <c r="I23" s="119">
        <v>32</v>
      </c>
      <c r="J23" s="119">
        <f>_xlfn.RANK.AVG(Table123[[#This Row],[P+R]],Table123[P+R])</f>
        <v>27</v>
      </c>
      <c r="K23" s="119">
        <v>31</v>
      </c>
      <c r="L23" s="119">
        <v>31</v>
      </c>
      <c r="M23" s="21" t="s">
        <v>45</v>
      </c>
      <c r="N23" s="22">
        <f>(_xlfn.XLOOKUP(Table123[[#This Row],[DEF]],Table1[DEF],Table1[P])+_xlfn.XLOOKUP(Table123[[#This Row],[DEF]],Table14[DEF],Table14[P]))/2</f>
        <v>220</v>
      </c>
      <c r="O23" s="22">
        <f>(_xlfn.XLOOKUP(Table123[[#This Row],[DEF]],Table1[DEF],Table1[R])+_xlfn.XLOOKUP(Table123[[#This Row],[DEF]],Table14[DEF],Table14[R]))/2</f>
        <v>12.588235294117649</v>
      </c>
      <c r="P23" s="22">
        <f>(_xlfn.XLOOKUP(Table123[[#This Row],[DEF]],Table1[DEF],Table1[P+R])+_xlfn.XLOOKUP(Table123[[#This Row],[DEF]],Table14[DEF],Table14[P+R]))/2</f>
        <v>232.58823529411765</v>
      </c>
      <c r="Q23" s="22">
        <f>(_xlfn.XLOOKUP(Table123[[#This Row],[DEF]],Table1[DEF],Table1[P TD])+_xlfn.XLOOKUP(Table123[[#This Row],[DEF]],Table14[DEF],Table14[P TD]))/2</f>
        <v>1.1470588235294117</v>
      </c>
      <c r="R23" s="22">
        <f>(_xlfn.XLOOKUP(Table123[[#This Row],[DEF]],Table1[DEF],Table1[TD])+_xlfn.XLOOKUP(Table123[[#This Row],[DEF]],Table14[DEF],Table14[TD]))/2</f>
        <v>5.8823529411764705E-2</v>
      </c>
      <c r="S23" s="121"/>
      <c r="T23" s="119">
        <f t="shared" si="3"/>
        <v>24.333333333333332</v>
      </c>
      <c r="U23" s="119">
        <v>28</v>
      </c>
      <c r="V23" s="119">
        <f>_xlfn.RANK.AVG(Table731[[#This Row],[Y]],Table731[Y])</f>
        <v>19</v>
      </c>
      <c r="W23" s="119">
        <v>26</v>
      </c>
      <c r="X23" s="21" t="s">
        <v>45</v>
      </c>
      <c r="Y23" s="22">
        <f>(_xlfn.XLOOKUP(Table731[[#This Row],[DEF]],Table7[DEF],Table7[REC])+_xlfn.XLOOKUP(Table731[[#This Row],[DEF]],Table948[Defense],Table948[WR1C]))/2</f>
        <v>4.5588235294117645</v>
      </c>
      <c r="Z23" s="22">
        <f>(_xlfn.XLOOKUP(Table731[[#This Row],[DEF]],Table7[DEF],Table7[Y])+_xlfn.XLOOKUP(Table731[[#This Row],[DEF]],Table948[Defense],Table948[WR1Y]))/2</f>
        <v>61.882352941176464</v>
      </c>
      <c r="AA23" s="22">
        <f>(_xlfn.XLOOKUP(Table731[[#This Row],[DEF]],Table7[DEF],Table7[TD])+_xlfn.XLOOKUP(Table731[[#This Row],[DEF]],Table948[Defense],Table948[WR1]))/2</f>
        <v>0.32352941176470584</v>
      </c>
      <c r="AC23" s="119">
        <f t="shared" si="1"/>
        <v>10.333333333333334</v>
      </c>
      <c r="AD23" s="119">
        <v>1</v>
      </c>
      <c r="AE23" s="119">
        <f>_xlfn.RANK.AVG(Table71236[[#This Row],[Y]],Table71236[Y])</f>
        <v>2</v>
      </c>
      <c r="AF23" s="119">
        <v>28</v>
      </c>
      <c r="AG23" s="21" t="s">
        <v>45</v>
      </c>
      <c r="AH23" s="22">
        <f>(_xlfn.XLOOKUP(Table71236[[#This Row],[DEF]],Table712[DEF],Table712[REC])+_xlfn.XLOOKUP(Table71236[[#This Row],[DEF]],Table948[Defense],Table948[WR2C]))/2</f>
        <v>4.3235294117647056</v>
      </c>
      <c r="AI23" s="22">
        <f>(_xlfn.XLOOKUP(Table71236[[#This Row],[DEF]],Table712[DEF],Table712[Y])+_xlfn.XLOOKUP(Table71236[[#This Row],[DEF]],Table948[Defense],Table948[WR2Y]))/2</f>
        <v>53.588235294117645</v>
      </c>
      <c r="AJ23" s="22">
        <f>(_xlfn.XLOOKUP(Table71236[[#This Row],[DEF]],Table712[DEF],Table712[TD])+_xlfn.XLOOKUP(Table71236[[#This Row],[DEF]],Table948[Defense],Table948[WR2]))/2</f>
        <v>0.23529411764705882</v>
      </c>
      <c r="AL23" s="119">
        <f t="shared" si="2"/>
        <v>25.166666666666668</v>
      </c>
      <c r="AM23" s="119">
        <v>22.5</v>
      </c>
      <c r="AN23" s="119">
        <f>_xlfn.RANK.AVG(Table832[[#This Row],[Y]],Table832[Y])</f>
        <v>25</v>
      </c>
      <c r="AO23" s="119">
        <v>28</v>
      </c>
      <c r="AP23" s="120" t="s">
        <v>45</v>
      </c>
      <c r="AQ23" s="22">
        <f>(_xlfn.XLOOKUP(Table832[[#This Row],[DEF]],Table8[DEF],Table8[REC])+_xlfn.XLOOKUP(Table832[[#This Row],[DEF]],Table816[DEF],Table816[REC])+_xlfn.XLOOKUP(Table832[[#This Row],[DEF]],Table845[DEF],Table845[REC]))/2</f>
        <v>4.7941176470588243</v>
      </c>
      <c r="AR23" s="22">
        <f>(_xlfn.XLOOKUP(Table832[[#This Row],[DEF]],Table8[DEF],Table8[Y])+_xlfn.XLOOKUP(Table832[[#This Row],[DEF]],Table816[DEF],Table816[Y])+_xlfn.XLOOKUP(Table832[[#This Row],[DEF]],Table845[DEF],Table845[Y]))/2</f>
        <v>47.029411764705884</v>
      </c>
      <c r="AS23" s="22">
        <f>(_xlfn.XLOOKUP(Table832[[#This Row],[DEF]],Table8[DEF],Table8[TD])+_xlfn.XLOOKUP(Table832[[#This Row],[DEF]],Table816[DEF],Table816[TD])+_xlfn.XLOOKUP(Table832[[#This Row],[DEF]],Table845[DEF],Table845[TD]))/2</f>
        <v>0.26470588235294118</v>
      </c>
    </row>
    <row r="24" spans="2:47" ht="14.5" customHeight="1" x14ac:dyDescent="0.35">
      <c r="B24" s="23">
        <v>1</v>
      </c>
      <c r="C24" s="155" t="s">
        <v>1582</v>
      </c>
      <c r="D24" s="23" t="s">
        <v>46</v>
      </c>
      <c r="E24" s="23" t="s">
        <v>52</v>
      </c>
      <c r="G24" s="119">
        <f t="shared" si="0"/>
        <v>25.9</v>
      </c>
      <c r="H24" s="119">
        <v>27</v>
      </c>
      <c r="I24" s="119">
        <v>28</v>
      </c>
      <c r="J24" s="119">
        <f>_xlfn.RANK.AVG(Table123[[#This Row],[P+R]],Table123[P+R])</f>
        <v>30</v>
      </c>
      <c r="K24" s="119">
        <v>13.5</v>
      </c>
      <c r="L24" s="119">
        <v>31</v>
      </c>
      <c r="M24" s="23" t="s">
        <v>46</v>
      </c>
      <c r="N24" s="22">
        <f>(_xlfn.XLOOKUP(Table123[[#This Row],[DEF]],Table1[DEF],Table1[P])+_xlfn.XLOOKUP(Table123[[#This Row],[DEF]],Table14[DEF],Table14[P]))/2</f>
        <v>213.55882352941177</v>
      </c>
      <c r="O24" s="22">
        <f>(_xlfn.XLOOKUP(Table123[[#This Row],[DEF]],Table1[DEF],Table1[R])+_xlfn.XLOOKUP(Table123[[#This Row],[DEF]],Table14[DEF],Table14[R]))/2</f>
        <v>14.941176470588236</v>
      </c>
      <c r="P24" s="22">
        <f>(_xlfn.XLOOKUP(Table123[[#This Row],[DEF]],Table1[DEF],Table1[P+R])+_xlfn.XLOOKUP(Table123[[#This Row],[DEF]],Table14[DEF],Table14[P+R]))/2</f>
        <v>228.5</v>
      </c>
      <c r="Q24" s="22">
        <f>(_xlfn.XLOOKUP(Table123[[#This Row],[DEF]],Table1[DEF],Table1[P TD])+_xlfn.XLOOKUP(Table123[[#This Row],[DEF]],Table14[DEF],Table14[P TD]))/2</f>
        <v>1.5294117647058822</v>
      </c>
      <c r="R24" s="22">
        <f>(_xlfn.XLOOKUP(Table123[[#This Row],[DEF]],Table1[DEF],Table1[TD])+_xlfn.XLOOKUP(Table123[[#This Row],[DEF]],Table14[DEF],Table14[TD]))/2</f>
        <v>5.8823529411764705E-2</v>
      </c>
      <c r="S24" s="121"/>
      <c r="T24" s="119">
        <f t="shared" si="3"/>
        <v>21.833333333333332</v>
      </c>
      <c r="U24" s="119">
        <v>26.5</v>
      </c>
      <c r="V24" s="119">
        <f>_xlfn.RANK.AVG(Table731[[#This Row],[Y]],Table731[Y])</f>
        <v>27</v>
      </c>
      <c r="W24" s="119">
        <v>12</v>
      </c>
      <c r="X24" s="23" t="s">
        <v>46</v>
      </c>
      <c r="Y24" s="22">
        <f>(_xlfn.XLOOKUP(Table731[[#This Row],[DEF]],Table7[DEF],Table7[REC])+_xlfn.XLOOKUP(Table731[[#This Row],[DEF]],Table948[Defense],Table948[WR1C]))/2</f>
        <v>4.5882352941176467</v>
      </c>
      <c r="Z24" s="22">
        <f>(_xlfn.XLOOKUP(Table731[[#This Row],[DEF]],Table7[DEF],Table7[Y])+_xlfn.XLOOKUP(Table731[[#This Row],[DEF]],Table948[Defense],Table948[WR1Y]))/2</f>
        <v>56.17647058823529</v>
      </c>
      <c r="AA24" s="22">
        <f>(_xlfn.XLOOKUP(Table731[[#This Row],[DEF]],Table7[DEF],Table7[TD])+_xlfn.XLOOKUP(Table731[[#This Row],[DEF]],Table948[Defense],Table948[WR1]))/2</f>
        <v>0.44117647058823528</v>
      </c>
      <c r="AC24" s="119">
        <f t="shared" si="1"/>
        <v>8.6666666666666661</v>
      </c>
      <c r="AD24" s="119">
        <v>7</v>
      </c>
      <c r="AE24" s="119">
        <f>_xlfn.RANK.AVG(Table71236[[#This Row],[Y]],Table71236[Y])</f>
        <v>11</v>
      </c>
      <c r="AF24" s="119">
        <v>8</v>
      </c>
      <c r="AG24" s="23" t="s">
        <v>46</v>
      </c>
      <c r="AH24" s="22">
        <f>(_xlfn.XLOOKUP(Table71236[[#This Row],[DEF]],Table712[DEF],Table712[REC])+_xlfn.XLOOKUP(Table71236[[#This Row],[DEF]],Table948[Defense],Table948[WR2C]))/2</f>
        <v>3.8529411764705883</v>
      </c>
      <c r="AI24" s="22">
        <f>(_xlfn.XLOOKUP(Table71236[[#This Row],[DEF]],Table712[DEF],Table712[Y])+_xlfn.XLOOKUP(Table71236[[#This Row],[DEF]],Table948[Defense],Table948[WR2Y]))/2</f>
        <v>47.676470588235297</v>
      </c>
      <c r="AJ24" s="22">
        <f>(_xlfn.XLOOKUP(Table71236[[#This Row],[DEF]],Table712[DEF],Table712[TD])+_xlfn.XLOOKUP(Table71236[[#This Row],[DEF]],Table948[Defense],Table948[WR2]))/2</f>
        <v>0.41176470588235292</v>
      </c>
      <c r="AL24" s="119">
        <f t="shared" si="2"/>
        <v>15.833333333333334</v>
      </c>
      <c r="AM24" s="119">
        <v>13</v>
      </c>
      <c r="AN24" s="119">
        <f>_xlfn.RANK.AVG(Table832[[#This Row],[Y]],Table832[Y])</f>
        <v>15</v>
      </c>
      <c r="AO24" s="119">
        <v>19.5</v>
      </c>
      <c r="AP24" s="119" t="s">
        <v>46</v>
      </c>
      <c r="AQ24" s="22">
        <f>(_xlfn.XLOOKUP(Table832[[#This Row],[DEF]],Table8[DEF],Table8[REC])+_xlfn.XLOOKUP(Table832[[#This Row],[DEF]],Table816[DEF],Table816[REC])+_xlfn.XLOOKUP(Table832[[#This Row],[DEF]],Table845[DEF],Table845[REC]))/2</f>
        <v>5.3823529411764701</v>
      </c>
      <c r="AR24" s="22">
        <f>(_xlfn.XLOOKUP(Table832[[#This Row],[DEF]],Table8[DEF],Table8[Y])+_xlfn.XLOOKUP(Table832[[#This Row],[DEF]],Table816[DEF],Table816[Y])+_xlfn.XLOOKUP(Table832[[#This Row],[DEF]],Table845[DEF],Table845[Y]))/2</f>
        <v>53.676470588235297</v>
      </c>
      <c r="AS24" s="22">
        <f>(_xlfn.XLOOKUP(Table832[[#This Row],[DEF]],Table8[DEF],Table8[TD])+_xlfn.XLOOKUP(Table832[[#This Row],[DEF]],Table816[DEF],Table816[TD])+_xlfn.XLOOKUP(Table832[[#This Row],[DEF]],Table845[DEF],Table845[TD]))/2</f>
        <v>0.3235294117647059</v>
      </c>
    </row>
    <row r="25" spans="2:47" ht="14.5" customHeight="1" x14ac:dyDescent="0.35">
      <c r="B25" s="23">
        <v>1</v>
      </c>
      <c r="C25" s="155" t="s">
        <v>1198</v>
      </c>
      <c r="D25" s="21" t="s">
        <v>47</v>
      </c>
      <c r="E25" s="23" t="s">
        <v>1198</v>
      </c>
      <c r="G25" s="119">
        <f t="shared" si="0"/>
        <v>21.2</v>
      </c>
      <c r="H25" s="119">
        <v>19</v>
      </c>
      <c r="I25" s="119">
        <v>12</v>
      </c>
      <c r="J25" s="119">
        <f>_xlfn.RANK.AVG(Table123[[#This Row],[P+R]],Table123[P+R])</f>
        <v>17</v>
      </c>
      <c r="K25" s="119">
        <v>27</v>
      </c>
      <c r="L25" s="119">
        <v>31</v>
      </c>
      <c r="M25" s="21" t="s">
        <v>47</v>
      </c>
      <c r="N25" s="22">
        <f>(_xlfn.XLOOKUP(Table123[[#This Row],[DEF]],Table1[DEF],Table1[P])+_xlfn.XLOOKUP(Table123[[#This Row],[DEF]],Table14[DEF],Table14[P]))/2</f>
        <v>224.44117647058823</v>
      </c>
      <c r="O25" s="22">
        <f>(_xlfn.XLOOKUP(Table123[[#This Row],[DEF]],Table1[DEF],Table1[R])+_xlfn.XLOOKUP(Table123[[#This Row],[DEF]],Table14[DEF],Table14[R]))/2</f>
        <v>21.176470588235297</v>
      </c>
      <c r="P25" s="22">
        <f>(_xlfn.XLOOKUP(Table123[[#This Row],[DEF]],Table1[DEF],Table1[P+R])+_xlfn.XLOOKUP(Table123[[#This Row],[DEF]],Table14[DEF],Table14[P+R]))/2</f>
        <v>245.61764705882354</v>
      </c>
      <c r="Q25" s="22">
        <f>(_xlfn.XLOOKUP(Table123[[#This Row],[DEF]],Table1[DEF],Table1[P TD])+_xlfn.XLOOKUP(Table123[[#This Row],[DEF]],Table14[DEF],Table14[P TD]))/2</f>
        <v>1.2941176470588236</v>
      </c>
      <c r="R25" s="22">
        <f>(_xlfn.XLOOKUP(Table123[[#This Row],[DEF]],Table1[DEF],Table1[TD])+_xlfn.XLOOKUP(Table123[[#This Row],[DEF]],Table14[DEF],Table14[TD]))/2</f>
        <v>5.8823529411764705E-2</v>
      </c>
      <c r="S25" s="121"/>
      <c r="T25" s="119">
        <f t="shared" si="3"/>
        <v>23.666666666666668</v>
      </c>
      <c r="U25" s="119">
        <v>30</v>
      </c>
      <c r="V25" s="119">
        <f>_xlfn.RANK.AVG(Table731[[#This Row],[Y]],Table731[Y])</f>
        <v>25</v>
      </c>
      <c r="W25" s="119">
        <v>16</v>
      </c>
      <c r="X25" s="21" t="s">
        <v>47</v>
      </c>
      <c r="Y25" s="22">
        <f>(_xlfn.XLOOKUP(Table731[[#This Row],[DEF]],Table7[DEF],Table7[REC])+_xlfn.XLOOKUP(Table731[[#This Row],[DEF]],Table948[Defense],Table948[WR1C]))/2</f>
        <v>4.2352941176470589</v>
      </c>
      <c r="Z25" s="22">
        <f>(_xlfn.XLOOKUP(Table731[[#This Row],[DEF]],Table7[DEF],Table7[Y])+_xlfn.XLOOKUP(Table731[[#This Row],[DEF]],Table948[Defense],Table948[WR1Y]))/2</f>
        <v>57.794117647058826</v>
      </c>
      <c r="AA25" s="22">
        <f>(_xlfn.XLOOKUP(Table731[[#This Row],[DEF]],Table7[DEF],Table7[TD])+_xlfn.XLOOKUP(Table731[[#This Row],[DEF]],Table948[Defense],Table948[WR1]))/2</f>
        <v>0.41176470588235292</v>
      </c>
      <c r="AC25" s="119">
        <f t="shared" si="1"/>
        <v>9.6666666666666661</v>
      </c>
      <c r="AD25" s="119">
        <v>13</v>
      </c>
      <c r="AE25" s="119">
        <f>_xlfn.RANK.AVG(Table71236[[#This Row],[Y]],Table71236[Y])</f>
        <v>8</v>
      </c>
      <c r="AF25" s="119">
        <v>8</v>
      </c>
      <c r="AG25" s="21" t="s">
        <v>47</v>
      </c>
      <c r="AH25" s="22">
        <f>(_xlfn.XLOOKUP(Table71236[[#This Row],[DEF]],Table712[DEF],Table712[REC])+_xlfn.XLOOKUP(Table71236[[#This Row],[DEF]],Table948[Defense],Table948[WR2C]))/2</f>
        <v>3.7058823529411766</v>
      </c>
      <c r="AI25" s="22">
        <f>(_xlfn.XLOOKUP(Table71236[[#This Row],[DEF]],Table712[DEF],Table712[Y])+_xlfn.XLOOKUP(Table71236[[#This Row],[DEF]],Table948[Defense],Table948[WR2Y]))/2</f>
        <v>48.088235294117645</v>
      </c>
      <c r="AJ25" s="22">
        <f>(_xlfn.XLOOKUP(Table71236[[#This Row],[DEF]],Table712[DEF],Table712[TD])+_xlfn.XLOOKUP(Table71236[[#This Row],[DEF]],Table948[Defense],Table948[WR2]))/2</f>
        <v>0.41176470588235292</v>
      </c>
      <c r="AL25" s="119">
        <f t="shared" si="2"/>
        <v>21.833333333333332</v>
      </c>
      <c r="AM25" s="119">
        <v>20</v>
      </c>
      <c r="AN25" s="119">
        <f>_xlfn.RANK.AVG(Table832[[#This Row],[Y]],Table832[Y])</f>
        <v>14</v>
      </c>
      <c r="AO25" s="119">
        <v>31.5</v>
      </c>
      <c r="AP25" s="120" t="s">
        <v>47</v>
      </c>
      <c r="AQ25" s="22">
        <f>(_xlfn.XLOOKUP(Table832[[#This Row],[DEF]],Table8[DEF],Table8[REC])+_xlfn.XLOOKUP(Table832[[#This Row],[DEF]],Table816[DEF],Table816[REC])+_xlfn.XLOOKUP(Table832[[#This Row],[DEF]],Table845[DEF],Table845[REC]))/2</f>
        <v>5</v>
      </c>
      <c r="AR25" s="22">
        <f>(_xlfn.XLOOKUP(Table832[[#This Row],[DEF]],Table8[DEF],Table8[Y])+_xlfn.XLOOKUP(Table832[[#This Row],[DEF]],Table816[DEF],Table816[Y])+_xlfn.XLOOKUP(Table832[[#This Row],[DEF]],Table845[DEF],Table845[Y]))/2</f>
        <v>54.117647058823529</v>
      </c>
      <c r="AS25" s="22">
        <f>(_xlfn.XLOOKUP(Table832[[#This Row],[DEF]],Table8[DEF],Table8[TD])+_xlfn.XLOOKUP(Table832[[#This Row],[DEF]],Table816[DEF],Table816[TD])+_xlfn.XLOOKUP(Table832[[#This Row],[DEF]],Table845[DEF],Table845[TD]))/2</f>
        <v>0.23529411764705882</v>
      </c>
    </row>
    <row r="26" spans="2:47" ht="14.5" customHeight="1" x14ac:dyDescent="0.35">
      <c r="B26" s="23">
        <v>1</v>
      </c>
      <c r="C26" s="155" t="s">
        <v>1198</v>
      </c>
      <c r="D26" s="23" t="s">
        <v>48</v>
      </c>
      <c r="E26" s="23" t="s">
        <v>1198</v>
      </c>
      <c r="G26" s="119">
        <f t="shared" si="0"/>
        <v>12.2</v>
      </c>
      <c r="H26" s="119">
        <v>13.5</v>
      </c>
      <c r="I26" s="119">
        <v>4</v>
      </c>
      <c r="J26" s="119">
        <f>_xlfn.RANK.AVG(Table123[[#This Row],[P+R]],Table123[P+R])</f>
        <v>12</v>
      </c>
      <c r="K26" s="119">
        <v>23</v>
      </c>
      <c r="L26" s="119">
        <v>8.5</v>
      </c>
      <c r="M26" s="23" t="s">
        <v>48</v>
      </c>
      <c r="N26" s="22">
        <f>(_xlfn.XLOOKUP(Table123[[#This Row],[DEF]],Table1[DEF],Table1[P])+_xlfn.XLOOKUP(Table123[[#This Row],[DEF]],Table14[DEF],Table14[P]))/2</f>
        <v>228.73529411764707</v>
      </c>
      <c r="O26" s="22">
        <f>(_xlfn.XLOOKUP(Table123[[#This Row],[DEF]],Table1[DEF],Table1[R])+_xlfn.XLOOKUP(Table123[[#This Row],[DEF]],Table14[DEF],Table14[R]))/2</f>
        <v>24.088235294117645</v>
      </c>
      <c r="P26" s="22">
        <f>(_xlfn.XLOOKUP(Table123[[#This Row],[DEF]],Table1[DEF],Table1[P+R])+_xlfn.XLOOKUP(Table123[[#This Row],[DEF]],Table14[DEF],Table14[P+R]))/2</f>
        <v>252.8235294117647</v>
      </c>
      <c r="Q26" s="22">
        <f>(_xlfn.XLOOKUP(Table123[[#This Row],[DEF]],Table1[DEF],Table1[P TD])+_xlfn.XLOOKUP(Table123[[#This Row],[DEF]],Table14[DEF],Table14[P TD]))/2</f>
        <v>1.411764705882353</v>
      </c>
      <c r="R26" s="22">
        <f>(_xlfn.XLOOKUP(Table123[[#This Row],[DEF]],Table1[DEF],Table1[TD])+_xlfn.XLOOKUP(Table123[[#This Row],[DEF]],Table14[DEF],Table14[TD]))/2</f>
        <v>0.26470588235294118</v>
      </c>
      <c r="S26" s="121"/>
      <c r="T26" s="119">
        <f t="shared" si="3"/>
        <v>17.5</v>
      </c>
      <c r="U26" s="119">
        <v>14</v>
      </c>
      <c r="V26" s="119">
        <f>_xlfn.RANK.AVG(Table731[[#This Row],[Y]],Table731[Y])</f>
        <v>16</v>
      </c>
      <c r="W26" s="119">
        <v>22.5</v>
      </c>
      <c r="X26" s="23" t="s">
        <v>48</v>
      </c>
      <c r="Y26" s="22">
        <f>(_xlfn.XLOOKUP(Table731[[#This Row],[DEF]],Table7[DEF],Table7[REC])+_xlfn.XLOOKUP(Table731[[#This Row],[DEF]],Table948[Defense],Table948[WR1C]))/2</f>
        <v>4.9117647058823533</v>
      </c>
      <c r="Z26" s="22">
        <f>(_xlfn.XLOOKUP(Table731[[#This Row],[DEF]],Table7[DEF],Table7[Y])+_xlfn.XLOOKUP(Table731[[#This Row],[DEF]],Table948[Defense],Table948[WR1Y]))/2</f>
        <v>63.264705882352942</v>
      </c>
      <c r="AA26" s="22">
        <f>(_xlfn.XLOOKUP(Table731[[#This Row],[DEF]],Table7[DEF],Table7[TD])+_xlfn.XLOOKUP(Table731[[#This Row],[DEF]],Table948[Defense],Table948[WR1]))/2</f>
        <v>0.3529411764705882</v>
      </c>
      <c r="AC26" s="119">
        <f t="shared" si="1"/>
        <v>16.833333333333332</v>
      </c>
      <c r="AD26" s="119">
        <v>23</v>
      </c>
      <c r="AE26" s="119">
        <f>_xlfn.RANK.AVG(Table71236[[#This Row],[Y]],Table71236[Y])</f>
        <v>24</v>
      </c>
      <c r="AF26" s="119">
        <v>3.5</v>
      </c>
      <c r="AG26" s="23" t="s">
        <v>48</v>
      </c>
      <c r="AH26" s="22">
        <f>(_xlfn.XLOOKUP(Table71236[[#This Row],[DEF]],Table712[DEF],Table712[REC])+_xlfn.XLOOKUP(Table71236[[#This Row],[DEF]],Table948[Defense],Table948[WR2C]))/2</f>
        <v>3.3529411764705883</v>
      </c>
      <c r="AI26" s="22">
        <f>(_xlfn.XLOOKUP(Table71236[[#This Row],[DEF]],Table712[DEF],Table712[Y])+_xlfn.XLOOKUP(Table71236[[#This Row],[DEF]],Table948[Defense],Table948[WR2Y]))/2</f>
        <v>41.470588235294116</v>
      </c>
      <c r="AJ26" s="22">
        <f>(_xlfn.XLOOKUP(Table71236[[#This Row],[DEF]],Table712[DEF],Table712[TD])+_xlfn.XLOOKUP(Table71236[[#This Row],[DEF]],Table948[Defense],Table948[WR2]))/2</f>
        <v>0.47058823529411764</v>
      </c>
      <c r="AL26" s="119">
        <f t="shared" si="2"/>
        <v>29.333333333333332</v>
      </c>
      <c r="AM26" s="119">
        <v>30</v>
      </c>
      <c r="AN26" s="119">
        <f>_xlfn.RANK.AVG(Table832[[#This Row],[Y]],Table832[Y])</f>
        <v>30</v>
      </c>
      <c r="AO26" s="119">
        <v>28</v>
      </c>
      <c r="AP26" s="119" t="s">
        <v>48</v>
      </c>
      <c r="AQ26" s="22">
        <f>(_xlfn.XLOOKUP(Table832[[#This Row],[DEF]],Table8[DEF],Table8[REC])+_xlfn.XLOOKUP(Table832[[#This Row],[DEF]],Table816[DEF],Table816[REC])+_xlfn.XLOOKUP(Table832[[#This Row],[DEF]],Table845[DEF],Table845[REC]))/2</f>
        <v>4.3235294117647065</v>
      </c>
      <c r="AR26" s="22">
        <f>(_xlfn.XLOOKUP(Table832[[#This Row],[DEF]],Table8[DEF],Table8[Y])+_xlfn.XLOOKUP(Table832[[#This Row],[DEF]],Table816[DEF],Table816[Y])+_xlfn.XLOOKUP(Table832[[#This Row],[DEF]],Table845[DEF],Table845[Y]))/2</f>
        <v>43.588235294117645</v>
      </c>
      <c r="AS26" s="22">
        <f>(_xlfn.XLOOKUP(Table832[[#This Row],[DEF]],Table8[DEF],Table8[TD])+_xlfn.XLOOKUP(Table832[[#This Row],[DEF]],Table816[DEF],Table816[TD])+_xlfn.XLOOKUP(Table832[[#This Row],[DEF]],Table845[DEF],Table845[TD]))/2</f>
        <v>0.26470588235294118</v>
      </c>
    </row>
    <row r="27" spans="2:47" ht="14.5" customHeight="1" x14ac:dyDescent="0.35">
      <c r="B27" s="23">
        <v>1</v>
      </c>
      <c r="C27" s="155" t="s">
        <v>1198</v>
      </c>
      <c r="D27" s="21" t="s">
        <v>49</v>
      </c>
      <c r="E27" s="23" t="s">
        <v>1198</v>
      </c>
      <c r="G27" s="119">
        <f t="shared" si="0"/>
        <v>15.6</v>
      </c>
      <c r="H27" s="119">
        <v>25.5</v>
      </c>
      <c r="I27" s="119">
        <v>16</v>
      </c>
      <c r="J27" s="119">
        <f>_xlfn.RANK.AVG(Table123[[#This Row],[P+R]],Table123[P+R])</f>
        <v>22</v>
      </c>
      <c r="K27" s="119">
        <v>10</v>
      </c>
      <c r="L27" s="119">
        <v>4.5</v>
      </c>
      <c r="M27" s="21" t="s">
        <v>49</v>
      </c>
      <c r="N27" s="22">
        <f>(_xlfn.XLOOKUP(Table123[[#This Row],[DEF]],Table1[DEF],Table1[P])+_xlfn.XLOOKUP(Table123[[#This Row],[DEF]],Table14[DEF],Table14[P]))/2</f>
        <v>218.73529411764707</v>
      </c>
      <c r="O27" s="22">
        <f>(_xlfn.XLOOKUP(Table123[[#This Row],[DEF]],Table1[DEF],Table1[R])+_xlfn.XLOOKUP(Table123[[#This Row],[DEF]],Table14[DEF],Table14[R]))/2</f>
        <v>20.411764705882355</v>
      </c>
      <c r="P27" s="22">
        <f>(_xlfn.XLOOKUP(Table123[[#This Row],[DEF]],Table1[DEF],Table1[P+R])+_xlfn.XLOOKUP(Table123[[#This Row],[DEF]],Table14[DEF],Table14[P+R]))/2</f>
        <v>239.14705882352942</v>
      </c>
      <c r="Q27" s="22">
        <f>(_xlfn.XLOOKUP(Table123[[#This Row],[DEF]],Table1[DEF],Table1[P TD])+_xlfn.XLOOKUP(Table123[[#This Row],[DEF]],Table14[DEF],Table14[P TD]))/2</f>
        <v>1.5882352941176472</v>
      </c>
      <c r="R27" s="22">
        <f>(_xlfn.XLOOKUP(Table123[[#This Row],[DEF]],Table1[DEF],Table1[TD])+_xlfn.XLOOKUP(Table123[[#This Row],[DEF]],Table14[DEF],Table14[TD]))/2</f>
        <v>0.29411764705882354</v>
      </c>
      <c r="S27" s="121"/>
      <c r="T27" s="119">
        <f t="shared" si="3"/>
        <v>12.666666666666666</v>
      </c>
      <c r="U27" s="119">
        <v>17</v>
      </c>
      <c r="V27" s="119">
        <f>_xlfn.RANK.AVG(Table731[[#This Row],[Y]],Table731[Y])</f>
        <v>15</v>
      </c>
      <c r="W27" s="119">
        <v>6</v>
      </c>
      <c r="X27" s="21" t="s">
        <v>49</v>
      </c>
      <c r="Y27" s="22">
        <f>(_xlfn.XLOOKUP(Table731[[#This Row],[DEF]],Table7[DEF],Table7[REC])+_xlfn.XLOOKUP(Table731[[#This Row],[DEF]],Table948[Defense],Table948[WR1C]))/2</f>
        <v>4.7941176470588243</v>
      </c>
      <c r="Z27" s="22">
        <f>(_xlfn.XLOOKUP(Table731[[#This Row],[DEF]],Table7[DEF],Table7[Y])+_xlfn.XLOOKUP(Table731[[#This Row],[DEF]],Table948[Defense],Table948[WR1Y]))/2</f>
        <v>63.735294117647058</v>
      </c>
      <c r="AA27" s="22">
        <f>(_xlfn.XLOOKUP(Table731[[#This Row],[DEF]],Table7[DEF],Table7[TD])+_xlfn.XLOOKUP(Table731[[#This Row],[DEF]],Table948[Defense],Table948[WR1]))/2</f>
        <v>0.52941176470588236</v>
      </c>
      <c r="AC27" s="119">
        <f t="shared" si="1"/>
        <v>27.333333333333332</v>
      </c>
      <c r="AD27" s="119">
        <v>23</v>
      </c>
      <c r="AE27" s="119">
        <f>_xlfn.RANK.AVG(Table71236[[#This Row],[Y]],Table71236[Y])</f>
        <v>28</v>
      </c>
      <c r="AF27" s="119">
        <v>31</v>
      </c>
      <c r="AG27" s="21" t="s">
        <v>49</v>
      </c>
      <c r="AH27" s="22">
        <f>(_xlfn.XLOOKUP(Table71236[[#This Row],[DEF]],Table712[DEF],Table712[REC])+_xlfn.XLOOKUP(Table71236[[#This Row],[DEF]],Table948[Defense],Table948[WR2C]))/2</f>
        <v>3.3529411764705883</v>
      </c>
      <c r="AI27" s="22">
        <f>(_xlfn.XLOOKUP(Table71236[[#This Row],[DEF]],Table712[DEF],Table712[Y])+_xlfn.XLOOKUP(Table71236[[#This Row],[DEF]],Table948[Defense],Table948[WR2Y]))/2</f>
        <v>39.911764705882348</v>
      </c>
      <c r="AJ27" s="22">
        <f>(_xlfn.XLOOKUP(Table71236[[#This Row],[DEF]],Table712[DEF],Table712[TD])+_xlfn.XLOOKUP(Table71236[[#This Row],[DEF]],Table948[Defense],Table948[WR2]))/2</f>
        <v>0.20588235294117646</v>
      </c>
      <c r="AL27" s="119">
        <f t="shared" si="2"/>
        <v>16.5</v>
      </c>
      <c r="AM27" s="119">
        <v>17</v>
      </c>
      <c r="AN27" s="119">
        <f>_xlfn.RANK.AVG(Table832[[#This Row],[Y]],Table832[Y])</f>
        <v>21</v>
      </c>
      <c r="AO27" s="119">
        <v>11.5</v>
      </c>
      <c r="AP27" s="120" t="s">
        <v>49</v>
      </c>
      <c r="AQ27" s="22">
        <f>(_xlfn.XLOOKUP(Table832[[#This Row],[DEF]],Table8[DEF],Table8[REC])+_xlfn.XLOOKUP(Table832[[#This Row],[DEF]],Table816[DEF],Table816[REC])+_xlfn.XLOOKUP(Table832[[#This Row],[DEF]],Table845[DEF],Table845[REC]))/2</f>
        <v>5.2058823529411757</v>
      </c>
      <c r="AR27" s="22">
        <f>(_xlfn.XLOOKUP(Table832[[#This Row],[DEF]],Table8[DEF],Table8[Y])+_xlfn.XLOOKUP(Table832[[#This Row],[DEF]],Table816[DEF],Table816[Y])+_xlfn.XLOOKUP(Table832[[#This Row],[DEF]],Table845[DEF],Table845[Y]))/2</f>
        <v>49.617647058823536</v>
      </c>
      <c r="AS27" s="22">
        <f>(_xlfn.XLOOKUP(Table832[[#This Row],[DEF]],Table8[DEF],Table8[TD])+_xlfn.XLOOKUP(Table832[[#This Row],[DEF]],Table816[DEF],Table816[TD])+_xlfn.XLOOKUP(Table832[[#This Row],[DEF]],Table845[DEF],Table845[TD]))/2</f>
        <v>0.44117647058823528</v>
      </c>
    </row>
    <row r="28" spans="2:47" ht="14.5" customHeight="1" x14ac:dyDescent="0.35">
      <c r="B28" s="23">
        <v>1</v>
      </c>
      <c r="C28" s="155" t="s">
        <v>1198</v>
      </c>
      <c r="D28" s="23" t="s">
        <v>50</v>
      </c>
      <c r="E28" s="23" t="s">
        <v>1198</v>
      </c>
      <c r="G28" s="119">
        <f t="shared" si="0"/>
        <v>21.9</v>
      </c>
      <c r="H28" s="119">
        <v>32</v>
      </c>
      <c r="I28" s="119">
        <v>9</v>
      </c>
      <c r="J28" s="119">
        <f>_xlfn.RANK.AVG(Table123[[#This Row],[P+R]],Table123[P+R])</f>
        <v>32</v>
      </c>
      <c r="K28" s="119">
        <v>32</v>
      </c>
      <c r="L28" s="119">
        <v>4.5</v>
      </c>
      <c r="M28" s="23" t="s">
        <v>50</v>
      </c>
      <c r="N28" s="22">
        <f>(_xlfn.XLOOKUP(Table123[[#This Row],[DEF]],Table1[DEF],Table1[P])+_xlfn.XLOOKUP(Table123[[#This Row],[DEF]],Table14[DEF],Table14[P]))/2</f>
        <v>198.29411764705884</v>
      </c>
      <c r="O28" s="22">
        <f>(_xlfn.XLOOKUP(Table123[[#This Row],[DEF]],Table1[DEF],Table1[R])+_xlfn.XLOOKUP(Table123[[#This Row],[DEF]],Table14[DEF],Table14[R]))/2</f>
        <v>22.147058823529413</v>
      </c>
      <c r="P28" s="22">
        <f>(_xlfn.XLOOKUP(Table123[[#This Row],[DEF]],Table1[DEF],Table1[P+R])+_xlfn.XLOOKUP(Table123[[#This Row],[DEF]],Table14[DEF],Table14[P+R]))/2</f>
        <v>220.44117647058823</v>
      </c>
      <c r="Q28" s="22">
        <f>(_xlfn.XLOOKUP(Table123[[#This Row],[DEF]],Table1[DEF],Table1[P TD])+_xlfn.XLOOKUP(Table123[[#This Row],[DEF]],Table14[DEF],Table14[P TD]))/2</f>
        <v>1.0588235294117647</v>
      </c>
      <c r="R28" s="22">
        <f>(_xlfn.XLOOKUP(Table123[[#This Row],[DEF]],Table1[DEF],Table1[TD])+_xlfn.XLOOKUP(Table123[[#This Row],[DEF]],Table14[DEF],Table14[TD]))/2</f>
        <v>0.29411764705882354</v>
      </c>
      <c r="S28" s="121"/>
      <c r="T28" s="119">
        <f t="shared" si="3"/>
        <v>23</v>
      </c>
      <c r="U28" s="119">
        <v>21.5</v>
      </c>
      <c r="V28" s="119">
        <f>_xlfn.RANK.AVG(Table731[[#This Row],[Y]],Table731[Y])</f>
        <v>23</v>
      </c>
      <c r="W28" s="119">
        <v>24.5</v>
      </c>
      <c r="X28" s="23" t="s">
        <v>50</v>
      </c>
      <c r="Y28" s="22">
        <f>(_xlfn.XLOOKUP(Table731[[#This Row],[DEF]],Table7[DEF],Table7[REC])+_xlfn.XLOOKUP(Table731[[#This Row],[DEF]],Table948[Defense],Table948[WR1C]))/2</f>
        <v>4.7352941176470589</v>
      </c>
      <c r="Z28" s="22">
        <f>(_xlfn.XLOOKUP(Table731[[#This Row],[DEF]],Table7[DEF],Table7[Y])+_xlfn.XLOOKUP(Table731[[#This Row],[DEF]],Table948[Defense],Table948[WR1Y]))/2</f>
        <v>58.764705882352942</v>
      </c>
      <c r="AA28" s="22">
        <f>(_xlfn.XLOOKUP(Table731[[#This Row],[DEF]],Table7[DEF],Table7[TD])+_xlfn.XLOOKUP(Table731[[#This Row],[DEF]],Table948[Defense],Table948[WR1]))/2</f>
        <v>0.3235294117647059</v>
      </c>
      <c r="AC28" s="119">
        <f t="shared" si="1"/>
        <v>21</v>
      </c>
      <c r="AD28" s="119">
        <v>20</v>
      </c>
      <c r="AE28" s="119">
        <f>_xlfn.RANK.AVG(Table71236[[#This Row],[Y]],Table71236[Y])</f>
        <v>19</v>
      </c>
      <c r="AF28" s="119">
        <v>24</v>
      </c>
      <c r="AG28" s="23" t="s">
        <v>50</v>
      </c>
      <c r="AH28" s="22">
        <f>(_xlfn.XLOOKUP(Table71236[[#This Row],[DEF]],Table712[DEF],Table712[REC])+_xlfn.XLOOKUP(Table71236[[#This Row],[DEF]],Table948[Defense],Table948[WR2C]))/2</f>
        <v>3.4411764705882355</v>
      </c>
      <c r="AI28" s="22">
        <f>(_xlfn.XLOOKUP(Table71236[[#This Row],[DEF]],Table712[DEF],Table712[Y])+_xlfn.XLOOKUP(Table71236[[#This Row],[DEF]],Table948[Defense],Table948[WR2Y]))/2</f>
        <v>43.852941176470594</v>
      </c>
      <c r="AJ28" s="22">
        <f>(_xlfn.XLOOKUP(Table71236[[#This Row],[DEF]],Table712[DEF],Table712[TD])+_xlfn.XLOOKUP(Table71236[[#This Row],[DEF]],Table948[Defense],Table948[WR2]))/2</f>
        <v>0.26470588235294118</v>
      </c>
      <c r="AL28" s="119">
        <f t="shared" si="2"/>
        <v>30.666666666666668</v>
      </c>
      <c r="AM28" s="119">
        <v>32</v>
      </c>
      <c r="AN28" s="119">
        <f>_xlfn.RANK.AVG(Table832[[#This Row],[Y]],Table832[Y])</f>
        <v>32</v>
      </c>
      <c r="AO28" s="119">
        <v>28</v>
      </c>
      <c r="AP28" s="119" t="s">
        <v>50</v>
      </c>
      <c r="AQ28" s="22">
        <f>(_xlfn.XLOOKUP(Table832[[#This Row],[DEF]],Table8[DEF],Table8[REC])+_xlfn.XLOOKUP(Table832[[#This Row],[DEF]],Table816[DEF],Table816[REC])+_xlfn.XLOOKUP(Table832[[#This Row],[DEF]],Table845[DEF],Table845[REC]))/2</f>
        <v>4.0882352941176467</v>
      </c>
      <c r="AR28" s="22">
        <f>(_xlfn.XLOOKUP(Table832[[#This Row],[DEF]],Table8[DEF],Table8[Y])+_xlfn.XLOOKUP(Table832[[#This Row],[DEF]],Table816[DEF],Table816[Y])+_xlfn.XLOOKUP(Table832[[#This Row],[DEF]],Table845[DEF],Table845[Y]))/2</f>
        <v>34.588235294117645</v>
      </c>
      <c r="AS28" s="22">
        <f>(_xlfn.XLOOKUP(Table832[[#This Row],[DEF]],Table8[DEF],Table8[TD])+_xlfn.XLOOKUP(Table832[[#This Row],[DEF]],Table816[DEF],Table816[TD])+_xlfn.XLOOKUP(Table832[[#This Row],[DEF]],Table845[DEF],Table845[TD]))/2</f>
        <v>0.26470588235294118</v>
      </c>
    </row>
    <row r="29" spans="2:47" ht="14.5" customHeight="1" x14ac:dyDescent="0.35">
      <c r="B29" s="23">
        <v>1</v>
      </c>
      <c r="C29" s="155" t="s">
        <v>1198</v>
      </c>
      <c r="D29" s="21" t="s">
        <v>51</v>
      </c>
      <c r="E29" s="23" t="s">
        <v>1198</v>
      </c>
      <c r="G29" s="119">
        <f t="shared" si="0"/>
        <v>13.8</v>
      </c>
      <c r="H29" s="119">
        <v>4</v>
      </c>
      <c r="I29" s="119">
        <v>30</v>
      </c>
      <c r="J29" s="119">
        <f>_xlfn.RANK.AVG(Table123[[#This Row],[P+R]],Table123[P+R])</f>
        <v>7</v>
      </c>
      <c r="K29" s="119">
        <v>12</v>
      </c>
      <c r="L29" s="119">
        <v>16</v>
      </c>
      <c r="M29" s="21" t="s">
        <v>51</v>
      </c>
      <c r="N29" s="22">
        <f>(_xlfn.XLOOKUP(Table123[[#This Row],[DEF]],Table1[DEF],Table1[P])+_xlfn.XLOOKUP(Table123[[#This Row],[DEF]],Table14[DEF],Table14[P]))/2</f>
        <v>252.58823529411765</v>
      </c>
      <c r="O29" s="22">
        <f>(_xlfn.XLOOKUP(Table123[[#This Row],[DEF]],Table1[DEF],Table1[R])+_xlfn.XLOOKUP(Table123[[#This Row],[DEF]],Table14[DEF],Table14[R]))/2</f>
        <v>14.382352941176471</v>
      </c>
      <c r="P29" s="22">
        <f>(_xlfn.XLOOKUP(Table123[[#This Row],[DEF]],Table1[DEF],Table1[P+R])+_xlfn.XLOOKUP(Table123[[#This Row],[DEF]],Table14[DEF],Table14[P+R]))/2</f>
        <v>266.97058823529414</v>
      </c>
      <c r="Q29" s="22">
        <f>(_xlfn.XLOOKUP(Table123[[#This Row],[DEF]],Table1[DEF],Table1[P TD])+_xlfn.XLOOKUP(Table123[[#This Row],[DEF]],Table14[DEF],Table14[P TD]))/2</f>
        <v>1.5588235294117647</v>
      </c>
      <c r="R29" s="22">
        <f>(_xlfn.XLOOKUP(Table123[[#This Row],[DEF]],Table1[DEF],Table1[TD])+_xlfn.XLOOKUP(Table123[[#This Row],[DEF]],Table14[DEF],Table14[TD]))/2</f>
        <v>0.20588235294117646</v>
      </c>
      <c r="S29" s="121"/>
      <c r="T29" s="119">
        <f t="shared" si="3"/>
        <v>12.166666666666666</v>
      </c>
      <c r="U29" s="119">
        <v>12</v>
      </c>
      <c r="V29" s="119">
        <f>_xlfn.RANK.AVG(Table731[[#This Row],[Y]],Table731[Y])</f>
        <v>5</v>
      </c>
      <c r="W29" s="119">
        <v>19.5</v>
      </c>
      <c r="X29" s="21" t="s">
        <v>51</v>
      </c>
      <c r="Y29" s="22">
        <f>(_xlfn.XLOOKUP(Table731[[#This Row],[DEF]],Table7[DEF],Table7[REC])+_xlfn.XLOOKUP(Table731[[#This Row],[DEF]],Table948[Defense],Table948[WR1C]))/2</f>
        <v>5.117647058823529</v>
      </c>
      <c r="Z29" s="22">
        <f>(_xlfn.XLOOKUP(Table731[[#This Row],[DEF]],Table7[DEF],Table7[Y])+_xlfn.XLOOKUP(Table731[[#This Row],[DEF]],Table948[Defense],Table948[WR1Y]))/2</f>
        <v>69.705882352941188</v>
      </c>
      <c r="AA29" s="22">
        <f>(_xlfn.XLOOKUP(Table731[[#This Row],[DEF]],Table7[DEF],Table7[TD])+_xlfn.XLOOKUP(Table731[[#This Row],[DEF]],Table948[Defense],Table948[WR1]))/2</f>
        <v>0.38235294117647056</v>
      </c>
      <c r="AC29" s="119">
        <f t="shared" si="1"/>
        <v>12.833333333333334</v>
      </c>
      <c r="AD29" s="119">
        <v>10.5</v>
      </c>
      <c r="AE29" s="119">
        <f>_xlfn.RANK.AVG(Table71236[[#This Row],[Y]],Table71236[Y])</f>
        <v>4</v>
      </c>
      <c r="AF29" s="119">
        <v>24</v>
      </c>
      <c r="AG29" s="21" t="s">
        <v>51</v>
      </c>
      <c r="AH29" s="22">
        <f>(_xlfn.XLOOKUP(Table71236[[#This Row],[DEF]],Table712[DEF],Table712[REC])+_xlfn.XLOOKUP(Table71236[[#This Row],[DEF]],Table948[Defense],Table948[WR2C]))/2</f>
        <v>3.7647058823529411</v>
      </c>
      <c r="AI29" s="22">
        <f>(_xlfn.XLOOKUP(Table71236[[#This Row],[DEF]],Table712[DEF],Table712[Y])+_xlfn.XLOOKUP(Table71236[[#This Row],[DEF]],Table948[Defense],Table948[WR2Y]))/2</f>
        <v>52.5</v>
      </c>
      <c r="AJ29" s="22">
        <f>(_xlfn.XLOOKUP(Table71236[[#This Row],[DEF]],Table712[DEF],Table712[TD])+_xlfn.XLOOKUP(Table71236[[#This Row],[DEF]],Table948[Defense],Table948[WR2]))/2</f>
        <v>0.26470588235294118</v>
      </c>
      <c r="AL29" s="119">
        <f t="shared" si="2"/>
        <v>3.6666666666666665</v>
      </c>
      <c r="AM29" s="119">
        <v>2</v>
      </c>
      <c r="AN29" s="119">
        <f>_xlfn.RANK.AVG(Table832[[#This Row],[Y]],Table832[Y])</f>
        <v>5</v>
      </c>
      <c r="AO29" s="119">
        <v>4</v>
      </c>
      <c r="AP29" s="120" t="s">
        <v>51</v>
      </c>
      <c r="AQ29" s="22">
        <f>(_xlfn.XLOOKUP(Table832[[#This Row],[DEF]],Table8[DEF],Table8[REC])+_xlfn.XLOOKUP(Table832[[#This Row],[DEF]],Table816[DEF],Table816[REC])+_xlfn.XLOOKUP(Table832[[#This Row],[DEF]],Table845[DEF],Table845[REC]))/2</f>
        <v>6.2058823529411766</v>
      </c>
      <c r="AR29" s="22">
        <f>(_xlfn.XLOOKUP(Table832[[#This Row],[DEF]],Table8[DEF],Table8[Y])+_xlfn.XLOOKUP(Table832[[#This Row],[DEF]],Table816[DEF],Table816[Y])+_xlfn.XLOOKUP(Table832[[#This Row],[DEF]],Table845[DEF],Table845[Y]))/2</f>
        <v>61.17647058823529</v>
      </c>
      <c r="AS29" s="22">
        <f>(_xlfn.XLOOKUP(Table832[[#This Row],[DEF]],Table8[DEF],Table8[TD])+_xlfn.XLOOKUP(Table832[[#This Row],[DEF]],Table816[DEF],Table816[TD])+_xlfn.XLOOKUP(Table832[[#This Row],[DEF]],Table845[DEF],Table845[TD]))/2</f>
        <v>0.52941176470588236</v>
      </c>
    </row>
    <row r="30" spans="2:47" ht="14.5" customHeight="1" x14ac:dyDescent="0.35">
      <c r="B30" s="23">
        <v>1</v>
      </c>
      <c r="C30" s="155" t="s">
        <v>1582</v>
      </c>
      <c r="D30" s="23" t="s">
        <v>52</v>
      </c>
      <c r="E30" s="23" t="s">
        <v>46</v>
      </c>
      <c r="G30" s="119">
        <f t="shared" si="0"/>
        <v>22.9</v>
      </c>
      <c r="H30" s="119">
        <v>21</v>
      </c>
      <c r="I30" s="119">
        <v>24</v>
      </c>
      <c r="J30" s="119">
        <f>_xlfn.RANK.AVG(Table123[[#This Row],[P+R]],Table123[P+R])</f>
        <v>23</v>
      </c>
      <c r="K30" s="119">
        <v>26</v>
      </c>
      <c r="L30" s="119">
        <v>20.5</v>
      </c>
      <c r="M30" s="23" t="s">
        <v>52</v>
      </c>
      <c r="N30" s="22">
        <f>(_xlfn.XLOOKUP(Table123[[#This Row],[DEF]],Table1[DEF],Table1[P])+_xlfn.XLOOKUP(Table123[[#This Row],[DEF]],Table14[DEF],Table14[P]))/2</f>
        <v>222.02941176470588</v>
      </c>
      <c r="O30" s="22">
        <f>(_xlfn.XLOOKUP(Table123[[#This Row],[DEF]],Table1[DEF],Table1[R])+_xlfn.XLOOKUP(Table123[[#This Row],[DEF]],Table14[DEF],Table14[R]))/2</f>
        <v>15.823529411764707</v>
      </c>
      <c r="P30" s="22">
        <f>(_xlfn.XLOOKUP(Table123[[#This Row],[DEF]],Table1[DEF],Table1[P+R])+_xlfn.XLOOKUP(Table123[[#This Row],[DEF]],Table14[DEF],Table14[P+R]))/2</f>
        <v>237.85294117647058</v>
      </c>
      <c r="Q30" s="22">
        <f>(_xlfn.XLOOKUP(Table123[[#This Row],[DEF]],Table1[DEF],Table1[P TD])+_xlfn.XLOOKUP(Table123[[#This Row],[DEF]],Table14[DEF],Table14[P TD]))/2</f>
        <v>1.3529411764705883</v>
      </c>
      <c r="R30" s="22">
        <f>(_xlfn.XLOOKUP(Table123[[#This Row],[DEF]],Table1[DEF],Table1[TD])+_xlfn.XLOOKUP(Table123[[#This Row],[DEF]],Table14[DEF],Table14[TD]))/2</f>
        <v>0.17647058823529413</v>
      </c>
      <c r="S30" s="121"/>
      <c r="T30" s="119">
        <f t="shared" si="3"/>
        <v>22</v>
      </c>
      <c r="U30" s="119">
        <v>19</v>
      </c>
      <c r="V30" s="119">
        <f>_xlfn.RANK.AVG(Table731[[#This Row],[Y]],Table731[Y])</f>
        <v>31</v>
      </c>
      <c r="W30" s="119">
        <v>16</v>
      </c>
      <c r="X30" s="23" t="s">
        <v>52</v>
      </c>
      <c r="Y30" s="22">
        <f>(_xlfn.XLOOKUP(Table731[[#This Row],[DEF]],Table7[DEF],Table7[REC])+_xlfn.XLOOKUP(Table731[[#This Row],[DEF]],Table948[Defense],Table948[WR1C]))/2</f>
        <v>4.764705882352942</v>
      </c>
      <c r="Z30" s="22">
        <f>(_xlfn.XLOOKUP(Table731[[#This Row],[DEF]],Table7[DEF],Table7[Y])+_xlfn.XLOOKUP(Table731[[#This Row],[DEF]],Table948[Defense],Table948[WR1Y]))/2</f>
        <v>52.558823529411768</v>
      </c>
      <c r="AA30" s="22">
        <f>(_xlfn.XLOOKUP(Table731[[#This Row],[DEF]],Table7[DEF],Table7[TD])+_xlfn.XLOOKUP(Table731[[#This Row],[DEF]],Table948[Defense],Table948[WR1]))/2</f>
        <v>0.41176470588235292</v>
      </c>
      <c r="AC30" s="119">
        <f t="shared" si="1"/>
        <v>22.666666666666668</v>
      </c>
      <c r="AD30" s="119">
        <v>16</v>
      </c>
      <c r="AE30" s="119">
        <f>_xlfn.RANK.AVG(Table71236[[#This Row],[Y]],Table71236[Y])</f>
        <v>22</v>
      </c>
      <c r="AF30" s="119">
        <v>30</v>
      </c>
      <c r="AG30" s="23" t="s">
        <v>52</v>
      </c>
      <c r="AH30" s="22">
        <f>(_xlfn.XLOOKUP(Table71236[[#This Row],[DEF]],Table712[DEF],Table712[REC])+_xlfn.XLOOKUP(Table71236[[#This Row],[DEF]],Table948[Defense],Table948[WR2C]))/2</f>
        <v>3.5588235294117649</v>
      </c>
      <c r="AI30" s="22">
        <f>(_xlfn.XLOOKUP(Table71236[[#This Row],[DEF]],Table712[DEF],Table712[Y])+_xlfn.XLOOKUP(Table71236[[#This Row],[DEF]],Table948[Defense],Table948[WR2Y]))/2</f>
        <v>42.764705882352942</v>
      </c>
      <c r="AJ30" s="22">
        <f>(_xlfn.XLOOKUP(Table71236[[#This Row],[DEF]],Table712[DEF],Table712[TD])+_xlfn.XLOOKUP(Table71236[[#This Row],[DEF]],Table948[Defense],Table948[WR2]))/2</f>
        <v>0.20588235294117649</v>
      </c>
      <c r="AL30" s="119">
        <f t="shared" si="2"/>
        <v>13.666666666666666</v>
      </c>
      <c r="AM30" s="119">
        <v>9</v>
      </c>
      <c r="AN30" s="119">
        <f>_xlfn.RANK.AVG(Table832[[#This Row],[Y]],Table832[Y])</f>
        <v>7</v>
      </c>
      <c r="AO30" s="119">
        <v>25</v>
      </c>
      <c r="AP30" s="119" t="s">
        <v>52</v>
      </c>
      <c r="AQ30" s="22">
        <f>(_xlfn.XLOOKUP(Table832[[#This Row],[DEF]],Table8[DEF],Table8[REC])+_xlfn.XLOOKUP(Table832[[#This Row],[DEF]],Table816[DEF],Table816[REC])+_xlfn.XLOOKUP(Table832[[#This Row],[DEF]],Table845[DEF],Table845[REC]))/2</f>
        <v>5.617647058823529</v>
      </c>
      <c r="AR30" s="22">
        <f>(_xlfn.XLOOKUP(Table832[[#This Row],[DEF]],Table8[DEF],Table8[Y])+_xlfn.XLOOKUP(Table832[[#This Row],[DEF]],Table816[DEF],Table816[Y])+_xlfn.XLOOKUP(Table832[[#This Row],[DEF]],Table845[DEF],Table845[Y]))/2</f>
        <v>57.941176470588232</v>
      </c>
      <c r="AS30" s="22">
        <f>(_xlfn.XLOOKUP(Table832[[#This Row],[DEF]],Table8[DEF],Table8[TD])+_xlfn.XLOOKUP(Table832[[#This Row],[DEF]],Table816[DEF],Table816[TD])+_xlfn.XLOOKUP(Table832[[#This Row],[DEF]],Table845[DEF],Table845[TD]))/2</f>
        <v>0.29411764705882348</v>
      </c>
    </row>
    <row r="31" spans="2:47" x14ac:dyDescent="0.35">
      <c r="B31" s="23">
        <v>1</v>
      </c>
      <c r="C31" s="155" t="s">
        <v>1198</v>
      </c>
      <c r="D31" s="21" t="s">
        <v>53</v>
      </c>
      <c r="E31" s="23" t="s">
        <v>1198</v>
      </c>
      <c r="G31" s="119">
        <f t="shared" si="0"/>
        <v>20.7</v>
      </c>
      <c r="H31" s="119">
        <v>20</v>
      </c>
      <c r="I31" s="119">
        <v>29</v>
      </c>
      <c r="J31" s="119">
        <f>_xlfn.RANK.AVG(Table123[[#This Row],[P+R]],Table123[P+R])</f>
        <v>24</v>
      </c>
      <c r="K31" s="119">
        <v>10</v>
      </c>
      <c r="L31" s="119">
        <v>20.5</v>
      </c>
      <c r="M31" s="21" t="s">
        <v>53</v>
      </c>
      <c r="N31" s="22">
        <f>(_xlfn.XLOOKUP(Table123[[#This Row],[DEF]],Table1[DEF],Table1[P])+_xlfn.XLOOKUP(Table123[[#This Row],[DEF]],Table14[DEF],Table14[P]))/2</f>
        <v>223.11764705882354</v>
      </c>
      <c r="O31" s="22">
        <f>(_xlfn.XLOOKUP(Table123[[#This Row],[DEF]],Table1[DEF],Table1[R])+_xlfn.XLOOKUP(Table123[[#This Row],[DEF]],Table14[DEF],Table14[R]))/2</f>
        <v>14.705882352941176</v>
      </c>
      <c r="P31" s="22">
        <f>(_xlfn.XLOOKUP(Table123[[#This Row],[DEF]],Table1[DEF],Table1[P+R])+_xlfn.XLOOKUP(Table123[[#This Row],[DEF]],Table14[DEF],Table14[P+R]))/2</f>
        <v>237.8235294117647</v>
      </c>
      <c r="Q31" s="22">
        <f>(_xlfn.XLOOKUP(Table123[[#This Row],[DEF]],Table1[DEF],Table1[P TD])+_xlfn.XLOOKUP(Table123[[#This Row],[DEF]],Table14[DEF],Table14[P TD]))/2</f>
        <v>1.5882352941176472</v>
      </c>
      <c r="R31" s="22">
        <f>(_xlfn.XLOOKUP(Table123[[#This Row],[DEF]],Table1[DEF],Table1[TD])+_xlfn.XLOOKUP(Table123[[#This Row],[DEF]],Table14[DEF],Table14[TD]))/2</f>
        <v>0.17647058823529413</v>
      </c>
      <c r="S31" s="121"/>
      <c r="T31" s="119">
        <f t="shared" si="3"/>
        <v>27.166666666666668</v>
      </c>
      <c r="U31" s="119">
        <v>21.5</v>
      </c>
      <c r="V31" s="119">
        <f>_xlfn.RANK.AVG(Table731[[#This Row],[Y]],Table731[Y])</f>
        <v>32</v>
      </c>
      <c r="W31" s="119">
        <v>28</v>
      </c>
      <c r="X31" s="21" t="s">
        <v>53</v>
      </c>
      <c r="Y31" s="22">
        <f>(_xlfn.XLOOKUP(Table731[[#This Row],[DEF]],Table7[DEF],Table7[REC])+_xlfn.XLOOKUP(Table731[[#This Row],[DEF]],Table948[Defense],Table948[WR1C]))/2</f>
        <v>4.7352941176470589</v>
      </c>
      <c r="Z31" s="22">
        <f>(_xlfn.XLOOKUP(Table731[[#This Row],[DEF]],Table7[DEF],Table7[Y])+_xlfn.XLOOKUP(Table731[[#This Row],[DEF]],Table948[Defense],Table948[WR1Y]))/2</f>
        <v>52.205882352941174</v>
      </c>
      <c r="AA31" s="22">
        <f>(_xlfn.XLOOKUP(Table731[[#This Row],[DEF]],Table7[DEF],Table7[TD])+_xlfn.XLOOKUP(Table731[[#This Row],[DEF]],Table948[Defense],Table948[WR1]))/2</f>
        <v>0.29411764705882354</v>
      </c>
      <c r="AC31" s="119">
        <f t="shared" si="1"/>
        <v>3</v>
      </c>
      <c r="AD31" s="119">
        <v>5</v>
      </c>
      <c r="AE31" s="119">
        <f>_xlfn.RANK.AVG(Table71236[[#This Row],[Y]],Table71236[Y])</f>
        <v>3</v>
      </c>
      <c r="AF31" s="119">
        <v>1</v>
      </c>
      <c r="AG31" s="21" t="s">
        <v>53</v>
      </c>
      <c r="AH31" s="22">
        <f>(_xlfn.XLOOKUP(Table71236[[#This Row],[DEF]],Table712[DEF],Table712[REC])+_xlfn.XLOOKUP(Table71236[[#This Row],[DEF]],Table948[Defense],Table948[WR2C]))/2</f>
        <v>3.9117647058823528</v>
      </c>
      <c r="AI31" s="22">
        <f>(_xlfn.XLOOKUP(Table71236[[#This Row],[DEF]],Table712[DEF],Table712[Y])+_xlfn.XLOOKUP(Table71236[[#This Row],[DEF]],Table948[Defense],Table948[WR2Y]))/2</f>
        <v>53.294117647058826</v>
      </c>
      <c r="AJ31" s="22">
        <f>(_xlfn.XLOOKUP(Table71236[[#This Row],[DEF]],Table712[DEF],Table712[TD])+_xlfn.XLOOKUP(Table71236[[#This Row],[DEF]],Table948[Defense],Table948[WR2]))/2</f>
        <v>0.5</v>
      </c>
      <c r="AL31" s="119">
        <f t="shared" si="2"/>
        <v>15</v>
      </c>
      <c r="AM31" s="119">
        <v>16</v>
      </c>
      <c r="AN31" s="119">
        <f>_xlfn.RANK.AVG(Table832[[#This Row],[Y]],Table832[Y])</f>
        <v>22</v>
      </c>
      <c r="AO31" s="119">
        <v>7</v>
      </c>
      <c r="AP31" s="120" t="s">
        <v>53</v>
      </c>
      <c r="AQ31" s="22">
        <f>(_xlfn.XLOOKUP(Table832[[#This Row],[DEF]],Table8[DEF],Table8[REC])+_xlfn.XLOOKUP(Table832[[#This Row],[DEF]],Table816[DEF],Table816[REC])+_xlfn.XLOOKUP(Table832[[#This Row],[DEF]],Table845[DEF],Table845[REC]))/2</f>
        <v>5.2058823529411766</v>
      </c>
      <c r="AR31" s="22">
        <f>(_xlfn.XLOOKUP(Table832[[#This Row],[DEF]],Table8[DEF],Table8[Y])+_xlfn.XLOOKUP(Table832[[#This Row],[DEF]],Table816[DEF],Table816[Y])+_xlfn.XLOOKUP(Table832[[#This Row],[DEF]],Table845[DEF],Table845[Y]))/2</f>
        <v>48.911764705882348</v>
      </c>
      <c r="AS31" s="22">
        <f>(_xlfn.XLOOKUP(Table832[[#This Row],[DEF]],Table8[DEF],Table8[TD])+_xlfn.XLOOKUP(Table832[[#This Row],[DEF]],Table816[DEF],Table816[TD])+_xlfn.XLOOKUP(Table832[[#This Row],[DEF]],Table845[DEF],Table845[TD]))/2</f>
        <v>0.47058823529411764</v>
      </c>
    </row>
    <row r="32" spans="2:47" x14ac:dyDescent="0.35">
      <c r="B32" s="23">
        <v>1</v>
      </c>
      <c r="C32" s="155" t="s">
        <v>1198</v>
      </c>
      <c r="D32" s="23" t="s">
        <v>54</v>
      </c>
      <c r="E32" s="23" t="s">
        <v>1198</v>
      </c>
      <c r="G32" s="119">
        <f t="shared" si="0"/>
        <v>2.4</v>
      </c>
      <c r="H32" s="119">
        <v>2</v>
      </c>
      <c r="I32" s="119">
        <v>6</v>
      </c>
      <c r="J32" s="119">
        <f>_xlfn.RANK.AVG(Table123[[#This Row],[P+R]],Table123[P+R])</f>
        <v>1</v>
      </c>
      <c r="K32" s="119">
        <v>1</v>
      </c>
      <c r="L32" s="119">
        <v>2</v>
      </c>
      <c r="M32" s="23" t="s">
        <v>54</v>
      </c>
      <c r="N32" s="22">
        <f>(_xlfn.XLOOKUP(Table123[[#This Row],[DEF]],Table1[DEF],Table1[P])+_xlfn.XLOOKUP(Table123[[#This Row],[DEF]],Table14[DEF],Table14[P]))/2</f>
        <v>258.70588235294116</v>
      </c>
      <c r="O32" s="22">
        <f>(_xlfn.XLOOKUP(Table123[[#This Row],[DEF]],Table1[DEF],Table1[R])+_xlfn.XLOOKUP(Table123[[#This Row],[DEF]],Table14[DEF],Table14[R]))/2</f>
        <v>22.882352941176471</v>
      </c>
      <c r="P32" s="22">
        <f>(_xlfn.XLOOKUP(Table123[[#This Row],[DEF]],Table1[DEF],Table1[P+R])+_xlfn.XLOOKUP(Table123[[#This Row],[DEF]],Table14[DEF],Table14[P+R]))/2</f>
        <v>281.58823529411768</v>
      </c>
      <c r="Q32" s="22">
        <f>(_xlfn.XLOOKUP(Table123[[#This Row],[DEF]],Table1[DEF],Table1[P TD])+_xlfn.XLOOKUP(Table123[[#This Row],[DEF]],Table14[DEF],Table14[P TD]))/2</f>
        <v>2</v>
      </c>
      <c r="R32" s="22">
        <f>(_xlfn.XLOOKUP(Table123[[#This Row],[DEF]],Table1[DEF],Table1[TD])+_xlfn.XLOOKUP(Table123[[#This Row],[DEF]],Table14[DEF],Table14[TD]))/2</f>
        <v>0.35294117647058826</v>
      </c>
      <c r="S32" s="121"/>
      <c r="T32" s="119">
        <f t="shared" si="3"/>
        <v>12.833333333333334</v>
      </c>
      <c r="U32" s="119">
        <v>5.5</v>
      </c>
      <c r="V32" s="119">
        <f>_xlfn.RANK.AVG(Table731[[#This Row],[Y]],Table731[Y])</f>
        <v>17</v>
      </c>
      <c r="W32" s="119">
        <v>16</v>
      </c>
      <c r="X32" s="23" t="s">
        <v>54</v>
      </c>
      <c r="Y32" s="22">
        <f>(_xlfn.XLOOKUP(Table731[[#This Row],[DEF]],Table7[DEF],Table7[REC])+_xlfn.XLOOKUP(Table731[[#This Row],[DEF]],Table948[Defense],Table948[WR1C]))/2</f>
        <v>5.2647058823529411</v>
      </c>
      <c r="Z32" s="22">
        <f>(_xlfn.XLOOKUP(Table731[[#This Row],[DEF]],Table7[DEF],Table7[Y])+_xlfn.XLOOKUP(Table731[[#This Row],[DEF]],Table948[Defense],Table948[WR1Y]))/2</f>
        <v>63.235294117647058</v>
      </c>
      <c r="AA32" s="22">
        <f>(_xlfn.XLOOKUP(Table731[[#This Row],[DEF]],Table7[DEF],Table7[TD])+_xlfn.XLOOKUP(Table731[[#This Row],[DEF]],Table948[Defense],Table948[WR1]))/2</f>
        <v>0.41176470588235292</v>
      </c>
      <c r="AC32" s="119">
        <f t="shared" si="1"/>
        <v>12.166666666666666</v>
      </c>
      <c r="AD32" s="119">
        <v>9</v>
      </c>
      <c r="AE32" s="119">
        <f>_xlfn.RANK.AVG(Table71236[[#This Row],[Y]],Table71236[Y])</f>
        <v>9</v>
      </c>
      <c r="AF32" s="119">
        <v>18.5</v>
      </c>
      <c r="AG32" s="23" t="s">
        <v>54</v>
      </c>
      <c r="AH32" s="22">
        <f>(_xlfn.XLOOKUP(Table71236[[#This Row],[DEF]],Table712[DEF],Table712[REC])+_xlfn.XLOOKUP(Table71236[[#This Row],[DEF]],Table948[Defense],Table948[WR2C]))/2</f>
        <v>3.7941176470588234</v>
      </c>
      <c r="AI32" s="22">
        <f>(_xlfn.XLOOKUP(Table71236[[#This Row],[DEF]],Table712[DEF],Table712[Y])+_xlfn.XLOOKUP(Table71236[[#This Row],[DEF]],Table948[Defense],Table948[WR2Y]))/2</f>
        <v>48.058823529411768</v>
      </c>
      <c r="AJ32" s="22">
        <f>(_xlfn.XLOOKUP(Table71236[[#This Row],[DEF]],Table712[DEF],Table712[TD])+_xlfn.XLOOKUP(Table71236[[#This Row],[DEF]],Table948[Defense],Table948[WR2]))/2</f>
        <v>0.29411764705882354</v>
      </c>
      <c r="AL32" s="119">
        <f t="shared" si="2"/>
        <v>4.333333333333333</v>
      </c>
      <c r="AM32" s="119">
        <v>3</v>
      </c>
      <c r="AN32" s="119">
        <f>_xlfn.RANK.AVG(Table832[[#This Row],[Y]],Table832[Y])</f>
        <v>3</v>
      </c>
      <c r="AO32" s="119">
        <v>7</v>
      </c>
      <c r="AP32" s="119" t="s">
        <v>54</v>
      </c>
      <c r="AQ32" s="22">
        <f>(_xlfn.XLOOKUP(Table832[[#This Row],[DEF]],Table8[DEF],Table8[REC])+_xlfn.XLOOKUP(Table832[[#This Row],[DEF]],Table816[DEF],Table816[REC])+_xlfn.XLOOKUP(Table832[[#This Row],[DEF]],Table845[DEF],Table845[REC]))/2</f>
        <v>6.0882352941176467</v>
      </c>
      <c r="AR32" s="22">
        <f>(_xlfn.XLOOKUP(Table832[[#This Row],[DEF]],Table8[DEF],Table8[Y])+_xlfn.XLOOKUP(Table832[[#This Row],[DEF]],Table816[DEF],Table816[Y])+_xlfn.XLOOKUP(Table832[[#This Row],[DEF]],Table845[DEF],Table845[Y]))/2</f>
        <v>63.176470588235297</v>
      </c>
      <c r="AS32" s="22">
        <f>(_xlfn.XLOOKUP(Table832[[#This Row],[DEF]],Table8[DEF],Table8[TD])+_xlfn.XLOOKUP(Table832[[#This Row],[DEF]],Table816[DEF],Table816[TD])+_xlfn.XLOOKUP(Table832[[#This Row],[DEF]],Table845[DEF],Table845[TD]))/2</f>
        <v>0.47058823529411764</v>
      </c>
    </row>
    <row r="33" spans="2:45" x14ac:dyDescent="0.35">
      <c r="B33" s="23">
        <v>1</v>
      </c>
      <c r="C33" s="155" t="s">
        <v>1198</v>
      </c>
      <c r="D33" s="21" t="s">
        <v>55</v>
      </c>
      <c r="E33" s="23" t="s">
        <v>1198</v>
      </c>
      <c r="G33" s="119">
        <f t="shared" si="0"/>
        <v>13.4</v>
      </c>
      <c r="H33" s="119">
        <v>25.5</v>
      </c>
      <c r="I33" s="119">
        <v>7</v>
      </c>
      <c r="J33" s="119">
        <f>_xlfn.RANK.AVG(Table123[[#This Row],[P+R]],Table123[P+R])</f>
        <v>20</v>
      </c>
      <c r="K33" s="119">
        <v>6</v>
      </c>
      <c r="L33" s="119">
        <v>8.5</v>
      </c>
      <c r="M33" s="21" t="s">
        <v>55</v>
      </c>
      <c r="N33" s="22">
        <f>(_xlfn.XLOOKUP(Table123[[#This Row],[DEF]],Table1[DEF],Table1[P])+_xlfn.XLOOKUP(Table123[[#This Row],[DEF]],Table14[DEF],Table14[P]))/2</f>
        <v>218.73529411764707</v>
      </c>
      <c r="O33" s="22">
        <f>(_xlfn.XLOOKUP(Table123[[#This Row],[DEF]],Table1[DEF],Table1[R])+_xlfn.XLOOKUP(Table123[[#This Row],[DEF]],Table14[DEF],Table14[R]))/2</f>
        <v>22.5</v>
      </c>
      <c r="P33" s="22">
        <f>(_xlfn.XLOOKUP(Table123[[#This Row],[DEF]],Table1[DEF],Table1[P+R])+_xlfn.XLOOKUP(Table123[[#This Row],[DEF]],Table14[DEF],Table14[P+R]))/2</f>
        <v>241.23529411764704</v>
      </c>
      <c r="Q33" s="22">
        <f>(_xlfn.XLOOKUP(Table123[[#This Row],[DEF]],Table1[DEF],Table1[P TD])+_xlfn.XLOOKUP(Table123[[#This Row],[DEF]],Table14[DEF],Table14[P TD]))/2</f>
        <v>1.6764705882352939</v>
      </c>
      <c r="R33" s="22">
        <f>(_xlfn.XLOOKUP(Table123[[#This Row],[DEF]],Table1[DEF],Table1[TD])+_xlfn.XLOOKUP(Table123[[#This Row],[DEF]],Table14[DEF],Table14[TD]))/2</f>
        <v>0.26470588235294118</v>
      </c>
      <c r="S33" s="121"/>
      <c r="T33" s="119">
        <f t="shared" si="3"/>
        <v>8.6666666666666661</v>
      </c>
      <c r="U33" s="119">
        <v>9</v>
      </c>
      <c r="V33" s="119">
        <f>_xlfn.RANK.AVG(Table731[[#This Row],[Y]],Table731[Y])</f>
        <v>11</v>
      </c>
      <c r="W33" s="119">
        <v>6</v>
      </c>
      <c r="X33" s="21" t="s">
        <v>55</v>
      </c>
      <c r="Y33" s="22">
        <f>(_xlfn.XLOOKUP(Table731[[#This Row],[DEF]],Table7[DEF],Table7[REC])+_xlfn.XLOOKUP(Table731[[#This Row],[DEF]],Table948[Defense],Table948[WR1C]))/2</f>
        <v>5.1764705882352944</v>
      </c>
      <c r="Z33" s="22">
        <f>(_xlfn.XLOOKUP(Table731[[#This Row],[DEF]],Table7[DEF],Table7[Y])+_xlfn.XLOOKUP(Table731[[#This Row],[DEF]],Table948[Defense],Table948[WR1Y]))/2</f>
        <v>64.823529411764696</v>
      </c>
      <c r="AA33" s="22">
        <f>(_xlfn.XLOOKUP(Table731[[#This Row],[DEF]],Table7[DEF],Table7[TD])+_xlfn.XLOOKUP(Table731[[#This Row],[DEF]],Table948[Defense],Table948[WR1]))/2</f>
        <v>0.52941176470588236</v>
      </c>
      <c r="AC33" s="119">
        <f t="shared" si="1"/>
        <v>14.833333333333334</v>
      </c>
      <c r="AD33" s="119">
        <v>21</v>
      </c>
      <c r="AE33" s="119">
        <f>_xlfn.RANK.AVG(Table71236[[#This Row],[Y]],Table71236[Y])</f>
        <v>10</v>
      </c>
      <c r="AF33" s="119">
        <v>13.5</v>
      </c>
      <c r="AG33" s="21" t="s">
        <v>55</v>
      </c>
      <c r="AH33" s="22">
        <f>(_xlfn.XLOOKUP(Table71236[[#This Row],[DEF]],Table712[DEF],Table712[REC])+_xlfn.XLOOKUP(Table71236[[#This Row],[DEF]],Table948[Defense],Table948[WR2C]))/2</f>
        <v>3.3823529411764706</v>
      </c>
      <c r="AI33" s="22">
        <f>(_xlfn.XLOOKUP(Table71236[[#This Row],[DEF]],Table712[DEF],Table712[Y])+_xlfn.XLOOKUP(Table71236[[#This Row],[DEF]],Table948[Defense],Table948[WR2Y]))/2</f>
        <v>48.029411764705884</v>
      </c>
      <c r="AJ33" s="22">
        <f>(_xlfn.XLOOKUP(Table71236[[#This Row],[DEF]],Table712[DEF],Table712[TD])+_xlfn.XLOOKUP(Table71236[[#This Row],[DEF]],Table948[Defense],Table948[WR2]))/2</f>
        <v>0.3529411764705882</v>
      </c>
      <c r="AL33" s="119">
        <f t="shared" si="2"/>
        <v>21.666666666666668</v>
      </c>
      <c r="AM33" s="119">
        <v>22.5</v>
      </c>
      <c r="AN33" s="119">
        <f>_xlfn.RANK.AVG(Table832[[#This Row],[Y]],Table832[Y])</f>
        <v>27</v>
      </c>
      <c r="AO33" s="119">
        <v>15.5</v>
      </c>
      <c r="AP33" s="120" t="s">
        <v>55</v>
      </c>
      <c r="AQ33" s="22">
        <f>(_xlfn.XLOOKUP(Table832[[#This Row],[DEF]],Table8[DEF],Table8[REC])+_xlfn.XLOOKUP(Table832[[#This Row],[DEF]],Table816[DEF],Table816[REC])+_xlfn.XLOOKUP(Table832[[#This Row],[DEF]],Table845[DEF],Table845[REC]))/2</f>
        <v>4.7941176470588243</v>
      </c>
      <c r="AR33" s="22">
        <f>(_xlfn.XLOOKUP(Table832[[#This Row],[DEF]],Table8[DEF],Table8[Y])+_xlfn.XLOOKUP(Table832[[#This Row],[DEF]],Table816[DEF],Table816[Y])+_xlfn.XLOOKUP(Table832[[#This Row],[DEF]],Table845[DEF],Table845[Y]))/2</f>
        <v>46.617647058823536</v>
      </c>
      <c r="AS33" s="22">
        <f>(_xlfn.XLOOKUP(Table832[[#This Row],[DEF]],Table8[DEF],Table8[TD])+_xlfn.XLOOKUP(Table832[[#This Row],[DEF]],Table816[DEF],Table816[TD])+_xlfn.XLOOKUP(Table832[[#This Row],[DEF]],Table845[DEF],Table845[TD]))/2</f>
        <v>0.41176470588235292</v>
      </c>
    </row>
    <row r="34" spans="2:45" x14ac:dyDescent="0.35">
      <c r="B34" s="23">
        <v>1</v>
      </c>
      <c r="C34" s="157" t="s">
        <v>1198</v>
      </c>
      <c r="D34" s="123" t="s">
        <v>56</v>
      </c>
      <c r="E34" s="123" t="s">
        <v>1198</v>
      </c>
      <c r="G34" s="124">
        <f t="shared" si="0"/>
        <v>15.2</v>
      </c>
      <c r="H34" s="124">
        <v>12</v>
      </c>
      <c r="I34" s="124">
        <v>17</v>
      </c>
      <c r="J34" s="124">
        <f>_xlfn.RANK.AVG(Table123[[#This Row],[P+R]],Table123[P+R])</f>
        <v>14</v>
      </c>
      <c r="K34" s="124">
        <v>5</v>
      </c>
      <c r="L34" s="124">
        <v>28</v>
      </c>
      <c r="M34" s="123" t="s">
        <v>56</v>
      </c>
      <c r="N34" s="22">
        <f>(_xlfn.XLOOKUP(Table123[[#This Row],[DEF]],Table1[DEF],Table1[P])+_xlfn.XLOOKUP(Table123[[#This Row],[DEF]],Table14[DEF],Table14[P]))/2</f>
        <v>231.26470588235293</v>
      </c>
      <c r="O34" s="22">
        <f>(_xlfn.XLOOKUP(Table123[[#This Row],[DEF]],Table1[DEF],Table1[R])+_xlfn.XLOOKUP(Table123[[#This Row],[DEF]],Table14[DEF],Table14[R]))/2</f>
        <v>19.558823529411764</v>
      </c>
      <c r="P34" s="22">
        <f>(_xlfn.XLOOKUP(Table123[[#This Row],[DEF]],Table1[DEF],Table1[P+R])+_xlfn.XLOOKUP(Table123[[#This Row],[DEF]],Table14[DEF],Table14[P+R]))/2</f>
        <v>250.82352941176472</v>
      </c>
      <c r="Q34" s="22">
        <f>(_xlfn.XLOOKUP(Table123[[#This Row],[DEF]],Table1[DEF],Table1[P TD])+_xlfn.XLOOKUP(Table123[[#This Row],[DEF]],Table14[DEF],Table14[P TD]))/2</f>
        <v>1.7058823529411766</v>
      </c>
      <c r="R34" s="22">
        <f>(_xlfn.XLOOKUP(Table123[[#This Row],[DEF]],Table1[DEF],Table1[TD])+_xlfn.XLOOKUP(Table123[[#This Row],[DEF]],Table14[DEF],Table14[TD]))/2</f>
        <v>8.8235294117647051E-2</v>
      </c>
      <c r="S34" s="121"/>
      <c r="T34" s="119">
        <f t="shared" si="3"/>
        <v>7.166666666666667</v>
      </c>
      <c r="U34" s="119">
        <v>5.5</v>
      </c>
      <c r="V34" s="119">
        <f>_xlfn.RANK.AVG(Table731[[#This Row],[Y]],Table731[Y])</f>
        <v>7</v>
      </c>
      <c r="W34" s="119">
        <v>9</v>
      </c>
      <c r="X34" s="23" t="s">
        <v>56</v>
      </c>
      <c r="Y34" s="22">
        <f>(_xlfn.XLOOKUP(Table731[[#This Row],[DEF]],Table7[DEF],Table7[REC])+_xlfn.XLOOKUP(Table731[[#This Row],[DEF]],Table948[Defense],Table948[WR1C]))/2</f>
        <v>5.2647058823529411</v>
      </c>
      <c r="Z34" s="22">
        <f>(_xlfn.XLOOKUP(Table731[[#This Row],[DEF]],Table7[DEF],Table7[Y])+_xlfn.XLOOKUP(Table731[[#This Row],[DEF]],Table948[Defense],Table948[WR1Y]))/2</f>
        <v>67.970588235294116</v>
      </c>
      <c r="AA34" s="22">
        <f>(_xlfn.XLOOKUP(Table731[[#This Row],[DEF]],Table7[DEF],Table7[TD])+_xlfn.XLOOKUP(Table731[[#This Row],[DEF]],Table948[Defense],Table948[WR1]))/2</f>
        <v>0.47058823529411764</v>
      </c>
      <c r="AC34" s="119">
        <f t="shared" si="1"/>
        <v>15.5</v>
      </c>
      <c r="AD34" s="119">
        <v>15</v>
      </c>
      <c r="AE34" s="119">
        <f>_xlfn.RANK.AVG(Table71236[[#This Row],[Y]],Table71236[Y])</f>
        <v>13</v>
      </c>
      <c r="AF34" s="119">
        <v>18.5</v>
      </c>
      <c r="AG34" s="23" t="s">
        <v>56</v>
      </c>
      <c r="AH34" s="22">
        <f>(_xlfn.XLOOKUP(Table71236[[#This Row],[DEF]],Table712[DEF],Table712[REC])+_xlfn.XLOOKUP(Table71236[[#This Row],[DEF]],Table948[Defense],Table948[WR2C]))/2</f>
        <v>3.617647058823529</v>
      </c>
      <c r="AI34" s="22">
        <f>(_xlfn.XLOOKUP(Table71236[[#This Row],[DEF]],Table712[DEF],Table712[Y])+_xlfn.XLOOKUP(Table71236[[#This Row],[DEF]],Table948[Defense],Table948[WR2Y]))/2</f>
        <v>47.235294117647058</v>
      </c>
      <c r="AJ34" s="22">
        <f>(_xlfn.XLOOKUP(Table71236[[#This Row],[DEF]],Table712[DEF],Table712[TD])+_xlfn.XLOOKUP(Table71236[[#This Row],[DEF]],Table948[Defense],Table948[WR2]))/2</f>
        <v>0.29411764705882354</v>
      </c>
      <c r="AL34" s="119">
        <f t="shared" si="2"/>
        <v>16.5</v>
      </c>
      <c r="AM34" s="119">
        <v>28</v>
      </c>
      <c r="AN34" s="119">
        <f>_xlfn.RANK.AVG(Table832[[#This Row],[Y]],Table832[Y])</f>
        <v>19.5</v>
      </c>
      <c r="AO34" s="119">
        <v>2</v>
      </c>
      <c r="AP34" s="119" t="s">
        <v>56</v>
      </c>
      <c r="AQ34" s="22">
        <f>(_xlfn.XLOOKUP(Table832[[#This Row],[DEF]],Table8[DEF],Table8[REC])+_xlfn.XLOOKUP(Table832[[#This Row],[DEF]],Table816[DEF],Table816[REC])+_xlfn.XLOOKUP(Table832[[#This Row],[DEF]],Table845[DEF],Table845[REC]))/2</f>
        <v>4.5588235294117645</v>
      </c>
      <c r="AR34" s="22">
        <f>(_xlfn.XLOOKUP(Table832[[#This Row],[DEF]],Table8[DEF],Table8[Y])+_xlfn.XLOOKUP(Table832[[#This Row],[DEF]],Table816[DEF],Table816[Y])+_xlfn.XLOOKUP(Table832[[#This Row],[DEF]],Table845[DEF],Table845[Y]))/2</f>
        <v>50.529411764705884</v>
      </c>
      <c r="AS34" s="22">
        <f>(_xlfn.XLOOKUP(Table832[[#This Row],[DEF]],Table8[DEF],Table8[TD])+_xlfn.XLOOKUP(Table832[[#This Row],[DEF]],Table816[DEF],Table816[TD])+_xlfn.XLOOKUP(Table832[[#This Row],[DEF]],Table845[DEF],Table845[TD]))/2</f>
        <v>0.61764705882352944</v>
      </c>
    </row>
    <row r="35" spans="2:45" ht="7" customHeight="1" x14ac:dyDescent="0.35">
      <c r="D35" s="72"/>
      <c r="E35" s="72"/>
      <c r="H35" s="126"/>
      <c r="I35" s="126"/>
      <c r="J35" s="126"/>
      <c r="K35" s="126"/>
      <c r="L35" s="126"/>
      <c r="M35" s="72"/>
      <c r="N35" s="122"/>
      <c r="O35" s="122"/>
      <c r="P35" s="122"/>
      <c r="Q35" s="121"/>
      <c r="R35" s="121"/>
      <c r="S35" s="121"/>
      <c r="U35" s="126"/>
      <c r="V35" s="126"/>
      <c r="W35" s="126"/>
      <c r="X35" s="126"/>
      <c r="Y35" s="126"/>
      <c r="Z35" s="72"/>
      <c r="AA35" s="122"/>
      <c r="AC35" s="122"/>
      <c r="AD35" s="122"/>
      <c r="AE35" s="122"/>
      <c r="AF35" s="121"/>
      <c r="AH35" s="126"/>
      <c r="AI35" s="126"/>
      <c r="AJ35" s="126"/>
      <c r="AL35" s="126"/>
      <c r="AM35" s="126"/>
      <c r="AN35" s="72"/>
      <c r="AO35" s="122"/>
      <c r="AP35" s="122"/>
      <c r="AQ35" s="122"/>
      <c r="AR35" s="122"/>
      <c r="AS35" s="121"/>
    </row>
    <row r="36" spans="2:45" ht="16" x14ac:dyDescent="0.4">
      <c r="B36" s="158"/>
      <c r="C36" s="158"/>
      <c r="D36" s="210" t="s">
        <v>101</v>
      </c>
      <c r="E36" s="211"/>
      <c r="G36" s="212" t="s">
        <v>684</v>
      </c>
      <c r="H36" s="212"/>
      <c r="I36" s="212"/>
      <c r="J36" s="212"/>
      <c r="K36" s="212"/>
      <c r="L36" s="213"/>
      <c r="M36" s="214" t="s">
        <v>685</v>
      </c>
      <c r="N36" s="215"/>
      <c r="O36" s="215"/>
      <c r="P36" s="215"/>
      <c r="Q36" s="215"/>
      <c r="R36" s="216"/>
      <c r="S36" s="121"/>
      <c r="T36" s="205" t="s">
        <v>684</v>
      </c>
      <c r="U36" s="205"/>
      <c r="V36" s="205"/>
      <c r="W36" s="206"/>
      <c r="X36" s="217" t="s">
        <v>680</v>
      </c>
      <c r="Y36" s="217"/>
      <c r="Z36" s="217"/>
      <c r="AA36" s="217"/>
      <c r="AC36" s="205" t="s">
        <v>684</v>
      </c>
      <c r="AD36" s="205"/>
      <c r="AE36" s="205"/>
      <c r="AF36" s="206"/>
      <c r="AG36" s="207" t="s">
        <v>683</v>
      </c>
      <c r="AH36" s="208"/>
      <c r="AI36" s="208"/>
      <c r="AJ36" s="209"/>
    </row>
    <row r="37" spans="2:45" s="129" customFormat="1" ht="14.5" customHeight="1" x14ac:dyDescent="0.35">
      <c r="B37" s="156" t="s">
        <v>739</v>
      </c>
      <c r="C37" s="156" t="s">
        <v>739</v>
      </c>
      <c r="D37" s="61" t="s">
        <v>105</v>
      </c>
      <c r="E37" s="128" t="s">
        <v>72</v>
      </c>
      <c r="G37" s="130" t="s">
        <v>649</v>
      </c>
      <c r="H37" s="139" t="s">
        <v>74</v>
      </c>
      <c r="I37" s="130" t="s">
        <v>98</v>
      </c>
      <c r="J37" s="130" t="s">
        <v>104</v>
      </c>
      <c r="K37" s="130" t="s">
        <v>95</v>
      </c>
      <c r="L37" s="130" t="s">
        <v>72</v>
      </c>
      <c r="M37" s="140" t="s">
        <v>105</v>
      </c>
      <c r="N37" s="140" t="s">
        <v>74</v>
      </c>
      <c r="O37" s="140" t="s">
        <v>98</v>
      </c>
      <c r="P37" s="140" t="s">
        <v>104</v>
      </c>
      <c r="Q37" s="140" t="s">
        <v>95</v>
      </c>
      <c r="R37" s="140" t="s">
        <v>72</v>
      </c>
      <c r="S37" s="121"/>
      <c r="T37" s="130" t="s">
        <v>649</v>
      </c>
      <c r="U37" s="133" t="s">
        <v>98</v>
      </c>
      <c r="V37" s="133" t="s">
        <v>104</v>
      </c>
      <c r="W37" s="133" t="s">
        <v>72</v>
      </c>
      <c r="X37" s="61" t="s">
        <v>105</v>
      </c>
      <c r="Y37" s="134" t="s">
        <v>98</v>
      </c>
      <c r="Z37" s="134" t="s">
        <v>104</v>
      </c>
      <c r="AA37" s="134" t="s">
        <v>72</v>
      </c>
      <c r="AC37" s="130" t="s">
        <v>649</v>
      </c>
      <c r="AD37" s="133" t="s">
        <v>98</v>
      </c>
      <c r="AE37" s="133" t="s">
        <v>104</v>
      </c>
      <c r="AF37" s="133" t="s">
        <v>72</v>
      </c>
      <c r="AG37" s="61" t="s">
        <v>105</v>
      </c>
      <c r="AH37" s="134" t="s">
        <v>98</v>
      </c>
      <c r="AI37" s="134" t="s">
        <v>104</v>
      </c>
      <c r="AJ37" s="134" t="s">
        <v>72</v>
      </c>
    </row>
    <row r="38" spans="2:45" x14ac:dyDescent="0.35">
      <c r="B38" s="155" t="str">
        <f>C3</f>
        <v>n/a</v>
      </c>
      <c r="C38" s="119" cm="1">
        <f t="array" ref="C38:C69">_xlfn.RANK.AVG(Table1033[TD],Table1033[TD])</f>
        <v>11</v>
      </c>
      <c r="D38" s="21" t="s">
        <v>0</v>
      </c>
      <c r="E38" s="22">
        <f>(_xlfn.XLOOKUP(Table1033[[#This Row],[DEF]],Table10[DEF],Table10[TD])+_xlfn.XLOOKUP(Table1033[[#This Row],[DEF]],Table1046[DEF],Table1046[TD]))/2</f>
        <v>0.14705882352941177</v>
      </c>
      <c r="G38" s="119">
        <f>AVERAGE(H38:L38)</f>
        <v>6</v>
      </c>
      <c r="H38" s="119" cm="1">
        <f t="array" ref="H38:H69">_xlfn.RANK.AVG(Table2040[R],Table2040[R])</f>
        <v>5</v>
      </c>
      <c r="I38" s="119" cm="1">
        <f t="array" ref="I38:I69">_xlfn.RANK.AVG(Table2040[REC],Table2040[REC])</f>
        <v>10</v>
      </c>
      <c r="J38" s="119" cm="1">
        <f t="array" ref="J38:J69">_xlfn.RANK.AVG(Table2040[Y],Table2040[Y])</f>
        <v>9</v>
      </c>
      <c r="K38" s="119" cm="1">
        <f t="array" ref="K38:K69">_xlfn.RANK.AVG(Table2040[R+R],Table2040[R+R])</f>
        <v>3</v>
      </c>
      <c r="L38" s="119" cm="1">
        <f t="array" ref="L38:L69">_xlfn.RANK.AVG(Table2040[TD],Table2040[TD])</f>
        <v>3</v>
      </c>
      <c r="M38" s="21" t="s">
        <v>0</v>
      </c>
      <c r="N38" s="121">
        <f>(_xlfn.XLOOKUP(Table2040[[#This Row],[DEF]],Table20[DEF],Table20[R])+_xlfn.XLOOKUP(Table2040[[#This Row],[DEF]],Table46[DEF],Table46[R]))/2</f>
        <v>109.47058823529412</v>
      </c>
      <c r="O38" s="121">
        <f>(_xlfn.XLOOKUP(Table2040[[#This Row],[DEF]],Table20[DEF],Table20[REC])+_xlfn.XLOOKUP(Table2040[[#This Row],[DEF]],Table46[DEF],Table46[REC]))/2</f>
        <v>4.617647058823529</v>
      </c>
      <c r="P38" s="121">
        <f>(_xlfn.XLOOKUP(Table2040[[#This Row],[DEF]],Table20[DEF],Table20[Y])+_xlfn.XLOOKUP(Table2040[[#This Row],[DEF]],Table46[DEF],Table46[Y]))/2</f>
        <v>35.323529411764703</v>
      </c>
      <c r="Q38" s="121">
        <f>(_xlfn.XLOOKUP(Table2040[[#This Row],[DEF]],Table20[DEF],Table20[R+R])+_xlfn.XLOOKUP(Table2040[[#This Row],[DEF]],Table46[DEF],Table46[R+R]))/2</f>
        <v>144.79411764705884</v>
      </c>
      <c r="R38" s="121">
        <f>(_xlfn.XLOOKUP(Table2040[[#This Row],[DEF]],Table20[DEF],Table20[TD])+_xlfn.XLOOKUP(Table2040[[#This Row],[DEF]],Table46[DEF],Table46[TD]))/2</f>
        <v>1.1470588235294117</v>
      </c>
      <c r="S38" s="121"/>
      <c r="T38" s="119">
        <f>AVERAGE(U38:W38)</f>
        <v>25.166666666666668</v>
      </c>
      <c r="U38" s="119" cm="1">
        <f t="array" ref="U38:U69">_xlfn.RANK.AVG(Table7121437[REC],Table7121437[REC])</f>
        <v>26</v>
      </c>
      <c r="V38" s="119">
        <f>_xlfn.RANK.AVG(Table7121437[[#This Row],[Y]],Table7121437[Y])</f>
        <v>28</v>
      </c>
      <c r="W38" s="119" cm="1">
        <f t="array" ref="W38:W69">_xlfn.RANK.AVG(Table7121437[TD],Table7121437[TD])</f>
        <v>21.5</v>
      </c>
      <c r="X38" s="21" t="s">
        <v>0</v>
      </c>
      <c r="Y38" s="22">
        <f>(_xlfn.XLOOKUP(Table7121437[[#This Row],[DEF]],Table71214[DEF],Table71214[REC])+_xlfn.XLOOKUP(Table7121437[[#This Row],[DEF]],Table948[Defense],Table948[WR3C]))/2</f>
        <v>1.7941176470588236</v>
      </c>
      <c r="Z38" s="22">
        <f>(_xlfn.XLOOKUP(Table7121437[[#This Row],[DEF]],Table71214[DEF],Table71214[Y])+_xlfn.XLOOKUP(Table7121437[[#This Row],[DEF]],Table948[Defense],Table948[WR3Y]))/2</f>
        <v>22.352941176470587</v>
      </c>
      <c r="AA38" s="22">
        <f>(_xlfn.XLOOKUP(Table7121437[[#This Row],[DEF]],Table71214[DEF],Table71214[TD])+_xlfn.XLOOKUP(Table7121437[[#This Row],[DEF]],Table948[Defense],Table948[WR3]))/2</f>
        <v>0.11764705882352941</v>
      </c>
      <c r="AC38" s="119">
        <f>AVERAGE(AD38:AF38)</f>
        <v>16.333333333333332</v>
      </c>
      <c r="AD38" s="119" cm="1">
        <f t="array" ref="AD38:AD69">_xlfn.RANK.AVG(Table712141538[REC],Table712141538[REC])</f>
        <v>16.5</v>
      </c>
      <c r="AE38" s="119">
        <f>_xlfn.RANK.AVG(Table712141538[[#This Row],[Y]],Table712141538[Y])</f>
        <v>15.5</v>
      </c>
      <c r="AF38" s="119" cm="1">
        <f t="array" ref="AF38:AF69">_xlfn.RANK.AVG(Table712141538[TD],Table712141538[TD])</f>
        <v>17</v>
      </c>
      <c r="AG38" s="21" t="s">
        <v>0</v>
      </c>
      <c r="AH38" s="22">
        <f>(_xlfn.XLOOKUP(Table712141538[[#This Row],[DEF]],Table7121415[DEF],Table7121415[REC])+_xlfn.XLOOKUP(Table712141538[[#This Row],[DEF]],Table948[Defense],Table948[WR4+C]))/2</f>
        <v>0.91176470588235292</v>
      </c>
      <c r="AI38" s="22">
        <f>(_xlfn.XLOOKUP(Table712141538[[#This Row],[DEF]],Table7121415[DEF],Table7121415[Y])+_xlfn.XLOOKUP(Table712141538[[#This Row],[DEF]],Table948[Defense],Table948[WR4+Y]))/2</f>
        <v>10.529411764705882</v>
      </c>
      <c r="AJ38" s="22">
        <f>(_xlfn.XLOOKUP(Table712141538[[#This Row],[DEF]],Table7121415[DEF],Table7121415[TD])+_xlfn.XLOOKUP(Table712141538[[#This Row],[DEF]],Table948[Defense],Table948[WR4+]))/2</f>
        <v>5.8823529411764705E-2</v>
      </c>
    </row>
    <row r="39" spans="2:45" x14ac:dyDescent="0.35">
      <c r="B39" s="155" t="str">
        <f t="shared" ref="B39:B69" si="4">C4</f>
        <v>n/a</v>
      </c>
      <c r="C39" s="119">
        <v>7</v>
      </c>
      <c r="D39" s="23" t="s">
        <v>15</v>
      </c>
      <c r="E39" s="22">
        <f>(_xlfn.XLOOKUP(Table1033[[#This Row],[DEF]],Table10[DEF],Table10[TD])+_xlfn.XLOOKUP(Table1033[[#This Row],[DEF]],Table1046[DEF],Table1046[TD]))/2</f>
        <v>0.1764705882352941</v>
      </c>
      <c r="G39" s="119">
        <f t="shared" ref="G39:G69" si="5">AVERAGE(H39:L39)</f>
        <v>16.3</v>
      </c>
      <c r="H39" s="119">
        <v>19</v>
      </c>
      <c r="I39" s="119">
        <v>6</v>
      </c>
      <c r="J39" s="119">
        <v>15</v>
      </c>
      <c r="K39" s="119">
        <v>16</v>
      </c>
      <c r="L39" s="119">
        <v>25.5</v>
      </c>
      <c r="M39" s="23" t="s">
        <v>15</v>
      </c>
      <c r="N39" s="121">
        <f>(_xlfn.XLOOKUP(Table2040[[#This Row],[DEF]],Table20[DEF],Table20[R])+_xlfn.XLOOKUP(Table2040[[#This Row],[DEF]],Table46[DEF],Table46[R]))/2</f>
        <v>93.352941176470594</v>
      </c>
      <c r="O39" s="121">
        <f>(_xlfn.XLOOKUP(Table2040[[#This Row],[DEF]],Table20[DEF],Table20[REC])+_xlfn.XLOOKUP(Table2040[[#This Row],[DEF]],Table46[DEF],Table46[REC]))/2</f>
        <v>4.882352941176471</v>
      </c>
      <c r="P39" s="121">
        <f>(_xlfn.XLOOKUP(Table2040[[#This Row],[DEF]],Table20[DEF],Table20[Y])+_xlfn.XLOOKUP(Table2040[[#This Row],[DEF]],Table46[DEF],Table46[Y]))/2</f>
        <v>32.588235294117645</v>
      </c>
      <c r="Q39" s="121">
        <f>(_xlfn.XLOOKUP(Table2040[[#This Row],[DEF]],Table20[DEF],Table20[R+R])+_xlfn.XLOOKUP(Table2040[[#This Row],[DEF]],Table46[DEF],Table46[R+R]))/2</f>
        <v>125.94117647058823</v>
      </c>
      <c r="R39" s="121">
        <f>(_xlfn.XLOOKUP(Table2040[[#This Row],[DEF]],Table20[DEF],Table20[TD])+_xlfn.XLOOKUP(Table2040[[#This Row],[DEF]],Table46[DEF],Table46[TD]))/2</f>
        <v>0.70588235294117641</v>
      </c>
      <c r="S39" s="121"/>
      <c r="T39" s="119">
        <f t="shared" ref="T39:T69" si="6">AVERAGE(U39:W39)</f>
        <v>15.666666666666666</v>
      </c>
      <c r="U39" s="119">
        <v>12.5</v>
      </c>
      <c r="V39" s="119">
        <f>_xlfn.RANK.AVG(Table7121437[[#This Row],[Y]],Table7121437[Y])</f>
        <v>19</v>
      </c>
      <c r="W39" s="119">
        <v>15.5</v>
      </c>
      <c r="X39" s="23" t="s">
        <v>15</v>
      </c>
      <c r="Y39" s="22">
        <f>(_xlfn.XLOOKUP(Table7121437[[#This Row],[DEF]],Table71214[DEF],Table71214[REC])+_xlfn.XLOOKUP(Table7121437[[#This Row],[DEF]],Table948[Defense],Table948[WR3C]))/2</f>
        <v>2.2058823529411766</v>
      </c>
      <c r="Z39" s="22">
        <f>(_xlfn.XLOOKUP(Table7121437[[#This Row],[DEF]],Table71214[DEF],Table71214[Y])+_xlfn.XLOOKUP(Table7121437[[#This Row],[DEF]],Table948[Defense],Table948[WR3Y]))/2</f>
        <v>24.117647058823529</v>
      </c>
      <c r="AA39" s="22">
        <f>(_xlfn.XLOOKUP(Table7121437[[#This Row],[DEF]],Table71214[DEF],Table71214[TD])+_xlfn.XLOOKUP(Table7121437[[#This Row],[DEF]],Table948[Defense],Table948[WR3]))/2</f>
        <v>0.14705882352941177</v>
      </c>
      <c r="AC39" s="119">
        <f t="shared" ref="AC39:AC69" si="7">AVERAGE(AD39:AF39)</f>
        <v>9.3333333333333339</v>
      </c>
      <c r="AD39" s="119">
        <v>10</v>
      </c>
      <c r="AE39" s="119">
        <f>_xlfn.RANK.AVG(Table712141538[[#This Row],[Y]],Table712141538[Y])</f>
        <v>12</v>
      </c>
      <c r="AF39" s="119">
        <v>6</v>
      </c>
      <c r="AG39" s="23" t="s">
        <v>15</v>
      </c>
      <c r="AH39" s="22">
        <f>(_xlfn.XLOOKUP(Table712141538[[#This Row],[DEF]],Table7121415[DEF],Table7121415[REC])+_xlfn.XLOOKUP(Table712141538[[#This Row],[DEF]],Table948[Defense],Table948[WR4+C]))/2</f>
        <v>1.0294117647058822</v>
      </c>
      <c r="AI39" s="22">
        <f>(_xlfn.XLOOKUP(Table712141538[[#This Row],[DEF]],Table7121415[DEF],Table7121415[Y])+_xlfn.XLOOKUP(Table712141538[[#This Row],[DEF]],Table948[Defense],Table948[WR4+Y]))/2</f>
        <v>11.029411764705882</v>
      </c>
      <c r="AJ39" s="22">
        <f>(_xlfn.XLOOKUP(Table712141538[[#This Row],[DEF]],Table7121415[DEF],Table7121415[TD])+_xlfn.XLOOKUP(Table712141538[[#This Row],[DEF]],Table948[Defense],Table948[WR4+]))/2</f>
        <v>8.8235294117647065E-2</v>
      </c>
    </row>
    <row r="40" spans="2:45" x14ac:dyDescent="0.35">
      <c r="B40" s="155" t="str">
        <f t="shared" si="4"/>
        <v>n/a</v>
      </c>
      <c r="C40" s="119">
        <v>29.5</v>
      </c>
      <c r="D40" s="21" t="s">
        <v>16</v>
      </c>
      <c r="E40" s="22">
        <f>(_xlfn.XLOOKUP(Table1033[[#This Row],[DEF]],Table10[DEF],Table10[TD])+_xlfn.XLOOKUP(Table1033[[#This Row],[DEF]],Table1046[DEF],Table1046[TD]))/2</f>
        <v>2.9411764705882353E-2</v>
      </c>
      <c r="G40" s="119">
        <f t="shared" si="5"/>
        <v>17.2</v>
      </c>
      <c r="H40" s="119">
        <v>32</v>
      </c>
      <c r="I40" s="119">
        <v>3</v>
      </c>
      <c r="J40" s="119">
        <v>2</v>
      </c>
      <c r="K40" s="119">
        <v>28</v>
      </c>
      <c r="L40" s="119">
        <v>21</v>
      </c>
      <c r="M40" s="21" t="s">
        <v>16</v>
      </c>
      <c r="N40" s="121">
        <f>(_xlfn.XLOOKUP(Table2040[[#This Row],[DEF]],Table20[DEF],Table20[R])+_xlfn.XLOOKUP(Table2040[[#This Row],[DEF]],Table46[DEF],Table46[R]))/2</f>
        <v>72.970588235294116</v>
      </c>
      <c r="O40" s="121">
        <f>(_xlfn.XLOOKUP(Table2040[[#This Row],[DEF]],Table20[DEF],Table20[REC])+_xlfn.XLOOKUP(Table2040[[#This Row],[DEF]],Table46[DEF],Table46[REC]))/2</f>
        <v>5.0294117647058822</v>
      </c>
      <c r="P40" s="121">
        <f>(_xlfn.XLOOKUP(Table2040[[#This Row],[DEF]],Table20[DEF],Table20[Y])+_xlfn.XLOOKUP(Table2040[[#This Row],[DEF]],Table46[DEF],Table46[Y]))/2</f>
        <v>41.441176470588232</v>
      </c>
      <c r="Q40" s="121">
        <f>(_xlfn.XLOOKUP(Table2040[[#This Row],[DEF]],Table20[DEF],Table20[R+R])+_xlfn.XLOOKUP(Table2040[[#This Row],[DEF]],Table46[DEF],Table46[R+R]))/2</f>
        <v>114.41176470588235</v>
      </c>
      <c r="R40" s="121">
        <f>(_xlfn.XLOOKUP(Table2040[[#This Row],[DEF]],Table20[DEF],Table20[TD])+_xlfn.XLOOKUP(Table2040[[#This Row],[DEF]],Table46[DEF],Table46[TD]))/2</f>
        <v>0.79411764705882359</v>
      </c>
      <c r="S40" s="121"/>
      <c r="T40" s="119">
        <f t="shared" si="6"/>
        <v>9.8333333333333339</v>
      </c>
      <c r="U40" s="119">
        <v>4</v>
      </c>
      <c r="V40" s="119">
        <f>_xlfn.RANK.AVG(Table7121437[[#This Row],[Y]],Table7121437[Y])</f>
        <v>10</v>
      </c>
      <c r="W40" s="119">
        <v>15.5</v>
      </c>
      <c r="X40" s="21" t="s">
        <v>16</v>
      </c>
      <c r="Y40" s="22">
        <f>(_xlfn.XLOOKUP(Table7121437[[#This Row],[DEF]],Table71214[DEF],Table71214[REC])+_xlfn.XLOOKUP(Table7121437[[#This Row],[DEF]],Table948[Defense],Table948[WR3C]))/2</f>
        <v>2.5588235294117645</v>
      </c>
      <c r="Z40" s="22">
        <f>(_xlfn.XLOOKUP(Table7121437[[#This Row],[DEF]],Table71214[DEF],Table71214[Y])+_xlfn.XLOOKUP(Table7121437[[#This Row],[DEF]],Table948[Defense],Table948[WR3Y]))/2</f>
        <v>26.411764705882355</v>
      </c>
      <c r="AA40" s="22">
        <f>(_xlfn.XLOOKUP(Table7121437[[#This Row],[DEF]],Table71214[DEF],Table71214[TD])+_xlfn.XLOOKUP(Table7121437[[#This Row],[DEF]],Table948[Defense],Table948[WR3]))/2</f>
        <v>0.14705882352941177</v>
      </c>
      <c r="AC40" s="119">
        <f t="shared" si="7"/>
        <v>5</v>
      </c>
      <c r="AD40" s="119">
        <v>3</v>
      </c>
      <c r="AE40" s="119">
        <f>_xlfn.RANK.AVG(Table712141538[[#This Row],[Y]],Table712141538[Y])</f>
        <v>9</v>
      </c>
      <c r="AF40" s="119">
        <v>3</v>
      </c>
      <c r="AG40" s="21" t="s">
        <v>16</v>
      </c>
      <c r="AH40" s="22">
        <f>(_xlfn.XLOOKUP(Table712141538[[#This Row],[DEF]],Table7121415[DEF],Table7121415[REC])+_xlfn.XLOOKUP(Table712141538[[#This Row],[DEF]],Table948[Defense],Table948[WR4+C]))/2</f>
        <v>1.2647058823529411</v>
      </c>
      <c r="AI40" s="22">
        <f>(_xlfn.XLOOKUP(Table712141538[[#This Row],[DEF]],Table7121415[DEF],Table7121415[Y])+_xlfn.XLOOKUP(Table712141538[[#This Row],[DEF]],Table948[Defense],Table948[WR4+Y]))/2</f>
        <v>12.235294117647058</v>
      </c>
      <c r="AJ40" s="22">
        <f>(_xlfn.XLOOKUP(Table712141538[[#This Row],[DEF]],Table7121415[DEF],Table7121415[TD])+_xlfn.XLOOKUP(Table712141538[[#This Row],[DEF]],Table948[Defense],Table948[WR4+]))/2</f>
        <v>0.11764705882352941</v>
      </c>
    </row>
    <row r="41" spans="2:45" x14ac:dyDescent="0.35">
      <c r="B41" s="155" t="str">
        <f t="shared" si="4"/>
        <v>n/a</v>
      </c>
      <c r="C41" s="119">
        <v>29.5</v>
      </c>
      <c r="D41" s="23" t="s">
        <v>17</v>
      </c>
      <c r="E41" s="22">
        <f>(_xlfn.XLOOKUP(Table1033[[#This Row],[DEF]],Table10[DEF],Table10[TD])+_xlfn.XLOOKUP(Table1033[[#This Row],[DEF]],Table1046[DEF],Table1046[TD]))/2</f>
        <v>2.9411764705882353E-2</v>
      </c>
      <c r="G41" s="119">
        <f t="shared" si="5"/>
        <v>8.3000000000000007</v>
      </c>
      <c r="H41" s="119">
        <v>9</v>
      </c>
      <c r="I41" s="119">
        <v>8</v>
      </c>
      <c r="J41" s="119">
        <v>11</v>
      </c>
      <c r="K41" s="119">
        <v>7</v>
      </c>
      <c r="L41" s="119">
        <v>6.5</v>
      </c>
      <c r="M41" s="23" t="s">
        <v>17</v>
      </c>
      <c r="N41" s="121">
        <f>(_xlfn.XLOOKUP(Table2040[[#This Row],[DEF]],Table20[DEF],Table20[R])+_xlfn.XLOOKUP(Table2040[[#This Row],[DEF]],Table46[DEF],Table46[R]))/2</f>
        <v>101.79411764705881</v>
      </c>
      <c r="O41" s="121">
        <f>(_xlfn.XLOOKUP(Table2040[[#This Row],[DEF]],Table20[DEF],Table20[REC])+_xlfn.XLOOKUP(Table2040[[#This Row],[DEF]],Table46[DEF],Table46[REC]))/2</f>
        <v>4.6764705882352944</v>
      </c>
      <c r="P41" s="121">
        <f>(_xlfn.XLOOKUP(Table2040[[#This Row],[DEF]],Table20[DEF],Table20[Y])+_xlfn.XLOOKUP(Table2040[[#This Row],[DEF]],Table46[DEF],Table46[Y]))/2</f>
        <v>34.558823529411768</v>
      </c>
      <c r="Q41" s="121">
        <f>(_xlfn.XLOOKUP(Table2040[[#This Row],[DEF]],Table20[DEF],Table20[R+R])+_xlfn.XLOOKUP(Table2040[[#This Row],[DEF]],Table46[DEF],Table46[R+R]))/2</f>
        <v>136.35294117647058</v>
      </c>
      <c r="R41" s="121">
        <f>(_xlfn.XLOOKUP(Table2040[[#This Row],[DEF]],Table20[DEF],Table20[TD])+_xlfn.XLOOKUP(Table2040[[#This Row],[DEF]],Table46[DEF],Table46[TD]))/2</f>
        <v>1.0882352941176472</v>
      </c>
      <c r="S41" s="121"/>
      <c r="T41" s="119">
        <f t="shared" si="6"/>
        <v>21.166666666666668</v>
      </c>
      <c r="U41" s="119">
        <v>9</v>
      </c>
      <c r="V41" s="119">
        <f>_xlfn.RANK.AVG(Table7121437[[#This Row],[Y]],Table7121437[Y])</f>
        <v>27</v>
      </c>
      <c r="W41" s="119">
        <v>27.5</v>
      </c>
      <c r="X41" s="23" t="s">
        <v>17</v>
      </c>
      <c r="Y41" s="22">
        <f>(_xlfn.XLOOKUP(Table7121437[[#This Row],[DEF]],Table71214[DEF],Table71214[REC])+_xlfn.XLOOKUP(Table7121437[[#This Row],[DEF]],Table948[Defense],Table948[WR3C]))/2</f>
        <v>2.2647058823529411</v>
      </c>
      <c r="Z41" s="22">
        <f>(_xlfn.XLOOKUP(Table7121437[[#This Row],[DEF]],Table71214[DEF],Table71214[Y])+_xlfn.XLOOKUP(Table7121437[[#This Row],[DEF]],Table948[Defense],Table948[WR3Y]))/2</f>
        <v>22.411764705882351</v>
      </c>
      <c r="AA41" s="22">
        <f>(_xlfn.XLOOKUP(Table7121437[[#This Row],[DEF]],Table71214[DEF],Table71214[TD])+_xlfn.XLOOKUP(Table7121437[[#This Row],[DEF]],Table948[Defense],Table948[WR3]))/2</f>
        <v>8.8235294117647051E-2</v>
      </c>
      <c r="AC41" s="119">
        <f t="shared" si="7"/>
        <v>29.166666666666668</v>
      </c>
      <c r="AD41" s="119">
        <v>29.5</v>
      </c>
      <c r="AE41" s="119">
        <f>_xlfn.RANK.AVG(Table712141538[[#This Row],[Y]],Table712141538[Y])</f>
        <v>32</v>
      </c>
      <c r="AF41" s="119">
        <v>26</v>
      </c>
      <c r="AG41" s="23" t="s">
        <v>17</v>
      </c>
      <c r="AH41" s="22">
        <f>(_xlfn.XLOOKUP(Table712141538[[#This Row],[DEF]],Table7121415[DEF],Table7121415[REC])+_xlfn.XLOOKUP(Table712141538[[#This Row],[DEF]],Table948[Defense],Table948[WR4+C]))/2</f>
        <v>0.58823529411764708</v>
      </c>
      <c r="AI41" s="22">
        <f>(_xlfn.XLOOKUP(Table712141538[[#This Row],[DEF]],Table7121415[DEF],Table7121415[Y])+_xlfn.XLOOKUP(Table712141538[[#This Row],[DEF]],Table948[Defense],Table948[WR4+Y]))/2</f>
        <v>4.382352941176471</v>
      </c>
      <c r="AJ41" s="22">
        <f>(_xlfn.XLOOKUP(Table712141538[[#This Row],[DEF]],Table7121415[DEF],Table7121415[TD])+_xlfn.XLOOKUP(Table712141538[[#This Row],[DEF]],Table948[Defense],Table948[WR4+]))/2</f>
        <v>2.9411764705882353E-2</v>
      </c>
    </row>
    <row r="42" spans="2:45" x14ac:dyDescent="0.35">
      <c r="B42" s="155" t="str">
        <f t="shared" si="4"/>
        <v>n/a</v>
      </c>
      <c r="C42" s="119">
        <v>11</v>
      </c>
      <c r="D42" s="21" t="s">
        <v>29</v>
      </c>
      <c r="E42" s="22">
        <f>(_xlfn.XLOOKUP(Table1033[[#This Row],[DEF]],Table10[DEF],Table10[TD])+_xlfn.XLOOKUP(Table1033[[#This Row],[DEF]],Table1046[DEF],Table1046[TD]))/2</f>
        <v>0.14705882352941177</v>
      </c>
      <c r="G42" s="119">
        <f t="shared" si="5"/>
        <v>7.6</v>
      </c>
      <c r="H42" s="119">
        <v>1</v>
      </c>
      <c r="I42" s="119">
        <v>17</v>
      </c>
      <c r="J42" s="119">
        <v>16</v>
      </c>
      <c r="K42" s="119">
        <v>1</v>
      </c>
      <c r="L42" s="119">
        <v>3</v>
      </c>
      <c r="M42" s="21" t="s">
        <v>29</v>
      </c>
      <c r="N42" s="121">
        <f>(_xlfn.XLOOKUP(Table2040[[#This Row],[DEF]],Table20[DEF],Table20[R])+_xlfn.XLOOKUP(Table2040[[#This Row],[DEF]],Table46[DEF],Table46[R]))/2</f>
        <v>127.29411764705881</v>
      </c>
      <c r="O42" s="121">
        <f>(_xlfn.XLOOKUP(Table2040[[#This Row],[DEF]],Table20[DEF],Table20[REC])+_xlfn.XLOOKUP(Table2040[[#This Row],[DEF]],Table46[DEF],Table46[REC]))/2</f>
        <v>4.382352941176471</v>
      </c>
      <c r="P42" s="121">
        <f>(_xlfn.XLOOKUP(Table2040[[#This Row],[DEF]],Table20[DEF],Table20[Y])+_xlfn.XLOOKUP(Table2040[[#This Row],[DEF]],Table46[DEF],Table46[Y]))/2</f>
        <v>32.147058823529413</v>
      </c>
      <c r="Q42" s="121">
        <f>(_xlfn.XLOOKUP(Table2040[[#This Row],[DEF]],Table20[DEF],Table20[R+R])+_xlfn.XLOOKUP(Table2040[[#This Row],[DEF]],Table46[DEF],Table46[R+R]))/2</f>
        <v>159.44117647058823</v>
      </c>
      <c r="R42" s="121">
        <f>(_xlfn.XLOOKUP(Table2040[[#This Row],[DEF]],Table20[DEF],Table20[TD])+_xlfn.XLOOKUP(Table2040[[#This Row],[DEF]],Table46[DEF],Table46[TD]))/2</f>
        <v>1.1470588235294117</v>
      </c>
      <c r="S42" s="72"/>
      <c r="T42" s="119">
        <f t="shared" si="6"/>
        <v>23.333333333333332</v>
      </c>
      <c r="U42" s="119">
        <v>21.5</v>
      </c>
      <c r="V42" s="119">
        <f>_xlfn.RANK.AVG(Table7121437[[#This Row],[Y]],Table7121437[Y])</f>
        <v>21</v>
      </c>
      <c r="W42" s="119">
        <v>27.5</v>
      </c>
      <c r="X42" s="21" t="s">
        <v>29</v>
      </c>
      <c r="Y42" s="22">
        <f>(_xlfn.XLOOKUP(Table7121437[[#This Row],[DEF]],Table71214[DEF],Table71214[REC])+_xlfn.XLOOKUP(Table7121437[[#This Row],[DEF]],Table948[Defense],Table948[WR3C]))/2</f>
        <v>1.9117647058823528</v>
      </c>
      <c r="Z42" s="22">
        <f>(_xlfn.XLOOKUP(Table7121437[[#This Row],[DEF]],Table71214[DEF],Table71214[Y])+_xlfn.XLOOKUP(Table7121437[[#This Row],[DEF]],Table948[Defense],Table948[WR3Y]))/2</f>
        <v>23.382352941176471</v>
      </c>
      <c r="AA42" s="22">
        <f>(_xlfn.XLOOKUP(Table7121437[[#This Row],[DEF]],Table71214[DEF],Table71214[TD])+_xlfn.XLOOKUP(Table7121437[[#This Row],[DEF]],Table948[Defense],Table948[WR3]))/2</f>
        <v>8.8235294117647051E-2</v>
      </c>
      <c r="AC42" s="119">
        <f t="shared" si="7"/>
        <v>29.333333333333332</v>
      </c>
      <c r="AD42" s="119">
        <v>31</v>
      </c>
      <c r="AE42" s="119">
        <f>_xlfn.RANK.AVG(Table712141538[[#This Row],[Y]],Table712141538[Y])</f>
        <v>31</v>
      </c>
      <c r="AF42" s="119">
        <v>26</v>
      </c>
      <c r="AG42" s="21" t="s">
        <v>29</v>
      </c>
      <c r="AH42" s="22">
        <f>(_xlfn.XLOOKUP(Table712141538[[#This Row],[DEF]],Table7121415[DEF],Table7121415[REC])+_xlfn.XLOOKUP(Table712141538[[#This Row],[DEF]],Table948[Defense],Table948[WR4+C]))/2</f>
        <v>0.58823529411764697</v>
      </c>
      <c r="AI42" s="22">
        <f>(_xlfn.XLOOKUP(Table712141538[[#This Row],[DEF]],Table7121415[DEF],Table7121415[Y])+_xlfn.XLOOKUP(Table712141538[[#This Row],[DEF]],Table948[Defense],Table948[WR4+Y]))/2</f>
        <v>5.5</v>
      </c>
      <c r="AJ42" s="22">
        <f>(_xlfn.XLOOKUP(Table712141538[[#This Row],[DEF]],Table7121415[DEF],Table7121415[TD])+_xlfn.XLOOKUP(Table712141538[[#This Row],[DEF]],Table948[Defense],Table948[WR4+]))/2</f>
        <v>2.9411764705882353E-2</v>
      </c>
    </row>
    <row r="43" spans="2:45" x14ac:dyDescent="0.35">
      <c r="B43" s="155" t="str">
        <f t="shared" si="4"/>
        <v>n/a</v>
      </c>
      <c r="C43" s="119">
        <v>24.5</v>
      </c>
      <c r="D43" s="23" t="s">
        <v>30</v>
      </c>
      <c r="E43" s="22">
        <f>(_xlfn.XLOOKUP(Table1033[[#This Row],[DEF]],Table10[DEF],Table10[TD])+_xlfn.XLOOKUP(Table1033[[#This Row],[DEF]],Table1046[DEF],Table1046[TD]))/2</f>
        <v>5.8823529411764705E-2</v>
      </c>
      <c r="G43" s="119">
        <f t="shared" si="5"/>
        <v>13</v>
      </c>
      <c r="H43" s="119">
        <v>4</v>
      </c>
      <c r="I43" s="119">
        <v>21</v>
      </c>
      <c r="J43" s="119">
        <v>21</v>
      </c>
      <c r="K43" s="119">
        <v>5</v>
      </c>
      <c r="L43" s="119">
        <v>14</v>
      </c>
      <c r="M43" s="23" t="s">
        <v>30</v>
      </c>
      <c r="N43" s="121">
        <f>(_xlfn.XLOOKUP(Table2040[[#This Row],[DEF]],Table20[DEF],Table20[R])+_xlfn.XLOOKUP(Table2040[[#This Row],[DEF]],Table46[DEF],Table46[R]))/2</f>
        <v>112.02941176470588</v>
      </c>
      <c r="O43" s="121">
        <f>(_xlfn.XLOOKUP(Table2040[[#This Row],[DEF]],Table20[DEF],Table20[REC])+_xlfn.XLOOKUP(Table2040[[#This Row],[DEF]],Table46[DEF],Table46[REC]))/2</f>
        <v>4.0588235294117645</v>
      </c>
      <c r="P43" s="121">
        <f>(_xlfn.XLOOKUP(Table2040[[#This Row],[DEF]],Table20[DEF],Table20[Y])+_xlfn.XLOOKUP(Table2040[[#This Row],[DEF]],Table46[DEF],Table46[Y]))/2</f>
        <v>29.911764705882355</v>
      </c>
      <c r="Q43" s="121">
        <f>(_xlfn.XLOOKUP(Table2040[[#This Row],[DEF]],Table20[DEF],Table20[R+R])+_xlfn.XLOOKUP(Table2040[[#This Row],[DEF]],Table46[DEF],Table46[R+R]))/2</f>
        <v>141.94117647058823</v>
      </c>
      <c r="R43" s="121">
        <f>(_xlfn.XLOOKUP(Table2040[[#This Row],[DEF]],Table20[DEF],Table20[TD])+_xlfn.XLOOKUP(Table2040[[#This Row],[DEF]],Table46[DEF],Table46[TD]))/2</f>
        <v>0.94117647058823528</v>
      </c>
      <c r="T43" s="119">
        <f t="shared" si="6"/>
        <v>18.5</v>
      </c>
      <c r="U43" s="119">
        <v>31</v>
      </c>
      <c r="V43" s="119">
        <f>_xlfn.RANK.AVG(Table7121437[[#This Row],[Y]],Table7121437[Y])</f>
        <v>9</v>
      </c>
      <c r="W43" s="119">
        <v>15.5</v>
      </c>
      <c r="X43" s="23" t="s">
        <v>30</v>
      </c>
      <c r="Y43" s="22">
        <f>(_xlfn.XLOOKUP(Table7121437[[#This Row],[DEF]],Table71214[DEF],Table71214[REC])+_xlfn.XLOOKUP(Table7121437[[#This Row],[DEF]],Table948[Defense],Table948[WR3C]))/2</f>
        <v>1.6470588235294117</v>
      </c>
      <c r="Z43" s="22">
        <f>(_xlfn.XLOOKUP(Table7121437[[#This Row],[DEF]],Table71214[DEF],Table71214[Y])+_xlfn.XLOOKUP(Table7121437[[#This Row],[DEF]],Table948[Defense],Table948[WR3Y]))/2</f>
        <v>26.5</v>
      </c>
      <c r="AA43" s="22">
        <f>(_xlfn.XLOOKUP(Table7121437[[#This Row],[DEF]],Table71214[DEF],Table71214[TD])+_xlfn.XLOOKUP(Table7121437[[#This Row],[DEF]],Table948[Defense],Table948[WR3]))/2</f>
        <v>0.14705882352941177</v>
      </c>
      <c r="AC43" s="119">
        <f t="shared" si="7"/>
        <v>15.166666666666666</v>
      </c>
      <c r="AD43" s="119">
        <v>20.5</v>
      </c>
      <c r="AE43" s="119">
        <f>_xlfn.RANK.AVG(Table712141538[[#This Row],[Y]],Table712141538[Y])</f>
        <v>8</v>
      </c>
      <c r="AF43" s="119">
        <v>17</v>
      </c>
      <c r="AG43" s="23" t="s">
        <v>30</v>
      </c>
      <c r="AH43" s="22">
        <f>(_xlfn.XLOOKUP(Table712141538[[#This Row],[DEF]],Table7121415[DEF],Table7121415[REC])+_xlfn.XLOOKUP(Table712141538[[#This Row],[DEF]],Table948[Defense],Table948[WR4+C]))/2</f>
        <v>0.85294117647058831</v>
      </c>
      <c r="AI43" s="22">
        <f>(_xlfn.XLOOKUP(Table712141538[[#This Row],[DEF]],Table7121415[DEF],Table7121415[Y])+_xlfn.XLOOKUP(Table712141538[[#This Row],[DEF]],Table948[Defense],Table948[WR4+Y]))/2</f>
        <v>12.264705882352942</v>
      </c>
      <c r="AJ43" s="22">
        <f>(_xlfn.XLOOKUP(Table712141538[[#This Row],[DEF]],Table7121415[DEF],Table7121415[TD])+_xlfn.XLOOKUP(Table712141538[[#This Row],[DEF]],Table948[Defense],Table948[WR4+]))/2</f>
        <v>5.8823529411764705E-2</v>
      </c>
    </row>
    <row r="44" spans="2:45" x14ac:dyDescent="0.35">
      <c r="B44" s="155" t="str">
        <f t="shared" si="4"/>
        <v>n/a</v>
      </c>
      <c r="C44" s="119">
        <v>1</v>
      </c>
      <c r="D44" s="21" t="s">
        <v>31</v>
      </c>
      <c r="E44" s="22">
        <f>(_xlfn.XLOOKUP(Table1033[[#This Row],[DEF]],Table10[DEF],Table10[TD])+_xlfn.XLOOKUP(Table1033[[#This Row],[DEF]],Table1046[DEF],Table1046[TD]))/2</f>
        <v>0.35294117647058826</v>
      </c>
      <c r="G44" s="119">
        <f t="shared" si="5"/>
        <v>7.3</v>
      </c>
      <c r="H44" s="119">
        <v>7</v>
      </c>
      <c r="I44" s="119">
        <v>11</v>
      </c>
      <c r="J44" s="119">
        <v>6</v>
      </c>
      <c r="K44" s="119">
        <v>6</v>
      </c>
      <c r="L44" s="119">
        <v>6.5</v>
      </c>
      <c r="M44" s="21" t="s">
        <v>31</v>
      </c>
      <c r="N44" s="121">
        <f>(_xlfn.XLOOKUP(Table2040[[#This Row],[DEF]],Table20[DEF],Table20[R])+_xlfn.XLOOKUP(Table2040[[#This Row],[DEF]],Table46[DEF],Table46[R]))/2</f>
        <v>104.70588235294119</v>
      </c>
      <c r="O44" s="121">
        <f>(_xlfn.XLOOKUP(Table2040[[#This Row],[DEF]],Table20[DEF],Table20[REC])+_xlfn.XLOOKUP(Table2040[[#This Row],[DEF]],Table46[DEF],Table46[REC]))/2</f>
        <v>4.5882352941176467</v>
      </c>
      <c r="P44" s="121">
        <f>(_xlfn.XLOOKUP(Table2040[[#This Row],[DEF]],Table20[DEF],Table20[Y])+_xlfn.XLOOKUP(Table2040[[#This Row],[DEF]],Table46[DEF],Table46[Y]))/2</f>
        <v>37.029411764705884</v>
      </c>
      <c r="Q44" s="121">
        <f>(_xlfn.XLOOKUP(Table2040[[#This Row],[DEF]],Table20[DEF],Table20[R+R])+_xlfn.XLOOKUP(Table2040[[#This Row],[DEF]],Table46[DEF],Table46[R+R]))/2</f>
        <v>141.73529411764707</v>
      </c>
      <c r="R44" s="121">
        <f>(_xlfn.XLOOKUP(Table2040[[#This Row],[DEF]],Table20[DEF],Table20[TD])+_xlfn.XLOOKUP(Table2040[[#This Row],[DEF]],Table46[DEF],Table46[TD]))/2</f>
        <v>1.0882352941176472</v>
      </c>
      <c r="T44" s="119">
        <f t="shared" si="6"/>
        <v>17.666666666666668</v>
      </c>
      <c r="U44" s="119">
        <v>20</v>
      </c>
      <c r="V44" s="119">
        <f>_xlfn.RANK.AVG(Table7121437[[#This Row],[Y]],Table7121437[Y])</f>
        <v>30</v>
      </c>
      <c r="W44" s="119">
        <v>3</v>
      </c>
      <c r="X44" s="21" t="s">
        <v>31</v>
      </c>
      <c r="Y44" s="22">
        <f>(_xlfn.XLOOKUP(Table7121437[[#This Row],[DEF]],Table71214[DEF],Table71214[REC])+_xlfn.XLOOKUP(Table7121437[[#This Row],[DEF]],Table948[Defense],Table948[WR3C]))/2</f>
        <v>1.9411764705882353</v>
      </c>
      <c r="Z44" s="22">
        <f>(_xlfn.XLOOKUP(Table7121437[[#This Row],[DEF]],Table71214[DEF],Table71214[Y])+_xlfn.XLOOKUP(Table7121437[[#This Row],[DEF]],Table948[Defense],Table948[WR3Y]))/2</f>
        <v>21.617647058823529</v>
      </c>
      <c r="AA44" s="22">
        <f>(_xlfn.XLOOKUP(Table7121437[[#This Row],[DEF]],Table71214[DEF],Table71214[TD])+_xlfn.XLOOKUP(Table7121437[[#This Row],[DEF]],Table948[Defense],Table948[WR3]))/2</f>
        <v>0.23529411764705882</v>
      </c>
      <c r="AC44" s="119">
        <f t="shared" si="7"/>
        <v>15.5</v>
      </c>
      <c r="AD44" s="119">
        <v>16.5</v>
      </c>
      <c r="AE44" s="119">
        <f>_xlfn.RANK.AVG(Table712141538[[#This Row],[Y]],Table712141538[Y])</f>
        <v>4</v>
      </c>
      <c r="AF44" s="119">
        <v>26</v>
      </c>
      <c r="AG44" s="21" t="s">
        <v>31</v>
      </c>
      <c r="AH44" s="22">
        <f>(_xlfn.XLOOKUP(Table712141538[[#This Row],[DEF]],Table7121415[DEF],Table7121415[REC])+_xlfn.XLOOKUP(Table712141538[[#This Row],[DEF]],Table948[Defense],Table948[WR4+C]))/2</f>
        <v>0.91176470588235292</v>
      </c>
      <c r="AI44" s="22">
        <f>(_xlfn.XLOOKUP(Table712141538[[#This Row],[DEF]],Table7121415[DEF],Table7121415[Y])+_xlfn.XLOOKUP(Table712141538[[#This Row],[DEF]],Table948[Defense],Table948[WR4+Y]))/2</f>
        <v>14.441176470588236</v>
      </c>
      <c r="AJ44" s="22">
        <f>(_xlfn.XLOOKUP(Table712141538[[#This Row],[DEF]],Table7121415[DEF],Table7121415[TD])+_xlfn.XLOOKUP(Table712141538[[#This Row],[DEF]],Table948[Defense],Table948[WR4+]))/2</f>
        <v>2.9411764705882353E-2</v>
      </c>
    </row>
    <row r="45" spans="2:45" x14ac:dyDescent="0.35">
      <c r="B45" s="155" t="str">
        <f t="shared" si="4"/>
        <v>n/a</v>
      </c>
      <c r="C45" s="119">
        <v>3.5</v>
      </c>
      <c r="D45" s="23" t="s">
        <v>32</v>
      </c>
      <c r="E45" s="22">
        <f>(_xlfn.XLOOKUP(Table1033[[#This Row],[DEF]],Table10[DEF],Table10[TD])+_xlfn.XLOOKUP(Table1033[[#This Row],[DEF]],Table1046[DEF],Table1046[TD]))/2</f>
        <v>0.26470588235294118</v>
      </c>
      <c r="G45" s="119">
        <f t="shared" si="5"/>
        <v>24.6</v>
      </c>
      <c r="H45" s="119">
        <v>21</v>
      </c>
      <c r="I45" s="119">
        <v>29</v>
      </c>
      <c r="J45" s="119">
        <v>30</v>
      </c>
      <c r="K45" s="119">
        <v>25</v>
      </c>
      <c r="L45" s="119">
        <v>18</v>
      </c>
      <c r="M45" s="23" t="s">
        <v>32</v>
      </c>
      <c r="N45" s="121">
        <f>(_xlfn.XLOOKUP(Table2040[[#This Row],[DEF]],Table20[DEF],Table20[R])+_xlfn.XLOOKUP(Table2040[[#This Row],[DEF]],Table46[DEF],Table46[R]))/2</f>
        <v>91.64705882352942</v>
      </c>
      <c r="O45" s="121">
        <f>(_xlfn.XLOOKUP(Table2040[[#This Row],[DEF]],Table20[DEF],Table20[REC])+_xlfn.XLOOKUP(Table2040[[#This Row],[DEF]],Table46[DEF],Table46[REC]))/2</f>
        <v>3.6470588235294112</v>
      </c>
      <c r="P45" s="121">
        <f>(_xlfn.XLOOKUP(Table2040[[#This Row],[DEF]],Table20[DEF],Table20[Y])+_xlfn.XLOOKUP(Table2040[[#This Row],[DEF]],Table46[DEF],Table46[Y]))/2</f>
        <v>26.264705882352942</v>
      </c>
      <c r="Q45" s="121">
        <f>(_xlfn.XLOOKUP(Table2040[[#This Row],[DEF]],Table20[DEF],Table20[R+R])+_xlfn.XLOOKUP(Table2040[[#This Row],[DEF]],Table46[DEF],Table46[R+R]))/2</f>
        <v>117.91176470588235</v>
      </c>
      <c r="R45" s="121">
        <f>(_xlfn.XLOOKUP(Table2040[[#This Row],[DEF]],Table20[DEF],Table20[TD])+_xlfn.XLOOKUP(Table2040[[#This Row],[DEF]],Table46[DEF],Table46[TD]))/2</f>
        <v>0.88235294117647056</v>
      </c>
      <c r="T45" s="119">
        <f t="shared" si="6"/>
        <v>19.666666666666668</v>
      </c>
      <c r="U45" s="119">
        <v>32</v>
      </c>
      <c r="V45" s="119">
        <f>_xlfn.RANK.AVG(Table7121437[[#This Row],[Y]],Table7121437[Y])</f>
        <v>24</v>
      </c>
      <c r="W45" s="119">
        <v>3</v>
      </c>
      <c r="X45" s="23" t="s">
        <v>32</v>
      </c>
      <c r="Y45" s="22">
        <f>(_xlfn.XLOOKUP(Table7121437[[#This Row],[DEF]],Table71214[DEF],Table71214[REC])+_xlfn.XLOOKUP(Table7121437[[#This Row],[DEF]],Table948[Defense],Table948[WR3C]))/2</f>
        <v>1.5588235294117647</v>
      </c>
      <c r="Z45" s="22">
        <f>(_xlfn.XLOOKUP(Table7121437[[#This Row],[DEF]],Table71214[DEF],Table71214[Y])+_xlfn.XLOOKUP(Table7121437[[#This Row],[DEF]],Table948[Defense],Table948[WR3Y]))/2</f>
        <v>22.735294117647058</v>
      </c>
      <c r="AA45" s="22">
        <f>(_xlfn.XLOOKUP(Table7121437[[#This Row],[DEF]],Table71214[DEF],Table71214[TD])+_xlfn.XLOOKUP(Table7121437[[#This Row],[DEF]],Table948[Defense],Table948[WR3]))/2</f>
        <v>0.23529411764705882</v>
      </c>
      <c r="AC45" s="119">
        <f t="shared" si="7"/>
        <v>20</v>
      </c>
      <c r="AD45" s="119">
        <v>32</v>
      </c>
      <c r="AE45" s="119">
        <f>_xlfn.RANK.AVG(Table712141538[[#This Row],[Y]],Table712141538[Y])</f>
        <v>25</v>
      </c>
      <c r="AF45" s="119">
        <v>3</v>
      </c>
      <c r="AG45" s="23" t="s">
        <v>32</v>
      </c>
      <c r="AH45" s="22">
        <f>(_xlfn.XLOOKUP(Table712141538[[#This Row],[DEF]],Table7121415[DEF],Table7121415[REC])+_xlfn.XLOOKUP(Table712141538[[#This Row],[DEF]],Table948[Defense],Table948[WR4+C]))/2</f>
        <v>0.55882352941176472</v>
      </c>
      <c r="AI45" s="22">
        <f>(_xlfn.XLOOKUP(Table712141538[[#This Row],[DEF]],Table7121415[DEF],Table7121415[Y])+_xlfn.XLOOKUP(Table712141538[[#This Row],[DEF]],Table948[Defense],Table948[WR4+Y]))/2</f>
        <v>8.617647058823529</v>
      </c>
      <c r="AJ45" s="22">
        <f>(_xlfn.XLOOKUP(Table712141538[[#This Row],[DEF]],Table7121415[DEF],Table7121415[TD])+_xlfn.XLOOKUP(Table712141538[[#This Row],[DEF]],Table948[Defense],Table948[WR4+]))/2</f>
        <v>0.11764705882352941</v>
      </c>
    </row>
    <row r="46" spans="2:45" x14ac:dyDescent="0.35">
      <c r="B46" s="155" t="str">
        <f t="shared" si="4"/>
        <v>n/a</v>
      </c>
      <c r="C46" s="119">
        <v>24.5</v>
      </c>
      <c r="D46" s="21" t="s">
        <v>33</v>
      </c>
      <c r="E46" s="22">
        <f>(_xlfn.XLOOKUP(Table1033[[#This Row],[DEF]],Table10[DEF],Table10[TD])+_xlfn.XLOOKUP(Table1033[[#This Row],[DEF]],Table1046[DEF],Table1046[TD]))/2</f>
        <v>5.8823529411764705E-2</v>
      </c>
      <c r="G46" s="119">
        <f t="shared" si="5"/>
        <v>9.4</v>
      </c>
      <c r="H46" s="119">
        <v>17</v>
      </c>
      <c r="I46" s="119">
        <v>12.5</v>
      </c>
      <c r="J46" s="119">
        <v>3</v>
      </c>
      <c r="K46" s="119">
        <v>8</v>
      </c>
      <c r="L46" s="119">
        <v>6.5</v>
      </c>
      <c r="M46" s="21" t="s">
        <v>33</v>
      </c>
      <c r="N46" s="121">
        <f>(_xlfn.XLOOKUP(Table2040[[#This Row],[DEF]],Table20[DEF],Table20[R])+_xlfn.XLOOKUP(Table2040[[#This Row],[DEF]],Table46[DEF],Table46[R]))/2</f>
        <v>94.941176470588232</v>
      </c>
      <c r="O46" s="121">
        <f>(_xlfn.XLOOKUP(Table2040[[#This Row],[DEF]],Table20[DEF],Table20[REC])+_xlfn.XLOOKUP(Table2040[[#This Row],[DEF]],Table46[DEF],Table46[REC]))/2</f>
        <v>4.5294117647058822</v>
      </c>
      <c r="P46" s="121">
        <f>(_xlfn.XLOOKUP(Table2040[[#This Row],[DEF]],Table20[DEF],Table20[Y])+_xlfn.XLOOKUP(Table2040[[#This Row],[DEF]],Table46[DEF],Table46[Y]))/2</f>
        <v>40.735294117647058</v>
      </c>
      <c r="Q46" s="121">
        <f>(_xlfn.XLOOKUP(Table2040[[#This Row],[DEF]],Table20[DEF],Table20[R+R])+_xlfn.XLOOKUP(Table2040[[#This Row],[DEF]],Table46[DEF],Table46[R+R]))/2</f>
        <v>135.6764705882353</v>
      </c>
      <c r="R46" s="121">
        <f>(_xlfn.XLOOKUP(Table2040[[#This Row],[DEF]],Table20[DEF],Table20[TD])+_xlfn.XLOOKUP(Table2040[[#This Row],[DEF]],Table46[DEF],Table46[TD]))/2</f>
        <v>1.0882352941176472</v>
      </c>
      <c r="T46" s="119">
        <f t="shared" si="6"/>
        <v>8.3333333333333339</v>
      </c>
      <c r="U46" s="119">
        <v>12.5</v>
      </c>
      <c r="V46" s="119">
        <f>_xlfn.RANK.AVG(Table7121437[[#This Row],[Y]],Table7121437[Y])</f>
        <v>6</v>
      </c>
      <c r="W46" s="119">
        <v>6.5</v>
      </c>
      <c r="X46" s="21" t="s">
        <v>33</v>
      </c>
      <c r="Y46" s="22">
        <f>(_xlfn.XLOOKUP(Table7121437[[#This Row],[DEF]],Table71214[DEF],Table71214[REC])+_xlfn.XLOOKUP(Table7121437[[#This Row],[DEF]],Table948[Defense],Table948[WR3C]))/2</f>
        <v>2.2058823529411766</v>
      </c>
      <c r="Z46" s="22">
        <f>(_xlfn.XLOOKUP(Table7121437[[#This Row],[DEF]],Table71214[DEF],Table71214[Y])+_xlfn.XLOOKUP(Table7121437[[#This Row],[DEF]],Table948[Defense],Table948[WR3Y]))/2</f>
        <v>29.911764705882355</v>
      </c>
      <c r="AA46" s="22">
        <f>(_xlfn.XLOOKUP(Table7121437[[#This Row],[DEF]],Table71214[DEF],Table71214[TD])+_xlfn.XLOOKUP(Table7121437[[#This Row],[DEF]],Table948[Defense],Table948[WR3]))/2</f>
        <v>0.20588235294117646</v>
      </c>
      <c r="AC46" s="119">
        <f t="shared" si="7"/>
        <v>7</v>
      </c>
      <c r="AD46" s="119">
        <v>6.5</v>
      </c>
      <c r="AE46" s="119">
        <f>_xlfn.RANK.AVG(Table712141538[[#This Row],[Y]],Table712141538[Y])</f>
        <v>5</v>
      </c>
      <c r="AF46" s="119">
        <v>9.5</v>
      </c>
      <c r="AG46" s="21" t="s">
        <v>33</v>
      </c>
      <c r="AH46" s="22">
        <f>(_xlfn.XLOOKUP(Table712141538[[#This Row],[DEF]],Table7121415[DEF],Table7121415[REC])+_xlfn.XLOOKUP(Table712141538[[#This Row],[DEF]],Table948[Defense],Table948[WR4+C]))/2</f>
        <v>1.2058823529411766</v>
      </c>
      <c r="AI46" s="22">
        <f>(_xlfn.XLOOKUP(Table712141538[[#This Row],[DEF]],Table7121415[DEF],Table7121415[Y])+_xlfn.XLOOKUP(Table712141538[[#This Row],[DEF]],Table948[Defense],Table948[WR4+Y]))/2</f>
        <v>14.088235294117647</v>
      </c>
      <c r="AJ46" s="22">
        <f>(_xlfn.XLOOKUP(Table712141538[[#This Row],[DEF]],Table7121415[DEF],Table7121415[TD])+_xlfn.XLOOKUP(Table712141538[[#This Row],[DEF]],Table948[Defense],Table948[WR4+]))/2</f>
        <v>8.8235294117647051E-2</v>
      </c>
    </row>
    <row r="47" spans="2:45" x14ac:dyDescent="0.35">
      <c r="B47" s="155" t="str">
        <f t="shared" si="4"/>
        <v>n/a</v>
      </c>
      <c r="C47" s="119">
        <v>32</v>
      </c>
      <c r="D47" s="23" t="s">
        <v>34</v>
      </c>
      <c r="E47" s="22">
        <f>(_xlfn.XLOOKUP(Table1033[[#This Row],[DEF]],Table10[DEF],Table10[TD])+_xlfn.XLOOKUP(Table1033[[#This Row],[DEF]],Table1046[DEF],Table1046[TD]))/2</f>
        <v>0</v>
      </c>
      <c r="G47" s="119">
        <f t="shared" si="5"/>
        <v>25.2</v>
      </c>
      <c r="H47" s="119">
        <v>30</v>
      </c>
      <c r="I47" s="119">
        <v>24</v>
      </c>
      <c r="J47" s="119">
        <v>20</v>
      </c>
      <c r="K47" s="119">
        <v>31</v>
      </c>
      <c r="L47" s="119">
        <v>21</v>
      </c>
      <c r="M47" s="23" t="s">
        <v>34</v>
      </c>
      <c r="N47" s="121">
        <f>(_xlfn.XLOOKUP(Table2040[[#This Row],[DEF]],Table20[DEF],Table20[R])+_xlfn.XLOOKUP(Table2040[[#This Row],[DEF]],Table46[DEF],Table46[R]))/2</f>
        <v>73.970588235294116</v>
      </c>
      <c r="O47" s="121">
        <f>(_xlfn.XLOOKUP(Table2040[[#This Row],[DEF]],Table20[DEF],Table20[REC])+_xlfn.XLOOKUP(Table2040[[#This Row],[DEF]],Table46[DEF],Table46[REC]))/2</f>
        <v>3.9411764705882355</v>
      </c>
      <c r="P47" s="121">
        <f>(_xlfn.XLOOKUP(Table2040[[#This Row],[DEF]],Table20[DEF],Table20[Y])+_xlfn.XLOOKUP(Table2040[[#This Row],[DEF]],Table46[DEF],Table46[Y]))/2</f>
        <v>29.941176470588239</v>
      </c>
      <c r="Q47" s="121">
        <f>(_xlfn.XLOOKUP(Table2040[[#This Row],[DEF]],Table20[DEF],Table20[R+R])+_xlfn.XLOOKUP(Table2040[[#This Row],[DEF]],Table46[DEF],Table46[R+R]))/2</f>
        <v>103.91176470588235</v>
      </c>
      <c r="R47" s="121">
        <f>(_xlfn.XLOOKUP(Table2040[[#This Row],[DEF]],Table20[DEF],Table20[TD])+_xlfn.XLOOKUP(Table2040[[#This Row],[DEF]],Table46[DEF],Table46[TD]))/2</f>
        <v>0.79411764705882359</v>
      </c>
      <c r="T47" s="119">
        <f t="shared" si="6"/>
        <v>9.1666666666666661</v>
      </c>
      <c r="U47" s="119">
        <v>3</v>
      </c>
      <c r="V47" s="119">
        <f>_xlfn.RANK.AVG(Table7121437[[#This Row],[Y]],Table7121437[Y])</f>
        <v>3</v>
      </c>
      <c r="W47" s="119">
        <v>21.5</v>
      </c>
      <c r="X47" s="23" t="s">
        <v>34</v>
      </c>
      <c r="Y47" s="22">
        <f>(_xlfn.XLOOKUP(Table7121437[[#This Row],[DEF]],Table71214[DEF],Table71214[REC])+_xlfn.XLOOKUP(Table7121437[[#This Row],[DEF]],Table948[Defense],Table948[WR3C]))/2</f>
        <v>2.5882352941176467</v>
      </c>
      <c r="Z47" s="22">
        <f>(_xlfn.XLOOKUP(Table7121437[[#This Row],[DEF]],Table71214[DEF],Table71214[Y])+_xlfn.XLOOKUP(Table7121437[[#This Row],[DEF]],Table948[Defense],Table948[WR3Y]))/2</f>
        <v>33.205882352941174</v>
      </c>
      <c r="AA47" s="22">
        <f>(_xlfn.XLOOKUP(Table7121437[[#This Row],[DEF]],Table71214[DEF],Table71214[TD])+_xlfn.XLOOKUP(Table7121437[[#This Row],[DEF]],Table948[Defense],Table948[WR3]))/2</f>
        <v>0.11764705882352941</v>
      </c>
      <c r="AC47" s="119">
        <f t="shared" si="7"/>
        <v>18.166666666666668</v>
      </c>
      <c r="AD47" s="119">
        <v>20.5</v>
      </c>
      <c r="AE47" s="119">
        <f>_xlfn.RANK.AVG(Table712141538[[#This Row],[Y]],Table712141538[Y])</f>
        <v>17</v>
      </c>
      <c r="AF47" s="119">
        <v>17</v>
      </c>
      <c r="AG47" s="23" t="s">
        <v>34</v>
      </c>
      <c r="AH47" s="22">
        <f>(_xlfn.XLOOKUP(Table712141538[[#This Row],[DEF]],Table7121415[DEF],Table7121415[REC])+_xlfn.XLOOKUP(Table712141538[[#This Row],[DEF]],Table948[Defense],Table948[WR4+C]))/2</f>
        <v>0.85294117647058831</v>
      </c>
      <c r="AI47" s="22">
        <f>(_xlfn.XLOOKUP(Table712141538[[#This Row],[DEF]],Table7121415[DEF],Table7121415[Y])+_xlfn.XLOOKUP(Table712141538[[#This Row],[DEF]],Table948[Defense],Table948[WR4+Y]))/2</f>
        <v>10.5</v>
      </c>
      <c r="AJ47" s="22">
        <f>(_xlfn.XLOOKUP(Table712141538[[#This Row],[DEF]],Table7121415[DEF],Table7121415[TD])+_xlfn.XLOOKUP(Table712141538[[#This Row],[DEF]],Table948[Defense],Table948[WR4+]))/2</f>
        <v>5.8823529411764705E-2</v>
      </c>
    </row>
    <row r="48" spans="2:45" x14ac:dyDescent="0.35">
      <c r="B48" s="155" t="str">
        <f t="shared" si="4"/>
        <v>n/a</v>
      </c>
      <c r="C48" s="119">
        <v>29.5</v>
      </c>
      <c r="D48" s="21" t="s">
        <v>35</v>
      </c>
      <c r="E48" s="22">
        <f>(_xlfn.XLOOKUP(Table1033[[#This Row],[DEF]],Table10[DEF],Table10[TD])+_xlfn.XLOOKUP(Table1033[[#This Row],[DEF]],Table1046[DEF],Table1046[TD]))/2</f>
        <v>2.9411764705882353E-2</v>
      </c>
      <c r="G48" s="119">
        <f t="shared" si="5"/>
        <v>26.2</v>
      </c>
      <c r="H48" s="119">
        <v>28</v>
      </c>
      <c r="I48" s="119">
        <v>30</v>
      </c>
      <c r="J48" s="119">
        <v>22</v>
      </c>
      <c r="K48" s="119">
        <v>30</v>
      </c>
      <c r="L48" s="119">
        <v>21</v>
      </c>
      <c r="M48" s="21" t="s">
        <v>35</v>
      </c>
      <c r="N48" s="121">
        <f>(_xlfn.XLOOKUP(Table2040[[#This Row],[DEF]],Table20[DEF],Table20[R])+_xlfn.XLOOKUP(Table2040[[#This Row],[DEF]],Table46[DEF],Table46[R]))/2</f>
        <v>78.882352941176464</v>
      </c>
      <c r="O48" s="121">
        <f>(_xlfn.XLOOKUP(Table2040[[#This Row],[DEF]],Table20[DEF],Table20[REC])+_xlfn.XLOOKUP(Table2040[[#This Row],[DEF]],Table46[DEF],Table46[REC]))/2</f>
        <v>3.5588235294117645</v>
      </c>
      <c r="P48" s="121">
        <f>(_xlfn.XLOOKUP(Table2040[[#This Row],[DEF]],Table20[DEF],Table20[Y])+_xlfn.XLOOKUP(Table2040[[#This Row],[DEF]],Table46[DEF],Table46[Y]))/2</f>
        <v>29.705882352941174</v>
      </c>
      <c r="Q48" s="121">
        <f>(_xlfn.XLOOKUP(Table2040[[#This Row],[DEF]],Table20[DEF],Table20[R+R])+_xlfn.XLOOKUP(Table2040[[#This Row],[DEF]],Table46[DEF],Table46[R+R]))/2</f>
        <v>108.58823529411765</v>
      </c>
      <c r="R48" s="121">
        <f>(_xlfn.XLOOKUP(Table2040[[#This Row],[DEF]],Table20[DEF],Table20[TD])+_xlfn.XLOOKUP(Table2040[[#This Row],[DEF]],Table46[DEF],Table46[TD]))/2</f>
        <v>0.79411764705882359</v>
      </c>
      <c r="T48" s="119">
        <f t="shared" si="6"/>
        <v>5</v>
      </c>
      <c r="U48" s="119">
        <v>2</v>
      </c>
      <c r="V48" s="119">
        <f>_xlfn.RANK.AVG(Table7121437[[#This Row],[Y]],Table7121437[Y])</f>
        <v>1</v>
      </c>
      <c r="W48" s="119">
        <v>12</v>
      </c>
      <c r="X48" s="21" t="s">
        <v>35</v>
      </c>
      <c r="Y48" s="22">
        <f>(_xlfn.XLOOKUP(Table7121437[[#This Row],[DEF]],Table71214[DEF],Table71214[REC])+_xlfn.XLOOKUP(Table7121437[[#This Row],[DEF]],Table948[Defense],Table948[WR3C]))/2</f>
        <v>2.7941176470588234</v>
      </c>
      <c r="Z48" s="22">
        <f>(_xlfn.XLOOKUP(Table7121437[[#This Row],[DEF]],Table71214[DEF],Table71214[Y])+_xlfn.XLOOKUP(Table7121437[[#This Row],[DEF]],Table948[Defense],Table948[WR3Y]))/2</f>
        <v>41.294117647058826</v>
      </c>
      <c r="AA48" s="22">
        <f>(_xlfn.XLOOKUP(Table7121437[[#This Row],[DEF]],Table71214[DEF],Table71214[TD])+_xlfn.XLOOKUP(Table7121437[[#This Row],[DEF]],Table948[Defense],Table948[WR3]))/2</f>
        <v>0.1764705882352941</v>
      </c>
      <c r="AC48" s="119">
        <f t="shared" si="7"/>
        <v>19.666666666666668</v>
      </c>
      <c r="AD48" s="119">
        <v>14</v>
      </c>
      <c r="AE48" s="119">
        <f>_xlfn.RANK.AVG(Table712141538[[#This Row],[Y]],Table712141538[Y])</f>
        <v>14</v>
      </c>
      <c r="AF48" s="119">
        <v>31</v>
      </c>
      <c r="AG48" s="21" t="s">
        <v>35</v>
      </c>
      <c r="AH48" s="22">
        <f>(_xlfn.XLOOKUP(Table712141538[[#This Row],[DEF]],Table7121415[DEF],Table7121415[REC])+_xlfn.XLOOKUP(Table712141538[[#This Row],[DEF]],Table948[Defense],Table948[WR4+C]))/2</f>
        <v>0.94117647058823528</v>
      </c>
      <c r="AI48" s="22">
        <f>(_xlfn.XLOOKUP(Table712141538[[#This Row],[DEF]],Table7121415[DEF],Table7121415[Y])+_xlfn.XLOOKUP(Table712141538[[#This Row],[DEF]],Table948[Defense],Table948[WR4+Y]))/2</f>
        <v>10.823529411764707</v>
      </c>
      <c r="AJ48" s="22">
        <f>(_xlfn.XLOOKUP(Table712141538[[#This Row],[DEF]],Table7121415[DEF],Table7121415[TD])+_xlfn.XLOOKUP(Table712141538[[#This Row],[DEF]],Table948[Defense],Table948[WR4+]))/2</f>
        <v>0</v>
      </c>
    </row>
    <row r="49" spans="2:36" x14ac:dyDescent="0.35">
      <c r="B49" s="155" t="str">
        <f t="shared" si="4"/>
        <v>n/a</v>
      </c>
      <c r="C49" s="119">
        <v>18.5</v>
      </c>
      <c r="D49" s="23" t="s">
        <v>36</v>
      </c>
      <c r="E49" s="22">
        <f>(_xlfn.XLOOKUP(Table1033[[#This Row],[DEF]],Table10[DEF],Table10[TD])+_xlfn.XLOOKUP(Table1033[[#This Row],[DEF]],Table1046[DEF],Table1046[TD]))/2</f>
        <v>8.8235294117647065E-2</v>
      </c>
      <c r="G49" s="119">
        <f t="shared" si="5"/>
        <v>13.8</v>
      </c>
      <c r="H49" s="119">
        <v>18</v>
      </c>
      <c r="I49" s="119">
        <v>5</v>
      </c>
      <c r="J49" s="119">
        <v>13</v>
      </c>
      <c r="K49" s="119">
        <v>14</v>
      </c>
      <c r="L49" s="119">
        <v>19</v>
      </c>
      <c r="M49" s="23" t="s">
        <v>36</v>
      </c>
      <c r="N49" s="121">
        <f>(_xlfn.XLOOKUP(Table2040[[#This Row],[DEF]],Table20[DEF],Table20[R])+_xlfn.XLOOKUP(Table2040[[#This Row],[DEF]],Table46[DEF],Table46[R]))/2</f>
        <v>94.32352941176471</v>
      </c>
      <c r="O49" s="121">
        <f>(_xlfn.XLOOKUP(Table2040[[#This Row],[DEF]],Table20[DEF],Table20[REC])+_xlfn.XLOOKUP(Table2040[[#This Row],[DEF]],Table46[DEF],Table46[REC]))/2</f>
        <v>4.9705882352941178</v>
      </c>
      <c r="P49" s="121">
        <f>(_xlfn.XLOOKUP(Table2040[[#This Row],[DEF]],Table20[DEF],Table20[Y])+_xlfn.XLOOKUP(Table2040[[#This Row],[DEF]],Table46[DEF],Table46[Y]))/2</f>
        <v>33.617647058823529</v>
      </c>
      <c r="Q49" s="121">
        <f>(_xlfn.XLOOKUP(Table2040[[#This Row],[DEF]],Table20[DEF],Table20[R+R])+_xlfn.XLOOKUP(Table2040[[#This Row],[DEF]],Table46[DEF],Table46[R+R]))/2</f>
        <v>127.94117647058823</v>
      </c>
      <c r="R49" s="121">
        <f>(_xlfn.XLOOKUP(Table2040[[#This Row],[DEF]],Table20[DEF],Table20[TD])+_xlfn.XLOOKUP(Table2040[[#This Row],[DEF]],Table46[DEF],Table46[TD]))/2</f>
        <v>0.82352941176470584</v>
      </c>
      <c r="T49" s="119">
        <f t="shared" si="6"/>
        <v>13.833333333333334</v>
      </c>
      <c r="U49" s="119">
        <v>17</v>
      </c>
      <c r="V49" s="119">
        <f>_xlfn.RANK.AVG(Table7121437[[#This Row],[Y]],Table7121437[Y])</f>
        <v>18</v>
      </c>
      <c r="W49" s="119">
        <v>6.5</v>
      </c>
      <c r="X49" s="23" t="s">
        <v>36</v>
      </c>
      <c r="Y49" s="22">
        <f>(_xlfn.XLOOKUP(Table7121437[[#This Row],[DEF]],Table71214[DEF],Table71214[REC])+_xlfn.XLOOKUP(Table7121437[[#This Row],[DEF]],Table948[Defense],Table948[WR3C]))/2</f>
        <v>2.0294117647058822</v>
      </c>
      <c r="Z49" s="22">
        <f>(_xlfn.XLOOKUP(Table7121437[[#This Row],[DEF]],Table71214[DEF],Table71214[Y])+_xlfn.XLOOKUP(Table7121437[[#This Row],[DEF]],Table948[Defense],Table948[WR3Y]))/2</f>
        <v>24.352941176470587</v>
      </c>
      <c r="AA49" s="22">
        <f>(_xlfn.XLOOKUP(Table7121437[[#This Row],[DEF]],Table71214[DEF],Table71214[TD])+_xlfn.XLOOKUP(Table7121437[[#This Row],[DEF]],Table948[Defense],Table948[WR3]))/2</f>
        <v>0.20588235294117646</v>
      </c>
      <c r="AC49" s="119">
        <f t="shared" si="7"/>
        <v>19.5</v>
      </c>
      <c r="AD49" s="119">
        <v>24.5</v>
      </c>
      <c r="AE49" s="119">
        <f>_xlfn.RANK.AVG(Table712141538[[#This Row],[Y]],Table712141538[Y])</f>
        <v>28</v>
      </c>
      <c r="AF49" s="119">
        <v>6</v>
      </c>
      <c r="AG49" s="23" t="s">
        <v>36</v>
      </c>
      <c r="AH49" s="22">
        <f>(_xlfn.XLOOKUP(Table712141538[[#This Row],[DEF]],Table7121415[DEF],Table7121415[REC])+_xlfn.XLOOKUP(Table712141538[[#This Row],[DEF]],Table948[Defense],Table948[WR4+C]))/2</f>
        <v>0.79411764705882359</v>
      </c>
      <c r="AI49" s="22">
        <f>(_xlfn.XLOOKUP(Table712141538[[#This Row],[DEF]],Table7121415[DEF],Table7121415[Y])+_xlfn.XLOOKUP(Table712141538[[#This Row],[DEF]],Table948[Defense],Table948[WR4+Y]))/2</f>
        <v>7.117647058823529</v>
      </c>
      <c r="AJ49" s="22">
        <f>(_xlfn.XLOOKUP(Table712141538[[#This Row],[DEF]],Table7121415[DEF],Table7121415[TD])+_xlfn.XLOOKUP(Table712141538[[#This Row],[DEF]],Table948[Defense],Table948[WR4+]))/2</f>
        <v>8.8235294117647065E-2</v>
      </c>
    </row>
    <row r="50" spans="2:36" x14ac:dyDescent="0.35">
      <c r="B50" s="155" t="str">
        <f t="shared" si="4"/>
        <v>n/a</v>
      </c>
      <c r="C50" s="119">
        <v>24.5</v>
      </c>
      <c r="D50" s="21" t="s">
        <v>37</v>
      </c>
      <c r="E50" s="22">
        <f>(_xlfn.XLOOKUP(Table1033[[#This Row],[DEF]],Table10[DEF],Table10[TD])+_xlfn.XLOOKUP(Table1033[[#This Row],[DEF]],Table1046[DEF],Table1046[TD]))/2</f>
        <v>5.8823529411764705E-2</v>
      </c>
      <c r="G50" s="119">
        <f t="shared" si="5"/>
        <v>24.5</v>
      </c>
      <c r="H50" s="119">
        <v>27</v>
      </c>
      <c r="I50" s="119">
        <v>22</v>
      </c>
      <c r="J50" s="119">
        <v>19</v>
      </c>
      <c r="K50" s="119">
        <v>29</v>
      </c>
      <c r="L50" s="119">
        <v>25.5</v>
      </c>
      <c r="M50" s="21" t="s">
        <v>37</v>
      </c>
      <c r="N50" s="121">
        <f>(_xlfn.XLOOKUP(Table2040[[#This Row],[DEF]],Table20[DEF],Table20[R])+_xlfn.XLOOKUP(Table2040[[#This Row],[DEF]],Table46[DEF],Table46[R]))/2</f>
        <v>79.882352941176478</v>
      </c>
      <c r="O50" s="121">
        <f>(_xlfn.XLOOKUP(Table2040[[#This Row],[DEF]],Table20[DEF],Table20[REC])+_xlfn.XLOOKUP(Table2040[[#This Row],[DEF]],Table46[DEF],Table46[REC]))/2</f>
        <v>4.0294117647058822</v>
      </c>
      <c r="P50" s="121">
        <f>(_xlfn.XLOOKUP(Table2040[[#This Row],[DEF]],Table20[DEF],Table20[Y])+_xlfn.XLOOKUP(Table2040[[#This Row],[DEF]],Table46[DEF],Table46[Y]))/2</f>
        <v>30.02941176470588</v>
      </c>
      <c r="Q50" s="121">
        <f>(_xlfn.XLOOKUP(Table2040[[#This Row],[DEF]],Table20[DEF],Table20[R+R])+_xlfn.XLOOKUP(Table2040[[#This Row],[DEF]],Table46[DEF],Table46[R+R]))/2</f>
        <v>109.91176470588235</v>
      </c>
      <c r="R50" s="121">
        <f>(_xlfn.XLOOKUP(Table2040[[#This Row],[DEF]],Table20[DEF],Table20[TD])+_xlfn.XLOOKUP(Table2040[[#This Row],[DEF]],Table46[DEF],Table46[TD]))/2</f>
        <v>0.70588235294117641</v>
      </c>
      <c r="T50" s="119">
        <f t="shared" si="6"/>
        <v>18.666666666666668</v>
      </c>
      <c r="U50" s="119">
        <v>23.5</v>
      </c>
      <c r="V50" s="119">
        <f>_xlfn.RANK.AVG(Table7121437[[#This Row],[Y]],Table7121437[Y])</f>
        <v>17</v>
      </c>
      <c r="W50" s="119">
        <v>15.5</v>
      </c>
      <c r="X50" s="21" t="s">
        <v>37</v>
      </c>
      <c r="Y50" s="22">
        <f>(_xlfn.XLOOKUP(Table7121437[[#This Row],[DEF]],Table71214[DEF],Table71214[REC])+_xlfn.XLOOKUP(Table7121437[[#This Row],[DEF]],Table948[Defense],Table948[WR3C]))/2</f>
        <v>1.8529411764705883</v>
      </c>
      <c r="Z50" s="22">
        <f>(_xlfn.XLOOKUP(Table7121437[[#This Row],[DEF]],Table71214[DEF],Table71214[Y])+_xlfn.XLOOKUP(Table7121437[[#This Row],[DEF]],Table948[Defense],Table948[WR3Y]))/2</f>
        <v>24.441176470588236</v>
      </c>
      <c r="AA50" s="22">
        <f>(_xlfn.XLOOKUP(Table7121437[[#This Row],[DEF]],Table71214[DEF],Table71214[TD])+_xlfn.XLOOKUP(Table7121437[[#This Row],[DEF]],Table948[Defense],Table948[WR3]))/2</f>
        <v>0.14705882352941177</v>
      </c>
      <c r="AC50" s="119">
        <f t="shared" si="7"/>
        <v>19.166666666666668</v>
      </c>
      <c r="AD50" s="119">
        <v>20.5</v>
      </c>
      <c r="AE50" s="119">
        <f>_xlfn.RANK.AVG(Table712141538[[#This Row],[Y]],Table712141538[Y])</f>
        <v>20</v>
      </c>
      <c r="AF50" s="119">
        <v>17</v>
      </c>
      <c r="AG50" s="21" t="s">
        <v>37</v>
      </c>
      <c r="AH50" s="22">
        <f>(_xlfn.XLOOKUP(Table712141538[[#This Row],[DEF]],Table7121415[DEF],Table7121415[REC])+_xlfn.XLOOKUP(Table712141538[[#This Row],[DEF]],Table948[Defense],Table948[WR4+C]))/2</f>
        <v>0.85294117647058831</v>
      </c>
      <c r="AI50" s="22">
        <f>(_xlfn.XLOOKUP(Table712141538[[#This Row],[DEF]],Table7121415[DEF],Table7121415[Y])+_xlfn.XLOOKUP(Table712141538[[#This Row],[DEF]],Table948[Defense],Table948[WR4+Y]))/2</f>
        <v>9.5294117647058822</v>
      </c>
      <c r="AJ50" s="22">
        <f>(_xlfn.XLOOKUP(Table712141538[[#This Row],[DEF]],Table7121415[DEF],Table7121415[TD])+_xlfn.XLOOKUP(Table712141538[[#This Row],[DEF]],Table948[Defense],Table948[WR4+]))/2</f>
        <v>5.8823529411764705E-2</v>
      </c>
    </row>
    <row r="51" spans="2:36" x14ac:dyDescent="0.35">
      <c r="B51" s="155" t="str">
        <f t="shared" si="4"/>
        <v>n/a</v>
      </c>
      <c r="C51" s="119">
        <v>15.5</v>
      </c>
      <c r="D51" s="23" t="s">
        <v>38</v>
      </c>
      <c r="E51" s="22">
        <f>(_xlfn.XLOOKUP(Table1033[[#This Row],[DEF]],Table10[DEF],Table10[TD])+_xlfn.XLOOKUP(Table1033[[#This Row],[DEF]],Table1046[DEF],Table1046[TD]))/2</f>
        <v>0.11764705882352941</v>
      </c>
      <c r="G51" s="119">
        <f t="shared" si="5"/>
        <v>17.2</v>
      </c>
      <c r="H51" s="119">
        <v>13</v>
      </c>
      <c r="I51" s="119">
        <v>18</v>
      </c>
      <c r="J51" s="119">
        <v>23</v>
      </c>
      <c r="K51" s="119">
        <v>15</v>
      </c>
      <c r="L51" s="119">
        <v>17</v>
      </c>
      <c r="M51" s="23" t="s">
        <v>38</v>
      </c>
      <c r="N51" s="121">
        <f>(_xlfn.XLOOKUP(Table2040[[#This Row],[DEF]],Table20[DEF],Table20[R])+_xlfn.XLOOKUP(Table2040[[#This Row],[DEF]],Table46[DEF],Table46[R]))/2</f>
        <v>96.941176470588232</v>
      </c>
      <c r="O51" s="121">
        <f>(_xlfn.XLOOKUP(Table2040[[#This Row],[DEF]],Table20[DEF],Table20[REC])+_xlfn.XLOOKUP(Table2040[[#This Row],[DEF]],Table46[DEF],Table46[REC]))/2</f>
        <v>4.3235294117647056</v>
      </c>
      <c r="P51" s="121">
        <f>(_xlfn.XLOOKUP(Table2040[[#This Row],[DEF]],Table20[DEF],Table20[Y])+_xlfn.XLOOKUP(Table2040[[#This Row],[DEF]],Table46[DEF],Table46[Y]))/2</f>
        <v>29.5</v>
      </c>
      <c r="Q51" s="121">
        <f>(_xlfn.XLOOKUP(Table2040[[#This Row],[DEF]],Table20[DEF],Table20[R+R])+_xlfn.XLOOKUP(Table2040[[#This Row],[DEF]],Table46[DEF],Table46[R+R]))/2</f>
        <v>126.44117647058823</v>
      </c>
      <c r="R51" s="121">
        <f>(_xlfn.XLOOKUP(Table2040[[#This Row],[DEF]],Table20[DEF],Table20[TD])+_xlfn.XLOOKUP(Table2040[[#This Row],[DEF]],Table46[DEF],Table46[TD]))/2</f>
        <v>0.91176470588235292</v>
      </c>
      <c r="T51" s="119">
        <f t="shared" si="6"/>
        <v>3.1666666666666665</v>
      </c>
      <c r="U51" s="119">
        <v>1</v>
      </c>
      <c r="V51" s="119">
        <f>_xlfn.RANK.AVG(Table7121437[[#This Row],[Y]],Table7121437[Y])</f>
        <v>2</v>
      </c>
      <c r="W51" s="119">
        <v>6.5</v>
      </c>
      <c r="X51" s="23" t="s">
        <v>38</v>
      </c>
      <c r="Y51" s="22">
        <f>(_xlfn.XLOOKUP(Table7121437[[#This Row],[DEF]],Table71214[DEF],Table71214[REC])+_xlfn.XLOOKUP(Table7121437[[#This Row],[DEF]],Table948[Defense],Table948[WR3C]))/2</f>
        <v>2.8823529411764706</v>
      </c>
      <c r="Z51" s="22">
        <f>(_xlfn.XLOOKUP(Table7121437[[#This Row],[DEF]],Table71214[DEF],Table71214[Y])+_xlfn.XLOOKUP(Table7121437[[#This Row],[DEF]],Table948[Defense],Table948[WR3Y]))/2</f>
        <v>36.735294117647058</v>
      </c>
      <c r="AA51" s="22">
        <f>(_xlfn.XLOOKUP(Table7121437[[#This Row],[DEF]],Table71214[DEF],Table71214[TD])+_xlfn.XLOOKUP(Table7121437[[#This Row],[DEF]],Table948[Defense],Table948[WR3]))/2</f>
        <v>0.20588235294117646</v>
      </c>
      <c r="AC51" s="119">
        <f t="shared" si="7"/>
        <v>20.333333333333332</v>
      </c>
      <c r="AD51" s="119">
        <v>15</v>
      </c>
      <c r="AE51" s="119">
        <f>_xlfn.RANK.AVG(Table712141538[[#This Row],[Y]],Table712141538[Y])</f>
        <v>29</v>
      </c>
      <c r="AF51" s="119">
        <v>17</v>
      </c>
      <c r="AG51" s="23" t="s">
        <v>38</v>
      </c>
      <c r="AH51" s="22">
        <f>(_xlfn.XLOOKUP(Table712141538[[#This Row],[DEF]],Table7121415[DEF],Table7121415[REC])+_xlfn.XLOOKUP(Table712141538[[#This Row],[DEF]],Table948[Defense],Table948[WR4+C]))/2</f>
        <v>0.91176470588235303</v>
      </c>
      <c r="AI51" s="22">
        <f>(_xlfn.XLOOKUP(Table712141538[[#This Row],[DEF]],Table7121415[DEF],Table7121415[Y])+_xlfn.XLOOKUP(Table712141538[[#This Row],[DEF]],Table948[Defense],Table948[WR4+Y]))/2</f>
        <v>7.0882352941176467</v>
      </c>
      <c r="AJ51" s="22">
        <f>(_xlfn.XLOOKUP(Table712141538[[#This Row],[DEF]],Table7121415[DEF],Table7121415[TD])+_xlfn.XLOOKUP(Table712141538[[#This Row],[DEF]],Table948[Defense],Table948[WR4+]))/2</f>
        <v>5.8823529411764705E-2</v>
      </c>
    </row>
    <row r="52" spans="2:36" x14ac:dyDescent="0.35">
      <c r="B52" s="155" t="str">
        <f t="shared" si="4"/>
        <v>n/a</v>
      </c>
      <c r="C52" s="119">
        <v>24.5</v>
      </c>
      <c r="D52" s="21" t="s">
        <v>39</v>
      </c>
      <c r="E52" s="22">
        <f>(_xlfn.XLOOKUP(Table1033[[#This Row],[DEF]],Table10[DEF],Table10[TD])+_xlfn.XLOOKUP(Table1033[[#This Row],[DEF]],Table1046[DEF],Table1046[TD]))/2</f>
        <v>5.8823529411764705E-2</v>
      </c>
      <c r="G52" s="119">
        <f t="shared" si="5"/>
        <v>12.6</v>
      </c>
      <c r="H52" s="119">
        <v>26</v>
      </c>
      <c r="I52" s="119">
        <v>4</v>
      </c>
      <c r="J52" s="119">
        <v>4</v>
      </c>
      <c r="K52" s="119">
        <v>18</v>
      </c>
      <c r="L52" s="119">
        <v>11</v>
      </c>
      <c r="M52" s="21" t="s">
        <v>39</v>
      </c>
      <c r="N52" s="121">
        <f>(_xlfn.XLOOKUP(Table2040[[#This Row],[DEF]],Table20[DEF],Table20[R])+_xlfn.XLOOKUP(Table2040[[#This Row],[DEF]],Table46[DEF],Table46[R]))/2</f>
        <v>86.941176470588232</v>
      </c>
      <c r="O52" s="121">
        <f>(_xlfn.XLOOKUP(Table2040[[#This Row],[DEF]],Table20[DEF],Table20[REC])+_xlfn.XLOOKUP(Table2040[[#This Row],[DEF]],Table46[DEF],Table46[REC]))/2</f>
        <v>5</v>
      </c>
      <c r="P52" s="121">
        <f>(_xlfn.XLOOKUP(Table2040[[#This Row],[DEF]],Table20[DEF],Table20[Y])+_xlfn.XLOOKUP(Table2040[[#This Row],[DEF]],Table46[DEF],Table46[Y]))/2</f>
        <v>37.82352941176471</v>
      </c>
      <c r="Q52" s="121">
        <f>(_xlfn.XLOOKUP(Table2040[[#This Row],[DEF]],Table20[DEF],Table20[R+R])+_xlfn.XLOOKUP(Table2040[[#This Row],[DEF]],Table46[DEF],Table46[R+R]))/2</f>
        <v>124.76470588235294</v>
      </c>
      <c r="R52" s="121">
        <f>(_xlfn.XLOOKUP(Table2040[[#This Row],[DEF]],Table20[DEF],Table20[TD])+_xlfn.XLOOKUP(Table2040[[#This Row],[DEF]],Table46[DEF],Table46[TD]))/2</f>
        <v>1</v>
      </c>
      <c r="T52" s="119">
        <f t="shared" si="6"/>
        <v>20</v>
      </c>
      <c r="U52" s="119">
        <v>16</v>
      </c>
      <c r="V52" s="119">
        <f>_xlfn.RANK.AVG(Table7121437[[#This Row],[Y]],Table7121437[Y])</f>
        <v>13</v>
      </c>
      <c r="W52" s="119">
        <v>31</v>
      </c>
      <c r="X52" s="21" t="s">
        <v>39</v>
      </c>
      <c r="Y52" s="22">
        <f>(_xlfn.XLOOKUP(Table7121437[[#This Row],[DEF]],Table71214[DEF],Table71214[REC])+_xlfn.XLOOKUP(Table7121437[[#This Row],[DEF]],Table948[Defense],Table948[WR3C]))/2</f>
        <v>2.0588235294117645</v>
      </c>
      <c r="Z52" s="22">
        <f>(_xlfn.XLOOKUP(Table7121437[[#This Row],[DEF]],Table71214[DEF],Table71214[Y])+_xlfn.XLOOKUP(Table7121437[[#This Row],[DEF]],Table948[Defense],Table948[WR3Y]))/2</f>
        <v>25.235294117647058</v>
      </c>
      <c r="AA52" s="22">
        <f>(_xlfn.XLOOKUP(Table7121437[[#This Row],[DEF]],Table71214[DEF],Table71214[TD])+_xlfn.XLOOKUP(Table7121437[[#This Row],[DEF]],Table948[Defense],Table948[WR3]))/2</f>
        <v>5.8823529411764705E-2</v>
      </c>
      <c r="AC52" s="119">
        <f t="shared" si="7"/>
        <v>9.1666666666666661</v>
      </c>
      <c r="AD52" s="119">
        <v>4.5</v>
      </c>
      <c r="AE52" s="119">
        <f>_xlfn.RANK.AVG(Table712141538[[#This Row],[Y]],Table712141538[Y])</f>
        <v>6</v>
      </c>
      <c r="AF52" s="119">
        <v>17</v>
      </c>
      <c r="AG52" s="21" t="s">
        <v>39</v>
      </c>
      <c r="AH52" s="22">
        <f>(_xlfn.XLOOKUP(Table712141538[[#This Row],[DEF]],Table7121415[DEF],Table7121415[REC])+_xlfn.XLOOKUP(Table712141538[[#This Row],[DEF]],Table948[Defense],Table948[WR4+C]))/2</f>
        <v>1.2352941176470589</v>
      </c>
      <c r="AI52" s="22">
        <f>(_xlfn.XLOOKUP(Table712141538[[#This Row],[DEF]],Table7121415[DEF],Table7121415[Y])+_xlfn.XLOOKUP(Table712141538[[#This Row],[DEF]],Table948[Defense],Table948[WR4+Y]))/2</f>
        <v>12.882352941176471</v>
      </c>
      <c r="AJ52" s="22">
        <f>(_xlfn.XLOOKUP(Table712141538[[#This Row],[DEF]],Table7121415[DEF],Table7121415[TD])+_xlfn.XLOOKUP(Table712141538[[#This Row],[DEF]],Table948[Defense],Table948[WR4+]))/2</f>
        <v>5.8823529411764705E-2</v>
      </c>
    </row>
    <row r="53" spans="2:36" x14ac:dyDescent="0.35">
      <c r="B53" s="155" t="str">
        <f t="shared" si="4"/>
        <v>n/a</v>
      </c>
      <c r="C53" s="119">
        <v>29.5</v>
      </c>
      <c r="D53" s="23" t="s">
        <v>40</v>
      </c>
      <c r="E53" s="22">
        <f>(_xlfn.XLOOKUP(Table1033[[#This Row],[DEF]],Table10[DEF],Table10[TD])+_xlfn.XLOOKUP(Table1033[[#This Row],[DEF]],Table1046[DEF],Table1046[TD]))/2</f>
        <v>2.9411764705882353E-2</v>
      </c>
      <c r="G53" s="119">
        <f t="shared" si="5"/>
        <v>28.3</v>
      </c>
      <c r="H53" s="119">
        <v>29</v>
      </c>
      <c r="I53" s="119">
        <v>25</v>
      </c>
      <c r="J53" s="119">
        <v>27</v>
      </c>
      <c r="K53" s="119">
        <v>32</v>
      </c>
      <c r="L53" s="119">
        <v>28.5</v>
      </c>
      <c r="M53" s="23" t="s">
        <v>40</v>
      </c>
      <c r="N53" s="121">
        <f>(_xlfn.XLOOKUP(Table2040[[#This Row],[DEF]],Table20[DEF],Table20[R])+_xlfn.XLOOKUP(Table2040[[#This Row],[DEF]],Table46[DEF],Table46[R]))/2</f>
        <v>76.823529411764696</v>
      </c>
      <c r="O53" s="121">
        <f>(_xlfn.XLOOKUP(Table2040[[#This Row],[DEF]],Table20[DEF],Table20[REC])+_xlfn.XLOOKUP(Table2040[[#This Row],[DEF]],Table46[DEF],Table46[REC]))/2</f>
        <v>3.8529411764705879</v>
      </c>
      <c r="P53" s="121">
        <f>(_xlfn.XLOOKUP(Table2040[[#This Row],[DEF]],Table20[DEF],Table20[Y])+_xlfn.XLOOKUP(Table2040[[#This Row],[DEF]],Table46[DEF],Table46[Y]))/2</f>
        <v>26.911764705882355</v>
      </c>
      <c r="Q53" s="121">
        <f>(_xlfn.XLOOKUP(Table2040[[#This Row],[DEF]],Table20[DEF],Table20[R+R])+_xlfn.XLOOKUP(Table2040[[#This Row],[DEF]],Table46[DEF],Table46[R+R]))/2</f>
        <v>103.73529411764706</v>
      </c>
      <c r="R53" s="121">
        <f>(_xlfn.XLOOKUP(Table2040[[#This Row],[DEF]],Table20[DEF],Table20[TD])+_xlfn.XLOOKUP(Table2040[[#This Row],[DEF]],Table46[DEF],Table46[TD]))/2</f>
        <v>0.61764705882352944</v>
      </c>
      <c r="T53" s="119">
        <f t="shared" si="6"/>
        <v>11</v>
      </c>
      <c r="U53" s="119">
        <v>9</v>
      </c>
      <c r="V53" s="119">
        <f>_xlfn.RANK.AVG(Table7121437[[#This Row],[Y]],Table7121437[Y])</f>
        <v>14</v>
      </c>
      <c r="W53" s="119">
        <v>10</v>
      </c>
      <c r="X53" s="23" t="s">
        <v>40</v>
      </c>
      <c r="Y53" s="22">
        <f>(_xlfn.XLOOKUP(Table7121437[[#This Row],[DEF]],Table71214[DEF],Table71214[REC])+_xlfn.XLOOKUP(Table7121437[[#This Row],[DEF]],Table948[Defense],Table948[WR3C]))/2</f>
        <v>2.2647058823529411</v>
      </c>
      <c r="Z53" s="22">
        <f>(_xlfn.XLOOKUP(Table7121437[[#This Row],[DEF]],Table71214[DEF],Table71214[Y])+_xlfn.XLOOKUP(Table7121437[[#This Row],[DEF]],Table948[Defense],Table948[WR3Y]))/2</f>
        <v>25.205882352941178</v>
      </c>
      <c r="AA53" s="22">
        <f>(_xlfn.XLOOKUP(Table7121437[[#This Row],[DEF]],Table71214[DEF],Table71214[TD])+_xlfn.XLOOKUP(Table7121437[[#This Row],[DEF]],Table948[Defense],Table948[WR3]))/2</f>
        <v>0.17647058823529413</v>
      </c>
      <c r="AC53" s="119">
        <f t="shared" si="7"/>
        <v>13.833333333333334</v>
      </c>
      <c r="AD53" s="119">
        <v>9</v>
      </c>
      <c r="AE53" s="119">
        <f>_xlfn.RANK.AVG(Table712141538[[#This Row],[Y]],Table712141538[Y])</f>
        <v>15.5</v>
      </c>
      <c r="AF53" s="119">
        <v>17</v>
      </c>
      <c r="AG53" s="23" t="s">
        <v>40</v>
      </c>
      <c r="AH53" s="22">
        <f>(_xlfn.XLOOKUP(Table712141538[[#This Row],[DEF]],Table7121415[DEF],Table7121415[REC])+_xlfn.XLOOKUP(Table712141538[[#This Row],[DEF]],Table948[Defense],Table948[WR4+C]))/2</f>
        <v>1.1176470588235294</v>
      </c>
      <c r="AI53" s="22">
        <f>(_xlfn.XLOOKUP(Table712141538[[#This Row],[DEF]],Table7121415[DEF],Table7121415[Y])+_xlfn.XLOOKUP(Table712141538[[#This Row],[DEF]],Table948[Defense],Table948[WR4+Y]))/2</f>
        <v>10.529411764705882</v>
      </c>
      <c r="AJ53" s="22">
        <f>(_xlfn.XLOOKUP(Table712141538[[#This Row],[DEF]],Table7121415[DEF],Table7121415[TD])+_xlfn.XLOOKUP(Table712141538[[#This Row],[DEF]],Table948[Defense],Table948[WR4+]))/2</f>
        <v>5.8823529411764705E-2</v>
      </c>
    </row>
    <row r="54" spans="2:36" x14ac:dyDescent="0.35">
      <c r="B54" s="155" t="str">
        <f t="shared" si="4"/>
        <v>n/a</v>
      </c>
      <c r="C54" s="119">
        <v>18.5</v>
      </c>
      <c r="D54" s="21" t="s">
        <v>41</v>
      </c>
      <c r="E54" s="22">
        <f>(_xlfn.XLOOKUP(Table1033[[#This Row],[DEF]],Table10[DEF],Table10[TD])+_xlfn.XLOOKUP(Table1033[[#This Row],[DEF]],Table1046[DEF],Table1046[TD]))/2</f>
        <v>8.8235294117647065E-2</v>
      </c>
      <c r="G54" s="119">
        <f t="shared" si="5"/>
        <v>25</v>
      </c>
      <c r="H54" s="119">
        <v>23</v>
      </c>
      <c r="I54" s="119">
        <v>19</v>
      </c>
      <c r="J54" s="119">
        <v>28</v>
      </c>
      <c r="K54" s="119">
        <v>26.5</v>
      </c>
      <c r="L54" s="119">
        <v>28.5</v>
      </c>
      <c r="M54" s="21" t="s">
        <v>41</v>
      </c>
      <c r="N54" s="121">
        <f>(_xlfn.XLOOKUP(Table2040[[#This Row],[DEF]],Table20[DEF],Table20[R])+_xlfn.XLOOKUP(Table2040[[#This Row],[DEF]],Table46[DEF],Table46[R]))/2</f>
        <v>88.823529411764696</v>
      </c>
      <c r="O54" s="121">
        <f>(_xlfn.XLOOKUP(Table2040[[#This Row],[DEF]],Table20[DEF],Table20[REC])+_xlfn.XLOOKUP(Table2040[[#This Row],[DEF]],Table46[DEF],Table46[REC]))/2</f>
        <v>4.2352941176470589</v>
      </c>
      <c r="P54" s="121">
        <f>(_xlfn.XLOOKUP(Table2040[[#This Row],[DEF]],Table20[DEF],Table20[Y])+_xlfn.XLOOKUP(Table2040[[#This Row],[DEF]],Table46[DEF],Table46[Y]))/2</f>
        <v>26.794117647058826</v>
      </c>
      <c r="Q54" s="121">
        <f>(_xlfn.XLOOKUP(Table2040[[#This Row],[DEF]],Table20[DEF],Table20[R+R])+_xlfn.XLOOKUP(Table2040[[#This Row],[DEF]],Table46[DEF],Table46[R+R]))/2</f>
        <v>115.61764705882354</v>
      </c>
      <c r="R54" s="121">
        <f>(_xlfn.XLOOKUP(Table2040[[#This Row],[DEF]],Table20[DEF],Table20[TD])+_xlfn.XLOOKUP(Table2040[[#This Row],[DEF]],Table46[DEF],Table46[TD]))/2</f>
        <v>0.61764705882352944</v>
      </c>
      <c r="T54" s="119">
        <f t="shared" si="6"/>
        <v>24.833333333333332</v>
      </c>
      <c r="U54" s="119">
        <v>30</v>
      </c>
      <c r="V54" s="119">
        <f>_xlfn.RANK.AVG(Table7121437[[#This Row],[Y]],Table7121437[Y])</f>
        <v>23</v>
      </c>
      <c r="W54" s="119">
        <v>21.5</v>
      </c>
      <c r="X54" s="21" t="s">
        <v>41</v>
      </c>
      <c r="Y54" s="22">
        <f>(_xlfn.XLOOKUP(Table7121437[[#This Row],[DEF]],Table71214[DEF],Table71214[REC])+_xlfn.XLOOKUP(Table7121437[[#This Row],[DEF]],Table948[Defense],Table948[WR3C]))/2</f>
        <v>1.6764705882352942</v>
      </c>
      <c r="Z54" s="22">
        <f>(_xlfn.XLOOKUP(Table7121437[[#This Row],[DEF]],Table71214[DEF],Table71214[Y])+_xlfn.XLOOKUP(Table7121437[[#This Row],[DEF]],Table948[Defense],Table948[WR3Y]))/2</f>
        <v>23.058823529411764</v>
      </c>
      <c r="AA54" s="22">
        <f>(_xlfn.XLOOKUP(Table7121437[[#This Row],[DEF]],Table71214[DEF],Table71214[TD])+_xlfn.XLOOKUP(Table7121437[[#This Row],[DEF]],Table948[Defense],Table948[WR3]))/2</f>
        <v>0.11764705882352941</v>
      </c>
      <c r="AC54" s="119">
        <f t="shared" si="7"/>
        <v>26.666666666666668</v>
      </c>
      <c r="AD54" s="119">
        <v>27</v>
      </c>
      <c r="AE54" s="119">
        <f>_xlfn.RANK.AVG(Table712141538[[#This Row],[Y]],Table712141538[Y])</f>
        <v>27</v>
      </c>
      <c r="AF54" s="119">
        <v>26</v>
      </c>
      <c r="AG54" s="21" t="s">
        <v>41</v>
      </c>
      <c r="AH54" s="22">
        <f>(_xlfn.XLOOKUP(Table712141538[[#This Row],[DEF]],Table7121415[DEF],Table7121415[REC])+_xlfn.XLOOKUP(Table712141538[[#This Row],[DEF]],Table948[Defense],Table948[WR4+C]))/2</f>
        <v>0.67647058823529416</v>
      </c>
      <c r="AI54" s="22">
        <f>(_xlfn.XLOOKUP(Table712141538[[#This Row],[DEF]],Table7121415[DEF],Table7121415[Y])+_xlfn.XLOOKUP(Table712141538[[#This Row],[DEF]],Table948[Defense],Table948[WR4+Y]))/2</f>
        <v>7.7352941176470589</v>
      </c>
      <c r="AJ54" s="22">
        <f>(_xlfn.XLOOKUP(Table712141538[[#This Row],[DEF]],Table7121415[DEF],Table7121415[TD])+_xlfn.XLOOKUP(Table712141538[[#This Row],[DEF]],Table948[Defense],Table948[WR4+]))/2</f>
        <v>2.9411764705882353E-2</v>
      </c>
    </row>
    <row r="55" spans="2:36" x14ac:dyDescent="0.35">
      <c r="B55" s="155" t="str">
        <f t="shared" si="4"/>
        <v>n/a</v>
      </c>
      <c r="C55" s="119">
        <v>15.5</v>
      </c>
      <c r="D55" s="23" t="s">
        <v>42</v>
      </c>
      <c r="E55" s="22">
        <f>(_xlfn.XLOOKUP(Table1033[[#This Row],[DEF]],Table10[DEF],Table10[TD])+_xlfn.XLOOKUP(Table1033[[#This Row],[DEF]],Table1046[DEF],Table1046[TD]))/2</f>
        <v>0.11764705882352941</v>
      </c>
      <c r="G55" s="119">
        <f t="shared" si="5"/>
        <v>15.7</v>
      </c>
      <c r="H55" s="119">
        <v>16</v>
      </c>
      <c r="I55" s="119">
        <v>12.5</v>
      </c>
      <c r="J55" s="119">
        <v>7</v>
      </c>
      <c r="K55" s="119">
        <v>13</v>
      </c>
      <c r="L55" s="119">
        <v>30</v>
      </c>
      <c r="M55" s="23" t="s">
        <v>42</v>
      </c>
      <c r="N55" s="121">
        <f>(_xlfn.XLOOKUP(Table2040[[#This Row],[DEF]],Table20[DEF],Table20[R])+_xlfn.XLOOKUP(Table2040[[#This Row],[DEF]],Table46[DEF],Table46[R]))/2</f>
        <v>95.14705882352942</v>
      </c>
      <c r="O55" s="121">
        <f>(_xlfn.XLOOKUP(Table2040[[#This Row],[DEF]],Table20[DEF],Table20[REC])+_xlfn.XLOOKUP(Table2040[[#This Row],[DEF]],Table46[DEF],Table46[REC]))/2</f>
        <v>4.5294117647058822</v>
      </c>
      <c r="P55" s="121">
        <f>(_xlfn.XLOOKUP(Table2040[[#This Row],[DEF]],Table20[DEF],Table20[Y])+_xlfn.XLOOKUP(Table2040[[#This Row],[DEF]],Table46[DEF],Table46[Y]))/2</f>
        <v>36.235294117647058</v>
      </c>
      <c r="Q55" s="121">
        <f>(_xlfn.XLOOKUP(Table2040[[#This Row],[DEF]],Table20[DEF],Table20[R+R])+_xlfn.XLOOKUP(Table2040[[#This Row],[DEF]],Table46[DEF],Table46[R+R]))/2</f>
        <v>131.38235294117646</v>
      </c>
      <c r="R55" s="121">
        <f>(_xlfn.XLOOKUP(Table2040[[#This Row],[DEF]],Table20[DEF],Table20[TD])+_xlfn.XLOOKUP(Table2040[[#This Row],[DEF]],Table46[DEF],Table46[TD]))/2</f>
        <v>0.58823529411764708</v>
      </c>
      <c r="T55" s="119">
        <f t="shared" si="6"/>
        <v>29.166666666666668</v>
      </c>
      <c r="U55" s="119">
        <v>29</v>
      </c>
      <c r="V55" s="119">
        <f>_xlfn.RANK.AVG(Table7121437[[#This Row],[Y]],Table7121437[Y])</f>
        <v>31</v>
      </c>
      <c r="W55" s="119">
        <v>27.5</v>
      </c>
      <c r="X55" s="23" t="s">
        <v>42</v>
      </c>
      <c r="Y55" s="22">
        <f>(_xlfn.XLOOKUP(Table7121437[[#This Row],[DEF]],Table71214[DEF],Table71214[REC])+_xlfn.XLOOKUP(Table7121437[[#This Row],[DEF]],Table948[Defense],Table948[WR3C]))/2</f>
        <v>1.7058823529411764</v>
      </c>
      <c r="Z55" s="22">
        <f>(_xlfn.XLOOKUP(Table7121437[[#This Row],[DEF]],Table71214[DEF],Table71214[Y])+_xlfn.XLOOKUP(Table7121437[[#This Row],[DEF]],Table948[Defense],Table948[WR3Y]))/2</f>
        <v>20.823529411764707</v>
      </c>
      <c r="AA55" s="22">
        <f>(_xlfn.XLOOKUP(Table7121437[[#This Row],[DEF]],Table71214[DEF],Table71214[TD])+_xlfn.XLOOKUP(Table7121437[[#This Row],[DEF]],Table948[Defense],Table948[WR3]))/2</f>
        <v>8.8235294117647051E-2</v>
      </c>
      <c r="AC55" s="119">
        <f t="shared" si="7"/>
        <v>14</v>
      </c>
      <c r="AD55" s="119">
        <v>18</v>
      </c>
      <c r="AE55" s="119">
        <f>_xlfn.RANK.AVG(Table712141538[[#This Row],[Y]],Table712141538[Y])</f>
        <v>18</v>
      </c>
      <c r="AF55" s="119">
        <v>6</v>
      </c>
      <c r="AG55" s="23" t="s">
        <v>42</v>
      </c>
      <c r="AH55" s="22">
        <f>(_xlfn.XLOOKUP(Table712141538[[#This Row],[DEF]],Table7121415[DEF],Table7121415[REC])+_xlfn.XLOOKUP(Table712141538[[#This Row],[DEF]],Table948[Defense],Table948[WR4+C]))/2</f>
        <v>0.88235294117647056</v>
      </c>
      <c r="AI55" s="22">
        <f>(_xlfn.XLOOKUP(Table712141538[[#This Row],[DEF]],Table7121415[DEF],Table7121415[Y])+_xlfn.XLOOKUP(Table712141538[[#This Row],[DEF]],Table948[Defense],Table948[WR4+Y]))/2</f>
        <v>9.9117647058823533</v>
      </c>
      <c r="AJ55" s="22">
        <f>(_xlfn.XLOOKUP(Table712141538[[#This Row],[DEF]],Table7121415[DEF],Table7121415[TD])+_xlfn.XLOOKUP(Table712141538[[#This Row],[DEF]],Table948[Defense],Table948[WR4+]))/2</f>
        <v>8.8235294117647065E-2</v>
      </c>
    </row>
    <row r="56" spans="2:36" x14ac:dyDescent="0.35">
      <c r="B56" s="155" t="str">
        <f t="shared" si="4"/>
        <v>n/a</v>
      </c>
      <c r="C56" s="119">
        <v>5</v>
      </c>
      <c r="D56" s="21" t="s">
        <v>43</v>
      </c>
      <c r="E56" s="22">
        <f>(_xlfn.XLOOKUP(Table1033[[#This Row],[DEF]],Table10[DEF],Table10[TD])+_xlfn.XLOOKUP(Table1033[[#This Row],[DEF]],Table1046[DEF],Table1046[TD]))/2</f>
        <v>0.23529411764705882</v>
      </c>
      <c r="G56" s="119">
        <f t="shared" si="5"/>
        <v>16.399999999999999</v>
      </c>
      <c r="H56" s="119">
        <v>11</v>
      </c>
      <c r="I56" s="119">
        <v>15.5</v>
      </c>
      <c r="J56" s="119">
        <v>24.5</v>
      </c>
      <c r="K56" s="119">
        <v>17</v>
      </c>
      <c r="L56" s="119">
        <v>14</v>
      </c>
      <c r="M56" s="21" t="s">
        <v>43</v>
      </c>
      <c r="N56" s="121">
        <f>(_xlfn.XLOOKUP(Table2040[[#This Row],[DEF]],Table20[DEF],Table20[R])+_xlfn.XLOOKUP(Table2040[[#This Row],[DEF]],Table46[DEF],Table46[R]))/2</f>
        <v>97.794117647058826</v>
      </c>
      <c r="O56" s="121">
        <f>(_xlfn.XLOOKUP(Table2040[[#This Row],[DEF]],Table20[DEF],Table20[REC])+_xlfn.XLOOKUP(Table2040[[#This Row],[DEF]],Table46[DEF],Table46[REC]))/2</f>
        <v>4.4117647058823533</v>
      </c>
      <c r="P56" s="121">
        <f>(_xlfn.XLOOKUP(Table2040[[#This Row],[DEF]],Table20[DEF],Table20[Y])+_xlfn.XLOOKUP(Table2040[[#This Row],[DEF]],Table46[DEF],Table46[Y]))/2</f>
        <v>28</v>
      </c>
      <c r="Q56" s="121">
        <f>(_xlfn.XLOOKUP(Table2040[[#This Row],[DEF]],Table20[DEF],Table20[R+R])+_xlfn.XLOOKUP(Table2040[[#This Row],[DEF]],Table46[DEF],Table46[R+R]))/2</f>
        <v>125.79411764705883</v>
      </c>
      <c r="R56" s="121">
        <f>(_xlfn.XLOOKUP(Table2040[[#This Row],[DEF]],Table20[DEF],Table20[TD])+_xlfn.XLOOKUP(Table2040[[#This Row],[DEF]],Table46[DEF],Table46[TD]))/2</f>
        <v>0.94117647058823528</v>
      </c>
      <c r="T56" s="119">
        <f t="shared" si="6"/>
        <v>4</v>
      </c>
      <c r="U56" s="119">
        <v>5</v>
      </c>
      <c r="V56" s="119">
        <f>_xlfn.RANK.AVG(Table7121437[[#This Row],[Y]],Table7121437[Y])</f>
        <v>4</v>
      </c>
      <c r="W56" s="119">
        <v>3</v>
      </c>
      <c r="X56" s="21" t="s">
        <v>43</v>
      </c>
      <c r="Y56" s="22">
        <f>(_xlfn.XLOOKUP(Table7121437[[#This Row],[DEF]],Table71214[DEF],Table71214[REC])+_xlfn.XLOOKUP(Table7121437[[#This Row],[DEF]],Table948[Defense],Table948[WR3C]))/2</f>
        <v>2.4705882352941178</v>
      </c>
      <c r="Z56" s="22">
        <f>(_xlfn.XLOOKUP(Table7121437[[#This Row],[DEF]],Table71214[DEF],Table71214[Y])+_xlfn.XLOOKUP(Table7121437[[#This Row],[DEF]],Table948[Defense],Table948[WR3Y]))/2</f>
        <v>31.205882352941174</v>
      </c>
      <c r="AA56" s="22">
        <f>(_xlfn.XLOOKUP(Table7121437[[#This Row],[DEF]],Table71214[DEF],Table71214[TD])+_xlfn.XLOOKUP(Table7121437[[#This Row],[DEF]],Table948[Defense],Table948[WR3]))/2</f>
        <v>0.23529411764705882</v>
      </c>
      <c r="AC56" s="119">
        <f t="shared" si="7"/>
        <v>11.333333333333334</v>
      </c>
      <c r="AD56" s="119">
        <v>1</v>
      </c>
      <c r="AE56" s="119">
        <f>_xlfn.RANK.AVG(Table712141538[[#This Row],[Y]],Table712141538[Y])</f>
        <v>7</v>
      </c>
      <c r="AF56" s="119">
        <v>26</v>
      </c>
      <c r="AG56" s="21" t="s">
        <v>43</v>
      </c>
      <c r="AH56" s="22">
        <f>(_xlfn.XLOOKUP(Table712141538[[#This Row],[DEF]],Table7121415[DEF],Table7121415[REC])+_xlfn.XLOOKUP(Table712141538[[#This Row],[DEF]],Table948[Defense],Table948[WR4+C]))/2</f>
        <v>1.3235294117647058</v>
      </c>
      <c r="AI56" s="22">
        <f>(_xlfn.XLOOKUP(Table712141538[[#This Row],[DEF]],Table7121415[DEF],Table7121415[Y])+_xlfn.XLOOKUP(Table712141538[[#This Row],[DEF]],Table948[Defense],Table948[WR4+Y]))/2</f>
        <v>12.470588235294118</v>
      </c>
      <c r="AJ56" s="22">
        <f>(_xlfn.XLOOKUP(Table712141538[[#This Row],[DEF]],Table7121415[DEF],Table7121415[TD])+_xlfn.XLOOKUP(Table712141538[[#This Row],[DEF]],Table948[Defense],Table948[WR4+]))/2</f>
        <v>2.9411764705882353E-2</v>
      </c>
    </row>
    <row r="57" spans="2:36" x14ac:dyDescent="0.35">
      <c r="B57" s="155" t="str">
        <f t="shared" si="4"/>
        <v>n/a</v>
      </c>
      <c r="C57" s="119">
        <v>11</v>
      </c>
      <c r="D57" s="23" t="s">
        <v>44</v>
      </c>
      <c r="E57" s="22">
        <f>(_xlfn.XLOOKUP(Table1033[[#This Row],[DEF]],Table10[DEF],Table10[TD])+_xlfn.XLOOKUP(Table1033[[#This Row],[DEF]],Table1046[DEF],Table1046[TD]))/2</f>
        <v>0.14705882352941177</v>
      </c>
      <c r="G57" s="119">
        <f t="shared" si="5"/>
        <v>12.9</v>
      </c>
      <c r="H57" s="119">
        <v>14.5</v>
      </c>
      <c r="I57" s="119">
        <v>14</v>
      </c>
      <c r="J57" s="119">
        <v>10</v>
      </c>
      <c r="K57" s="119">
        <v>12</v>
      </c>
      <c r="L57" s="119">
        <v>14</v>
      </c>
      <c r="M57" s="23" t="s">
        <v>44</v>
      </c>
      <c r="N57" s="121">
        <f>(_xlfn.XLOOKUP(Table2040[[#This Row],[DEF]],Table20[DEF],Table20[R])+_xlfn.XLOOKUP(Table2040[[#This Row],[DEF]],Table46[DEF],Table46[R]))/2</f>
        <v>96.558823529411768</v>
      </c>
      <c r="O57" s="121">
        <f>(_xlfn.XLOOKUP(Table2040[[#This Row],[DEF]],Table20[DEF],Table20[REC])+_xlfn.XLOOKUP(Table2040[[#This Row],[DEF]],Table46[DEF],Table46[REC]))/2</f>
        <v>4.5</v>
      </c>
      <c r="P57" s="121">
        <f>(_xlfn.XLOOKUP(Table2040[[#This Row],[DEF]],Table20[DEF],Table20[Y])+_xlfn.XLOOKUP(Table2040[[#This Row],[DEF]],Table46[DEF],Table46[Y]))/2</f>
        <v>35.029411764705884</v>
      </c>
      <c r="Q57" s="121">
        <f>(_xlfn.XLOOKUP(Table2040[[#This Row],[DEF]],Table20[DEF],Table20[R+R])+_xlfn.XLOOKUP(Table2040[[#This Row],[DEF]],Table46[DEF],Table46[R+R]))/2</f>
        <v>131.58823529411765</v>
      </c>
      <c r="R57" s="121">
        <f>(_xlfn.XLOOKUP(Table2040[[#This Row],[DEF]],Table20[DEF],Table20[TD])+_xlfn.XLOOKUP(Table2040[[#This Row],[DEF]],Table46[DEF],Table46[TD]))/2</f>
        <v>0.94117647058823528</v>
      </c>
      <c r="T57" s="119">
        <f t="shared" si="6"/>
        <v>18.833333333333332</v>
      </c>
      <c r="U57" s="119">
        <v>15</v>
      </c>
      <c r="V57" s="119">
        <f>_xlfn.RANK.AVG(Table7121437[[#This Row],[Y]],Table7121437[Y])</f>
        <v>20</v>
      </c>
      <c r="W57" s="119">
        <v>21.5</v>
      </c>
      <c r="X57" s="23" t="s">
        <v>44</v>
      </c>
      <c r="Y57" s="22">
        <f>(_xlfn.XLOOKUP(Table7121437[[#This Row],[DEF]],Table71214[DEF],Table71214[REC])+_xlfn.XLOOKUP(Table7121437[[#This Row],[DEF]],Table948[Defense],Table948[WR3C]))/2</f>
        <v>2.1176470588235294</v>
      </c>
      <c r="Z57" s="22">
        <f>(_xlfn.XLOOKUP(Table7121437[[#This Row],[DEF]],Table71214[DEF],Table71214[Y])+_xlfn.XLOOKUP(Table7121437[[#This Row],[DEF]],Table948[Defense],Table948[WR3Y]))/2</f>
        <v>23.764705882352942</v>
      </c>
      <c r="AA57" s="22">
        <f>(_xlfn.XLOOKUP(Table7121437[[#This Row],[DEF]],Table71214[DEF],Table71214[TD])+_xlfn.XLOOKUP(Table7121437[[#This Row],[DEF]],Table948[Defense],Table948[WR3]))/2</f>
        <v>0.11764705882352941</v>
      </c>
      <c r="AC57" s="119">
        <f t="shared" si="7"/>
        <v>10.333333333333334</v>
      </c>
      <c r="AD57" s="119">
        <v>2</v>
      </c>
      <c r="AE57" s="119">
        <f>_xlfn.RANK.AVG(Table712141538[[#This Row],[Y]],Table712141538[Y])</f>
        <v>3</v>
      </c>
      <c r="AF57" s="119">
        <v>26</v>
      </c>
      <c r="AG57" s="23" t="s">
        <v>44</v>
      </c>
      <c r="AH57" s="22">
        <f>(_xlfn.XLOOKUP(Table712141538[[#This Row],[DEF]],Table7121415[DEF],Table7121415[REC])+_xlfn.XLOOKUP(Table712141538[[#This Row],[DEF]],Table948[Defense],Table948[WR4+C]))/2</f>
        <v>1.2941176470588234</v>
      </c>
      <c r="AI57" s="22">
        <f>(_xlfn.XLOOKUP(Table712141538[[#This Row],[DEF]],Table7121415[DEF],Table7121415[Y])+_xlfn.XLOOKUP(Table712141538[[#This Row],[DEF]],Table948[Defense],Table948[WR4+Y]))/2</f>
        <v>15.911764705882353</v>
      </c>
      <c r="AJ57" s="22">
        <f>(_xlfn.XLOOKUP(Table712141538[[#This Row],[DEF]],Table7121415[DEF],Table7121415[TD])+_xlfn.XLOOKUP(Table712141538[[#This Row],[DEF]],Table948[Defense],Table948[WR4+]))/2</f>
        <v>2.9411764705882353E-2</v>
      </c>
    </row>
    <row r="58" spans="2:36" x14ac:dyDescent="0.35">
      <c r="B58" s="155" t="str">
        <f t="shared" si="4"/>
        <v>n/a</v>
      </c>
      <c r="C58" s="119">
        <v>11</v>
      </c>
      <c r="D58" s="21" t="s">
        <v>45</v>
      </c>
      <c r="E58" s="22">
        <f>(_xlfn.XLOOKUP(Table1033[[#This Row],[DEF]],Table10[DEF],Table10[TD])+_xlfn.XLOOKUP(Table1033[[#This Row],[DEF]],Table1046[DEF],Table1046[TD]))/2</f>
        <v>0.14705882352941177</v>
      </c>
      <c r="G58" s="119">
        <f t="shared" si="5"/>
        <v>25.5</v>
      </c>
      <c r="H58" s="119">
        <v>20</v>
      </c>
      <c r="I58" s="119">
        <v>26</v>
      </c>
      <c r="J58" s="119">
        <v>32</v>
      </c>
      <c r="K58" s="119">
        <v>26.5</v>
      </c>
      <c r="L58" s="119">
        <v>23</v>
      </c>
      <c r="M58" s="21" t="s">
        <v>45</v>
      </c>
      <c r="N58" s="121">
        <f>(_xlfn.XLOOKUP(Table2040[[#This Row],[DEF]],Table20[DEF],Table20[R])+_xlfn.XLOOKUP(Table2040[[#This Row],[DEF]],Table46[DEF],Table46[R]))/2</f>
        <v>92.235294117647058</v>
      </c>
      <c r="O58" s="121">
        <f>(_xlfn.XLOOKUP(Table2040[[#This Row],[DEF]],Table20[DEF],Table20[REC])+_xlfn.XLOOKUP(Table2040[[#This Row],[DEF]],Table46[DEF],Table46[REC]))/2</f>
        <v>3.7647058823529411</v>
      </c>
      <c r="P58" s="121">
        <f>(_xlfn.XLOOKUP(Table2040[[#This Row],[DEF]],Table20[DEF],Table20[Y])+_xlfn.XLOOKUP(Table2040[[#This Row],[DEF]],Table46[DEF],Table46[Y]))/2</f>
        <v>23.382352941176471</v>
      </c>
      <c r="Q58" s="121">
        <f>(_xlfn.XLOOKUP(Table2040[[#This Row],[DEF]],Table20[DEF],Table20[R+R])+_xlfn.XLOOKUP(Table2040[[#This Row],[DEF]],Table46[DEF],Table46[R+R]))/2</f>
        <v>115.61764705882354</v>
      </c>
      <c r="R58" s="121">
        <f>(_xlfn.XLOOKUP(Table2040[[#This Row],[DEF]],Table20[DEF],Table20[TD])+_xlfn.XLOOKUP(Table2040[[#This Row],[DEF]],Table46[DEF],Table46[TD]))/2</f>
        <v>0.76470588235294112</v>
      </c>
      <c r="T58" s="119">
        <f t="shared" si="6"/>
        <v>12</v>
      </c>
      <c r="U58" s="119">
        <v>14</v>
      </c>
      <c r="V58" s="119">
        <f>_xlfn.RANK.AVG(Table7121437[[#This Row],[Y]],Table7121437[Y])</f>
        <v>12</v>
      </c>
      <c r="W58" s="119">
        <v>10</v>
      </c>
      <c r="X58" s="21" t="s">
        <v>45</v>
      </c>
      <c r="Y58" s="22">
        <f>(_xlfn.XLOOKUP(Table7121437[[#This Row],[DEF]],Table71214[DEF],Table71214[REC])+_xlfn.XLOOKUP(Table7121437[[#This Row],[DEF]],Table948[Defense],Table948[WR3C]))/2</f>
        <v>2.1470588235294117</v>
      </c>
      <c r="Z58" s="22">
        <f>(_xlfn.XLOOKUP(Table7121437[[#This Row],[DEF]],Table71214[DEF],Table71214[Y])+_xlfn.XLOOKUP(Table7121437[[#This Row],[DEF]],Table948[Defense],Table948[WR3Y]))/2</f>
        <v>26.029411764705884</v>
      </c>
      <c r="AA58" s="22">
        <f>(_xlfn.XLOOKUP(Table7121437[[#This Row],[DEF]],Table71214[DEF],Table71214[TD])+_xlfn.XLOOKUP(Table7121437[[#This Row],[DEF]],Table948[Defense],Table948[WR3]))/2</f>
        <v>0.17647058823529413</v>
      </c>
      <c r="AC58" s="119">
        <f t="shared" si="7"/>
        <v>22.5</v>
      </c>
      <c r="AD58" s="119">
        <v>24.5</v>
      </c>
      <c r="AE58" s="119">
        <f>_xlfn.RANK.AVG(Table712141538[[#This Row],[Y]],Table712141538[Y])</f>
        <v>26</v>
      </c>
      <c r="AF58" s="119">
        <v>17</v>
      </c>
      <c r="AG58" s="21" t="s">
        <v>45</v>
      </c>
      <c r="AH58" s="22">
        <f>(_xlfn.XLOOKUP(Table712141538[[#This Row],[DEF]],Table7121415[DEF],Table7121415[REC])+_xlfn.XLOOKUP(Table712141538[[#This Row],[DEF]],Table948[Defense],Table948[WR4+C]))/2</f>
        <v>0.79411764705882359</v>
      </c>
      <c r="AI58" s="22">
        <f>(_xlfn.XLOOKUP(Table712141538[[#This Row],[DEF]],Table7121415[DEF],Table7121415[Y])+_xlfn.XLOOKUP(Table712141538[[#This Row],[DEF]],Table948[Defense],Table948[WR4+Y]))/2</f>
        <v>8.0882352941176467</v>
      </c>
      <c r="AJ58" s="22">
        <f>(_xlfn.XLOOKUP(Table712141538[[#This Row],[DEF]],Table7121415[DEF],Table7121415[TD])+_xlfn.XLOOKUP(Table712141538[[#This Row],[DEF]],Table948[Defense],Table948[WR4+]))/2</f>
        <v>5.8823529411764705E-2</v>
      </c>
    </row>
    <row r="59" spans="2:36" x14ac:dyDescent="0.35">
      <c r="B59" s="155" t="str">
        <f t="shared" si="4"/>
        <v>SB LX</v>
      </c>
      <c r="C59" s="119">
        <v>7</v>
      </c>
      <c r="D59" s="23" t="s">
        <v>46</v>
      </c>
      <c r="E59" s="22">
        <f>(_xlfn.XLOOKUP(Table1033[[#This Row],[DEF]],Table10[DEF],Table10[TD])+_xlfn.XLOOKUP(Table1033[[#This Row],[DEF]],Table1046[DEF],Table1046[TD]))/2</f>
        <v>0.1764705882352941</v>
      </c>
      <c r="G59" s="119">
        <f t="shared" si="5"/>
        <v>19.3</v>
      </c>
      <c r="H59" s="119">
        <v>14.5</v>
      </c>
      <c r="I59" s="119">
        <v>20</v>
      </c>
      <c r="J59" s="119">
        <v>26</v>
      </c>
      <c r="K59" s="119">
        <v>20</v>
      </c>
      <c r="L59" s="119">
        <v>16</v>
      </c>
      <c r="M59" s="23" t="s">
        <v>46</v>
      </c>
      <c r="N59" s="121">
        <f>(_xlfn.XLOOKUP(Table2040[[#This Row],[DEF]],Table20[DEF],Table20[R])+_xlfn.XLOOKUP(Table2040[[#This Row],[DEF]],Table46[DEF],Table46[R]))/2</f>
        <v>96.558823529411768</v>
      </c>
      <c r="O59" s="121">
        <f>(_xlfn.XLOOKUP(Table2040[[#This Row],[DEF]],Table20[DEF],Table20[REC])+_xlfn.XLOOKUP(Table2040[[#This Row],[DEF]],Table46[DEF],Table46[REC]))/2</f>
        <v>4.0882352941176467</v>
      </c>
      <c r="P59" s="121">
        <f>(_xlfn.XLOOKUP(Table2040[[#This Row],[DEF]],Table20[DEF],Table20[Y])+_xlfn.XLOOKUP(Table2040[[#This Row],[DEF]],Table46[DEF],Table46[Y]))/2</f>
        <v>27.294117647058826</v>
      </c>
      <c r="Q59" s="121">
        <f>(_xlfn.XLOOKUP(Table2040[[#This Row],[DEF]],Table20[DEF],Table20[R+R])+_xlfn.XLOOKUP(Table2040[[#This Row],[DEF]],Table46[DEF],Table46[R+R]))/2</f>
        <v>123.85294117647059</v>
      </c>
      <c r="R59" s="121">
        <f>(_xlfn.XLOOKUP(Table2040[[#This Row],[DEF]],Table20[DEF],Table20[TD])+_xlfn.XLOOKUP(Table2040[[#This Row],[DEF]],Table46[DEF],Table46[TD]))/2</f>
        <v>0.91176470588235303</v>
      </c>
      <c r="T59" s="119">
        <f t="shared" si="6"/>
        <v>25.333333333333332</v>
      </c>
      <c r="U59" s="119">
        <v>23.5</v>
      </c>
      <c r="V59" s="119">
        <f>_xlfn.RANK.AVG(Table7121437[[#This Row],[Y]],Table7121437[Y])</f>
        <v>25</v>
      </c>
      <c r="W59" s="119">
        <v>27.5</v>
      </c>
      <c r="X59" s="23" t="s">
        <v>46</v>
      </c>
      <c r="Y59" s="22">
        <f>(_xlfn.XLOOKUP(Table7121437[[#This Row],[DEF]],Table71214[DEF],Table71214[REC])+_xlfn.XLOOKUP(Table7121437[[#This Row],[DEF]],Table948[Defense],Table948[WR3C]))/2</f>
        <v>1.8529411764705883</v>
      </c>
      <c r="Z59" s="22">
        <f>(_xlfn.XLOOKUP(Table7121437[[#This Row],[DEF]],Table71214[DEF],Table71214[Y])+_xlfn.XLOOKUP(Table7121437[[#This Row],[DEF]],Table948[Defense],Table948[WR3Y]))/2</f>
        <v>22.558823529411764</v>
      </c>
      <c r="AA59" s="22">
        <f>(_xlfn.XLOOKUP(Table7121437[[#This Row],[DEF]],Table71214[DEF],Table71214[TD])+_xlfn.XLOOKUP(Table7121437[[#This Row],[DEF]],Table948[Defense],Table948[WR3]))/2</f>
        <v>8.8235294117647051E-2</v>
      </c>
      <c r="AC59" s="119">
        <f t="shared" si="7"/>
        <v>25</v>
      </c>
      <c r="AD59" s="119">
        <v>28</v>
      </c>
      <c r="AE59" s="119">
        <f>_xlfn.RANK.AVG(Table712141538[[#This Row],[Y]],Table712141538[Y])</f>
        <v>30</v>
      </c>
      <c r="AF59" s="119">
        <v>17</v>
      </c>
      <c r="AG59" s="23" t="s">
        <v>46</v>
      </c>
      <c r="AH59" s="22">
        <f>(_xlfn.XLOOKUP(Table712141538[[#This Row],[DEF]],Table7121415[DEF],Table7121415[REC])+_xlfn.XLOOKUP(Table712141538[[#This Row],[DEF]],Table948[Defense],Table948[WR4+C]))/2</f>
        <v>0.64705882352941169</v>
      </c>
      <c r="AI59" s="22">
        <f>(_xlfn.XLOOKUP(Table712141538[[#This Row],[DEF]],Table7121415[DEF],Table7121415[Y])+_xlfn.XLOOKUP(Table712141538[[#This Row],[DEF]],Table948[Defense],Table948[WR4+Y]))/2</f>
        <v>6.1764705882352935</v>
      </c>
      <c r="AJ59" s="22">
        <f>(_xlfn.XLOOKUP(Table712141538[[#This Row],[DEF]],Table7121415[DEF],Table7121415[TD])+_xlfn.XLOOKUP(Table712141538[[#This Row],[DEF]],Table948[Defense],Table948[WR4+]))/2</f>
        <v>5.8823529411764705E-2</v>
      </c>
    </row>
    <row r="60" spans="2:36" x14ac:dyDescent="0.35">
      <c r="B60" s="155" t="str">
        <f t="shared" si="4"/>
        <v>n/a</v>
      </c>
      <c r="C60" s="119">
        <v>7</v>
      </c>
      <c r="D60" s="21" t="s">
        <v>47</v>
      </c>
      <c r="E60" s="22">
        <f>(_xlfn.XLOOKUP(Table1033[[#This Row],[DEF]],Table10[DEF],Table10[TD])+_xlfn.XLOOKUP(Table1033[[#This Row],[DEF]],Table1046[DEF],Table1046[TD]))/2</f>
        <v>0.1764705882352941</v>
      </c>
      <c r="G60" s="119">
        <f t="shared" si="5"/>
        <v>17.2</v>
      </c>
      <c r="H60" s="119">
        <v>6</v>
      </c>
      <c r="I60" s="119">
        <v>28</v>
      </c>
      <c r="J60" s="119">
        <v>29</v>
      </c>
      <c r="K60" s="119">
        <v>11</v>
      </c>
      <c r="L60" s="119">
        <v>12</v>
      </c>
      <c r="M60" s="21" t="s">
        <v>47</v>
      </c>
      <c r="N60" s="121">
        <f>(_xlfn.XLOOKUP(Table2040[[#This Row],[DEF]],Table20[DEF],Table20[R])+_xlfn.XLOOKUP(Table2040[[#This Row],[DEF]],Table46[DEF],Table46[R]))/2</f>
        <v>106.35294117647059</v>
      </c>
      <c r="O60" s="121">
        <f>(_xlfn.XLOOKUP(Table2040[[#This Row],[DEF]],Table20[DEF],Table20[REC])+_xlfn.XLOOKUP(Table2040[[#This Row],[DEF]],Table46[DEF],Table46[REC]))/2</f>
        <v>3.6470588235294117</v>
      </c>
      <c r="P60" s="121">
        <f>(_xlfn.XLOOKUP(Table2040[[#This Row],[DEF]],Table20[DEF],Table20[Y])+_xlfn.XLOOKUP(Table2040[[#This Row],[DEF]],Table46[DEF],Table46[Y]))/2</f>
        <v>26.441176470588236</v>
      </c>
      <c r="Q60" s="121">
        <f>(_xlfn.XLOOKUP(Table2040[[#This Row],[DEF]],Table20[DEF],Table20[R+R])+_xlfn.XLOOKUP(Table2040[[#This Row],[DEF]],Table46[DEF],Table46[R+R]))/2</f>
        <v>132.79411764705881</v>
      </c>
      <c r="R60" s="121">
        <f>(_xlfn.XLOOKUP(Table2040[[#This Row],[DEF]],Table20[DEF],Table20[TD])+_xlfn.XLOOKUP(Table2040[[#This Row],[DEF]],Table46[DEF],Table46[TD]))/2</f>
        <v>0.97058823529411775</v>
      </c>
      <c r="T60" s="119">
        <f t="shared" si="6"/>
        <v>10</v>
      </c>
      <c r="U60" s="119">
        <v>6.5</v>
      </c>
      <c r="V60" s="119">
        <f>_xlfn.RANK.AVG(Table7121437[[#This Row],[Y]],Table7121437[Y])</f>
        <v>8</v>
      </c>
      <c r="W60" s="119">
        <v>15.5</v>
      </c>
      <c r="X60" s="21" t="s">
        <v>47</v>
      </c>
      <c r="Y60" s="22">
        <f>(_xlfn.XLOOKUP(Table7121437[[#This Row],[DEF]],Table71214[DEF],Table71214[REC])+_xlfn.XLOOKUP(Table7121437[[#This Row],[DEF]],Table948[Defense],Table948[WR3C]))/2</f>
        <v>2.3823529411764706</v>
      </c>
      <c r="Z60" s="22">
        <f>(_xlfn.XLOOKUP(Table7121437[[#This Row],[DEF]],Table71214[DEF],Table71214[Y])+_xlfn.XLOOKUP(Table7121437[[#This Row],[DEF]],Table948[Defense],Table948[WR3Y]))/2</f>
        <v>26.735294117647058</v>
      </c>
      <c r="AA60" s="22">
        <f>(_xlfn.XLOOKUP(Table7121437[[#This Row],[DEF]],Table71214[DEF],Table71214[TD])+_xlfn.XLOOKUP(Table7121437[[#This Row],[DEF]],Table948[Defense],Table948[WR3]))/2</f>
        <v>0.14705882352941177</v>
      </c>
      <c r="AC60" s="119">
        <f t="shared" si="7"/>
        <v>17.666666666666668</v>
      </c>
      <c r="AD60" s="119">
        <v>11</v>
      </c>
      <c r="AE60" s="119">
        <f>_xlfn.RANK.AVG(Table712141538[[#This Row],[Y]],Table712141538[Y])</f>
        <v>11</v>
      </c>
      <c r="AF60" s="119">
        <v>31</v>
      </c>
      <c r="AG60" s="21" t="s">
        <v>47</v>
      </c>
      <c r="AH60" s="22">
        <f>(_xlfn.XLOOKUP(Table712141538[[#This Row],[DEF]],Table7121415[DEF],Table7121415[REC])+_xlfn.XLOOKUP(Table712141538[[#This Row],[DEF]],Table948[Defense],Table948[WR4+C]))/2</f>
        <v>1</v>
      </c>
      <c r="AI60" s="22">
        <f>(_xlfn.XLOOKUP(Table712141538[[#This Row],[DEF]],Table7121415[DEF],Table7121415[Y])+_xlfn.XLOOKUP(Table712141538[[#This Row],[DEF]],Table948[Defense],Table948[WR4+Y]))/2</f>
        <v>11.264705882352942</v>
      </c>
      <c r="AJ60" s="22">
        <f>(_xlfn.XLOOKUP(Table712141538[[#This Row],[DEF]],Table7121415[DEF],Table7121415[TD])+_xlfn.XLOOKUP(Table712141538[[#This Row],[DEF]],Table948[Defense],Table948[WR4+]))/2</f>
        <v>0</v>
      </c>
    </row>
    <row r="61" spans="2:36" x14ac:dyDescent="0.35">
      <c r="B61" s="155" t="str">
        <f t="shared" si="4"/>
        <v>n/a</v>
      </c>
      <c r="C61" s="119">
        <v>3.5</v>
      </c>
      <c r="D61" s="23" t="s">
        <v>48</v>
      </c>
      <c r="E61" s="22">
        <f>(_xlfn.XLOOKUP(Table1033[[#This Row],[DEF]],Table10[DEF],Table10[TD])+_xlfn.XLOOKUP(Table1033[[#This Row],[DEF]],Table1046[DEF],Table1046[TD]))/2</f>
        <v>0.26470588235294118</v>
      </c>
      <c r="G61" s="119">
        <f t="shared" si="5"/>
        <v>7.2</v>
      </c>
      <c r="H61" s="119">
        <v>3</v>
      </c>
      <c r="I61" s="119">
        <v>9</v>
      </c>
      <c r="J61" s="119">
        <v>12</v>
      </c>
      <c r="K61" s="119">
        <v>2</v>
      </c>
      <c r="L61" s="119">
        <v>10</v>
      </c>
      <c r="M61" s="23" t="s">
        <v>48</v>
      </c>
      <c r="N61" s="121">
        <f>(_xlfn.XLOOKUP(Table2040[[#This Row],[DEF]],Table20[DEF],Table20[R])+_xlfn.XLOOKUP(Table2040[[#This Row],[DEF]],Table46[DEF],Table46[R]))/2</f>
        <v>113.94117647058825</v>
      </c>
      <c r="O61" s="121">
        <f>(_xlfn.XLOOKUP(Table2040[[#This Row],[DEF]],Table20[DEF],Table20[REC])+_xlfn.XLOOKUP(Table2040[[#This Row],[DEF]],Table46[DEF],Table46[REC]))/2</f>
        <v>4.6764705882352935</v>
      </c>
      <c r="P61" s="121">
        <f>(_xlfn.XLOOKUP(Table2040[[#This Row],[DEF]],Table20[DEF],Table20[Y])+_xlfn.XLOOKUP(Table2040[[#This Row],[DEF]],Table46[DEF],Table46[Y]))/2</f>
        <v>34.352941176470594</v>
      </c>
      <c r="Q61" s="121">
        <f>(_xlfn.XLOOKUP(Table2040[[#This Row],[DEF]],Table20[DEF],Table20[R+R])+_xlfn.XLOOKUP(Table2040[[#This Row],[DEF]],Table46[DEF],Table46[R+R]))/2</f>
        <v>148.29411764705884</v>
      </c>
      <c r="R61" s="121">
        <f>(_xlfn.XLOOKUP(Table2040[[#This Row],[DEF]],Table20[DEF],Table20[TD])+_xlfn.XLOOKUP(Table2040[[#This Row],[DEF]],Table46[DEF],Table46[TD]))/2</f>
        <v>1.0294117647058822</v>
      </c>
      <c r="T61" s="119">
        <f t="shared" si="6"/>
        <v>13.666666666666666</v>
      </c>
      <c r="U61" s="119">
        <v>11</v>
      </c>
      <c r="V61" s="119">
        <f>_xlfn.RANK.AVG(Table7121437[[#This Row],[Y]],Table7121437[Y])</f>
        <v>5</v>
      </c>
      <c r="W61" s="119">
        <v>25</v>
      </c>
      <c r="X61" s="23" t="s">
        <v>48</v>
      </c>
      <c r="Y61" s="22">
        <f>(_xlfn.XLOOKUP(Table7121437[[#This Row],[DEF]],Table71214[DEF],Table71214[REC])+_xlfn.XLOOKUP(Table7121437[[#This Row],[DEF]],Table948[Defense],Table948[WR3C]))/2</f>
        <v>2.2352941176470589</v>
      </c>
      <c r="Z61" s="22">
        <f>(_xlfn.XLOOKUP(Table7121437[[#This Row],[DEF]],Table71214[DEF],Table71214[Y])+_xlfn.XLOOKUP(Table7121437[[#This Row],[DEF]],Table948[Defense],Table948[WR3Y]))/2</f>
        <v>30.02941176470588</v>
      </c>
      <c r="AA61" s="22">
        <f>(_xlfn.XLOOKUP(Table7121437[[#This Row],[DEF]],Table71214[DEF],Table71214[TD])+_xlfn.XLOOKUP(Table7121437[[#This Row],[DEF]],Table948[Defense],Table948[WR3]))/2</f>
        <v>8.8235294117647065E-2</v>
      </c>
      <c r="AC61" s="119">
        <f t="shared" si="7"/>
        <v>5.333333333333333</v>
      </c>
      <c r="AD61" s="119">
        <v>4.5</v>
      </c>
      <c r="AE61" s="119">
        <f>_xlfn.RANK.AVG(Table712141538[[#This Row],[Y]],Table712141538[Y])</f>
        <v>2</v>
      </c>
      <c r="AF61" s="119">
        <v>9.5</v>
      </c>
      <c r="AG61" s="23" t="s">
        <v>48</v>
      </c>
      <c r="AH61" s="22">
        <f>(_xlfn.XLOOKUP(Table712141538[[#This Row],[DEF]],Table7121415[DEF],Table7121415[REC])+_xlfn.XLOOKUP(Table712141538[[#This Row],[DEF]],Table948[Defense],Table948[WR4+C]))/2</f>
        <v>1.2352941176470589</v>
      </c>
      <c r="AI61" s="22">
        <f>(_xlfn.XLOOKUP(Table712141538[[#This Row],[DEF]],Table7121415[DEF],Table7121415[Y])+_xlfn.XLOOKUP(Table712141538[[#This Row],[DEF]],Table948[Defense],Table948[WR4+Y]))/2</f>
        <v>16.029411764705884</v>
      </c>
      <c r="AJ61" s="22">
        <f>(_xlfn.XLOOKUP(Table712141538[[#This Row],[DEF]],Table7121415[DEF],Table7121415[TD])+_xlfn.XLOOKUP(Table712141538[[#This Row],[DEF]],Table948[Defense],Table948[WR4+]))/2</f>
        <v>8.8235294117647051E-2</v>
      </c>
    </row>
    <row r="62" spans="2:36" x14ac:dyDescent="0.35">
      <c r="B62" s="155" t="str">
        <f t="shared" si="4"/>
        <v>n/a</v>
      </c>
      <c r="C62" s="119">
        <v>20.5</v>
      </c>
      <c r="D62" s="21" t="s">
        <v>49</v>
      </c>
      <c r="E62" s="22">
        <f>(_xlfn.XLOOKUP(Table1033[[#This Row],[DEF]],Table10[DEF],Table10[TD])+_xlfn.XLOOKUP(Table1033[[#This Row],[DEF]],Table1046[DEF],Table1046[TD]))/2</f>
        <v>8.8235294117647051E-2</v>
      </c>
      <c r="G62" s="119">
        <f t="shared" si="5"/>
        <v>13</v>
      </c>
      <c r="H62" s="119">
        <v>8</v>
      </c>
      <c r="I62" s="119">
        <v>27</v>
      </c>
      <c r="J62" s="119">
        <v>18</v>
      </c>
      <c r="K62" s="119">
        <v>9</v>
      </c>
      <c r="L62" s="119">
        <v>3</v>
      </c>
      <c r="M62" s="21" t="s">
        <v>49</v>
      </c>
      <c r="N62" s="121">
        <f>(_xlfn.XLOOKUP(Table2040[[#This Row],[DEF]],Table20[DEF],Table20[R])+_xlfn.XLOOKUP(Table2040[[#This Row],[DEF]],Table46[DEF],Table46[R]))/2</f>
        <v>104.26470588235294</v>
      </c>
      <c r="O62" s="121">
        <f>(_xlfn.XLOOKUP(Table2040[[#This Row],[DEF]],Table20[DEF],Table20[REC])+_xlfn.XLOOKUP(Table2040[[#This Row],[DEF]],Table46[DEF],Table46[REC]))/2</f>
        <v>3.6470588235294121</v>
      </c>
      <c r="P62" s="121">
        <f>(_xlfn.XLOOKUP(Table2040[[#This Row],[DEF]],Table20[DEF],Table20[Y])+_xlfn.XLOOKUP(Table2040[[#This Row],[DEF]],Table46[DEF],Table46[Y]))/2</f>
        <v>31.294117647058826</v>
      </c>
      <c r="Q62" s="121">
        <f>(_xlfn.XLOOKUP(Table2040[[#This Row],[DEF]],Table20[DEF],Table20[R+R])+_xlfn.XLOOKUP(Table2040[[#This Row],[DEF]],Table46[DEF],Table46[R+R]))/2</f>
        <v>135.55882352941177</v>
      </c>
      <c r="R62" s="121">
        <f>(_xlfn.XLOOKUP(Table2040[[#This Row],[DEF]],Table20[DEF],Table20[TD])+_xlfn.XLOOKUP(Table2040[[#This Row],[DEF]],Table46[DEF],Table46[TD]))/2</f>
        <v>1.1470588235294117</v>
      </c>
      <c r="T62" s="119">
        <f t="shared" si="6"/>
        <v>22.833333333333332</v>
      </c>
      <c r="U62" s="119">
        <v>21.5</v>
      </c>
      <c r="V62" s="119">
        <f>_xlfn.RANK.AVG(Table7121437[[#This Row],[Y]],Table7121437[Y])</f>
        <v>16</v>
      </c>
      <c r="W62" s="119">
        <v>31</v>
      </c>
      <c r="X62" s="21" t="s">
        <v>49</v>
      </c>
      <c r="Y62" s="22">
        <f>(_xlfn.XLOOKUP(Table7121437[[#This Row],[DEF]],Table71214[DEF],Table71214[REC])+_xlfn.XLOOKUP(Table7121437[[#This Row],[DEF]],Table948[Defense],Table948[WR3C]))/2</f>
        <v>1.9117647058823528</v>
      </c>
      <c r="Z62" s="22">
        <f>(_xlfn.XLOOKUP(Table7121437[[#This Row],[DEF]],Table71214[DEF],Table71214[Y])+_xlfn.XLOOKUP(Table7121437[[#This Row],[DEF]],Table948[Defense],Table948[WR3Y]))/2</f>
        <v>24.823529411764707</v>
      </c>
      <c r="AA62" s="22">
        <f>(_xlfn.XLOOKUP(Table7121437[[#This Row],[DEF]],Table71214[DEF],Table71214[TD])+_xlfn.XLOOKUP(Table7121437[[#This Row],[DEF]],Table948[Defense],Table948[WR3]))/2</f>
        <v>5.8823529411764705E-2</v>
      </c>
      <c r="AC62" s="119">
        <f t="shared" si="7"/>
        <v>17.5</v>
      </c>
      <c r="AD62" s="119">
        <v>29.5</v>
      </c>
      <c r="AE62" s="119">
        <f>_xlfn.RANK.AVG(Table712141538[[#This Row],[Y]],Table712141538[Y])</f>
        <v>22</v>
      </c>
      <c r="AF62" s="119">
        <v>1</v>
      </c>
      <c r="AG62" s="21" t="s">
        <v>49</v>
      </c>
      <c r="AH62" s="22">
        <f>(_xlfn.XLOOKUP(Table712141538[[#This Row],[DEF]],Table7121415[DEF],Table7121415[REC])+_xlfn.XLOOKUP(Table712141538[[#This Row],[DEF]],Table948[Defense],Table948[WR4+C]))/2</f>
        <v>0.58823529411764708</v>
      </c>
      <c r="AI62" s="22">
        <f>(_xlfn.XLOOKUP(Table712141538[[#This Row],[DEF]],Table7121415[DEF],Table7121415[Y])+_xlfn.XLOOKUP(Table712141538[[#This Row],[DEF]],Table948[Defense],Table948[WR4+Y]))/2</f>
        <v>9.352941176470587</v>
      </c>
      <c r="AJ62" s="22">
        <f>(_xlfn.XLOOKUP(Table712141538[[#This Row],[DEF]],Table7121415[DEF],Table7121415[TD])+_xlfn.XLOOKUP(Table712141538[[#This Row],[DEF]],Table948[Defense],Table948[WR4+]))/2</f>
        <v>0.14705882352941177</v>
      </c>
    </row>
    <row r="63" spans="2:36" x14ac:dyDescent="0.35">
      <c r="B63" s="155" t="str">
        <f t="shared" si="4"/>
        <v>n/a</v>
      </c>
      <c r="C63" s="119">
        <v>24.5</v>
      </c>
      <c r="D63" s="23" t="s">
        <v>50</v>
      </c>
      <c r="E63" s="22">
        <f>(_xlfn.XLOOKUP(Table1033[[#This Row],[DEF]],Table10[DEF],Table10[TD])+_xlfn.XLOOKUP(Table1033[[#This Row],[DEF]],Table1046[DEF],Table1046[TD]))/2</f>
        <v>5.8823529411764705E-2</v>
      </c>
      <c r="G63" s="119">
        <f t="shared" si="5"/>
        <v>22.2</v>
      </c>
      <c r="H63" s="119">
        <v>24</v>
      </c>
      <c r="I63" s="119">
        <v>23</v>
      </c>
      <c r="J63" s="119">
        <v>14</v>
      </c>
      <c r="K63" s="119">
        <v>23</v>
      </c>
      <c r="L63" s="119">
        <v>27</v>
      </c>
      <c r="M63" s="23" t="s">
        <v>50</v>
      </c>
      <c r="N63" s="121">
        <f>(_xlfn.XLOOKUP(Table2040[[#This Row],[DEF]],Table20[DEF],Table20[R])+_xlfn.XLOOKUP(Table2040[[#This Row],[DEF]],Table46[DEF],Table46[R]))/2</f>
        <v>88.5</v>
      </c>
      <c r="O63" s="121">
        <f>(_xlfn.XLOOKUP(Table2040[[#This Row],[DEF]],Table20[DEF],Table20[REC])+_xlfn.XLOOKUP(Table2040[[#This Row],[DEF]],Table46[DEF],Table46[REC]))/2</f>
        <v>4</v>
      </c>
      <c r="P63" s="121">
        <f>(_xlfn.XLOOKUP(Table2040[[#This Row],[DEF]],Table20[DEF],Table20[Y])+_xlfn.XLOOKUP(Table2040[[#This Row],[DEF]],Table46[DEF],Table46[Y]))/2</f>
        <v>32.705882352941174</v>
      </c>
      <c r="Q63" s="121">
        <f>(_xlfn.XLOOKUP(Table2040[[#This Row],[DEF]],Table20[DEF],Table20[R+R])+_xlfn.XLOOKUP(Table2040[[#This Row],[DEF]],Table46[DEF],Table46[R+R]))/2</f>
        <v>121.20588235294119</v>
      </c>
      <c r="R63" s="121">
        <f>(_xlfn.XLOOKUP(Table2040[[#This Row],[DEF]],Table20[DEF],Table20[TD])+_xlfn.XLOOKUP(Table2040[[#This Row],[DEF]],Table46[DEF],Table46[TD]))/2</f>
        <v>0.6470588235294118</v>
      </c>
      <c r="T63" s="119">
        <f t="shared" si="6"/>
        <v>30.166666666666668</v>
      </c>
      <c r="U63" s="119">
        <v>27.5</v>
      </c>
      <c r="V63" s="119">
        <f>_xlfn.RANK.AVG(Table7121437[[#This Row],[Y]],Table7121437[Y])</f>
        <v>32</v>
      </c>
      <c r="W63" s="119">
        <v>31</v>
      </c>
      <c r="X63" s="23" t="s">
        <v>50</v>
      </c>
      <c r="Y63" s="22">
        <f>(_xlfn.XLOOKUP(Table7121437[[#This Row],[DEF]],Table71214[DEF],Table71214[REC])+_xlfn.XLOOKUP(Table7121437[[#This Row],[DEF]],Table948[Defense],Table948[WR3C]))/2</f>
        <v>1.7647058823529411</v>
      </c>
      <c r="Z63" s="22">
        <f>(_xlfn.XLOOKUP(Table7121437[[#This Row],[DEF]],Table71214[DEF],Table71214[Y])+_xlfn.XLOOKUP(Table7121437[[#This Row],[DEF]],Table948[Defense],Table948[WR3Y]))/2</f>
        <v>17.411764705882355</v>
      </c>
      <c r="AA63" s="22">
        <f>(_xlfn.XLOOKUP(Table7121437[[#This Row],[DEF]],Table71214[DEF],Table71214[TD])+_xlfn.XLOOKUP(Table7121437[[#This Row],[DEF]],Table948[Defense],Table948[WR3]))/2</f>
        <v>5.8823529411764705E-2</v>
      </c>
      <c r="AC63" s="119">
        <f t="shared" si="7"/>
        <v>14.333333333333334</v>
      </c>
      <c r="AD63" s="119">
        <v>13</v>
      </c>
      <c r="AE63" s="119">
        <f>_xlfn.RANK.AVG(Table712141538[[#This Row],[Y]],Table712141538[Y])</f>
        <v>13</v>
      </c>
      <c r="AF63" s="119">
        <v>17</v>
      </c>
      <c r="AG63" s="23" t="s">
        <v>50</v>
      </c>
      <c r="AH63" s="22">
        <f>(_xlfn.XLOOKUP(Table712141538[[#This Row],[DEF]],Table7121415[DEF],Table7121415[REC])+_xlfn.XLOOKUP(Table712141538[[#This Row],[DEF]],Table948[Defense],Table948[WR4+C]))/2</f>
        <v>0.97058823529411764</v>
      </c>
      <c r="AI63" s="22">
        <f>(_xlfn.XLOOKUP(Table712141538[[#This Row],[DEF]],Table7121415[DEF],Table7121415[Y])+_xlfn.XLOOKUP(Table712141538[[#This Row],[DEF]],Table948[Defense],Table948[WR4+Y]))/2</f>
        <v>10.970588235294118</v>
      </c>
      <c r="AJ63" s="22">
        <f>(_xlfn.XLOOKUP(Table712141538[[#This Row],[DEF]],Table7121415[DEF],Table7121415[TD])+_xlfn.XLOOKUP(Table712141538[[#This Row],[DEF]],Table948[Defense],Table948[WR4+]))/2</f>
        <v>5.8823529411764705E-2</v>
      </c>
    </row>
    <row r="64" spans="2:36" x14ac:dyDescent="0.35">
      <c r="B64" s="155" t="str">
        <f t="shared" si="4"/>
        <v>n/a</v>
      </c>
      <c r="C64" s="119">
        <v>15.5</v>
      </c>
      <c r="D64" s="21" t="s">
        <v>51</v>
      </c>
      <c r="E64" s="22">
        <f>(_xlfn.XLOOKUP(Table1033[[#This Row],[DEF]],Table10[DEF],Table10[TD])+_xlfn.XLOOKUP(Table1033[[#This Row],[DEF]],Table1046[DEF],Table1046[TD]))/2</f>
        <v>0.11764705882352941</v>
      </c>
      <c r="G64" s="119">
        <f t="shared" si="5"/>
        <v>21.5</v>
      </c>
      <c r="H64" s="119">
        <v>22</v>
      </c>
      <c r="I64" s="119">
        <v>15.5</v>
      </c>
      <c r="J64" s="119">
        <v>17</v>
      </c>
      <c r="K64" s="119">
        <v>22</v>
      </c>
      <c r="L64" s="119">
        <v>31</v>
      </c>
      <c r="M64" s="21" t="s">
        <v>51</v>
      </c>
      <c r="N64" s="121">
        <f>(_xlfn.XLOOKUP(Table2040[[#This Row],[DEF]],Table20[DEF],Table20[R])+_xlfn.XLOOKUP(Table2040[[#This Row],[DEF]],Table46[DEF],Table46[R]))/2</f>
        <v>90.029411764705884</v>
      </c>
      <c r="O64" s="121">
        <f>(_xlfn.XLOOKUP(Table2040[[#This Row],[DEF]],Table20[DEF],Table20[REC])+_xlfn.XLOOKUP(Table2040[[#This Row],[DEF]],Table46[DEF],Table46[REC]))/2</f>
        <v>4.4117647058823533</v>
      </c>
      <c r="P64" s="121">
        <f>(_xlfn.XLOOKUP(Table2040[[#This Row],[DEF]],Table20[DEF],Table20[Y])+_xlfn.XLOOKUP(Table2040[[#This Row],[DEF]],Table46[DEF],Table46[Y]))/2</f>
        <v>32.088235294117645</v>
      </c>
      <c r="Q64" s="121">
        <f>(_xlfn.XLOOKUP(Table2040[[#This Row],[DEF]],Table20[DEF],Table20[R+R])+_xlfn.XLOOKUP(Table2040[[#This Row],[DEF]],Table46[DEF],Table46[R+R]))/2</f>
        <v>122.11764705882354</v>
      </c>
      <c r="R64" s="121">
        <f>(_xlfn.XLOOKUP(Table2040[[#This Row],[DEF]],Table20[DEF],Table20[TD])+_xlfn.XLOOKUP(Table2040[[#This Row],[DEF]],Table46[DEF],Table46[TD]))/2</f>
        <v>0.58823529411764697</v>
      </c>
      <c r="T64" s="119">
        <f t="shared" si="6"/>
        <v>6.666666666666667</v>
      </c>
      <c r="U64" s="119">
        <v>6.5</v>
      </c>
      <c r="V64" s="119">
        <f>_xlfn.RANK.AVG(Table7121437[[#This Row],[Y]],Table7121437[Y])</f>
        <v>7</v>
      </c>
      <c r="W64" s="119">
        <v>6.5</v>
      </c>
      <c r="X64" s="21" t="s">
        <v>51</v>
      </c>
      <c r="Y64" s="22">
        <f>(_xlfn.XLOOKUP(Table7121437[[#This Row],[DEF]],Table71214[DEF],Table71214[REC])+_xlfn.XLOOKUP(Table7121437[[#This Row],[DEF]],Table948[Defense],Table948[WR3C]))/2</f>
        <v>2.3823529411764706</v>
      </c>
      <c r="Z64" s="22">
        <f>(_xlfn.XLOOKUP(Table7121437[[#This Row],[DEF]],Table71214[DEF],Table71214[Y])+_xlfn.XLOOKUP(Table7121437[[#This Row],[DEF]],Table948[Defense],Table948[WR3Y]))/2</f>
        <v>28.176470588235297</v>
      </c>
      <c r="AA64" s="22">
        <f>(_xlfn.XLOOKUP(Table7121437[[#This Row],[DEF]],Table71214[DEF],Table71214[TD])+_xlfn.XLOOKUP(Table7121437[[#This Row],[DEF]],Table948[Defense],Table948[WR3]))/2</f>
        <v>0.20588235294117646</v>
      </c>
      <c r="AC64" s="119">
        <f t="shared" si="7"/>
        <v>14.833333333333334</v>
      </c>
      <c r="AD64" s="119">
        <v>12</v>
      </c>
      <c r="AE64" s="119">
        <f>_xlfn.RANK.AVG(Table712141538[[#This Row],[Y]],Table712141538[Y])</f>
        <v>23</v>
      </c>
      <c r="AF64" s="119">
        <v>9.5</v>
      </c>
      <c r="AG64" s="21" t="s">
        <v>51</v>
      </c>
      <c r="AH64" s="22">
        <f>(_xlfn.XLOOKUP(Table712141538[[#This Row],[DEF]],Table7121415[DEF],Table7121415[REC])+_xlfn.XLOOKUP(Table712141538[[#This Row],[DEF]],Table948[Defense],Table948[WR4+C]))/2</f>
        <v>0.97058823529411775</v>
      </c>
      <c r="AI64" s="22">
        <f>(_xlfn.XLOOKUP(Table712141538[[#This Row],[DEF]],Table7121415[DEF],Table7121415[Y])+_xlfn.XLOOKUP(Table712141538[[#This Row],[DEF]],Table948[Defense],Table948[WR4+Y]))/2</f>
        <v>8.9411764705882355</v>
      </c>
      <c r="AJ64" s="22">
        <f>(_xlfn.XLOOKUP(Table712141538[[#This Row],[DEF]],Table7121415[DEF],Table7121415[TD])+_xlfn.XLOOKUP(Table712141538[[#This Row],[DEF]],Table948[Defense],Table948[WR4+]))/2</f>
        <v>8.8235294117647051E-2</v>
      </c>
    </row>
    <row r="65" spans="2:45" x14ac:dyDescent="0.35">
      <c r="B65" s="155" t="str">
        <f t="shared" si="4"/>
        <v>SB LX</v>
      </c>
      <c r="C65" s="119">
        <v>11</v>
      </c>
      <c r="D65" s="23" t="s">
        <v>52</v>
      </c>
      <c r="E65" s="22">
        <f>(_xlfn.XLOOKUP(Table1033[[#This Row],[DEF]],Table10[DEF],Table10[TD])+_xlfn.XLOOKUP(Table1033[[#This Row],[DEF]],Table1046[DEF],Table1046[TD]))/2</f>
        <v>0.14705882352941177</v>
      </c>
      <c r="G65" s="119">
        <f t="shared" si="5"/>
        <v>16.5</v>
      </c>
      <c r="H65" s="119">
        <v>25</v>
      </c>
      <c r="I65" s="119">
        <v>1.5</v>
      </c>
      <c r="J65" s="119">
        <v>5</v>
      </c>
      <c r="K65" s="119">
        <v>19</v>
      </c>
      <c r="L65" s="119">
        <v>32</v>
      </c>
      <c r="M65" s="23" t="s">
        <v>52</v>
      </c>
      <c r="N65" s="121">
        <f>(_xlfn.XLOOKUP(Table2040[[#This Row],[DEF]],Table20[DEF],Table20[R])+_xlfn.XLOOKUP(Table2040[[#This Row],[DEF]],Table46[DEF],Table46[R]))/2</f>
        <v>87.058823529411768</v>
      </c>
      <c r="O65" s="121">
        <f>(_xlfn.XLOOKUP(Table2040[[#This Row],[DEF]],Table20[DEF],Table20[REC])+_xlfn.XLOOKUP(Table2040[[#This Row],[DEF]],Table46[DEF],Table46[REC]))/2</f>
        <v>5.1470588235294112</v>
      </c>
      <c r="P65" s="121">
        <f>(_xlfn.XLOOKUP(Table2040[[#This Row],[DEF]],Table20[DEF],Table20[Y])+_xlfn.XLOOKUP(Table2040[[#This Row],[DEF]],Table46[DEF],Table46[Y]))/2</f>
        <v>37.17647058823529</v>
      </c>
      <c r="Q65" s="121">
        <f>(_xlfn.XLOOKUP(Table2040[[#This Row],[DEF]],Table20[DEF],Table20[R+R])+_xlfn.XLOOKUP(Table2040[[#This Row],[DEF]],Table46[DEF],Table46[R+R]))/2</f>
        <v>124.23529411764706</v>
      </c>
      <c r="R65" s="121">
        <f>(_xlfn.XLOOKUP(Table2040[[#This Row],[DEF]],Table20[DEF],Table20[TD])+_xlfn.XLOOKUP(Table2040[[#This Row],[DEF]],Table46[DEF],Table46[TD]))/2</f>
        <v>0.52941176470588236</v>
      </c>
      <c r="T65" s="119">
        <f t="shared" si="6"/>
        <v>16.166666666666668</v>
      </c>
      <c r="U65" s="119">
        <v>18.5</v>
      </c>
      <c r="V65" s="119">
        <f>_xlfn.RANK.AVG(Table7121437[[#This Row],[Y]],Table7121437[Y])</f>
        <v>29</v>
      </c>
      <c r="W65" s="119">
        <v>1</v>
      </c>
      <c r="X65" s="23" t="s">
        <v>52</v>
      </c>
      <c r="Y65" s="22">
        <f>(_xlfn.XLOOKUP(Table7121437[[#This Row],[DEF]],Table71214[DEF],Table71214[REC])+_xlfn.XLOOKUP(Table7121437[[#This Row],[DEF]],Table948[Defense],Table948[WR3C]))/2</f>
        <v>2</v>
      </c>
      <c r="Z65" s="22">
        <f>(_xlfn.XLOOKUP(Table7121437[[#This Row],[DEF]],Table71214[DEF],Table71214[Y])+_xlfn.XLOOKUP(Table7121437[[#This Row],[DEF]],Table948[Defense],Table948[WR3Y]))/2</f>
        <v>21.794117647058822</v>
      </c>
      <c r="AA65" s="22">
        <f>(_xlfn.XLOOKUP(Table7121437[[#This Row],[DEF]],Table71214[DEF],Table71214[TD])+_xlfn.XLOOKUP(Table7121437[[#This Row],[DEF]],Table948[Defense],Table948[WR3]))/2</f>
        <v>0.26470588235294118</v>
      </c>
      <c r="AC65" s="119">
        <f t="shared" si="7"/>
        <v>19.666666666666668</v>
      </c>
      <c r="AD65" s="119">
        <v>23</v>
      </c>
      <c r="AE65" s="119">
        <f>_xlfn.RANK.AVG(Table712141538[[#This Row],[Y]],Table712141538[Y])</f>
        <v>19</v>
      </c>
      <c r="AF65" s="119">
        <v>17</v>
      </c>
      <c r="AG65" s="23" t="s">
        <v>52</v>
      </c>
      <c r="AH65" s="22">
        <f>(_xlfn.XLOOKUP(Table712141538[[#This Row],[DEF]],Table7121415[DEF],Table7121415[REC])+_xlfn.XLOOKUP(Table712141538[[#This Row],[DEF]],Table948[Defense],Table948[WR4+C]))/2</f>
        <v>0.8529411764705882</v>
      </c>
      <c r="AI65" s="22">
        <f>(_xlfn.XLOOKUP(Table712141538[[#This Row],[DEF]],Table7121415[DEF],Table7121415[Y])+_xlfn.XLOOKUP(Table712141538[[#This Row],[DEF]],Table948[Defense],Table948[WR4+Y]))/2</f>
        <v>9.7941176470588225</v>
      </c>
      <c r="AJ65" s="22">
        <f>(_xlfn.XLOOKUP(Table712141538[[#This Row],[DEF]],Table7121415[DEF],Table7121415[TD])+_xlfn.XLOOKUP(Table712141538[[#This Row],[DEF]],Table948[Defense],Table948[WR4+]))/2</f>
        <v>5.8823529411764705E-2</v>
      </c>
    </row>
    <row r="66" spans="2:45" x14ac:dyDescent="0.35">
      <c r="B66" s="155" t="str">
        <f t="shared" si="4"/>
        <v>n/a</v>
      </c>
      <c r="C66" s="119">
        <v>20.5</v>
      </c>
      <c r="D66" s="21" t="s">
        <v>53</v>
      </c>
      <c r="E66" s="22">
        <f>(_xlfn.XLOOKUP(Table1033[[#This Row],[DEF]],Table10[DEF],Table10[TD])+_xlfn.XLOOKUP(Table1033[[#This Row],[DEF]],Table1046[DEF],Table1046[TD]))/2</f>
        <v>8.8235294117647051E-2</v>
      </c>
      <c r="G66" s="119">
        <f t="shared" si="5"/>
        <v>7.7</v>
      </c>
      <c r="H66" s="119">
        <v>10</v>
      </c>
      <c r="I66" s="119">
        <v>1.5</v>
      </c>
      <c r="J66" s="119">
        <v>8</v>
      </c>
      <c r="K66" s="119">
        <v>10</v>
      </c>
      <c r="L66" s="119">
        <v>9</v>
      </c>
      <c r="M66" s="21" t="s">
        <v>53</v>
      </c>
      <c r="N66" s="121">
        <f>(_xlfn.XLOOKUP(Table2040[[#This Row],[DEF]],Table20[DEF],Table20[R])+_xlfn.XLOOKUP(Table2040[[#This Row],[DEF]],Table46[DEF],Table46[R]))/2</f>
        <v>97.852941176470594</v>
      </c>
      <c r="O66" s="121">
        <f>(_xlfn.XLOOKUP(Table2040[[#This Row],[DEF]],Table20[DEF],Table20[REC])+_xlfn.XLOOKUP(Table2040[[#This Row],[DEF]],Table46[DEF],Table46[REC]))/2</f>
        <v>5.1470588235294112</v>
      </c>
      <c r="P66" s="121">
        <f>(_xlfn.XLOOKUP(Table2040[[#This Row],[DEF]],Table20[DEF],Table20[Y])+_xlfn.XLOOKUP(Table2040[[#This Row],[DEF]],Table46[DEF],Table46[Y]))/2</f>
        <v>36.205882352941174</v>
      </c>
      <c r="Q66" s="121">
        <f>(_xlfn.XLOOKUP(Table2040[[#This Row],[DEF]],Table20[DEF],Table20[R+R])+_xlfn.XLOOKUP(Table2040[[#This Row],[DEF]],Table46[DEF],Table46[R+R]))/2</f>
        <v>134.05882352941177</v>
      </c>
      <c r="R66" s="121">
        <f>(_xlfn.XLOOKUP(Table2040[[#This Row],[DEF]],Table20[DEF],Table20[TD])+_xlfn.XLOOKUP(Table2040[[#This Row],[DEF]],Table46[DEF],Table46[TD]))/2</f>
        <v>1.0294117647058825</v>
      </c>
      <c r="T66" s="119">
        <f t="shared" si="6"/>
        <v>22.833333333333332</v>
      </c>
      <c r="U66" s="119">
        <v>25</v>
      </c>
      <c r="V66" s="119">
        <f>_xlfn.RANK.AVG(Table7121437[[#This Row],[Y]],Table7121437[Y])</f>
        <v>22</v>
      </c>
      <c r="W66" s="119">
        <v>21.5</v>
      </c>
      <c r="X66" s="21" t="s">
        <v>53</v>
      </c>
      <c r="Y66" s="22">
        <f>(_xlfn.XLOOKUP(Table7121437[[#This Row],[DEF]],Table71214[DEF],Table71214[REC])+_xlfn.XLOOKUP(Table7121437[[#This Row],[DEF]],Table948[Defense],Table948[WR3C]))/2</f>
        <v>1.8235294117647058</v>
      </c>
      <c r="Z66" s="22">
        <f>(_xlfn.XLOOKUP(Table7121437[[#This Row],[DEF]],Table71214[DEF],Table71214[Y])+_xlfn.XLOOKUP(Table7121437[[#This Row],[DEF]],Table948[Defense],Table948[WR3Y]))/2</f>
        <v>23.088235294117645</v>
      </c>
      <c r="AA66" s="22">
        <f>(_xlfn.XLOOKUP(Table7121437[[#This Row],[DEF]],Table71214[DEF],Table71214[TD])+_xlfn.XLOOKUP(Table7121437[[#This Row],[DEF]],Table948[Defense],Table948[WR3]))/2</f>
        <v>0.11764705882352941</v>
      </c>
      <c r="AC66" s="119">
        <f t="shared" si="7"/>
        <v>17</v>
      </c>
      <c r="AD66" s="119">
        <v>20.5</v>
      </c>
      <c r="AE66" s="119">
        <f>_xlfn.RANK.AVG(Table712141538[[#This Row],[Y]],Table712141538[Y])</f>
        <v>21</v>
      </c>
      <c r="AF66" s="119">
        <v>9.5</v>
      </c>
      <c r="AG66" s="21" t="s">
        <v>53</v>
      </c>
      <c r="AH66" s="22">
        <f>(_xlfn.XLOOKUP(Table712141538[[#This Row],[DEF]],Table7121415[DEF],Table7121415[REC])+_xlfn.XLOOKUP(Table712141538[[#This Row],[DEF]],Table948[Defense],Table948[WR4+C]))/2</f>
        <v>0.85294117647058831</v>
      </c>
      <c r="AI66" s="22">
        <f>(_xlfn.XLOOKUP(Table712141538[[#This Row],[DEF]],Table7121415[DEF],Table7121415[Y])+_xlfn.XLOOKUP(Table712141538[[#This Row],[DEF]],Table948[Defense],Table948[WR4+Y]))/2</f>
        <v>9.4117647058823533</v>
      </c>
      <c r="AJ66" s="22">
        <f>(_xlfn.XLOOKUP(Table712141538[[#This Row],[DEF]],Table7121415[DEF],Table7121415[TD])+_xlfn.XLOOKUP(Table712141538[[#This Row],[DEF]],Table948[Defense],Table948[WR4+]))/2</f>
        <v>8.8235294117647051E-2</v>
      </c>
    </row>
    <row r="67" spans="2:45" x14ac:dyDescent="0.35">
      <c r="B67" s="155" t="str">
        <f t="shared" si="4"/>
        <v>n/a</v>
      </c>
      <c r="C67" s="119">
        <v>15.5</v>
      </c>
      <c r="D67" s="23" t="s">
        <v>54</v>
      </c>
      <c r="E67" s="22">
        <f>(_xlfn.XLOOKUP(Table1033[[#This Row],[DEF]],Table10[DEF],Table10[TD])+_xlfn.XLOOKUP(Table1033[[#This Row],[DEF]],Table1046[DEF],Table1046[TD]))/2</f>
        <v>0.11764705882352941</v>
      </c>
      <c r="G67" s="119">
        <f t="shared" si="5"/>
        <v>17.399999999999999</v>
      </c>
      <c r="H67" s="119">
        <v>31</v>
      </c>
      <c r="I67" s="119">
        <v>7</v>
      </c>
      <c r="J67" s="119">
        <v>1</v>
      </c>
      <c r="K67" s="119">
        <v>24</v>
      </c>
      <c r="L67" s="119">
        <v>24</v>
      </c>
      <c r="M67" s="23" t="s">
        <v>54</v>
      </c>
      <c r="N67" s="121">
        <f>(_xlfn.XLOOKUP(Table2040[[#This Row],[DEF]],Table20[DEF],Table20[R])+_xlfn.XLOOKUP(Table2040[[#This Row],[DEF]],Table46[DEF],Table46[R]))/2</f>
        <v>73.617647058823536</v>
      </c>
      <c r="O67" s="121">
        <f>(_xlfn.XLOOKUP(Table2040[[#This Row],[DEF]],Table20[DEF],Table20[REC])+_xlfn.XLOOKUP(Table2040[[#This Row],[DEF]],Table46[DEF],Table46[REC]))/2</f>
        <v>4.8235294117647056</v>
      </c>
      <c r="P67" s="121">
        <f>(_xlfn.XLOOKUP(Table2040[[#This Row],[DEF]],Table20[DEF],Table20[Y])+_xlfn.XLOOKUP(Table2040[[#This Row],[DEF]],Table46[DEF],Table46[Y]))/2</f>
        <v>44.735294117647058</v>
      </c>
      <c r="Q67" s="121">
        <f>(_xlfn.XLOOKUP(Table2040[[#This Row],[DEF]],Table20[DEF],Table20[R+R])+_xlfn.XLOOKUP(Table2040[[#This Row],[DEF]],Table46[DEF],Table46[R+R]))/2</f>
        <v>118.35294117647058</v>
      </c>
      <c r="R67" s="121">
        <f>(_xlfn.XLOOKUP(Table2040[[#This Row],[DEF]],Table20[DEF],Table20[TD])+_xlfn.XLOOKUP(Table2040[[#This Row],[DEF]],Table46[DEF],Table46[TD]))/2</f>
        <v>0.73529411764705888</v>
      </c>
      <c r="T67" s="119">
        <f t="shared" si="6"/>
        <v>16.833333333333332</v>
      </c>
      <c r="U67" s="119">
        <v>9</v>
      </c>
      <c r="V67" s="119">
        <f>_xlfn.RANK.AVG(Table7121437[[#This Row],[Y]],Table7121437[Y])</f>
        <v>26</v>
      </c>
      <c r="W67" s="119">
        <v>15.5</v>
      </c>
      <c r="X67" s="23" t="s">
        <v>54</v>
      </c>
      <c r="Y67" s="22">
        <f>(_xlfn.XLOOKUP(Table7121437[[#This Row],[DEF]],Table71214[DEF],Table71214[REC])+_xlfn.XLOOKUP(Table7121437[[#This Row],[DEF]],Table948[Defense],Table948[WR3C]))/2</f>
        <v>2.2647058823529411</v>
      </c>
      <c r="Z67" s="22">
        <f>(_xlfn.XLOOKUP(Table7121437[[#This Row],[DEF]],Table71214[DEF],Table71214[Y])+_xlfn.XLOOKUP(Table7121437[[#This Row],[DEF]],Table948[Defense],Table948[WR3Y]))/2</f>
        <v>22.470588235294116</v>
      </c>
      <c r="AA67" s="22">
        <f>(_xlfn.XLOOKUP(Table7121437[[#This Row],[DEF]],Table71214[DEF],Table71214[TD])+_xlfn.XLOOKUP(Table7121437[[#This Row],[DEF]],Table948[Defense],Table948[WR3]))/2</f>
        <v>0.14705882352941177</v>
      </c>
      <c r="AC67" s="119">
        <f t="shared" si="7"/>
        <v>3.5</v>
      </c>
      <c r="AD67" s="119">
        <v>6.5</v>
      </c>
      <c r="AE67" s="119">
        <f>_xlfn.RANK.AVG(Table712141538[[#This Row],[Y]],Table712141538[Y])</f>
        <v>1</v>
      </c>
      <c r="AF67" s="119">
        <v>3</v>
      </c>
      <c r="AG67" s="23" t="s">
        <v>54</v>
      </c>
      <c r="AH67" s="22">
        <f>(_xlfn.XLOOKUP(Table712141538[[#This Row],[DEF]],Table7121415[DEF],Table7121415[REC])+_xlfn.XLOOKUP(Table712141538[[#This Row],[DEF]],Table948[Defense],Table948[WR4+C]))/2</f>
        <v>1.2058823529411766</v>
      </c>
      <c r="AI67" s="22">
        <f>(_xlfn.XLOOKUP(Table712141538[[#This Row],[DEF]],Table7121415[DEF],Table7121415[Y])+_xlfn.XLOOKUP(Table712141538[[#This Row],[DEF]],Table948[Defense],Table948[WR4+Y]))/2</f>
        <v>16.852941176470587</v>
      </c>
      <c r="AJ67" s="22">
        <f>(_xlfn.XLOOKUP(Table712141538[[#This Row],[DEF]],Table7121415[DEF],Table7121415[TD])+_xlfn.XLOOKUP(Table712141538[[#This Row],[DEF]],Table948[Defense],Table948[WR4+]))/2</f>
        <v>0.11764705882352941</v>
      </c>
    </row>
    <row r="68" spans="2:45" x14ac:dyDescent="0.35">
      <c r="B68" s="155" t="str">
        <f t="shared" si="4"/>
        <v>n/a</v>
      </c>
      <c r="C68" s="119">
        <v>2</v>
      </c>
      <c r="D68" s="21" t="s">
        <v>55</v>
      </c>
      <c r="E68" s="22">
        <f>(_xlfn.XLOOKUP(Table1033[[#This Row],[DEF]],Table10[DEF],Table10[TD])+_xlfn.XLOOKUP(Table1033[[#This Row],[DEF]],Table1046[DEF],Table1046[TD]))/2</f>
        <v>0.32352941176470584</v>
      </c>
      <c r="G68" s="119">
        <f t="shared" si="5"/>
        <v>19.2</v>
      </c>
      <c r="H68" s="119">
        <v>12</v>
      </c>
      <c r="I68" s="119">
        <v>31</v>
      </c>
      <c r="J68" s="119">
        <v>31</v>
      </c>
      <c r="K68" s="119">
        <v>21</v>
      </c>
      <c r="L68" s="119">
        <v>1</v>
      </c>
      <c r="M68" s="21" t="s">
        <v>55</v>
      </c>
      <c r="N68" s="121">
        <f>(_xlfn.XLOOKUP(Table2040[[#This Row],[DEF]],Table20[DEF],Table20[R])+_xlfn.XLOOKUP(Table2040[[#This Row],[DEF]],Table46[DEF],Table46[R]))/2</f>
        <v>97.323529411764696</v>
      </c>
      <c r="O68" s="121">
        <f>(_xlfn.XLOOKUP(Table2040[[#This Row],[DEF]],Table20[DEF],Table20[REC])+_xlfn.XLOOKUP(Table2040[[#This Row],[DEF]],Table46[DEF],Table46[REC]))/2</f>
        <v>3.3235294117647056</v>
      </c>
      <c r="P68" s="121">
        <f>(_xlfn.XLOOKUP(Table2040[[#This Row],[DEF]],Table20[DEF],Table20[Y])+_xlfn.XLOOKUP(Table2040[[#This Row],[DEF]],Table46[DEF],Table46[Y]))/2</f>
        <v>25.323529411764703</v>
      </c>
      <c r="Q68" s="121">
        <f>(_xlfn.XLOOKUP(Table2040[[#This Row],[DEF]],Table20[DEF],Table20[R+R])+_xlfn.XLOOKUP(Table2040[[#This Row],[DEF]],Table46[DEF],Table46[R+R]))/2</f>
        <v>122.64705882352941</v>
      </c>
      <c r="R68" s="121">
        <f>(_xlfn.XLOOKUP(Table2040[[#This Row],[DEF]],Table20[DEF],Table20[TD])+_xlfn.XLOOKUP(Table2040[[#This Row],[DEF]],Table46[DEF],Table46[TD]))/2</f>
        <v>1.2352941176470589</v>
      </c>
      <c r="T68" s="119">
        <f t="shared" si="6"/>
        <v>21.333333333333332</v>
      </c>
      <c r="U68" s="119">
        <v>27.5</v>
      </c>
      <c r="V68" s="119">
        <f>_xlfn.RANK.AVG(Table7121437[[#This Row],[Y]],Table7121437[Y])</f>
        <v>15</v>
      </c>
      <c r="W68" s="119">
        <v>21.5</v>
      </c>
      <c r="X68" s="21" t="s">
        <v>55</v>
      </c>
      <c r="Y68" s="22">
        <f>(_xlfn.XLOOKUP(Table7121437[[#This Row],[DEF]],Table71214[DEF],Table71214[REC])+_xlfn.XLOOKUP(Table7121437[[#This Row],[DEF]],Table948[Defense],Table948[WR3C]))/2</f>
        <v>1.7647058823529411</v>
      </c>
      <c r="Z68" s="22">
        <f>(_xlfn.XLOOKUP(Table7121437[[#This Row],[DEF]],Table71214[DEF],Table71214[Y])+_xlfn.XLOOKUP(Table7121437[[#This Row],[DEF]],Table948[Defense],Table948[WR3Y]))/2</f>
        <v>25.088235294117645</v>
      </c>
      <c r="AA68" s="22">
        <f>(_xlfn.XLOOKUP(Table7121437[[#This Row],[DEF]],Table71214[DEF],Table71214[TD])+_xlfn.XLOOKUP(Table7121437[[#This Row],[DEF]],Table948[Defense],Table948[WR3]))/2</f>
        <v>0.11764705882352941</v>
      </c>
      <c r="AC68" s="119">
        <f t="shared" si="7"/>
        <v>21</v>
      </c>
      <c r="AD68" s="119">
        <v>8</v>
      </c>
      <c r="AE68" s="119">
        <f>_xlfn.RANK.AVG(Table712141538[[#This Row],[Y]],Table712141538[Y])</f>
        <v>24</v>
      </c>
      <c r="AF68" s="119">
        <v>31</v>
      </c>
      <c r="AG68" s="21" t="s">
        <v>55</v>
      </c>
      <c r="AH68" s="22">
        <f>(_xlfn.XLOOKUP(Table712141538[[#This Row],[DEF]],Table7121415[DEF],Table7121415[REC])+_xlfn.XLOOKUP(Table712141538[[#This Row],[DEF]],Table948[Defense],Table948[WR4+C]))/2</f>
        <v>1.1764705882352942</v>
      </c>
      <c r="AI68" s="22">
        <f>(_xlfn.XLOOKUP(Table712141538[[#This Row],[DEF]],Table7121415[DEF],Table7121415[Y])+_xlfn.XLOOKUP(Table712141538[[#This Row],[DEF]],Table948[Defense],Table948[WR4+Y]))/2</f>
        <v>8.8529411764705888</v>
      </c>
      <c r="AJ68" s="22">
        <f>(_xlfn.XLOOKUP(Table712141538[[#This Row],[DEF]],Table7121415[DEF],Table7121415[TD])+_xlfn.XLOOKUP(Table712141538[[#This Row],[DEF]],Table948[Defense],Table948[WR4+]))/2</f>
        <v>0</v>
      </c>
    </row>
    <row r="69" spans="2:45" x14ac:dyDescent="0.35">
      <c r="B69" s="155" t="str">
        <f t="shared" si="4"/>
        <v>n/a</v>
      </c>
      <c r="C69" s="119">
        <v>24.5</v>
      </c>
      <c r="D69" s="23" t="s">
        <v>56</v>
      </c>
      <c r="E69" s="22">
        <f>(_xlfn.XLOOKUP(Table1033[[#This Row],[DEF]],Table10[DEF],Table10[TD])+_xlfn.XLOOKUP(Table1033[[#This Row],[DEF]],Table1046[DEF],Table1046[TD]))/2</f>
        <v>5.8823529411764705E-2</v>
      </c>
      <c r="G69" s="124">
        <f t="shared" si="5"/>
        <v>13.8</v>
      </c>
      <c r="H69" s="124">
        <v>2</v>
      </c>
      <c r="I69" s="124">
        <v>32</v>
      </c>
      <c r="J69" s="124">
        <v>24.5</v>
      </c>
      <c r="K69" s="124">
        <v>4</v>
      </c>
      <c r="L69" s="124">
        <v>6.5</v>
      </c>
      <c r="M69" s="123" t="s">
        <v>56</v>
      </c>
      <c r="N69" s="121">
        <f>(_xlfn.XLOOKUP(Table2040[[#This Row],[DEF]],Table20[DEF],Table20[R])+_xlfn.XLOOKUP(Table2040[[#This Row],[DEF]],Table46[DEF],Table46[R]))/2</f>
        <v>114.64705882352941</v>
      </c>
      <c r="O69" s="121">
        <f>(_xlfn.XLOOKUP(Table2040[[#This Row],[DEF]],Table20[DEF],Table20[REC])+_xlfn.XLOOKUP(Table2040[[#This Row],[DEF]],Table46[DEF],Table46[REC]))/2</f>
        <v>3.1176470588235299</v>
      </c>
      <c r="P69" s="121">
        <f>(_xlfn.XLOOKUP(Table2040[[#This Row],[DEF]],Table20[DEF],Table20[Y])+_xlfn.XLOOKUP(Table2040[[#This Row],[DEF]],Table46[DEF],Table46[Y]))/2</f>
        <v>28</v>
      </c>
      <c r="Q69" s="121">
        <f>(_xlfn.XLOOKUP(Table2040[[#This Row],[DEF]],Table20[DEF],Table20[R+R])+_xlfn.XLOOKUP(Table2040[[#This Row],[DEF]],Table46[DEF],Table46[R+R]))/2</f>
        <v>142.64705882352942</v>
      </c>
      <c r="R69" s="121">
        <f>(_xlfn.XLOOKUP(Table2040[[#This Row],[DEF]],Table20[DEF],Table20[TD])+_xlfn.XLOOKUP(Table2040[[#This Row],[DEF]],Table46[DEF],Table46[TD]))/2</f>
        <v>1.0882352941176472</v>
      </c>
      <c r="T69" s="119">
        <f t="shared" si="6"/>
        <v>13.166666666666666</v>
      </c>
      <c r="U69" s="119">
        <v>18.5</v>
      </c>
      <c r="V69" s="119">
        <f>_xlfn.RANK.AVG(Table7121437[[#This Row],[Y]],Table7121437[Y])</f>
        <v>11</v>
      </c>
      <c r="W69" s="119">
        <v>10</v>
      </c>
      <c r="X69" s="23" t="s">
        <v>56</v>
      </c>
      <c r="Y69" s="22">
        <f>(_xlfn.XLOOKUP(Table7121437[[#This Row],[DEF]],Table71214[DEF],Table71214[REC])+_xlfn.XLOOKUP(Table7121437[[#This Row],[DEF]],Table948[Defense],Table948[WR3C]))/2</f>
        <v>2</v>
      </c>
      <c r="Z69" s="22">
        <f>(_xlfn.XLOOKUP(Table7121437[[#This Row],[DEF]],Table71214[DEF],Table71214[Y])+_xlfn.XLOOKUP(Table7121437[[#This Row],[DEF]],Table948[Defense],Table948[WR3Y]))/2</f>
        <v>26.147058823529413</v>
      </c>
      <c r="AA69" s="22">
        <f>(_xlfn.XLOOKUP(Table7121437[[#This Row],[DEF]],Table71214[DEF],Table71214[TD])+_xlfn.XLOOKUP(Table7121437[[#This Row],[DEF]],Table948[Defense],Table948[WR3]))/2</f>
        <v>0.17647058823529413</v>
      </c>
      <c r="AC69" s="119">
        <f t="shared" si="7"/>
        <v>20.666666666666668</v>
      </c>
      <c r="AD69" s="119">
        <v>26</v>
      </c>
      <c r="AE69" s="119">
        <f>_xlfn.RANK.AVG(Table712141538[[#This Row],[Y]],Table712141538[Y])</f>
        <v>10</v>
      </c>
      <c r="AF69" s="119">
        <v>26</v>
      </c>
      <c r="AG69" s="23" t="s">
        <v>56</v>
      </c>
      <c r="AH69" s="22">
        <f>(_xlfn.XLOOKUP(Table712141538[[#This Row],[DEF]],Table7121415[DEF],Table7121415[REC])+_xlfn.XLOOKUP(Table712141538[[#This Row],[DEF]],Table948[Defense],Table948[WR4+C]))/2</f>
        <v>0.76470588235294112</v>
      </c>
      <c r="AI69" s="22">
        <f>(_xlfn.XLOOKUP(Table712141538[[#This Row],[DEF]],Table7121415[DEF],Table7121415[Y])+_xlfn.XLOOKUP(Table712141538[[#This Row],[DEF]],Table948[Defense],Table948[WR4+Y]))/2</f>
        <v>11.382352941176471</v>
      </c>
      <c r="AJ69" s="22">
        <f>(_xlfn.XLOOKUP(Table712141538[[#This Row],[DEF]],Table7121415[DEF],Table7121415[TD])+_xlfn.XLOOKUP(Table712141538[[#This Row],[DEF]],Table948[Defense],Table948[WR4+]))/2</f>
        <v>2.9411764705882353E-2</v>
      </c>
    </row>
    <row r="70" spans="2:45" x14ac:dyDescent="0.35">
      <c r="D70" s="72"/>
      <c r="E70" s="72"/>
      <c r="U70" s="126"/>
      <c r="V70" s="126"/>
      <c r="W70" s="126"/>
      <c r="X70" s="126"/>
      <c r="Y70" s="126"/>
      <c r="Z70" s="72"/>
      <c r="AA70" s="122"/>
      <c r="AC70" s="122"/>
      <c r="AD70" s="122"/>
      <c r="AE70" s="122"/>
      <c r="AF70" s="121"/>
      <c r="AH70" s="126"/>
      <c r="AI70" s="126"/>
      <c r="AJ70" s="126"/>
      <c r="AL70" s="126"/>
      <c r="AM70" s="126"/>
      <c r="AN70" s="72"/>
      <c r="AO70" s="122"/>
      <c r="AP70" s="122"/>
      <c r="AQ70" s="122"/>
      <c r="AR70" s="122"/>
      <c r="AS70" s="121"/>
    </row>
    <row r="71" spans="2:45" x14ac:dyDescent="0.35">
      <c r="D71" s="72"/>
      <c r="E71" s="72"/>
      <c r="U71" s="126"/>
      <c r="V71" s="126"/>
      <c r="W71" s="126"/>
      <c r="X71" s="126"/>
      <c r="Y71" s="126"/>
      <c r="Z71" s="72"/>
      <c r="AA71" s="122"/>
      <c r="AC71" s="122"/>
      <c r="AD71" s="122"/>
      <c r="AE71" s="122"/>
      <c r="AF71" s="121"/>
      <c r="AH71" s="126"/>
      <c r="AI71" s="126"/>
      <c r="AJ71" s="126"/>
      <c r="AL71" s="126"/>
      <c r="AM71" s="126"/>
      <c r="AN71" s="72"/>
      <c r="AO71" s="122"/>
      <c r="AP71" s="122"/>
      <c r="AQ71" s="122"/>
      <c r="AR71" s="122"/>
      <c r="AS71" s="121"/>
    </row>
    <row r="72" spans="2:45" x14ac:dyDescent="0.35">
      <c r="D72" s="72"/>
      <c r="E72" s="72"/>
      <c r="U72" s="126"/>
      <c r="V72" s="126"/>
      <c r="W72" s="126"/>
      <c r="X72" s="126"/>
      <c r="Y72" s="126"/>
      <c r="Z72" s="72"/>
      <c r="AA72" s="122"/>
      <c r="AC72" s="122"/>
      <c r="AD72" s="122"/>
      <c r="AE72" s="122"/>
      <c r="AF72" s="121"/>
      <c r="AH72" s="126"/>
      <c r="AI72" s="126"/>
      <c r="AJ72" s="126"/>
      <c r="AL72" s="126"/>
      <c r="AM72" s="126"/>
      <c r="AN72" s="72"/>
      <c r="AO72" s="122"/>
      <c r="AP72" s="122"/>
      <c r="AQ72" s="122"/>
      <c r="AR72" s="122"/>
      <c r="AS72" s="121"/>
    </row>
    <row r="73" spans="2:45" x14ac:dyDescent="0.35">
      <c r="D73" s="72"/>
      <c r="E73" s="72"/>
      <c r="U73" s="126"/>
      <c r="V73" s="126"/>
      <c r="W73" s="126"/>
      <c r="X73" s="126"/>
      <c r="Y73" s="126"/>
      <c r="Z73" s="72"/>
      <c r="AA73" s="122"/>
      <c r="AC73" s="122"/>
      <c r="AD73" s="122"/>
      <c r="AE73" s="122"/>
      <c r="AF73" s="121"/>
      <c r="AH73" s="126"/>
      <c r="AI73" s="126"/>
      <c r="AJ73" s="126"/>
      <c r="AL73" s="126"/>
      <c r="AM73" s="126"/>
      <c r="AN73" s="72"/>
      <c r="AO73" s="122"/>
      <c r="AP73" s="122"/>
      <c r="AQ73" s="122"/>
      <c r="AR73" s="122"/>
      <c r="AS73" s="121"/>
    </row>
    <row r="74" spans="2:45" x14ac:dyDescent="0.35">
      <c r="D74" s="72"/>
      <c r="E74" s="72"/>
      <c r="U74" s="126"/>
      <c r="V74" s="126"/>
      <c r="W74" s="126"/>
      <c r="X74" s="126"/>
      <c r="Y74" s="126"/>
      <c r="Z74" s="72"/>
      <c r="AA74" s="122"/>
      <c r="AC74" s="122"/>
      <c r="AD74" s="122"/>
      <c r="AE74" s="122"/>
      <c r="AF74" s="121"/>
      <c r="AH74" s="126"/>
      <c r="AI74" s="126"/>
      <c r="AJ74" s="126"/>
      <c r="AL74" s="126"/>
      <c r="AM74" s="126"/>
      <c r="AN74" s="72"/>
      <c r="AO74" s="122"/>
      <c r="AP74" s="122"/>
      <c r="AQ74" s="122"/>
      <c r="AR74" s="122"/>
      <c r="AS74" s="121"/>
    </row>
    <row r="75" spans="2:45" x14ac:dyDescent="0.35">
      <c r="D75" s="72"/>
      <c r="E75" s="72"/>
      <c r="U75" s="126"/>
      <c r="V75" s="126"/>
      <c r="W75" s="126"/>
      <c r="X75" s="126"/>
      <c r="Y75" s="126"/>
      <c r="Z75" s="72"/>
      <c r="AA75" s="122"/>
      <c r="AC75" s="122"/>
      <c r="AD75" s="122"/>
      <c r="AE75" s="122"/>
      <c r="AF75" s="121"/>
      <c r="AH75" s="126"/>
      <c r="AI75" s="126"/>
      <c r="AJ75" s="126"/>
      <c r="AL75" s="126"/>
      <c r="AM75" s="126"/>
      <c r="AN75" s="72"/>
      <c r="AO75" s="122"/>
      <c r="AP75" s="122"/>
      <c r="AQ75" s="122"/>
      <c r="AR75" s="122"/>
      <c r="AS75" s="121"/>
    </row>
    <row r="76" spans="2:45" x14ac:dyDescent="0.35">
      <c r="C76" s="118"/>
      <c r="D76" s="72"/>
      <c r="E76" s="121"/>
      <c r="T76" s="122"/>
      <c r="U76" s="122"/>
      <c r="V76" s="122"/>
      <c r="W76" s="122"/>
      <c r="X76" s="121"/>
    </row>
  </sheetData>
  <mergeCells count="16">
    <mergeCell ref="X36:AA36"/>
    <mergeCell ref="X1:AA1"/>
    <mergeCell ref="T1:W1"/>
    <mergeCell ref="M1:R1"/>
    <mergeCell ref="G1:L1"/>
    <mergeCell ref="B1:E1"/>
    <mergeCell ref="D36:E36"/>
    <mergeCell ref="G36:L36"/>
    <mergeCell ref="M36:R36"/>
    <mergeCell ref="T36:W36"/>
    <mergeCell ref="AP1:AS1"/>
    <mergeCell ref="AL1:AO1"/>
    <mergeCell ref="AG1:AJ1"/>
    <mergeCell ref="AC1:AF1"/>
    <mergeCell ref="AC36:AF36"/>
    <mergeCell ref="AG36:AJ36"/>
  </mergeCells>
  <conditionalFormatting sqref="B3:B34">
    <cfRule type="cellIs" dxfId="4022" priority="14" operator="equal">
      <formula>"pm"</formula>
    </cfRule>
    <cfRule type="cellIs" dxfId="4021" priority="11" operator="equal">
      <formula>"bye"</formula>
    </cfRule>
    <cfRule type="cellIs" dxfId="4020" priority="12" operator="equal">
      <formula>"snf"</formula>
    </cfRule>
    <cfRule type="cellIs" dxfId="4019" priority="13" operator="equal">
      <formula>"mnf"</formula>
    </cfRule>
    <cfRule type="cellIs" dxfId="4018" priority="15" operator="equal">
      <formula>"am"</formula>
    </cfRule>
    <cfRule type="cellIs" dxfId="4017" priority="16" operator="equal">
      <formula>"tnf"</formula>
    </cfRule>
    <cfRule type="colorScale" priority="17">
      <colorScale>
        <cfvo type="num" val="0"/>
        <cfvo type="num" val="1"/>
        <color rgb="FFF8696B"/>
        <color rgb="FF63BE7B"/>
      </colorScale>
    </cfRule>
  </conditionalFormatting>
  <conditionalFormatting sqref="B38:B69">
    <cfRule type="cellIs" dxfId="4016" priority="2" operator="equal">
      <formula>"bye"</formula>
    </cfRule>
    <cfRule type="cellIs" dxfId="4015" priority="3" operator="equal">
      <formula>"snf"</formula>
    </cfRule>
    <cfRule type="cellIs" dxfId="4014" priority="4" operator="equal">
      <formula>"mnf"</formula>
    </cfRule>
    <cfRule type="cellIs" dxfId="4013" priority="5" operator="equal">
      <formula>"pm"</formula>
    </cfRule>
    <cfRule type="cellIs" dxfId="4012" priority="6" operator="equal">
      <formula>"am"</formula>
    </cfRule>
    <cfRule type="cellIs" dxfId="4011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4010" priority="1" operator="equal">
      <formula>"FRI"</formula>
    </cfRule>
  </conditionalFormatting>
  <conditionalFormatting sqref="C3:C34">
    <cfRule type="cellIs" dxfId="4009" priority="10" operator="equal">
      <formula>"FRI"</formula>
    </cfRule>
    <cfRule type="cellIs" dxfId="4008" priority="35" operator="equal">
      <formula>"bye"</formula>
    </cfRule>
    <cfRule type="cellIs" dxfId="4007" priority="36" operator="equal">
      <formula>"snf"</formula>
    </cfRule>
    <cfRule type="cellIs" dxfId="4006" priority="37" operator="equal">
      <formula>"mnf"</formula>
    </cfRule>
    <cfRule type="cellIs" dxfId="4005" priority="38" operator="equal">
      <formula>"pm"</formula>
    </cfRule>
    <cfRule type="cellIs" dxfId="4004" priority="39" operator="equal">
      <formula>"am"</formula>
    </cfRule>
    <cfRule type="cellIs" dxfId="4003" priority="40" operator="equal">
      <formula>"tnf"</formula>
    </cfRule>
    <cfRule type="colorScale" priority="41">
      <colorScale>
        <cfvo type="num" val="0"/>
        <cfvo type="num" val="1"/>
        <color rgb="FFF8696B"/>
        <color rgb="FF63BE7B"/>
      </colorScale>
    </cfRule>
  </conditionalFormatting>
  <conditionalFormatting sqref="C38:C69 C76">
    <cfRule type="colorScale" priority="82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35 E37:E75">
    <cfRule type="cellIs" dxfId="4002" priority="222" operator="equal">
      <formula>"NYG"</formula>
    </cfRule>
    <cfRule type="cellIs" dxfId="4001" priority="221" operator="equal">
      <formula>"CAR"</formula>
    </cfRule>
    <cfRule type="cellIs" dxfId="4000" priority="220" operator="equal">
      <formula>"DEN"</formula>
    </cfRule>
    <cfRule type="cellIs" dxfId="3999" priority="241" operator="equal">
      <formula>"ARI"</formula>
    </cfRule>
    <cfRule type="cellIs" dxfId="3998" priority="240" operator="equal">
      <formula>"CIN"</formula>
    </cfRule>
    <cfRule type="cellIs" dxfId="3997" priority="239" operator="equal">
      <formula>"DAL"</formula>
    </cfRule>
    <cfRule type="cellIs" dxfId="3996" priority="238" operator="equal">
      <formula>"GB"</formula>
    </cfRule>
    <cfRule type="cellIs" dxfId="3995" priority="219" operator="equal">
      <formula>"PIT"</formula>
    </cfRule>
    <cfRule type="cellIs" dxfId="3994" priority="218" operator="equal">
      <formula>"MIN"</formula>
    </cfRule>
    <cfRule type="cellIs" dxfId="3993" priority="217" operator="equal">
      <formula>"NE"</formula>
    </cfRule>
    <cfRule type="cellIs" dxfId="3992" priority="215" operator="equal">
      <formula>"BYE"</formula>
    </cfRule>
    <cfRule type="cellIs" dxfId="3991" priority="237" operator="equal">
      <formula>"WAS"</formula>
    </cfRule>
    <cfRule type="cellIs" dxfId="3990" priority="216" operator="equal">
      <formula>"LV"</formula>
    </cfRule>
    <cfRule type="cellIs" dxfId="3989" priority="235" operator="equal">
      <formula>"DET"</formula>
    </cfRule>
    <cfRule type="cellIs" dxfId="3988" priority="234" operator="equal">
      <formula>"MIA"</formula>
    </cfRule>
    <cfRule type="cellIs" dxfId="3987" priority="233" operator="equal">
      <formula>"CHI"</formula>
    </cfRule>
    <cfRule type="cellIs" dxfId="3986" priority="232" operator="equal">
      <formula>"JAX"</formula>
    </cfRule>
    <cfRule type="cellIs" dxfId="3985" priority="231" operator="equal">
      <formula>"ATL"</formula>
    </cfRule>
    <cfRule type="cellIs" dxfId="3984" priority="230" operator="equal">
      <formula>"LAR"</formula>
    </cfRule>
    <cfRule type="cellIs" dxfId="3983" priority="247" operator="equal">
      <formula>"BUF"</formula>
    </cfRule>
    <cfRule type="cellIs" dxfId="3982" priority="229" operator="equal">
      <formula>"LAC"</formula>
    </cfRule>
    <cfRule type="cellIs" dxfId="3981" priority="228" operator="equal">
      <formula>"SEA"</formula>
    </cfRule>
    <cfRule type="cellIs" dxfId="3980" priority="227" operator="equal">
      <formula>"NYJ"</formula>
    </cfRule>
    <cfRule type="cellIs" dxfId="3979" priority="226" operator="equal">
      <formula>"CLE"</formula>
    </cfRule>
    <cfRule type="cellIs" dxfId="3978" priority="225" operator="equal">
      <formula>"TB"</formula>
    </cfRule>
    <cfRule type="cellIs" dxfId="3977" priority="224" operator="equal">
      <formula>"TEN"</formula>
    </cfRule>
    <cfRule type="cellIs" dxfId="3976" priority="223" operator="equal">
      <formula>"NO"</formula>
    </cfRule>
    <cfRule type="cellIs" dxfId="3975" priority="236" operator="equal">
      <formula>"SF"</formula>
    </cfRule>
    <cfRule type="cellIs" dxfId="3974" priority="246" operator="equal">
      <formula>"PHI"</formula>
    </cfRule>
    <cfRule type="cellIs" dxfId="3973" priority="245" operator="equal">
      <formula>"BAL"</formula>
    </cfRule>
    <cfRule type="cellIs" dxfId="3972" priority="244" operator="equal">
      <formula>"KC"</formula>
    </cfRule>
    <cfRule type="cellIs" dxfId="3971" priority="243" operator="equal">
      <formula>"IND"</formula>
    </cfRule>
    <cfRule type="cellIs" dxfId="3970" priority="242" operator="equal">
      <formula>"HOU"</formula>
    </cfRule>
  </conditionalFormatting>
  <conditionalFormatting sqref="E38:E69 E76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:G69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L35">
    <cfRule type="colorScale" priority="81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:M35 D3:D76 M38:M69">
    <cfRule type="cellIs" dxfId="3969" priority="339" operator="equal">
      <formula>"ATL"</formula>
    </cfRule>
    <cfRule type="cellIs" dxfId="3968" priority="338" operator="equal">
      <formula>"LAR"</formula>
    </cfRule>
    <cfRule type="cellIs" dxfId="3967" priority="324" operator="equal">
      <formula>"LV"</formula>
    </cfRule>
    <cfRule type="cellIs" dxfId="3966" priority="331" operator="equal">
      <formula>"NO"</formula>
    </cfRule>
    <cfRule type="cellIs" dxfId="3965" priority="337" operator="equal">
      <formula>"LAC"</formula>
    </cfRule>
    <cfRule type="cellIs" dxfId="3964" priority="336" operator="equal">
      <formula>"SEA"</formula>
    </cfRule>
    <cfRule type="cellIs" dxfId="3963" priority="335" operator="equal">
      <formula>"NYJ"</formula>
    </cfRule>
    <cfRule type="cellIs" dxfId="3962" priority="334" operator="equal">
      <formula>"CLE"</formula>
    </cfRule>
    <cfRule type="cellIs" dxfId="3961" priority="333" operator="equal">
      <formula>"TB"</formula>
    </cfRule>
    <cfRule type="cellIs" dxfId="3960" priority="332" operator="equal">
      <formula>"TEN"</formula>
    </cfRule>
    <cfRule type="cellIs" dxfId="3959" priority="330" operator="equal">
      <formula>"NYG"</formula>
    </cfRule>
    <cfRule type="cellIs" dxfId="3958" priority="327" operator="equal">
      <formula>"PIT"</formula>
    </cfRule>
    <cfRule type="cellIs" dxfId="3957" priority="355" operator="equal">
      <formula>"BUF"</formula>
    </cfRule>
    <cfRule type="cellIs" dxfId="3956" priority="329" operator="equal">
      <formula>"CAR"</formula>
    </cfRule>
    <cfRule type="cellIs" dxfId="3955" priority="328" operator="equal">
      <formula>"DEN"</formula>
    </cfRule>
    <cfRule type="cellIs" dxfId="3954" priority="353" operator="equal">
      <formula>"BAL"</formula>
    </cfRule>
    <cfRule type="cellIs" dxfId="3953" priority="326" operator="equal">
      <formula>"MIN"</formula>
    </cfRule>
    <cfRule type="cellIs" dxfId="3952" priority="325" operator="equal">
      <formula>"NE"</formula>
    </cfRule>
    <cfRule type="cellIs" dxfId="3951" priority="352" operator="equal">
      <formula>"KC"</formula>
    </cfRule>
    <cfRule type="cellIs" dxfId="3950" priority="351" operator="equal">
      <formula>"IND"</formula>
    </cfRule>
    <cfRule type="cellIs" dxfId="3949" priority="350" operator="equal">
      <formula>"HOU"</formula>
    </cfRule>
    <cfRule type="cellIs" dxfId="3948" priority="349" operator="equal">
      <formula>"ARI"</formula>
    </cfRule>
    <cfRule type="cellIs" dxfId="3947" priority="348" operator="equal">
      <formula>"CIN"</formula>
    </cfRule>
    <cfRule type="cellIs" dxfId="3946" priority="347" operator="equal">
      <formula>"DAL"</formula>
    </cfRule>
    <cfRule type="cellIs" dxfId="3945" priority="346" operator="equal">
      <formula>"GB"</formula>
    </cfRule>
    <cfRule type="cellIs" dxfId="3944" priority="345" operator="equal">
      <formula>"WAS"</formula>
    </cfRule>
    <cfRule type="cellIs" dxfId="3943" priority="344" operator="equal">
      <formula>"SF"</formula>
    </cfRule>
    <cfRule type="cellIs" dxfId="3942" priority="343" operator="equal">
      <formula>"DET"</formula>
    </cfRule>
    <cfRule type="cellIs" dxfId="3941" priority="354" operator="equal">
      <formula>"PHI"</formula>
    </cfRule>
    <cfRule type="cellIs" dxfId="3940" priority="342" operator="equal">
      <formula>"MIA"</formula>
    </cfRule>
    <cfRule type="cellIs" dxfId="3939" priority="341" operator="equal">
      <formula>"CHI"</formula>
    </cfRule>
    <cfRule type="cellIs" dxfId="3938" priority="340" operator="equal">
      <formula>"JAX"</formula>
    </cfRule>
  </conditionalFormatting>
  <conditionalFormatting sqref="N3:N35">
    <cfRule type="colorScale" priority="81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35">
    <cfRule type="colorScale" priority="8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35">
    <cfRule type="colorScale" priority="82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35">
    <cfRule type="colorScale" priority="8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6:S41 R3:S35">
    <cfRule type="colorScale" priority="8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:T69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W34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38:W69">
    <cfRule type="colorScale" priority="6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35:Y35 U70:Y75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38:X69">
    <cfRule type="cellIs" dxfId="3937" priority="163" operator="equal">
      <formula>"SF"</formula>
    </cfRule>
    <cfRule type="cellIs" dxfId="3936" priority="164" operator="equal">
      <formula>"WAS"</formula>
    </cfRule>
    <cfRule type="cellIs" dxfId="3935" priority="165" operator="equal">
      <formula>"GB"</formula>
    </cfRule>
    <cfRule type="cellIs" dxfId="3934" priority="166" operator="equal">
      <formula>"DAL"</formula>
    </cfRule>
    <cfRule type="cellIs" dxfId="3933" priority="167" operator="equal">
      <formula>"CIN"</formula>
    </cfRule>
    <cfRule type="cellIs" dxfId="3932" priority="168" operator="equal">
      <formula>"ARI"</formula>
    </cfRule>
    <cfRule type="cellIs" dxfId="3931" priority="169" operator="equal">
      <formula>"HOU"</formula>
    </cfRule>
    <cfRule type="cellIs" dxfId="3930" priority="170" operator="equal">
      <formula>"IND"</formula>
    </cfRule>
    <cfRule type="cellIs" dxfId="3929" priority="171" operator="equal">
      <formula>"KC"</formula>
    </cfRule>
    <cfRule type="cellIs" dxfId="3928" priority="172" operator="equal">
      <formula>"BAL"</formula>
    </cfRule>
    <cfRule type="cellIs" dxfId="3927" priority="174" operator="equal">
      <formula>"BUF"</formula>
    </cfRule>
    <cfRule type="cellIs" dxfId="3926" priority="173" operator="equal">
      <formula>"PHI"</formula>
    </cfRule>
    <cfRule type="cellIs" dxfId="3925" priority="143" operator="equal">
      <formula>"LV"</formula>
    </cfRule>
    <cfRule type="cellIs" dxfId="3924" priority="144" operator="equal">
      <formula>"NE"</formula>
    </cfRule>
    <cfRule type="cellIs" dxfId="3923" priority="145" operator="equal">
      <formula>"MIN"</formula>
    </cfRule>
    <cfRule type="cellIs" dxfId="3922" priority="146" operator="equal">
      <formula>"PIT"</formula>
    </cfRule>
    <cfRule type="cellIs" dxfId="3921" priority="147" operator="equal">
      <formula>"DEN"</formula>
    </cfRule>
    <cfRule type="cellIs" dxfId="3920" priority="148" operator="equal">
      <formula>"CAR"</formula>
    </cfRule>
    <cfRule type="cellIs" dxfId="3919" priority="149" operator="equal">
      <formula>"NYG"</formula>
    </cfRule>
    <cfRule type="cellIs" dxfId="3918" priority="150" operator="equal">
      <formula>"NO"</formula>
    </cfRule>
    <cfRule type="cellIs" dxfId="3917" priority="151" operator="equal">
      <formula>"TEN"</formula>
    </cfRule>
    <cfRule type="cellIs" dxfId="3916" priority="152" operator="equal">
      <formula>"TB"</formula>
    </cfRule>
    <cfRule type="cellIs" dxfId="3915" priority="153" operator="equal">
      <formula>"CLE"</formula>
    </cfRule>
    <cfRule type="cellIs" dxfId="3914" priority="154" operator="equal">
      <formula>"NYJ"</formula>
    </cfRule>
    <cfRule type="cellIs" dxfId="3913" priority="155" operator="equal">
      <formula>"SEA"</formula>
    </cfRule>
    <cfRule type="cellIs" dxfId="3912" priority="156" operator="equal">
      <formula>"LAC"</formula>
    </cfRule>
    <cfRule type="cellIs" dxfId="3911" priority="157" operator="equal">
      <formula>"LAR"</formula>
    </cfRule>
    <cfRule type="cellIs" dxfId="3910" priority="158" operator="equal">
      <formula>"ATL"</formula>
    </cfRule>
    <cfRule type="cellIs" dxfId="3909" priority="159" operator="equal">
      <formula>"JAX"</formula>
    </cfRule>
    <cfRule type="cellIs" dxfId="3908" priority="160" operator="equal">
      <formula>"CHI"</formula>
    </cfRule>
    <cfRule type="cellIs" dxfId="3907" priority="161" operator="equal">
      <formula>"MIA"</formula>
    </cfRule>
    <cfRule type="cellIs" dxfId="3906" priority="162" operator="equal">
      <formula>"DET"</formula>
    </cfRule>
  </conditionalFormatting>
  <conditionalFormatting sqref="Y3:Y34"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8:Y69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34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5:Z75 X3:X34 AN35 S42 AN70:AN75">
    <cfRule type="cellIs" dxfId="3905" priority="290" operator="equal">
      <formula>"PHI"</formula>
    </cfRule>
    <cfRule type="cellIs" dxfId="3904" priority="281" operator="equal">
      <formula>"WAS"</formula>
    </cfRule>
    <cfRule type="cellIs" dxfId="3903" priority="282" operator="equal">
      <formula>"GB"</formula>
    </cfRule>
    <cfRule type="cellIs" dxfId="3902" priority="283" operator="equal">
      <formula>"DAL"</formula>
    </cfRule>
    <cfRule type="cellIs" dxfId="3901" priority="269" operator="equal">
      <formula>"TB"</formula>
    </cfRule>
    <cfRule type="cellIs" dxfId="3900" priority="284" operator="equal">
      <formula>"CIN"</formula>
    </cfRule>
    <cfRule type="cellIs" dxfId="3899" priority="285" operator="equal">
      <formula>"ARI"</formula>
    </cfRule>
    <cfRule type="cellIs" dxfId="3898" priority="287" operator="equal">
      <formula>"IND"</formula>
    </cfRule>
    <cfRule type="cellIs" dxfId="3897" priority="288" operator="equal">
      <formula>"KC"</formula>
    </cfRule>
    <cfRule type="cellIs" dxfId="3896" priority="291" operator="equal">
      <formula>"BUF"</formula>
    </cfRule>
    <cfRule type="cellIs" dxfId="3895" priority="260" operator="equal">
      <formula>"LV"</formula>
    </cfRule>
    <cfRule type="cellIs" dxfId="3894" priority="261" operator="equal">
      <formula>"NE"</formula>
    </cfRule>
    <cfRule type="cellIs" dxfId="3893" priority="262" operator="equal">
      <formula>"MIN"</formula>
    </cfRule>
    <cfRule type="cellIs" dxfId="3892" priority="263" operator="equal">
      <formula>"PIT"</formula>
    </cfRule>
    <cfRule type="cellIs" dxfId="3891" priority="264" operator="equal">
      <formula>"DEN"</formula>
    </cfRule>
    <cfRule type="cellIs" dxfId="3890" priority="265" operator="equal">
      <formula>"CAR"</formula>
    </cfRule>
    <cfRule type="cellIs" dxfId="3889" priority="266" operator="equal">
      <formula>"NYG"</formula>
    </cfRule>
    <cfRule type="cellIs" dxfId="3888" priority="289" operator="equal">
      <formula>"BAL"</formula>
    </cfRule>
    <cfRule type="cellIs" dxfId="3887" priority="267" operator="equal">
      <formula>"NO"</formula>
    </cfRule>
    <cfRule type="cellIs" dxfId="3886" priority="268" operator="equal">
      <formula>"TEN"</formula>
    </cfRule>
    <cfRule type="cellIs" dxfId="3885" priority="286" operator="equal">
      <formula>"HOU"</formula>
    </cfRule>
    <cfRule type="cellIs" dxfId="3884" priority="270" operator="equal">
      <formula>"CLE"</formula>
    </cfRule>
    <cfRule type="cellIs" dxfId="3883" priority="271" operator="equal">
      <formula>"NYJ"</formula>
    </cfRule>
    <cfRule type="cellIs" dxfId="3882" priority="272" operator="equal">
      <formula>"SEA"</formula>
    </cfRule>
    <cfRule type="cellIs" dxfId="3881" priority="273" operator="equal">
      <formula>"LAC"</formula>
    </cfRule>
    <cfRule type="cellIs" dxfId="3880" priority="274" operator="equal">
      <formula>"LAR"</formula>
    </cfRule>
    <cfRule type="cellIs" dxfId="3879" priority="275" operator="equal">
      <formula>"ATL"</formula>
    </cfRule>
    <cfRule type="cellIs" dxfId="3878" priority="276" operator="equal">
      <formula>"JAX"</formula>
    </cfRule>
    <cfRule type="cellIs" dxfId="3877" priority="277" operator="equal">
      <formula>"CHI"</formula>
    </cfRule>
    <cfRule type="cellIs" dxfId="3876" priority="278" operator="equal">
      <formula>"MIA"</formula>
    </cfRule>
    <cfRule type="cellIs" dxfId="3875" priority="279" operator="equal">
      <formula>"DET"</formula>
    </cfRule>
    <cfRule type="cellIs" dxfId="3874" priority="280" operator="equal">
      <formula>"SF"</formula>
    </cfRule>
  </conditionalFormatting>
  <conditionalFormatting sqref="Z38:Z69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34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8:AA69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0:AA75 T76 AA35">
    <cfRule type="colorScale" priority="8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3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:AC6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70:AC75 U76 AC35">
    <cfRule type="colorScale" priority="8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70:AD75 V76 AD35">
    <cfRule type="colorScale" priority="8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F34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38:AF69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70:AE75 W76 AE35">
    <cfRule type="colorScale" priority="8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70:AF75 X76 AF35">
    <cfRule type="colorScale" priority="8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34">
    <cfRule type="cellIs" dxfId="3873" priority="201" operator="equal">
      <formula>"DAL"</formula>
    </cfRule>
    <cfRule type="cellIs" dxfId="3872" priority="178" operator="equal">
      <formula>"LV"</formula>
    </cfRule>
    <cfRule type="cellIs" dxfId="3871" priority="181" operator="equal">
      <formula>"PIT"</formula>
    </cfRule>
    <cfRule type="cellIs" dxfId="3870" priority="209" operator="equal">
      <formula>"BUF"</formula>
    </cfRule>
    <cfRule type="cellIs" dxfId="3869" priority="208" operator="equal">
      <formula>"PHI"</formula>
    </cfRule>
    <cfRule type="cellIs" dxfId="3868" priority="207" operator="equal">
      <formula>"BAL"</formula>
    </cfRule>
    <cfRule type="cellIs" dxfId="3867" priority="206" operator="equal">
      <formula>"KC"</formula>
    </cfRule>
    <cfRule type="cellIs" dxfId="3866" priority="205" operator="equal">
      <formula>"IND"</formula>
    </cfRule>
    <cfRule type="cellIs" dxfId="3865" priority="204" operator="equal">
      <formula>"HOU"</formula>
    </cfRule>
    <cfRule type="cellIs" dxfId="3864" priority="203" operator="equal">
      <formula>"ARI"</formula>
    </cfRule>
    <cfRule type="cellIs" dxfId="3863" priority="202" operator="equal">
      <formula>"CIN"</formula>
    </cfRule>
    <cfRule type="cellIs" dxfId="3862" priority="200" operator="equal">
      <formula>"GB"</formula>
    </cfRule>
    <cfRule type="cellIs" dxfId="3861" priority="199" operator="equal">
      <formula>"WAS"</formula>
    </cfRule>
    <cfRule type="cellIs" dxfId="3860" priority="198" operator="equal">
      <formula>"SF"</formula>
    </cfRule>
    <cfRule type="cellIs" dxfId="3859" priority="197" operator="equal">
      <formula>"DET"</formula>
    </cfRule>
    <cfRule type="cellIs" dxfId="3858" priority="196" operator="equal">
      <formula>"MIA"</formula>
    </cfRule>
    <cfRule type="cellIs" dxfId="3857" priority="195" operator="equal">
      <formula>"CHI"</formula>
    </cfRule>
    <cfRule type="cellIs" dxfId="3856" priority="194" operator="equal">
      <formula>"JAX"</formula>
    </cfRule>
    <cfRule type="cellIs" dxfId="3855" priority="193" operator="equal">
      <formula>"ATL"</formula>
    </cfRule>
    <cfRule type="cellIs" dxfId="3854" priority="192" operator="equal">
      <formula>"LAR"</formula>
    </cfRule>
    <cfRule type="cellIs" dxfId="3853" priority="191" operator="equal">
      <formula>"LAC"</formula>
    </cfRule>
    <cfRule type="cellIs" dxfId="3852" priority="190" operator="equal">
      <formula>"SEA"</formula>
    </cfRule>
    <cfRule type="cellIs" dxfId="3851" priority="189" operator="equal">
      <formula>"NYJ"</formula>
    </cfRule>
    <cfRule type="cellIs" dxfId="3850" priority="188" operator="equal">
      <formula>"CLE"</formula>
    </cfRule>
    <cfRule type="cellIs" dxfId="3849" priority="187" operator="equal">
      <formula>"TB"</formula>
    </cfRule>
    <cfRule type="cellIs" dxfId="3848" priority="186" operator="equal">
      <formula>"TEN"</formula>
    </cfRule>
    <cfRule type="cellIs" dxfId="3847" priority="185" operator="equal">
      <formula>"NO"</formula>
    </cfRule>
    <cfRule type="cellIs" dxfId="3846" priority="184" operator="equal">
      <formula>"NYG"</formula>
    </cfRule>
    <cfRule type="cellIs" dxfId="3845" priority="183" operator="equal">
      <formula>"CAR"</formula>
    </cfRule>
    <cfRule type="cellIs" dxfId="3844" priority="182" operator="equal">
      <formula>"DEN"</formula>
    </cfRule>
    <cfRule type="cellIs" dxfId="3843" priority="180" operator="equal">
      <formula>"MIN"</formula>
    </cfRule>
    <cfRule type="cellIs" dxfId="3842" priority="179" operator="equal">
      <formula>"NE"</formula>
    </cfRule>
  </conditionalFormatting>
  <conditionalFormatting sqref="AG38:AG69">
    <cfRule type="cellIs" dxfId="3841" priority="120" operator="equal">
      <formula>"SEA"</formula>
    </cfRule>
    <cfRule type="cellIs" dxfId="3840" priority="138" operator="equal">
      <formula>"PHI"</formula>
    </cfRule>
    <cfRule type="cellIs" dxfId="3839" priority="133" operator="equal">
      <formula>"ARI"</formula>
    </cfRule>
    <cfRule type="cellIs" dxfId="3838" priority="108" operator="equal">
      <formula>"LV"</formula>
    </cfRule>
    <cfRule type="cellIs" dxfId="3837" priority="109" operator="equal">
      <formula>"NE"</formula>
    </cfRule>
    <cfRule type="cellIs" dxfId="3836" priority="110" operator="equal">
      <formula>"MIN"</formula>
    </cfRule>
    <cfRule type="cellIs" dxfId="3835" priority="134" operator="equal">
      <formula>"HOU"</formula>
    </cfRule>
    <cfRule type="cellIs" dxfId="3834" priority="111" operator="equal">
      <formula>"PIT"</formula>
    </cfRule>
    <cfRule type="cellIs" dxfId="3833" priority="112" operator="equal">
      <formula>"DEN"</formula>
    </cfRule>
    <cfRule type="cellIs" dxfId="3832" priority="136" operator="equal">
      <formula>"KC"</formula>
    </cfRule>
    <cfRule type="cellIs" dxfId="3831" priority="130" operator="equal">
      <formula>"GB"</formula>
    </cfRule>
    <cfRule type="cellIs" dxfId="3830" priority="135" operator="equal">
      <formula>"IND"</formula>
    </cfRule>
    <cfRule type="cellIs" dxfId="3829" priority="113" operator="equal">
      <formula>"CAR"</formula>
    </cfRule>
    <cfRule type="cellIs" dxfId="3828" priority="114" operator="equal">
      <formula>"NYG"</formula>
    </cfRule>
    <cfRule type="cellIs" dxfId="3827" priority="115" operator="equal">
      <formula>"NO"</formula>
    </cfRule>
    <cfRule type="cellIs" dxfId="3826" priority="116" operator="equal">
      <formula>"TEN"</formula>
    </cfRule>
    <cfRule type="cellIs" dxfId="3825" priority="117" operator="equal">
      <formula>"TB"</formula>
    </cfRule>
    <cfRule type="cellIs" dxfId="3824" priority="118" operator="equal">
      <formula>"CLE"</formula>
    </cfRule>
    <cfRule type="cellIs" dxfId="3823" priority="119" operator="equal">
      <formula>"NYJ"</formula>
    </cfRule>
    <cfRule type="cellIs" dxfId="3822" priority="137" operator="equal">
      <formula>"BAL"</formula>
    </cfRule>
    <cfRule type="cellIs" dxfId="3821" priority="121" operator="equal">
      <formula>"LAC"</formula>
    </cfRule>
    <cfRule type="cellIs" dxfId="3820" priority="122" operator="equal">
      <formula>"LAR"</formula>
    </cfRule>
    <cfRule type="cellIs" dxfId="3819" priority="123" operator="equal">
      <formula>"ATL"</formula>
    </cfRule>
    <cfRule type="cellIs" dxfId="3818" priority="124" operator="equal">
      <formula>"JAX"</formula>
    </cfRule>
    <cfRule type="cellIs" dxfId="3817" priority="125" operator="equal">
      <formula>"CHI"</formula>
    </cfRule>
    <cfRule type="cellIs" dxfId="3816" priority="126" operator="equal">
      <formula>"MIA"</formula>
    </cfRule>
    <cfRule type="cellIs" dxfId="3815" priority="127" operator="equal">
      <formula>"DET"</formula>
    </cfRule>
    <cfRule type="cellIs" dxfId="3814" priority="128" operator="equal">
      <formula>"SF"</formula>
    </cfRule>
    <cfRule type="cellIs" dxfId="3813" priority="129" operator="equal">
      <formula>"WAS"</formula>
    </cfRule>
    <cfRule type="cellIs" dxfId="3812" priority="131" operator="equal">
      <formula>"DAL"</formula>
    </cfRule>
    <cfRule type="cellIs" dxfId="3811" priority="139" operator="equal">
      <formula>"BUF"</formula>
    </cfRule>
    <cfRule type="cellIs" dxfId="3810" priority="132" operator="equal">
      <formula>"CIN"</formula>
    </cfRule>
  </conditionalFormatting>
  <conditionalFormatting sqref="AH3:AH34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38:AH69"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35:AJ35 H38:L69 AH70:AJ75 AL70:AM75 AL35:AM35">
    <cfRule type="colorScale" priority="3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3:AI34"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38:AI69"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3:AJ3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8:AJ69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L3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:AO34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O70:AO75 AO35 N38:N69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3:AP34">
    <cfRule type="cellIs" dxfId="3809" priority="298" operator="equal">
      <formula>"NYG"</formula>
    </cfRule>
    <cfRule type="cellIs" dxfId="3808" priority="292" operator="equal">
      <formula>"LV"</formula>
    </cfRule>
    <cfRule type="cellIs" dxfId="3807" priority="294" operator="equal">
      <formula>"MIN"</formula>
    </cfRule>
    <cfRule type="cellIs" dxfId="3806" priority="323" operator="equal">
      <formula>"BUF"</formula>
    </cfRule>
    <cfRule type="cellIs" dxfId="3805" priority="322" operator="equal">
      <formula>"PHI"</formula>
    </cfRule>
    <cfRule type="cellIs" dxfId="3804" priority="321" operator="equal">
      <formula>"BAL"</formula>
    </cfRule>
    <cfRule type="cellIs" dxfId="3803" priority="320" operator="equal">
      <formula>"KC"</formula>
    </cfRule>
    <cfRule type="cellIs" dxfId="3802" priority="319" operator="equal">
      <formula>"IND"</formula>
    </cfRule>
    <cfRule type="cellIs" dxfId="3801" priority="317" operator="equal">
      <formula>"ARI"</formula>
    </cfRule>
    <cfRule type="cellIs" dxfId="3800" priority="318" operator="equal">
      <formula>"HOU"</formula>
    </cfRule>
    <cfRule type="cellIs" dxfId="3799" priority="316" operator="equal">
      <formula>"CIN"</formula>
    </cfRule>
    <cfRule type="cellIs" dxfId="3798" priority="315" operator="equal">
      <formula>"DAL"</formula>
    </cfRule>
    <cfRule type="cellIs" dxfId="3797" priority="314" operator="equal">
      <formula>"GB"</formula>
    </cfRule>
    <cfRule type="cellIs" dxfId="3796" priority="313" operator="equal">
      <formula>"WAS"</formula>
    </cfRule>
    <cfRule type="cellIs" dxfId="3795" priority="312" operator="equal">
      <formula>"SF"</formula>
    </cfRule>
    <cfRule type="cellIs" dxfId="3794" priority="311" operator="equal">
      <formula>"DET"</formula>
    </cfRule>
    <cfRule type="cellIs" dxfId="3793" priority="310" operator="equal">
      <formula>"MIA"</formula>
    </cfRule>
    <cfRule type="cellIs" dxfId="3792" priority="309" operator="equal">
      <formula>"CHI"</formula>
    </cfRule>
    <cfRule type="cellIs" dxfId="3791" priority="307" operator="equal">
      <formula>"ATL"</formula>
    </cfRule>
    <cfRule type="cellIs" dxfId="3790" priority="306" operator="equal">
      <formula>"LAR"</formula>
    </cfRule>
    <cfRule type="cellIs" dxfId="3789" priority="305" operator="equal">
      <formula>"LAC"</formula>
    </cfRule>
    <cfRule type="cellIs" dxfId="3788" priority="304" operator="equal">
      <formula>"SEA"</formula>
    </cfRule>
    <cfRule type="cellIs" dxfId="3787" priority="303" operator="equal">
      <formula>"NYJ"</formula>
    </cfRule>
    <cfRule type="cellIs" dxfId="3786" priority="302" operator="equal">
      <formula>"CLE"</formula>
    </cfRule>
    <cfRule type="cellIs" dxfId="3785" priority="301" operator="equal">
      <formula>"TB"</formula>
    </cfRule>
    <cfRule type="cellIs" dxfId="3784" priority="300" operator="equal">
      <formula>"TEN"</formula>
    </cfRule>
    <cfRule type="cellIs" dxfId="3783" priority="299" operator="equal">
      <formula>"NO"</formula>
    </cfRule>
    <cfRule type="cellIs" dxfId="3782" priority="297" operator="equal">
      <formula>"CAR"</formula>
    </cfRule>
    <cfRule type="cellIs" dxfId="3781" priority="308" operator="equal">
      <formula>"JAX"</formula>
    </cfRule>
    <cfRule type="cellIs" dxfId="3780" priority="296" operator="equal">
      <formula>"DEN"</formula>
    </cfRule>
    <cfRule type="cellIs" dxfId="3779" priority="295" operator="equal">
      <formula>"PIT"</formula>
    </cfRule>
    <cfRule type="cellIs" dxfId="3778" priority="293" operator="equal">
      <formula>"NE"</formula>
    </cfRule>
  </conditionalFormatting>
  <conditionalFormatting sqref="AP70:AP75 AP35 O38:O69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3:AQ34"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70:AQ75 AQ35 P38:P69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3:AR34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70:AR75 AR35 Q38:Q69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3:AS34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0:AS75 AS35 R38:R6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" right="0" top="0.25" bottom="0.25" header="0.05" footer="0.05"/>
  <pageSetup paperSize="3" scale="76" orientation="landscape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B45ECAA1-0715-4319-BAF2-763C33EFBF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B3:B34</xm:sqref>
        </x14:conditionalFormatting>
        <x14:conditionalFormatting xmlns:xm="http://schemas.microsoft.com/office/excel/2006/main">
          <x14:cfRule type="iconSet" priority="9" id="{9125E060-4639-494D-9519-3085693B87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B38:B69</xm:sqref>
        </x14:conditionalFormatting>
        <x14:conditionalFormatting xmlns:xm="http://schemas.microsoft.com/office/excel/2006/main">
          <x14:cfRule type="iconSet" priority="42" id="{B2AC5D14-670C-4492-AFBF-9822E89EB0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C3:C34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DC13-28E8-4A6D-8BD9-8365E61550F0}">
  <sheetPr>
    <tabColor theme="4" tint="0.79998168889431442"/>
    <pageSetUpPr fitToPage="1"/>
  </sheetPr>
  <dimension ref="B1:BH110"/>
  <sheetViews>
    <sheetView tabSelected="1" zoomScaleNormal="100" workbookViewId="0">
      <selection activeCell="BH40" sqref="BH40"/>
    </sheetView>
  </sheetViews>
  <sheetFormatPr defaultRowHeight="14.5" x14ac:dyDescent="0.35"/>
  <cols>
    <col min="1" max="1" width="1.6328125" customWidth="1"/>
    <col min="2" max="3" width="9.1796875" bestFit="1" customWidth="1"/>
    <col min="4" max="4" width="9.453125" bestFit="1" customWidth="1"/>
    <col min="5" max="5" width="8.54296875" bestFit="1" customWidth="1"/>
    <col min="6" max="6" width="1.6328125" customWidth="1"/>
    <col min="7" max="8" width="2.81640625" bestFit="1" customWidth="1"/>
    <col min="9" max="9" width="3.90625" bestFit="1" customWidth="1"/>
    <col min="10" max="10" width="3.7265625" bestFit="1" customWidth="1"/>
    <col min="11" max="11" width="4.1796875" bestFit="1" customWidth="1"/>
    <col min="12" max="12" width="2.81640625" bestFit="1" customWidth="1"/>
    <col min="13" max="13" width="8.36328125" bestFit="1" customWidth="1"/>
    <col min="14" max="14" width="6.36328125" bestFit="1" customWidth="1"/>
    <col min="15" max="15" width="8.453125" bestFit="1" customWidth="1"/>
    <col min="16" max="16" width="8.26953125" bestFit="1" customWidth="1"/>
    <col min="17" max="17" width="8.7265625" bestFit="1" customWidth="1"/>
    <col min="18" max="18" width="7.36328125" bestFit="1" customWidth="1"/>
    <col min="19" max="19" width="1.6328125" customWidth="1"/>
    <col min="20" max="21" width="2.81640625" bestFit="1" customWidth="1"/>
    <col min="22" max="22" width="3.90625" bestFit="1" customWidth="1"/>
    <col min="23" max="23" width="2.81640625" bestFit="1" customWidth="1"/>
    <col min="24" max="24" width="3.7265625" bestFit="1" customWidth="1"/>
    <col min="25" max="25" width="2.81640625" bestFit="1" customWidth="1"/>
    <col min="26" max="26" width="8.36328125" bestFit="1" customWidth="1"/>
    <col min="27" max="27" width="6.36328125" bestFit="1" customWidth="1"/>
    <col min="28" max="28" width="8.453125" bestFit="1" customWidth="1"/>
    <col min="29" max="29" width="6.36328125" bestFit="1" customWidth="1"/>
    <col min="30" max="30" width="8.26953125" bestFit="1" customWidth="1"/>
    <col min="31" max="31" width="7.36328125" bestFit="1" customWidth="1"/>
    <col min="32" max="32" width="1.6328125" customWidth="1"/>
    <col min="33" max="33" width="2.81640625" bestFit="1" customWidth="1"/>
    <col min="34" max="34" width="3.90625" bestFit="1" customWidth="1"/>
    <col min="35" max="36" width="2.81640625" bestFit="1" customWidth="1"/>
    <col min="37" max="37" width="8.36328125" bestFit="1" customWidth="1"/>
    <col min="38" max="38" width="8.453125" bestFit="1" customWidth="1"/>
    <col min="39" max="39" width="6.36328125" bestFit="1" customWidth="1"/>
    <col min="40" max="40" width="7.36328125" bestFit="1" customWidth="1"/>
    <col min="41" max="41" width="1.6328125" customWidth="1"/>
    <col min="42" max="42" width="2.81640625" bestFit="1" customWidth="1"/>
    <col min="43" max="43" width="3.90625" bestFit="1" customWidth="1"/>
    <col min="44" max="45" width="2.81640625" bestFit="1" customWidth="1"/>
    <col min="46" max="46" width="8.36328125" bestFit="1" customWidth="1"/>
    <col min="47" max="47" width="8.453125" bestFit="1" customWidth="1"/>
    <col min="48" max="48" width="6.36328125" bestFit="1" customWidth="1"/>
    <col min="49" max="49" width="7.36328125" bestFit="1" customWidth="1"/>
    <col min="50" max="50" width="1.6328125" customWidth="1"/>
    <col min="51" max="51" width="2.81640625" bestFit="1" customWidth="1"/>
    <col min="52" max="52" width="3.90625" bestFit="1" customWidth="1"/>
    <col min="53" max="54" width="2.81640625" bestFit="1" customWidth="1"/>
    <col min="55" max="55" width="8.36328125" bestFit="1" customWidth="1"/>
    <col min="56" max="56" width="8.453125" bestFit="1" customWidth="1"/>
    <col min="57" max="57" width="6.36328125" bestFit="1" customWidth="1"/>
    <col min="58" max="58" width="7.36328125" bestFit="1" customWidth="1"/>
  </cols>
  <sheetData>
    <row r="1" spans="2:58" ht="17.5" customHeight="1" thickBot="1" x14ac:dyDescent="0.45">
      <c r="B1" s="199">
        <v>2025</v>
      </c>
      <c r="C1" s="199"/>
      <c r="D1" s="199"/>
      <c r="E1" s="221"/>
      <c r="G1" s="212" t="s">
        <v>684</v>
      </c>
      <c r="H1" s="212"/>
      <c r="I1" s="212"/>
      <c r="J1" s="212"/>
      <c r="K1" s="212"/>
      <c r="L1" s="213"/>
      <c r="M1" s="218" t="s">
        <v>102</v>
      </c>
      <c r="N1" s="219"/>
      <c r="O1" s="219"/>
      <c r="P1" s="219"/>
      <c r="Q1" s="219"/>
      <c r="R1" s="219"/>
      <c r="S1" s="127"/>
      <c r="T1" s="212" t="s">
        <v>684</v>
      </c>
      <c r="U1" s="212"/>
      <c r="V1" s="212"/>
      <c r="W1" s="212"/>
      <c r="X1" s="212"/>
      <c r="Y1" s="213"/>
      <c r="Z1" s="214" t="s">
        <v>685</v>
      </c>
      <c r="AA1" s="215"/>
      <c r="AB1" s="215"/>
      <c r="AC1" s="215"/>
      <c r="AD1" s="215"/>
      <c r="AE1" s="216"/>
      <c r="AG1" s="205" t="s">
        <v>684</v>
      </c>
      <c r="AH1" s="205"/>
      <c r="AI1" s="205"/>
      <c r="AJ1" s="206"/>
      <c r="AK1" s="207" t="s">
        <v>678</v>
      </c>
      <c r="AL1" s="208"/>
      <c r="AM1" s="208"/>
      <c r="AN1" s="209"/>
      <c r="AP1" s="205" t="s">
        <v>684</v>
      </c>
      <c r="AQ1" s="205"/>
      <c r="AR1" s="205"/>
      <c r="AS1" s="206"/>
      <c r="AT1" s="207" t="s">
        <v>679</v>
      </c>
      <c r="AU1" s="208"/>
      <c r="AV1" s="208"/>
      <c r="AW1" s="209"/>
      <c r="AY1" s="205" t="s">
        <v>684</v>
      </c>
      <c r="AZ1" s="205"/>
      <c r="BA1" s="205"/>
      <c r="BB1" s="206"/>
      <c r="BC1" s="202" t="s">
        <v>681</v>
      </c>
      <c r="BD1" s="203"/>
      <c r="BE1" s="203"/>
      <c r="BF1" s="204"/>
    </row>
    <row r="2" spans="2:58" s="129" customFormat="1" ht="14.5" customHeight="1" x14ac:dyDescent="0.3">
      <c r="B2" s="141" t="s">
        <v>686</v>
      </c>
      <c r="C2" s="156" t="s">
        <v>739</v>
      </c>
      <c r="D2" s="68" t="s">
        <v>58</v>
      </c>
      <c r="E2" s="136" t="s">
        <v>106</v>
      </c>
      <c r="G2" s="130" t="s">
        <v>649</v>
      </c>
      <c r="H2" s="130" t="s">
        <v>73</v>
      </c>
      <c r="I2" s="130" t="s">
        <v>74</v>
      </c>
      <c r="J2" s="130" t="s">
        <v>96</v>
      </c>
      <c r="K2" s="130" t="s">
        <v>19</v>
      </c>
      <c r="L2" s="130" t="s">
        <v>72</v>
      </c>
      <c r="M2" s="61" t="s">
        <v>105</v>
      </c>
      <c r="N2" s="137" t="s">
        <v>73</v>
      </c>
      <c r="O2" s="137" t="s">
        <v>74</v>
      </c>
      <c r="P2" s="137" t="s">
        <v>96</v>
      </c>
      <c r="Q2" s="137" t="s">
        <v>19</v>
      </c>
      <c r="R2" s="138" t="s">
        <v>72</v>
      </c>
      <c r="S2" s="132"/>
      <c r="T2" s="130" t="s">
        <v>649</v>
      </c>
      <c r="U2" s="139" t="s">
        <v>74</v>
      </c>
      <c r="V2" s="130" t="s">
        <v>98</v>
      </c>
      <c r="W2" s="130" t="s">
        <v>104</v>
      </c>
      <c r="X2" s="130" t="s">
        <v>95</v>
      </c>
      <c r="Y2" s="130" t="s">
        <v>72</v>
      </c>
      <c r="Z2" s="140" t="s">
        <v>105</v>
      </c>
      <c r="AA2" s="140" t="s">
        <v>74</v>
      </c>
      <c r="AB2" s="140" t="s">
        <v>98</v>
      </c>
      <c r="AC2" s="140" t="s">
        <v>104</v>
      </c>
      <c r="AD2" s="140" t="s">
        <v>95</v>
      </c>
      <c r="AE2" s="140" t="s">
        <v>72</v>
      </c>
      <c r="AG2" s="130" t="s">
        <v>649</v>
      </c>
      <c r="AH2" s="133" t="s">
        <v>98</v>
      </c>
      <c r="AI2" s="133" t="s">
        <v>104</v>
      </c>
      <c r="AJ2" s="133" t="s">
        <v>72</v>
      </c>
      <c r="AK2" s="61" t="s">
        <v>105</v>
      </c>
      <c r="AL2" s="134" t="s">
        <v>98</v>
      </c>
      <c r="AM2" s="134" t="s">
        <v>104</v>
      </c>
      <c r="AN2" s="134" t="s">
        <v>72</v>
      </c>
      <c r="AP2" s="130" t="s">
        <v>649</v>
      </c>
      <c r="AQ2" s="133" t="s">
        <v>98</v>
      </c>
      <c r="AR2" s="133" t="s">
        <v>104</v>
      </c>
      <c r="AS2" s="133" t="s">
        <v>72</v>
      </c>
      <c r="AT2" s="61" t="s">
        <v>105</v>
      </c>
      <c r="AU2" s="134" t="s">
        <v>98</v>
      </c>
      <c r="AV2" s="134" t="s">
        <v>104</v>
      </c>
      <c r="AW2" s="134" t="s">
        <v>72</v>
      </c>
      <c r="AY2" s="130" t="s">
        <v>649</v>
      </c>
      <c r="AZ2" s="133" t="s">
        <v>98</v>
      </c>
      <c r="BA2" s="133" t="s">
        <v>104</v>
      </c>
      <c r="BB2" s="133" t="s">
        <v>72</v>
      </c>
      <c r="BC2" s="61" t="s">
        <v>105</v>
      </c>
      <c r="BD2" s="135" t="s">
        <v>98</v>
      </c>
      <c r="BE2" s="135" t="s">
        <v>104</v>
      </c>
      <c r="BF2" s="135" t="s">
        <v>72</v>
      </c>
    </row>
    <row r="3" spans="2:58" ht="14.5" customHeight="1" x14ac:dyDescent="0.35">
      <c r="B3" s="24">
        <v>1</v>
      </c>
      <c r="C3" s="155" t="str">
        <f>Table82[[#This Row],[Slate]]</f>
        <v>n/a</v>
      </c>
      <c r="D3" s="21" t="s">
        <v>0</v>
      </c>
      <c r="E3" s="23" t="str">
        <f>Table4334[[#This Row],[OPP]]</f>
        <v>n/a</v>
      </c>
      <c r="G3" s="119">
        <f>AVERAGE(H3:L3)</f>
        <v>16.8</v>
      </c>
      <c r="H3" s="119" cm="1">
        <f t="array" ref="H3:H34">_xlfn.RANK.AVG(Table1[P],Table1[P])</f>
        <v>9</v>
      </c>
      <c r="I3" s="119" cm="1">
        <f t="array" ref="I3:I34">_xlfn.RANK.AVG(Table1[R],Table1[R])</f>
        <v>32</v>
      </c>
      <c r="J3" s="119">
        <f>_xlfn.RANK.AVG(Table1[[#This Row],[P+R]],Table1[P+R])</f>
        <v>12</v>
      </c>
      <c r="K3" s="119" cm="1">
        <f t="array" ref="K3:K34">_xlfn.RANK.AVG(Table1[P TD],Table1[P TD])</f>
        <v>8</v>
      </c>
      <c r="L3" s="119" cm="1">
        <f t="array" ref="L3:L34">_xlfn.RANK.AVG(Table1[TD],Table1[TD])</f>
        <v>23</v>
      </c>
      <c r="M3" s="21" t="s">
        <v>0</v>
      </c>
      <c r="N3" s="89">
        <f>Table2121418198598100[[#Totals],[QB PY]]</f>
        <v>242.8235294117647</v>
      </c>
      <c r="O3" s="89">
        <f>Table2121418198598100[[#Totals],[QB RY]]</f>
        <v>10.058823529411764</v>
      </c>
      <c r="P3" s="89">
        <f>Table1[[#This Row],[P]]+Table1[[#This Row],[R]]</f>
        <v>252.88235294117646</v>
      </c>
      <c r="Q3" s="22">
        <f>Table2121418198598100[[#Totals],[P TD]]</f>
        <v>1.8235294117647058</v>
      </c>
      <c r="R3" s="22">
        <f>Table2121418198598100[[#Totals],[QB TD]]</f>
        <v>0.11764705882352941</v>
      </c>
      <c r="S3" s="121"/>
      <c r="T3" s="119">
        <f>AVERAGE(U3:Y3)</f>
        <v>6.4</v>
      </c>
      <c r="U3" s="119" cm="1">
        <f t="array" ref="U3:U34">_xlfn.RANK.AVG(Table20[R],Table20[R])</f>
        <v>4</v>
      </c>
      <c r="V3" s="119" cm="1">
        <f t="array" ref="V3:V34">_xlfn.RANK.AVG(Table20[REC],Table20[REC])</f>
        <v>15</v>
      </c>
      <c r="W3" s="119" cm="1">
        <f t="array" ref="W3:W34">_xlfn.RANK.AVG(Table20[Y],Table20[Y])</f>
        <v>9</v>
      </c>
      <c r="X3" s="119" cm="1">
        <f t="array" ref="X3:X34">_xlfn.RANK.AVG(Table20[R+R],Table20[R+R])</f>
        <v>2</v>
      </c>
      <c r="Y3" s="119" cm="1">
        <f t="array" ref="Y3:Y34">_xlfn.RANK.AVG(Table20[TD],Table20[TD])</f>
        <v>2</v>
      </c>
      <c r="Z3" s="21" t="s">
        <v>0</v>
      </c>
      <c r="AA3" s="122">
        <f>_xlfn.XLOOKUP(Table20[[#This Row],[DEF]],Table4[DEF],Table4[R])+_xlfn.XLOOKUP(Table20[[#This Row],[DEF]],Table44[DEF],Table44[R])</f>
        <v>113.29411764705883</v>
      </c>
      <c r="AB3" s="122">
        <f>_xlfn.XLOOKUP(Table20[[#This Row],[DEF]],Table4[DEF],Table4[REC])+_xlfn.XLOOKUP(Table20[[#This Row],[DEF]],Table44[DEF],Table44[REC])</f>
        <v>4.4705882352941178</v>
      </c>
      <c r="AC3" s="122">
        <f>_xlfn.XLOOKUP(Table20[[#This Row],[DEF]],Table4[DEF],Table4[Y])+_xlfn.XLOOKUP(Table20[[#This Row],[DEF]],Table44[DEF],Table44[Y])</f>
        <v>35.823529411764703</v>
      </c>
      <c r="AD3" s="122">
        <f>_xlfn.XLOOKUP(Table20[[#This Row],[DEF]],Table4[DEF],Table4[R+R])+_xlfn.XLOOKUP(Table20[[#This Row],[DEF]],Table44[DEF],Table44[R+R])</f>
        <v>149.11764705882354</v>
      </c>
      <c r="AE3" s="121">
        <f>_xlfn.XLOOKUP(Table20[[#This Row],[DEF]],Table4[DEF],Table4[TD])+_xlfn.XLOOKUP(Table20[[#This Row],[DEF]],Table44[DEF],Table44[TD])</f>
        <v>1.3529411764705883</v>
      </c>
      <c r="AG3" s="119">
        <f>AVERAGE(AH3:AJ3)</f>
        <v>4.666666666666667</v>
      </c>
      <c r="AH3" s="119" cm="1">
        <f t="array" ref="AH3:AH34">_xlfn.RANK.AVG(Table7[REC],Table7[REC])</f>
        <v>6</v>
      </c>
      <c r="AI3" s="119">
        <f>_xlfn.RANK.AVG(Table7[[#This Row],[Y]],Table7[Y])</f>
        <v>2</v>
      </c>
      <c r="AJ3" s="119" cm="1">
        <f t="array" ref="AJ3:AJ34">_xlfn.RANK.AVG(Table7[TD],Table7[TD])</f>
        <v>6</v>
      </c>
      <c r="AK3" s="21" t="s">
        <v>0</v>
      </c>
      <c r="AL3" s="89">
        <f>Table2121418198598100[[#Totals],[WR1 Recep]]</f>
        <v>5.2941176470588234</v>
      </c>
      <c r="AM3" s="89">
        <f>Table2121418198598100[[#Totals],[WR1 RecY]]</f>
        <v>75.117647058823536</v>
      </c>
      <c r="AN3" s="22">
        <f>Table2121418198598100[[#Totals],[WR1 TD]]</f>
        <v>0.52941176470588236</v>
      </c>
      <c r="AP3" s="119">
        <f>AVERAGE(AQ3:AS3)</f>
        <v>13.666666666666666</v>
      </c>
      <c r="AQ3" s="119" cm="1">
        <f t="array" ref="AQ3:AQ34">_xlfn.RANK.AVG(Table712[REC],Table712[REC])</f>
        <v>4</v>
      </c>
      <c r="AR3" s="119">
        <f>_xlfn.RANK.AVG(Table712[[#This Row],[Y]],Table712[Y])</f>
        <v>16</v>
      </c>
      <c r="AS3" s="119" cm="1">
        <f t="array" ref="AS3:AS34">_xlfn.RANK.AVG(Table712[TD],Table712[TD])</f>
        <v>21</v>
      </c>
      <c r="AT3" s="21" t="s">
        <v>0</v>
      </c>
      <c r="AU3" s="89">
        <f>Table2121418198598100[[#Totals],[WR2 Recep]]</f>
        <v>3.7647058823529411</v>
      </c>
      <c r="AV3" s="89">
        <f>Table2121418198598100[[#Totals],[WR2 RecY]]</f>
        <v>42</v>
      </c>
      <c r="AW3" s="22">
        <f>Table2121418198598100[[#Totals],[WR2 TD]]</f>
        <v>0.23529411764705882</v>
      </c>
      <c r="AY3" s="119">
        <f>AVERAGE(AZ3:BB3)</f>
        <v>3</v>
      </c>
      <c r="AZ3" s="119" cm="1">
        <f t="array" ref="AZ3:AZ34">_xlfn.RANK.AVG(Table8[REC],Table8[REC])</f>
        <v>1</v>
      </c>
      <c r="BA3" s="119">
        <f>_xlfn.RANK.AVG(Table8[[#This Row],[Y]],Table8[Y])</f>
        <v>3</v>
      </c>
      <c r="BB3" s="119" cm="1">
        <f t="array" ref="BB3:BB34">_xlfn.RANK.AVG(Table8[TD],Table8[TD])</f>
        <v>5</v>
      </c>
      <c r="BC3" s="21" t="s">
        <v>0</v>
      </c>
      <c r="BD3" s="89">
        <f>Table2121418198598100[[#Totals],[TE1 Recep]]</f>
        <v>4.5882352941176467</v>
      </c>
      <c r="BE3" s="89">
        <f>Table2121418198598100[[#Totals],[TE1 RecY]]</f>
        <v>51.411764705882355</v>
      </c>
      <c r="BF3" s="22">
        <f>Table2121418198598100[[#Totals],[TE1 TD]]</f>
        <v>0.52941176470588236</v>
      </c>
    </row>
    <row r="4" spans="2:58" ht="14.5" customHeight="1" x14ac:dyDescent="0.35">
      <c r="B4" s="24">
        <v>1</v>
      </c>
      <c r="C4" s="155" t="str">
        <f>Table82[[#This Row],[Slate]]</f>
        <v>n/a</v>
      </c>
      <c r="D4" s="23" t="s">
        <v>15</v>
      </c>
      <c r="E4" s="23" t="str">
        <f>Table4334[[#This Row],[OPP]]</f>
        <v>n/a</v>
      </c>
      <c r="G4" s="119">
        <f t="shared" ref="G4:G34" si="0">AVERAGE(H4:L4)</f>
        <v>14.8</v>
      </c>
      <c r="H4" s="119">
        <v>18</v>
      </c>
      <c r="I4" s="119">
        <v>7</v>
      </c>
      <c r="J4" s="119">
        <f>_xlfn.RANK.AVG(Table1[[#This Row],[P+R]],Table1[P+R])</f>
        <v>18</v>
      </c>
      <c r="K4" s="119">
        <v>13</v>
      </c>
      <c r="L4" s="119">
        <v>18</v>
      </c>
      <c r="M4" s="23" t="s">
        <v>15</v>
      </c>
      <c r="N4" s="89">
        <f>Table212141819859899[[#Totals],[QB PY]]</f>
        <v>221.94117647058823</v>
      </c>
      <c r="O4" s="89">
        <f>Table212141819859899[[#Totals],[QB RY]]</f>
        <v>21.294117647058822</v>
      </c>
      <c r="P4" s="89">
        <f>Table1[[#This Row],[P]]+Table1[[#This Row],[R]]</f>
        <v>243.23529411764704</v>
      </c>
      <c r="Q4" s="22">
        <f>Table212141819859899[[#Totals],[P TD]]</f>
        <v>1.588235294117647</v>
      </c>
      <c r="R4" s="22">
        <f>Table212141819859899[[#Totals],[QB TD]]</f>
        <v>0.17647058823529413</v>
      </c>
      <c r="S4" s="121"/>
      <c r="T4" s="119">
        <f t="shared" ref="T4:T34" si="1">AVERAGE(U4:Y4)</f>
        <v>17</v>
      </c>
      <c r="U4" s="119">
        <v>12</v>
      </c>
      <c r="V4" s="119">
        <v>19.5</v>
      </c>
      <c r="W4" s="119">
        <v>18</v>
      </c>
      <c r="X4" s="119">
        <v>11</v>
      </c>
      <c r="Y4" s="119">
        <v>24.5</v>
      </c>
      <c r="Z4" s="23" t="s">
        <v>15</v>
      </c>
      <c r="AA4" s="122">
        <f>_xlfn.XLOOKUP(Table20[[#This Row],[DEF]],Table4[DEF],Table4[R])+_xlfn.XLOOKUP(Table20[[#This Row],[DEF]],Table44[DEF],Table44[R])</f>
        <v>101.58823529411765</v>
      </c>
      <c r="AB4" s="122">
        <f>_xlfn.XLOOKUP(Table20[[#This Row],[DEF]],Table4[DEF],Table4[REC])+_xlfn.XLOOKUP(Table20[[#This Row],[DEF]],Table44[DEF],Table44[REC])</f>
        <v>4.0588235294117645</v>
      </c>
      <c r="AC4" s="122">
        <f>_xlfn.XLOOKUP(Table20[[#This Row],[DEF]],Table4[DEF],Table4[Y])+_xlfn.XLOOKUP(Table20[[#This Row],[DEF]],Table44[DEF],Table44[Y])</f>
        <v>30.588235294117645</v>
      </c>
      <c r="AD4" s="122">
        <f>_xlfn.XLOOKUP(Table20[[#This Row],[DEF]],Table4[DEF],Table4[R+R])+_xlfn.XLOOKUP(Table20[[#This Row],[DEF]],Table44[DEF],Table44[R+R])</f>
        <v>132.1764705882353</v>
      </c>
      <c r="AE4" s="121">
        <f>_xlfn.XLOOKUP(Table20[[#This Row],[DEF]],Table4[DEF],Table4[TD])+_xlfn.XLOOKUP(Table20[[#This Row],[DEF]],Table44[DEF],Table44[TD])</f>
        <v>0.76470588235294112</v>
      </c>
      <c r="AG4" s="119">
        <f t="shared" ref="AG4:AG34" si="2">AVERAGE(AH4:AJ4)</f>
        <v>17.833333333333332</v>
      </c>
      <c r="AH4" s="119">
        <v>23</v>
      </c>
      <c r="AI4" s="119">
        <f>_xlfn.RANK.AVG(Table7[[#This Row],[Y]],Table7[Y])</f>
        <v>20</v>
      </c>
      <c r="AJ4" s="119">
        <v>10.5</v>
      </c>
      <c r="AK4" s="23" t="s">
        <v>15</v>
      </c>
      <c r="AL4" s="89">
        <f>Table212141819859899[[#Totals],[WR1 Recep]]</f>
        <v>4.5882352941176467</v>
      </c>
      <c r="AM4" s="89">
        <f>Table212141819859899[[#Totals],[WR1 RecY]]</f>
        <v>58.294117647058826</v>
      </c>
      <c r="AN4" s="22">
        <f>Table212141819859899[[#Totals],[WR1 TD]]</f>
        <v>0.47058823529411764</v>
      </c>
      <c r="AP4" s="119">
        <f t="shared" ref="AP4:AP34" si="3">AVERAGE(AQ4:AS4)</f>
        <v>6.833333333333333</v>
      </c>
      <c r="AQ4" s="119">
        <v>11</v>
      </c>
      <c r="AR4" s="119">
        <f>_xlfn.RANK.AVG(Table712[[#This Row],[Y]],Table712[Y])</f>
        <v>7</v>
      </c>
      <c r="AS4" s="119">
        <v>2.5</v>
      </c>
      <c r="AT4" s="23" t="s">
        <v>15</v>
      </c>
      <c r="AU4" s="89">
        <f>Table212141819859899[[#Totals],[WR2 Recep]]</f>
        <v>3.4117647058823528</v>
      </c>
      <c r="AV4" s="89">
        <f>Table212141819859899[[#Totals],[WR2 RecY]]</f>
        <v>49.117647058823529</v>
      </c>
      <c r="AW4" s="22">
        <f>Table212141819859899[[#Totals],[WR2 TD]]</f>
        <v>0.58823529411764708</v>
      </c>
      <c r="AY4" s="119">
        <f t="shared" ref="AY4:AY34" si="4">AVERAGE(AZ4:BB4)</f>
        <v>29.5</v>
      </c>
      <c r="AZ4" s="119">
        <v>29</v>
      </c>
      <c r="BA4" s="119">
        <f>_xlfn.RANK.AVG(Table8[[#This Row],[Y]],Table8[Y])</f>
        <v>29</v>
      </c>
      <c r="BB4" s="119">
        <v>30.5</v>
      </c>
      <c r="BC4" s="119" t="s">
        <v>15</v>
      </c>
      <c r="BD4" s="89">
        <f>Table212141819859899[[#Totals],[TE1 Recep]]</f>
        <v>2.9411764705882355</v>
      </c>
      <c r="BE4" s="89">
        <f>Table212141819859899[[#Totals],[TE1 RecY]]</f>
        <v>29</v>
      </c>
      <c r="BF4" s="22">
        <f>Table212141819859899[[#Totals],[TE1 TD]]</f>
        <v>0.11764705882352941</v>
      </c>
    </row>
    <row r="5" spans="2:58" ht="14.5" customHeight="1" x14ac:dyDescent="0.35">
      <c r="B5" s="24">
        <v>1</v>
      </c>
      <c r="C5" s="155" t="str">
        <f>Table82[[#This Row],[Slate]]</f>
        <v>n/a</v>
      </c>
      <c r="D5" s="21" t="s">
        <v>16</v>
      </c>
      <c r="E5" s="23" t="str">
        <f>Table4334[[#This Row],[OPP]]</f>
        <v>n/a</v>
      </c>
      <c r="G5" s="119">
        <f t="shared" si="0"/>
        <v>10.4</v>
      </c>
      <c r="H5" s="119">
        <v>4</v>
      </c>
      <c r="I5" s="119">
        <v>17</v>
      </c>
      <c r="J5" s="119">
        <f>_xlfn.RANK.AVG(Table1[[#This Row],[P+R]],Table1[P+R])</f>
        <v>2</v>
      </c>
      <c r="K5" s="119">
        <v>21</v>
      </c>
      <c r="L5" s="119">
        <v>8</v>
      </c>
      <c r="M5" s="21" t="s">
        <v>16</v>
      </c>
      <c r="N5" s="89">
        <f>Table2121418198598[[#Totals],[QB PY]]</f>
        <v>259</v>
      </c>
      <c r="O5" s="89">
        <f>Table2121418198598[[#Totals],[QB RY]]</f>
        <v>18.117647058823529</v>
      </c>
      <c r="P5" s="89">
        <f>Table1[[#This Row],[P]]+Table1[[#This Row],[R]]</f>
        <v>277.11764705882354</v>
      </c>
      <c r="Q5" s="22">
        <f>Table2121418198598[[#Totals],[P TD]]</f>
        <v>1.411764705882353</v>
      </c>
      <c r="R5" s="22">
        <f>Table2121418198598[[#Totals],[QB TD]]</f>
        <v>0.29411764705882354</v>
      </c>
      <c r="S5" s="121"/>
      <c r="T5" s="119">
        <f t="shared" si="1"/>
        <v>13.2</v>
      </c>
      <c r="U5" s="119">
        <v>26</v>
      </c>
      <c r="V5" s="119">
        <v>2.5</v>
      </c>
      <c r="W5" s="119">
        <v>2.5</v>
      </c>
      <c r="X5" s="119">
        <v>20</v>
      </c>
      <c r="Y5" s="119">
        <v>15</v>
      </c>
      <c r="Z5" s="21" t="s">
        <v>16</v>
      </c>
      <c r="AA5" s="122">
        <f>_xlfn.XLOOKUP(Table20[[#This Row],[DEF]],Table4[DEF],Table4[R])+_xlfn.XLOOKUP(Table20[[#This Row],[DEF]],Table44[DEF],Table44[R])</f>
        <v>82.117647058823536</v>
      </c>
      <c r="AB5" s="122">
        <f>_xlfn.XLOOKUP(Table20[[#This Row],[DEF]],Table4[DEF],Table4[REC])+_xlfn.XLOOKUP(Table20[[#This Row],[DEF]],Table44[DEF],Table44[REC])</f>
        <v>5.5294117647058822</v>
      </c>
      <c r="AC5" s="122">
        <f>_xlfn.XLOOKUP(Table20[[#This Row],[DEF]],Table4[DEF],Table4[Y])+_xlfn.XLOOKUP(Table20[[#This Row],[DEF]],Table44[DEF],Table44[Y])</f>
        <v>43.235294117647058</v>
      </c>
      <c r="AD5" s="122">
        <f>_xlfn.XLOOKUP(Table20[[#This Row],[DEF]],Table4[DEF],Table4[R+R])+_xlfn.XLOOKUP(Table20[[#This Row],[DEF]],Table44[DEF],Table44[R+R])</f>
        <v>125.35294117647059</v>
      </c>
      <c r="AE5" s="121">
        <f>_xlfn.XLOOKUP(Table20[[#This Row],[DEF]],Table4[DEF],Table4[TD])+_xlfn.XLOOKUP(Table20[[#This Row],[DEF]],Table44[DEF],Table44[TD])</f>
        <v>0.88235294117647056</v>
      </c>
      <c r="AG5" s="119">
        <f t="shared" si="2"/>
        <v>8.3333333333333339</v>
      </c>
      <c r="AH5" s="119">
        <v>4</v>
      </c>
      <c r="AI5" s="119">
        <f>_xlfn.RANK.AVG(Table7[[#This Row],[Y]],Table7[Y])</f>
        <v>1</v>
      </c>
      <c r="AJ5" s="119">
        <v>20</v>
      </c>
      <c r="AK5" s="21" t="s">
        <v>16</v>
      </c>
      <c r="AL5" s="89">
        <f>Table2121418198598[[#Totals],[WR1 Recep]]</f>
        <v>5.5294117647058822</v>
      </c>
      <c r="AM5" s="89">
        <f>Table2121418198598[[#Totals],[WR1 RecY]]</f>
        <v>81</v>
      </c>
      <c r="AN5" s="22">
        <f>Table2121418198598[[#Totals],[WR1 TD]]</f>
        <v>0.35294117647058826</v>
      </c>
      <c r="AP5" s="119">
        <f t="shared" si="3"/>
        <v>21.166666666666668</v>
      </c>
      <c r="AQ5" s="119">
        <v>24</v>
      </c>
      <c r="AR5" s="119">
        <f>_xlfn.RANK.AVG(Table712[[#This Row],[Y]],Table712[Y])</f>
        <v>12</v>
      </c>
      <c r="AS5" s="119">
        <v>27.5</v>
      </c>
      <c r="AT5" s="21" t="s">
        <v>16</v>
      </c>
      <c r="AU5" s="89">
        <f>Table2121418198598[[#Totals],[WR2 Recep]]</f>
        <v>2.8235294117647061</v>
      </c>
      <c r="AV5" s="89">
        <f>Table2121418198598[[#Totals],[WR2 RecY]]</f>
        <v>43.647058823529413</v>
      </c>
      <c r="AW5" s="22">
        <f>Table2121418198598[[#Totals],[WR2 TD]]</f>
        <v>0.17647058823529413</v>
      </c>
      <c r="AY5" s="119">
        <f t="shared" si="4"/>
        <v>27.166666666666668</v>
      </c>
      <c r="AZ5" s="119">
        <v>28</v>
      </c>
      <c r="BA5" s="119">
        <f>_xlfn.RANK.AVG(Table8[[#This Row],[Y]],Table8[Y])</f>
        <v>27</v>
      </c>
      <c r="BB5" s="119">
        <v>26.5</v>
      </c>
      <c r="BC5" s="120" t="s">
        <v>16</v>
      </c>
      <c r="BD5" s="89">
        <f>Table2121418198598[[#Totals],[TE1 Recep]]</f>
        <v>3.1176470588235294</v>
      </c>
      <c r="BE5" s="89">
        <f>Table2121418198598[[#Totals],[TE1 RecY]]</f>
        <v>30.588235294117649</v>
      </c>
      <c r="BF5" s="22">
        <f>Table2121418198598[[#Totals],[TE1 TD]]</f>
        <v>0.17647058823529413</v>
      </c>
    </row>
    <row r="6" spans="2:58" ht="14.5" customHeight="1" x14ac:dyDescent="0.35">
      <c r="B6" s="24">
        <v>1</v>
      </c>
      <c r="C6" s="155" t="str">
        <f>Table82[[#This Row],[Slate]]</f>
        <v>n/a</v>
      </c>
      <c r="D6" s="23" t="s">
        <v>17</v>
      </c>
      <c r="E6" s="23" t="str">
        <f>Table4334[[#This Row],[OPP]]</f>
        <v>n/a</v>
      </c>
      <c r="G6" s="119">
        <f t="shared" si="0"/>
        <v>21.9</v>
      </c>
      <c r="H6" s="119">
        <v>32</v>
      </c>
      <c r="I6" s="119">
        <v>6</v>
      </c>
      <c r="J6" s="119">
        <f>_xlfn.RANK.AVG(Table1[[#This Row],[P+R]],Table1[P+R])</f>
        <v>32</v>
      </c>
      <c r="K6" s="119">
        <v>27</v>
      </c>
      <c r="L6" s="119">
        <v>12.5</v>
      </c>
      <c r="M6" s="23" t="s">
        <v>17</v>
      </c>
      <c r="N6" s="89">
        <f>Table2121418198593[[#Totals],[QB PY]]</f>
        <v>170.23529411764707</v>
      </c>
      <c r="O6" s="89">
        <f>Table2121418198593[[#Totals],[QB RY]]</f>
        <v>21.647058823529413</v>
      </c>
      <c r="P6" s="89">
        <f>Table1[[#This Row],[P]]+Table1[[#This Row],[R]]</f>
        <v>191.88235294117649</v>
      </c>
      <c r="Q6" s="22">
        <f>Table2121418198593[[#Totals],[P TD]]</f>
        <v>1.1176470588235294</v>
      </c>
      <c r="R6" s="22">
        <f>Table2121418198593[[#Totals],[QB TD]]</f>
        <v>0.23529411764705882</v>
      </c>
      <c r="S6" s="121"/>
      <c r="T6" s="119">
        <f t="shared" si="1"/>
        <v>13.6</v>
      </c>
      <c r="U6" s="119">
        <v>6</v>
      </c>
      <c r="V6" s="119">
        <v>22</v>
      </c>
      <c r="W6" s="119">
        <v>27</v>
      </c>
      <c r="X6" s="119">
        <v>10</v>
      </c>
      <c r="Y6" s="119">
        <v>3</v>
      </c>
      <c r="Z6" s="23" t="s">
        <v>17</v>
      </c>
      <c r="AA6" s="122">
        <f>_xlfn.XLOOKUP(Table20[[#This Row],[DEF]],Table4[DEF],Table4[R])+_xlfn.XLOOKUP(Table20[[#This Row],[DEF]],Table44[DEF],Table44[R])</f>
        <v>107.64705882352941</v>
      </c>
      <c r="AB6" s="122">
        <f>_xlfn.XLOOKUP(Table20[[#This Row],[DEF]],Table4[DEF],Table4[REC])+_xlfn.XLOOKUP(Table20[[#This Row],[DEF]],Table44[DEF],Table44[REC])</f>
        <v>3.9411764705882355</v>
      </c>
      <c r="AC6" s="122">
        <f>_xlfn.XLOOKUP(Table20[[#This Row],[DEF]],Table4[DEF],Table4[Y])+_xlfn.XLOOKUP(Table20[[#This Row],[DEF]],Table44[DEF],Table44[Y])</f>
        <v>25</v>
      </c>
      <c r="AD6" s="122">
        <f>_xlfn.XLOOKUP(Table20[[#This Row],[DEF]],Table4[DEF],Table4[R+R])+_xlfn.XLOOKUP(Table20[[#This Row],[DEF]],Table44[DEF],Table44[R+R])</f>
        <v>132.64705882352939</v>
      </c>
      <c r="AE6" s="121">
        <f>_xlfn.XLOOKUP(Table20[[#This Row],[DEF]],Table4[DEF],Table4[TD])+_xlfn.XLOOKUP(Table20[[#This Row],[DEF]],Table44[DEF],Table44[TD])</f>
        <v>1.2352941176470589</v>
      </c>
      <c r="AG6" s="119">
        <f t="shared" si="2"/>
        <v>13.833333333333334</v>
      </c>
      <c r="AH6" s="119">
        <v>12.5</v>
      </c>
      <c r="AI6" s="119">
        <f>_xlfn.RANK.AVG(Table7[[#This Row],[Y]],Table7[Y])</f>
        <v>9</v>
      </c>
      <c r="AJ6" s="119">
        <v>20</v>
      </c>
      <c r="AK6" s="23" t="s">
        <v>17</v>
      </c>
      <c r="AL6" s="89">
        <f>Table2121418198593[[#Totals],[WR1 Recep]]</f>
        <v>5</v>
      </c>
      <c r="AM6" s="89">
        <f>Table2121418198593[[#Totals],[WR1 RecY]]</f>
        <v>66.235294117647058</v>
      </c>
      <c r="AN6" s="22">
        <f>Table2121418198593[[#Totals],[WR1 TD]]</f>
        <v>0.35294117647058826</v>
      </c>
      <c r="AP6" s="119">
        <f t="shared" si="3"/>
        <v>25.5</v>
      </c>
      <c r="AQ6" s="119">
        <v>30.5</v>
      </c>
      <c r="AR6" s="119">
        <f>_xlfn.RANK.AVG(Table712[[#This Row],[Y]],Table712[Y])</f>
        <v>32</v>
      </c>
      <c r="AS6" s="119">
        <v>14</v>
      </c>
      <c r="AT6" s="23" t="s">
        <v>17</v>
      </c>
      <c r="AU6" s="89">
        <f>Table2121418198593[[#Totals],[WR2 Recep]]</f>
        <v>2.3529411764705883</v>
      </c>
      <c r="AV6" s="89">
        <f>Table2121418198593[[#Totals],[WR2 RecY]]</f>
        <v>26.058823529411764</v>
      </c>
      <c r="AW6" s="22">
        <f>Table2121418198593[[#Totals],[WR2 TD]]</f>
        <v>0.29411764705882354</v>
      </c>
      <c r="AY6" s="119">
        <f t="shared" si="4"/>
        <v>28</v>
      </c>
      <c r="AZ6" s="119">
        <v>32</v>
      </c>
      <c r="BA6" s="119">
        <f>_xlfn.RANK.AVG(Table8[[#This Row],[Y]],Table8[Y])</f>
        <v>31</v>
      </c>
      <c r="BB6" s="119">
        <v>21</v>
      </c>
      <c r="BC6" s="119" t="s">
        <v>17</v>
      </c>
      <c r="BD6" s="89">
        <f>Table2121418198593[[#Totals],[TE1 Recep]]</f>
        <v>2.2352941176470589</v>
      </c>
      <c r="BE6" s="89">
        <f>Table2121418198593[[#Totals],[TE1 RecY]]</f>
        <v>26.411764705882351</v>
      </c>
      <c r="BF6" s="22">
        <f>Table2121418198593[[#Totals],[TE1 TD]]</f>
        <v>0.23529411764705882</v>
      </c>
    </row>
    <row r="7" spans="2:58" ht="14.5" customHeight="1" x14ac:dyDescent="0.35">
      <c r="B7" s="24">
        <v>1</v>
      </c>
      <c r="C7" s="155" t="str">
        <f>Table82[[#This Row],[Slate]]</f>
        <v>n/a</v>
      </c>
      <c r="D7" s="21" t="s">
        <v>29</v>
      </c>
      <c r="E7" s="23" t="str">
        <f>Table4334[[#This Row],[OPP]]</f>
        <v>n/a</v>
      </c>
      <c r="G7" s="119">
        <f t="shared" si="0"/>
        <v>20.9</v>
      </c>
      <c r="H7" s="119">
        <v>19</v>
      </c>
      <c r="I7" s="119">
        <v>23.5</v>
      </c>
      <c r="J7" s="119">
        <f>_xlfn.RANK.AVG(Table1[[#This Row],[P+R]],Table1[P+R])</f>
        <v>19</v>
      </c>
      <c r="K7" s="119">
        <v>25</v>
      </c>
      <c r="L7" s="119">
        <v>18</v>
      </c>
      <c r="M7" s="21" t="s">
        <v>29</v>
      </c>
      <c r="N7" s="89">
        <f>Table2121418198592[[#Totals],[QB PY]]</f>
        <v>215.11764705882354</v>
      </c>
      <c r="O7" s="89">
        <f>Table2121418198592[[#Totals],[QB RY]]</f>
        <v>15.764705882352942</v>
      </c>
      <c r="P7" s="89">
        <f>Table1[[#This Row],[P]]+Table1[[#This Row],[R]]</f>
        <v>230.88235294117646</v>
      </c>
      <c r="Q7" s="22">
        <f>Table2121418198592[[#Totals],[P TD]]</f>
        <v>1.1764705882352942</v>
      </c>
      <c r="R7" s="22">
        <f>Table2121418198592[[#Totals],[QB TD]]</f>
        <v>0.17647058823529413</v>
      </c>
      <c r="S7" s="121"/>
      <c r="T7" s="119">
        <f t="shared" si="1"/>
        <v>12.2</v>
      </c>
      <c r="U7" s="119">
        <v>8</v>
      </c>
      <c r="V7" s="119">
        <v>16</v>
      </c>
      <c r="W7" s="119">
        <v>20</v>
      </c>
      <c r="X7" s="119">
        <v>8</v>
      </c>
      <c r="Y7" s="119">
        <v>9</v>
      </c>
      <c r="Z7" s="21" t="s">
        <v>29</v>
      </c>
      <c r="AA7" s="122">
        <f>_xlfn.XLOOKUP(Table20[[#This Row],[DEF]],Table4[DEF],Table4[R])+_xlfn.XLOOKUP(Table20[[#This Row],[DEF]],Table44[DEF],Table44[R])</f>
        <v>106.35294117647058</v>
      </c>
      <c r="AB7" s="122">
        <f>_xlfn.XLOOKUP(Table20[[#This Row],[DEF]],Table4[DEF],Table4[REC])+_xlfn.XLOOKUP(Table20[[#This Row],[DEF]],Table44[DEF],Table44[REC])</f>
        <v>4.4117647058823533</v>
      </c>
      <c r="AC7" s="122">
        <f>_xlfn.XLOOKUP(Table20[[#This Row],[DEF]],Table4[DEF],Table4[Y])+_xlfn.XLOOKUP(Table20[[#This Row],[DEF]],Table44[DEF],Table44[Y])</f>
        <v>28.647058823529413</v>
      </c>
      <c r="AD7" s="122">
        <f>_xlfn.XLOOKUP(Table20[[#This Row],[DEF]],Table4[DEF],Table4[R+R])+_xlfn.XLOOKUP(Table20[[#This Row],[DEF]],Table44[DEF],Table44[R+R])</f>
        <v>135</v>
      </c>
      <c r="AE7" s="121">
        <f>_xlfn.XLOOKUP(Table20[[#This Row],[DEF]],Table4[DEF],Table4[TD])+_xlfn.XLOOKUP(Table20[[#This Row],[DEF]],Table44[DEF],Table44[TD])</f>
        <v>1.0588235294117647</v>
      </c>
      <c r="AG7" s="119">
        <f t="shared" si="2"/>
        <v>10.666666666666666</v>
      </c>
      <c r="AH7" s="119">
        <v>10</v>
      </c>
      <c r="AI7" s="119">
        <f>_xlfn.RANK.AVG(Table7[[#This Row],[Y]],Table7[Y])</f>
        <v>6</v>
      </c>
      <c r="AJ7" s="119">
        <v>16</v>
      </c>
      <c r="AK7" s="21" t="s">
        <v>29</v>
      </c>
      <c r="AL7" s="89">
        <f>Table2121418198592[[#Totals],[WR1 Recep]]</f>
        <v>5.117647058823529</v>
      </c>
      <c r="AM7" s="89">
        <f>Table2121418198592[[#Totals],[WR1 RecY]]</f>
        <v>69.411764705882348</v>
      </c>
      <c r="AN7" s="22">
        <f>Table2121418198592[[#Totals],[WR1 TD]]</f>
        <v>0.41176470588235292</v>
      </c>
      <c r="AP7" s="119">
        <f t="shared" si="3"/>
        <v>26</v>
      </c>
      <c r="AQ7" s="119">
        <v>28</v>
      </c>
      <c r="AR7" s="119">
        <f>_xlfn.RANK.AVG(Table712[[#This Row],[Y]],Table712[Y])</f>
        <v>29</v>
      </c>
      <c r="AS7" s="119">
        <v>21</v>
      </c>
      <c r="AT7" s="21" t="s">
        <v>29</v>
      </c>
      <c r="AU7" s="89">
        <f>Table2121418198592[[#Totals],[WR2 Recep]]</f>
        <v>2.7058823529411766</v>
      </c>
      <c r="AV7" s="89">
        <f>Table2121418198592[[#Totals],[WR2 RecY]]</f>
        <v>29.823529411764707</v>
      </c>
      <c r="AW7" s="22">
        <f>Table2121418198592[[#Totals],[WR2 TD]]</f>
        <v>0.23529411764705882</v>
      </c>
      <c r="AY7" s="119">
        <f t="shared" si="4"/>
        <v>11.333333333333334</v>
      </c>
      <c r="AZ7" s="119">
        <v>18</v>
      </c>
      <c r="BA7" s="119">
        <f>_xlfn.RANK.AVG(Table8[[#This Row],[Y]],Table8[Y])</f>
        <v>6</v>
      </c>
      <c r="BB7" s="119">
        <v>10</v>
      </c>
      <c r="BC7" s="120" t="s">
        <v>29</v>
      </c>
      <c r="BD7" s="89">
        <f>Table2121418198592[[#Totals],[TE1 Recep]]</f>
        <v>3.6470588235294117</v>
      </c>
      <c r="BE7" s="89">
        <f>Table2121418198592[[#Totals],[TE1 RecY]]</f>
        <v>46.647058823529413</v>
      </c>
      <c r="BF7" s="22">
        <f>Table2121418198592[[#Totals],[TE1 TD]]</f>
        <v>0.35294117647058826</v>
      </c>
    </row>
    <row r="8" spans="2:58" ht="14.5" customHeight="1" x14ac:dyDescent="0.35">
      <c r="B8" s="24">
        <v>1</v>
      </c>
      <c r="C8" s="155" t="str">
        <f>Table82[[#This Row],[Slate]]</f>
        <v>n/a</v>
      </c>
      <c r="D8" s="23" t="s">
        <v>30</v>
      </c>
      <c r="E8" s="23" t="str">
        <f>Table4334[[#This Row],[OPP]]</f>
        <v>n/a</v>
      </c>
      <c r="G8" s="119">
        <f t="shared" si="0"/>
        <v>7.7</v>
      </c>
      <c r="H8" s="119">
        <v>11</v>
      </c>
      <c r="I8" s="119">
        <v>4</v>
      </c>
      <c r="J8" s="119">
        <f>_xlfn.RANK.AVG(Table1[[#This Row],[P+R]],Table1[P+R])</f>
        <v>9</v>
      </c>
      <c r="K8" s="119">
        <v>6.5</v>
      </c>
      <c r="L8" s="119">
        <v>8</v>
      </c>
      <c r="M8" s="23" t="s">
        <v>30</v>
      </c>
      <c r="N8" s="89">
        <f>Table2121418198590[[#Totals],[QB PY]]</f>
        <v>239.23529411764707</v>
      </c>
      <c r="O8" s="89">
        <f>Table2121418198590[[#Totals],[QB RY]]</f>
        <v>23.058823529411764</v>
      </c>
      <c r="P8" s="89">
        <f>Table1[[#This Row],[P]]+Table1[[#This Row],[R]]</f>
        <v>262.29411764705884</v>
      </c>
      <c r="Q8" s="22">
        <f>Table2121418198590[[#Totals],[P TD]]</f>
        <v>1.8823529411764706</v>
      </c>
      <c r="R8" s="22">
        <f>Table2121418198590[[#Totals],[QB TD]]</f>
        <v>0.29411764705882354</v>
      </c>
      <c r="S8" s="121"/>
      <c r="T8" s="119">
        <f t="shared" si="1"/>
        <v>16.899999999999999</v>
      </c>
      <c r="U8" s="119">
        <v>10</v>
      </c>
      <c r="V8" s="119">
        <v>21</v>
      </c>
      <c r="W8" s="119">
        <v>23</v>
      </c>
      <c r="X8" s="119">
        <v>12</v>
      </c>
      <c r="Y8" s="119">
        <v>18.5</v>
      </c>
      <c r="Z8" s="23" t="s">
        <v>30</v>
      </c>
      <c r="AA8" s="122">
        <f>_xlfn.XLOOKUP(Table20[[#This Row],[DEF]],Table4[DEF],Table4[R])+_xlfn.XLOOKUP(Table20[[#This Row],[DEF]],Table44[DEF],Table44[R])</f>
        <v>104.23529411764707</v>
      </c>
      <c r="AB8" s="122">
        <f>_xlfn.XLOOKUP(Table20[[#This Row],[DEF]],Table4[DEF],Table4[REC])+_xlfn.XLOOKUP(Table20[[#This Row],[DEF]],Table44[DEF],Table44[REC])</f>
        <v>4</v>
      </c>
      <c r="AC8" s="122">
        <f>_xlfn.XLOOKUP(Table20[[#This Row],[DEF]],Table4[DEF],Table4[Y])+_xlfn.XLOOKUP(Table20[[#This Row],[DEF]],Table44[DEF],Table44[Y])</f>
        <v>27.647058823529413</v>
      </c>
      <c r="AD8" s="122">
        <f>_xlfn.XLOOKUP(Table20[[#This Row],[DEF]],Table4[DEF],Table4[R+R])+_xlfn.XLOOKUP(Table20[[#This Row],[DEF]],Table44[DEF],Table44[R+R])</f>
        <v>131.88235294117646</v>
      </c>
      <c r="AE8" s="121">
        <f>_xlfn.XLOOKUP(Table20[[#This Row],[DEF]],Table4[DEF],Table4[TD])+_xlfn.XLOOKUP(Table20[[#This Row],[DEF]],Table44[DEF],Table44[TD])</f>
        <v>0.82352941176470595</v>
      </c>
      <c r="AG8" s="119">
        <f t="shared" si="2"/>
        <v>5</v>
      </c>
      <c r="AH8" s="119">
        <v>5</v>
      </c>
      <c r="AI8" s="119">
        <f>_xlfn.RANK.AVG(Table7[[#This Row],[Y]],Table7[Y])</f>
        <v>8</v>
      </c>
      <c r="AJ8" s="119">
        <v>2</v>
      </c>
      <c r="AK8" s="23" t="s">
        <v>30</v>
      </c>
      <c r="AL8" s="89">
        <f>Table2121418198590[[#Totals],[WR1 Recep]]</f>
        <v>5.3529411764705879</v>
      </c>
      <c r="AM8" s="89">
        <f>Table2121418198590[[#Totals],[WR1 RecY]]</f>
        <v>66.470588235294116</v>
      </c>
      <c r="AN8" s="22">
        <f>Table2121418198590[[#Totals],[WR1 TD]]</f>
        <v>0.82352941176470584</v>
      </c>
      <c r="AP8" s="119">
        <f t="shared" si="3"/>
        <v>13</v>
      </c>
      <c r="AQ8" s="119">
        <v>20</v>
      </c>
      <c r="AR8" s="119">
        <f>_xlfn.RANK.AVG(Table712[[#This Row],[Y]],Table712[Y])</f>
        <v>5</v>
      </c>
      <c r="AS8" s="119">
        <v>14</v>
      </c>
      <c r="AT8" s="23" t="s">
        <v>30</v>
      </c>
      <c r="AU8" s="89">
        <f>Table2121418198590[[#Totals],[WR2 Recep]]</f>
        <v>3.1176470588235294</v>
      </c>
      <c r="AV8" s="89">
        <f>Table2121418198590[[#Totals],[WR2 RecY]]</f>
        <v>50.235294117647058</v>
      </c>
      <c r="AW8" s="22">
        <f>Table2121418198590[[#Totals],[WR2 TD]]</f>
        <v>0.29411764705882354</v>
      </c>
      <c r="AY8" s="119">
        <f t="shared" si="4"/>
        <v>14.833333333333334</v>
      </c>
      <c r="AZ8" s="119">
        <v>4</v>
      </c>
      <c r="BA8" s="119">
        <f>_xlfn.RANK.AVG(Table8[[#This Row],[Y]],Table8[Y])</f>
        <v>14</v>
      </c>
      <c r="BB8" s="119">
        <v>26.5</v>
      </c>
      <c r="BC8" s="119" t="s">
        <v>30</v>
      </c>
      <c r="BD8" s="89">
        <f>Table2121418198590[[#Totals],[TE1 Recep]]</f>
        <v>4.4117647058823533</v>
      </c>
      <c r="BE8" s="89">
        <f>Table2121418198590[[#Totals],[TE1 RecY]]</f>
        <v>40.352941176470587</v>
      </c>
      <c r="BF8" s="22">
        <f>Table2121418198590[[#Totals],[TE1 TD]]</f>
        <v>0.17647058823529413</v>
      </c>
    </row>
    <row r="9" spans="2:58" ht="14.5" customHeight="1" x14ac:dyDescent="0.35">
      <c r="B9" s="24">
        <v>1</v>
      </c>
      <c r="C9" s="155" t="str">
        <f>Table82[[#This Row],[Slate]]</f>
        <v>n/a</v>
      </c>
      <c r="D9" s="21" t="s">
        <v>31</v>
      </c>
      <c r="E9" s="23" t="str">
        <f>Table4334[[#This Row],[OPP]]</f>
        <v>n/a</v>
      </c>
      <c r="G9" s="119">
        <f t="shared" si="0"/>
        <v>10.4</v>
      </c>
      <c r="H9" s="119">
        <v>8</v>
      </c>
      <c r="I9" s="119">
        <v>14</v>
      </c>
      <c r="J9" s="119">
        <f>_xlfn.RANK.AVG(Table1[[#This Row],[P+R]],Table1[P+R])</f>
        <v>8</v>
      </c>
      <c r="K9" s="119">
        <v>4</v>
      </c>
      <c r="L9" s="119">
        <v>18</v>
      </c>
      <c r="M9" s="21" t="s">
        <v>31</v>
      </c>
      <c r="N9" s="89">
        <f>Table2121418198589[[#Totals],[QB PY]]</f>
        <v>245.58823529411765</v>
      </c>
      <c r="O9" s="89">
        <f>Table2121418198589[[#Totals],[QB RY]]</f>
        <v>19</v>
      </c>
      <c r="P9" s="89">
        <f>Table1[[#This Row],[P]]+Table1[[#This Row],[R]]</f>
        <v>264.58823529411768</v>
      </c>
      <c r="Q9" s="22">
        <f>Table2121418198589[[#Totals],[P TD]]</f>
        <v>1.9411764705882353</v>
      </c>
      <c r="R9" s="22">
        <f>Table2121418198589[[#Totals],[QB TD]]</f>
        <v>0.17647058823529413</v>
      </c>
      <c r="S9" s="121"/>
      <c r="T9" s="119">
        <f t="shared" si="1"/>
        <v>4.0999999999999996</v>
      </c>
      <c r="U9" s="119">
        <v>1</v>
      </c>
      <c r="V9" s="119">
        <v>9</v>
      </c>
      <c r="W9" s="119">
        <v>4</v>
      </c>
      <c r="X9" s="119">
        <v>1</v>
      </c>
      <c r="Y9" s="119">
        <v>5.5</v>
      </c>
      <c r="Z9" s="21" t="s">
        <v>31</v>
      </c>
      <c r="AA9" s="122">
        <f>_xlfn.XLOOKUP(Table20[[#This Row],[DEF]],Table4[DEF],Table4[R])+_xlfn.XLOOKUP(Table20[[#This Row],[DEF]],Table44[DEF],Table44[R])</f>
        <v>119.47058823529412</v>
      </c>
      <c r="AB9" s="122">
        <f>_xlfn.XLOOKUP(Table20[[#This Row],[DEF]],Table4[DEF],Table4[REC])+_xlfn.XLOOKUP(Table20[[#This Row],[DEF]],Table44[DEF],Table44[REC])</f>
        <v>4.7647058823529411</v>
      </c>
      <c r="AC9" s="122">
        <f>_xlfn.XLOOKUP(Table20[[#This Row],[DEF]],Table4[DEF],Table4[Y])+_xlfn.XLOOKUP(Table20[[#This Row],[DEF]],Table44[DEF],Table44[Y])</f>
        <v>42.882352941176471</v>
      </c>
      <c r="AD9" s="122">
        <f>_xlfn.XLOOKUP(Table20[[#This Row],[DEF]],Table4[DEF],Table4[R+R])+_xlfn.XLOOKUP(Table20[[#This Row],[DEF]],Table44[DEF],Table44[R+R])</f>
        <v>162.35294117647058</v>
      </c>
      <c r="AE9" s="121">
        <f>_xlfn.XLOOKUP(Table20[[#This Row],[DEF]],Table4[DEF],Table4[TD])+_xlfn.XLOOKUP(Table20[[#This Row],[DEF]],Table44[DEF],Table44[TD])</f>
        <v>1.1764705882352942</v>
      </c>
      <c r="AG9" s="119">
        <f t="shared" si="2"/>
        <v>26.833333333333332</v>
      </c>
      <c r="AH9" s="119">
        <v>32</v>
      </c>
      <c r="AI9" s="119">
        <f>_xlfn.RANK.AVG(Table7[[#This Row],[Y]],Table7[Y])</f>
        <v>26</v>
      </c>
      <c r="AJ9" s="119">
        <v>22.5</v>
      </c>
      <c r="AK9" s="21" t="s">
        <v>31</v>
      </c>
      <c r="AL9" s="89">
        <f>Table2121418198589[[#Totals],[WR1 Recep]]</f>
        <v>3.5882352941176472</v>
      </c>
      <c r="AM9" s="89">
        <f>Table2121418198589[[#Totals],[WR1 RecY]]</f>
        <v>52.411764705882355</v>
      </c>
      <c r="AN9" s="22">
        <f>Table2121418198589[[#Totals],[WR1 TD]]</f>
        <v>0.29411764705882354</v>
      </c>
      <c r="AP9" s="119">
        <f t="shared" si="3"/>
        <v>30.166666666666668</v>
      </c>
      <c r="AQ9" s="119">
        <v>32</v>
      </c>
      <c r="AR9" s="119">
        <f>_xlfn.RANK.AVG(Table712[[#This Row],[Y]],Table712[Y])</f>
        <v>31</v>
      </c>
      <c r="AS9" s="119">
        <v>27.5</v>
      </c>
      <c r="AT9" s="21" t="s">
        <v>31</v>
      </c>
      <c r="AU9" s="89">
        <f>Table2121418198589[[#Totals],[WR2 Recep]]</f>
        <v>2.1764705882352939</v>
      </c>
      <c r="AV9" s="89">
        <f>Table2121418198589[[#Totals],[WR2 RecY]]</f>
        <v>27.058823529411764</v>
      </c>
      <c r="AW9" s="22">
        <f>Table2121418198589[[#Totals],[WR2 TD]]</f>
        <v>0.17647058823529413</v>
      </c>
      <c r="AY9" s="119">
        <f t="shared" si="4"/>
        <v>2.8333333333333335</v>
      </c>
      <c r="AZ9" s="119">
        <v>6.5</v>
      </c>
      <c r="BA9" s="119">
        <f>_xlfn.RANK.AVG(Table8[[#This Row],[Y]],Table8[Y])</f>
        <v>1</v>
      </c>
      <c r="BB9" s="119">
        <v>1</v>
      </c>
      <c r="BC9" s="120" t="s">
        <v>31</v>
      </c>
      <c r="BD9" s="89">
        <f>Table2121418198589[[#Totals],[TE1 Recep]]</f>
        <v>4.2941176470588234</v>
      </c>
      <c r="BE9" s="89">
        <f>Table2121418198589[[#Totals],[TE1 RecY]]</f>
        <v>55.294117647058826</v>
      </c>
      <c r="BF9" s="22">
        <f>Table2121418198589[[#Totals],[TE1 TD]]</f>
        <v>0.6470588235294118</v>
      </c>
    </row>
    <row r="10" spans="2:58" ht="14.5" customHeight="1" x14ac:dyDescent="0.35">
      <c r="B10" s="24">
        <v>1</v>
      </c>
      <c r="C10" s="155" t="str">
        <f>Table82[[#This Row],[Slate]]</f>
        <v>n/a</v>
      </c>
      <c r="D10" s="23" t="s">
        <v>32</v>
      </c>
      <c r="E10" s="23" t="str">
        <f>Table4334[[#This Row],[OPP]]</f>
        <v>n/a</v>
      </c>
      <c r="G10" s="119">
        <f t="shared" si="0"/>
        <v>27.2</v>
      </c>
      <c r="H10" s="119">
        <v>30</v>
      </c>
      <c r="I10" s="119">
        <v>30.5</v>
      </c>
      <c r="J10" s="119">
        <f>_xlfn.RANK.AVG(Table1[[#This Row],[P+R]],Table1[P+R])</f>
        <v>30</v>
      </c>
      <c r="K10" s="119">
        <v>17</v>
      </c>
      <c r="L10" s="119">
        <v>28.5</v>
      </c>
      <c r="M10" s="23" t="s">
        <v>32</v>
      </c>
      <c r="N10" s="89">
        <f>Table2121418198588[[#Totals],[QB PY]]</f>
        <v>189.41176470588235</v>
      </c>
      <c r="O10" s="89">
        <f>Table2121418198588[[#Totals],[QB RY]]</f>
        <v>12.235294117647058</v>
      </c>
      <c r="P10" s="89">
        <f>Table1[[#This Row],[P]]+Table1[[#This Row],[R]]</f>
        <v>201.64705882352939</v>
      </c>
      <c r="Q10" s="22">
        <f>Table2121418198588[[#Totals],[P TD]]</f>
        <v>1.4705882352941178</v>
      </c>
      <c r="R10" s="22">
        <f>Table2121418198588[[#Totals],[QB TD]]</f>
        <v>5.8823529411764705E-2</v>
      </c>
      <c r="S10" s="121"/>
      <c r="T10" s="119">
        <f t="shared" si="1"/>
        <v>18.8</v>
      </c>
      <c r="U10" s="119">
        <v>17</v>
      </c>
      <c r="V10" s="119">
        <v>18</v>
      </c>
      <c r="W10" s="119">
        <v>22</v>
      </c>
      <c r="X10" s="119">
        <v>22</v>
      </c>
      <c r="Y10" s="119">
        <v>15</v>
      </c>
      <c r="Z10" s="23" t="s">
        <v>32</v>
      </c>
      <c r="AA10" s="122">
        <f>_xlfn.XLOOKUP(Table20[[#This Row],[DEF]],Table4[DEF],Table4[R])+_xlfn.XLOOKUP(Table20[[#This Row],[DEF]],Table44[DEF],Table44[R])</f>
        <v>96.352941176470594</v>
      </c>
      <c r="AB10" s="122">
        <f>_xlfn.XLOOKUP(Table20[[#This Row],[DEF]],Table4[DEF],Table4[REC])+_xlfn.XLOOKUP(Table20[[#This Row],[DEF]],Table44[DEF],Table44[REC])</f>
        <v>4.117647058823529</v>
      </c>
      <c r="AC10" s="122">
        <f>_xlfn.XLOOKUP(Table20[[#This Row],[DEF]],Table4[DEF],Table4[Y])+_xlfn.XLOOKUP(Table20[[#This Row],[DEF]],Table44[DEF],Table44[Y])</f>
        <v>27.705882352941174</v>
      </c>
      <c r="AD10" s="122">
        <f>_xlfn.XLOOKUP(Table20[[#This Row],[DEF]],Table4[DEF],Table4[R+R])+_xlfn.XLOOKUP(Table20[[#This Row],[DEF]],Table44[DEF],Table44[R+R])</f>
        <v>124.05882352941177</v>
      </c>
      <c r="AE10" s="121">
        <f>_xlfn.XLOOKUP(Table20[[#This Row],[DEF]],Table4[DEF],Table4[TD])+_xlfn.XLOOKUP(Table20[[#This Row],[DEF]],Table44[DEF],Table44[TD])</f>
        <v>0.88235294117647056</v>
      </c>
      <c r="AG10" s="119">
        <f t="shared" si="2"/>
        <v>22.333333333333332</v>
      </c>
      <c r="AH10" s="119">
        <v>30</v>
      </c>
      <c r="AI10" s="119">
        <f>_xlfn.RANK.AVG(Table7[[#This Row],[Y]],Table7[Y])</f>
        <v>31</v>
      </c>
      <c r="AJ10" s="119">
        <v>6</v>
      </c>
      <c r="AK10" s="23" t="s">
        <v>32</v>
      </c>
      <c r="AL10" s="89">
        <f>Table2121418198588[[#Totals],[WR1 Recep]]</f>
        <v>3.7647058823529411</v>
      </c>
      <c r="AM10" s="89">
        <f>Table2121418198588[[#Totals],[WR1 RecY]]</f>
        <v>49.529411764705884</v>
      </c>
      <c r="AN10" s="22">
        <f>Table2121418198588[[#Totals],[WR1 TD]]</f>
        <v>0.52941176470588236</v>
      </c>
      <c r="AP10" s="119">
        <f t="shared" si="3"/>
        <v>23.5</v>
      </c>
      <c r="AQ10" s="119">
        <v>22.5</v>
      </c>
      <c r="AR10" s="119">
        <f>_xlfn.RANK.AVG(Table712[[#This Row],[Y]],Table712[Y])</f>
        <v>27</v>
      </c>
      <c r="AS10" s="119">
        <v>21</v>
      </c>
      <c r="AT10" s="23" t="s">
        <v>32</v>
      </c>
      <c r="AU10" s="89">
        <f>Table2121418198588[[#Totals],[WR2 Recep]]</f>
        <v>3</v>
      </c>
      <c r="AV10" s="89">
        <f>Table2121418198588[[#Totals],[WR2 RecY]]</f>
        <v>32.705882352941174</v>
      </c>
      <c r="AW10" s="22">
        <f>Table2121418198588[[#Totals],[WR2 TD]]</f>
        <v>0.23529411764705882</v>
      </c>
      <c r="AY10" s="119">
        <f t="shared" si="4"/>
        <v>28.5</v>
      </c>
      <c r="AZ10" s="119">
        <v>31</v>
      </c>
      <c r="BA10" s="119">
        <f>_xlfn.RANK.AVG(Table8[[#This Row],[Y]],Table8[Y])</f>
        <v>28</v>
      </c>
      <c r="BB10" s="119">
        <v>26.5</v>
      </c>
      <c r="BC10" s="119" t="s">
        <v>32</v>
      </c>
      <c r="BD10" s="89">
        <f>Table2121418198588[[#Totals],[TE1 Recep]]</f>
        <v>2.7647058823529411</v>
      </c>
      <c r="BE10" s="89">
        <f>Table2121418198588[[#Totals],[TE1 RecY]]</f>
        <v>30</v>
      </c>
      <c r="BF10" s="22">
        <f>Table2121418198588[[#Totals],[TE1 TD]]</f>
        <v>0.17647058823529413</v>
      </c>
    </row>
    <row r="11" spans="2:58" ht="14.5" customHeight="1" x14ac:dyDescent="0.35">
      <c r="B11" s="24">
        <v>1</v>
      </c>
      <c r="C11" s="155" t="str">
        <f>Table82[[#This Row],[Slate]]</f>
        <v>n/a</v>
      </c>
      <c r="D11" s="21" t="s">
        <v>33</v>
      </c>
      <c r="E11" s="23" t="str">
        <f>Table4334[[#This Row],[OPP]]</f>
        <v>n/a</v>
      </c>
      <c r="G11" s="119">
        <f t="shared" si="0"/>
        <v>1.6</v>
      </c>
      <c r="H11" s="119">
        <v>1</v>
      </c>
      <c r="I11" s="119">
        <v>3</v>
      </c>
      <c r="J11" s="119">
        <f>_xlfn.RANK.AVG(Table1[[#This Row],[P+R]],Table1[P+R])</f>
        <v>1</v>
      </c>
      <c r="K11" s="119">
        <v>2</v>
      </c>
      <c r="L11" s="119">
        <v>1</v>
      </c>
      <c r="M11" s="21" t="s">
        <v>33</v>
      </c>
      <c r="N11" s="89">
        <f>Table212141819[[#Totals],[QB PY]]</f>
        <v>265.94117647058823</v>
      </c>
      <c r="O11" s="89">
        <f>Table212141819[[#Totals],[QB RY]]</f>
        <v>23.411764705882351</v>
      </c>
      <c r="P11" s="89">
        <f>Table1[[#This Row],[P]]+Table1[[#This Row],[R]]</f>
        <v>289.35294117647061</v>
      </c>
      <c r="Q11" s="22">
        <f>Table212141819[[#Totals],[P TD]]</f>
        <v>2.0588235294117645</v>
      </c>
      <c r="R11" s="22">
        <f>Table212141819[[#Totals],[QB TD]]</f>
        <v>0.47058823529411764</v>
      </c>
      <c r="S11" s="121"/>
      <c r="T11" s="119">
        <f t="shared" si="1"/>
        <v>7.4</v>
      </c>
      <c r="U11" s="119">
        <v>18</v>
      </c>
      <c r="V11" s="119">
        <v>4</v>
      </c>
      <c r="W11" s="119">
        <v>2.5</v>
      </c>
      <c r="X11" s="119">
        <v>7</v>
      </c>
      <c r="Y11" s="119">
        <v>5.5</v>
      </c>
      <c r="Z11" s="21" t="s">
        <v>33</v>
      </c>
      <c r="AA11" s="122">
        <f>_xlfn.XLOOKUP(Table20[[#This Row],[DEF]],Table4[DEF],Table4[R])+_xlfn.XLOOKUP(Table20[[#This Row],[DEF]],Table44[DEF],Table44[R])</f>
        <v>95.235294117647072</v>
      </c>
      <c r="AB11" s="122">
        <f>_xlfn.XLOOKUP(Table20[[#This Row],[DEF]],Table4[DEF],Table4[REC])+_xlfn.XLOOKUP(Table20[[#This Row],[DEF]],Table44[DEF],Table44[REC])</f>
        <v>5</v>
      </c>
      <c r="AC11" s="122">
        <f>_xlfn.XLOOKUP(Table20[[#This Row],[DEF]],Table4[DEF],Table4[Y])+_xlfn.XLOOKUP(Table20[[#This Row],[DEF]],Table44[DEF],Table44[Y])</f>
        <v>43.235294117647058</v>
      </c>
      <c r="AD11" s="122">
        <f>_xlfn.XLOOKUP(Table20[[#This Row],[DEF]],Table4[DEF],Table4[R+R])+_xlfn.XLOOKUP(Table20[[#This Row],[DEF]],Table44[DEF],Table44[R+R])</f>
        <v>138.47058823529412</v>
      </c>
      <c r="AE11" s="121">
        <f>_xlfn.XLOOKUP(Table20[[#This Row],[DEF]],Table4[DEF],Table4[TD])+_xlfn.XLOOKUP(Table20[[#This Row],[DEF]],Table44[DEF],Table44[TD])</f>
        <v>1.1764705882352942</v>
      </c>
      <c r="AG11" s="119">
        <f t="shared" si="2"/>
        <v>9.5</v>
      </c>
      <c r="AH11" s="119">
        <v>14.5</v>
      </c>
      <c r="AI11" s="119">
        <f>_xlfn.RANK.AVG(Table7[[#This Row],[Y]],Table7[Y])</f>
        <v>13</v>
      </c>
      <c r="AJ11" s="119">
        <v>1</v>
      </c>
      <c r="AK11" s="21" t="s">
        <v>33</v>
      </c>
      <c r="AL11" s="89">
        <f>Table212141819[[#Totals],[WR1 Recep]]</f>
        <v>4.9411764705882355</v>
      </c>
      <c r="AM11" s="89">
        <f>Table212141819[[#Totals],[WR1 RecY]]</f>
        <v>63.529411764705884</v>
      </c>
      <c r="AN11" s="22">
        <f>Table212141819[[#Totals],[WR1 TD]]</f>
        <v>0.88235294117647056</v>
      </c>
      <c r="AP11" s="119">
        <f t="shared" si="3"/>
        <v>7</v>
      </c>
      <c r="AQ11" s="119">
        <v>6</v>
      </c>
      <c r="AR11" s="119">
        <f>_xlfn.RANK.AVG(Table712[[#This Row],[Y]],Table712[Y])</f>
        <v>1</v>
      </c>
      <c r="AS11" s="119">
        <v>14</v>
      </c>
      <c r="AT11" s="21" t="s">
        <v>33</v>
      </c>
      <c r="AU11" s="89">
        <f>Table212141819[[#Totals],[WR2 Recep]]</f>
        <v>3.7058823529411766</v>
      </c>
      <c r="AV11" s="89">
        <f>Table212141819[[#Totals],[WR2 RecY]]</f>
        <v>61.411764705882355</v>
      </c>
      <c r="AW11" s="22">
        <f>Table212141819[[#Totals],[WR2 TD]]</f>
        <v>0.29411764705882354</v>
      </c>
      <c r="AY11" s="119">
        <f t="shared" si="4"/>
        <v>16.666666666666668</v>
      </c>
      <c r="AZ11" s="119">
        <v>14</v>
      </c>
      <c r="BA11" s="119">
        <f>_xlfn.RANK.AVG(Table8[[#This Row],[Y]],Table8[Y])</f>
        <v>15</v>
      </c>
      <c r="BB11" s="119">
        <v>21</v>
      </c>
      <c r="BC11" s="120" t="s">
        <v>33</v>
      </c>
      <c r="BD11" s="89">
        <f>Table212141819[[#Totals],[TE1 Recep]]</f>
        <v>3.9411764705882355</v>
      </c>
      <c r="BE11" s="89">
        <f>Table212141819[[#Totals],[TE1 RecY]]</f>
        <v>40</v>
      </c>
      <c r="BF11" s="22">
        <f>Table212141819[[#Totals],[TE1 TD]]</f>
        <v>0.23529411764705882</v>
      </c>
    </row>
    <row r="12" spans="2:58" ht="14.5" customHeight="1" x14ac:dyDescent="0.35">
      <c r="B12" s="24">
        <v>1</v>
      </c>
      <c r="C12" s="155" t="str">
        <f>Table82[[#This Row],[Slate]]</f>
        <v>n/a</v>
      </c>
      <c r="D12" s="23" t="s">
        <v>34</v>
      </c>
      <c r="E12" s="23" t="str">
        <f>Table4334[[#This Row],[OPP]]</f>
        <v>n/a</v>
      </c>
      <c r="G12" s="119">
        <f t="shared" si="0"/>
        <v>20.9</v>
      </c>
      <c r="H12" s="119">
        <v>22</v>
      </c>
      <c r="I12" s="119">
        <v>16</v>
      </c>
      <c r="J12" s="119">
        <f>_xlfn.RANK.AVG(Table1[[#This Row],[P+R]],Table1[P+R])</f>
        <v>20</v>
      </c>
      <c r="K12" s="119">
        <v>28.5</v>
      </c>
      <c r="L12" s="119">
        <v>18</v>
      </c>
      <c r="M12" s="23" t="s">
        <v>34</v>
      </c>
      <c r="N12" s="89">
        <f>Table21214181985[[#Totals],[QB PY]]</f>
        <v>212.11764705882354</v>
      </c>
      <c r="O12" s="89">
        <f>Table21214181985[[#Totals],[QB RY]]</f>
        <v>18.294117647058822</v>
      </c>
      <c r="P12" s="89">
        <f>Table1[[#This Row],[P]]+Table1[[#This Row],[R]]</f>
        <v>230.41176470588235</v>
      </c>
      <c r="Q12" s="22">
        <f>Table21214181985[[#Totals],[P TD]]</f>
        <v>1.0588235294117647</v>
      </c>
      <c r="R12" s="22">
        <f>Table21214181985[[#Totals],[QB TD]]</f>
        <v>0.17647058823529413</v>
      </c>
      <c r="S12" s="121"/>
      <c r="T12" s="119">
        <f t="shared" si="1"/>
        <v>28.9</v>
      </c>
      <c r="U12" s="119">
        <v>31</v>
      </c>
      <c r="V12" s="119">
        <v>32</v>
      </c>
      <c r="W12" s="119">
        <v>31</v>
      </c>
      <c r="X12" s="119">
        <v>32</v>
      </c>
      <c r="Y12" s="119">
        <v>18.5</v>
      </c>
      <c r="Z12" s="23" t="s">
        <v>34</v>
      </c>
      <c r="AA12" s="122">
        <f>_xlfn.XLOOKUP(Table20[[#This Row],[DEF]],Table4[DEF],Table4[R])+_xlfn.XLOOKUP(Table20[[#This Row],[DEF]],Table44[DEF],Table44[R])</f>
        <v>71.764705882352942</v>
      </c>
      <c r="AB12" s="122">
        <f>_xlfn.XLOOKUP(Table20[[#This Row],[DEF]],Table4[DEF],Table4[REC])+_xlfn.XLOOKUP(Table20[[#This Row],[DEF]],Table44[DEF],Table44[REC])</f>
        <v>2.8823529411764706</v>
      </c>
      <c r="AC12" s="122">
        <f>_xlfn.XLOOKUP(Table20[[#This Row],[DEF]],Table4[DEF],Table4[Y])+_xlfn.XLOOKUP(Table20[[#This Row],[DEF]],Table44[DEF],Table44[Y])</f>
        <v>21.588235294117649</v>
      </c>
      <c r="AD12" s="122">
        <f>_xlfn.XLOOKUP(Table20[[#This Row],[DEF]],Table4[DEF],Table4[R+R])+_xlfn.XLOOKUP(Table20[[#This Row],[DEF]],Table44[DEF],Table44[R+R])</f>
        <v>93.35294117647058</v>
      </c>
      <c r="AE12" s="121">
        <f>_xlfn.XLOOKUP(Table20[[#This Row],[DEF]],Table4[DEF],Table4[TD])+_xlfn.XLOOKUP(Table20[[#This Row],[DEF]],Table44[DEF],Table44[TD])</f>
        <v>0.82352941176470595</v>
      </c>
      <c r="AG12" s="119">
        <f t="shared" si="2"/>
        <v>29.5</v>
      </c>
      <c r="AH12" s="119">
        <v>24.5</v>
      </c>
      <c r="AI12" s="119">
        <f>_xlfn.RANK.AVG(Table7[[#This Row],[Y]],Table7[Y])</f>
        <v>32</v>
      </c>
      <c r="AJ12" s="119">
        <v>32</v>
      </c>
      <c r="AK12" s="23" t="s">
        <v>34</v>
      </c>
      <c r="AL12" s="89">
        <f>Table21214181985[[#Totals],[WR1 Recep]]</f>
        <v>4.3529411764705879</v>
      </c>
      <c r="AM12" s="89">
        <f>Table21214181985[[#Totals],[WR1 RecY]]</f>
        <v>41.176470588235297</v>
      </c>
      <c r="AN12" s="22">
        <f>Table21214181985[[#Totals],[WR1 TD]]</f>
        <v>5.8823529411764705E-2</v>
      </c>
      <c r="AP12" s="119">
        <f t="shared" si="3"/>
        <v>16.333333333333332</v>
      </c>
      <c r="AQ12" s="119">
        <v>3</v>
      </c>
      <c r="AR12" s="119">
        <f>_xlfn.RANK.AVG(Table712[[#This Row],[Y]],Table712[Y])</f>
        <v>14</v>
      </c>
      <c r="AS12" s="119">
        <v>32</v>
      </c>
      <c r="AT12" s="23" t="s">
        <v>34</v>
      </c>
      <c r="AU12" s="89">
        <f>Table21214181985[[#Totals],[WR2 Recep]]</f>
        <v>3.9411764705882355</v>
      </c>
      <c r="AV12" s="89">
        <f>Table21214181985[[#Totals],[WR2 RecY]]</f>
        <v>42.764705882352942</v>
      </c>
      <c r="AW12" s="22">
        <f>Table21214181985[[#Totals],[WR2 TD]]</f>
        <v>0</v>
      </c>
      <c r="AY12" s="119">
        <f t="shared" si="4"/>
        <v>11.666666666666666</v>
      </c>
      <c r="AZ12" s="119">
        <v>11.5</v>
      </c>
      <c r="BA12" s="119">
        <f>_xlfn.RANK.AVG(Table8[[#This Row],[Y]],Table8[Y])</f>
        <v>8</v>
      </c>
      <c r="BB12" s="119">
        <v>15.5</v>
      </c>
      <c r="BC12" s="119" t="s">
        <v>34</v>
      </c>
      <c r="BD12" s="89">
        <f>Table21214181985[[#Totals],[TE1 Recep]]</f>
        <v>4</v>
      </c>
      <c r="BE12" s="89">
        <f>Table21214181985[[#Totals],[TE1 RecY]]</f>
        <v>45</v>
      </c>
      <c r="BF12" s="22">
        <f>Table21214181985[[#Totals],[TE1 TD]]</f>
        <v>0.29411764705882354</v>
      </c>
    </row>
    <row r="13" spans="2:58" ht="14.5" customHeight="1" x14ac:dyDescent="0.35">
      <c r="B13" s="24">
        <v>1</v>
      </c>
      <c r="C13" s="155" t="str">
        <f>Table82[[#This Row],[Slate]]</f>
        <v>n/a</v>
      </c>
      <c r="D13" s="21" t="s">
        <v>35</v>
      </c>
      <c r="E13" s="23" t="str">
        <f>Table4334[[#This Row],[OPP]]</f>
        <v>n/a</v>
      </c>
      <c r="G13" s="119">
        <f>AVERAGE(H13:L13)</f>
        <v>13.7</v>
      </c>
      <c r="H13" s="119">
        <v>12</v>
      </c>
      <c r="I13" s="119">
        <v>27</v>
      </c>
      <c r="J13" s="119">
        <f>_xlfn.RANK.AVG(Table1[[#This Row],[P+R]],Table1[P+R])</f>
        <v>13</v>
      </c>
      <c r="K13" s="119">
        <v>4</v>
      </c>
      <c r="L13" s="119">
        <v>12.5</v>
      </c>
      <c r="M13" s="21" t="s">
        <v>35</v>
      </c>
      <c r="N13" s="89">
        <f>Table2121418198586[[#Totals],[QB PY]]</f>
        <v>236.88235294117646</v>
      </c>
      <c r="O13" s="89">
        <f>Table2121418198586[[#Totals],[QB RY]]</f>
        <v>15.176470588235293</v>
      </c>
      <c r="P13" s="89">
        <f>Table1[[#This Row],[P]]+Table1[[#This Row],[R]]</f>
        <v>252.05882352941177</v>
      </c>
      <c r="Q13" s="22">
        <f>Table2121418198586[[#Totals],[P TD]]</f>
        <v>1.9411764705882353</v>
      </c>
      <c r="R13" s="22">
        <f>Table2121418198586[[#Totals],[QB TD]]</f>
        <v>0.23529411764705882</v>
      </c>
      <c r="S13" s="121"/>
      <c r="T13" s="119">
        <f t="shared" si="1"/>
        <v>24.4</v>
      </c>
      <c r="U13" s="119">
        <v>21</v>
      </c>
      <c r="V13" s="119">
        <v>26</v>
      </c>
      <c r="W13" s="119">
        <v>28</v>
      </c>
      <c r="X13" s="119">
        <v>24</v>
      </c>
      <c r="Y13" s="119">
        <v>23</v>
      </c>
      <c r="Z13" s="21" t="s">
        <v>35</v>
      </c>
      <c r="AA13" s="122">
        <f>_xlfn.XLOOKUP(Table20[[#This Row],[DEF]],Table4[DEF],Table4[R])+_xlfn.XLOOKUP(Table20[[#This Row],[DEF]],Table44[DEF],Table44[R])</f>
        <v>89.117647058823536</v>
      </c>
      <c r="AB13" s="122">
        <f>_xlfn.XLOOKUP(Table20[[#This Row],[DEF]],Table4[DEF],Table4[REC])+_xlfn.XLOOKUP(Table20[[#This Row],[DEF]],Table44[DEF],Table44[REC])</f>
        <v>3.5294117647058822</v>
      </c>
      <c r="AC13" s="122">
        <f>_xlfn.XLOOKUP(Table20[[#This Row],[DEF]],Table4[DEF],Table4[Y])+_xlfn.XLOOKUP(Table20[[#This Row],[DEF]],Table44[DEF],Table44[Y])</f>
        <v>24.588235294117645</v>
      </c>
      <c r="AD13" s="122">
        <f>_xlfn.XLOOKUP(Table20[[#This Row],[DEF]],Table4[DEF],Table4[R+R])+_xlfn.XLOOKUP(Table20[[#This Row],[DEF]],Table44[DEF],Table44[R+R])</f>
        <v>113.70588235294119</v>
      </c>
      <c r="AE13" s="121">
        <f>_xlfn.XLOOKUP(Table20[[#This Row],[DEF]],Table4[DEF],Table4[TD])+_xlfn.XLOOKUP(Table20[[#This Row],[DEF]],Table44[DEF],Table44[TD])</f>
        <v>0.76470588235294124</v>
      </c>
      <c r="AG13" s="119">
        <f t="shared" si="2"/>
        <v>16.666666666666668</v>
      </c>
      <c r="AH13" s="119">
        <v>21.5</v>
      </c>
      <c r="AI13" s="119">
        <f>_xlfn.RANK.AVG(Table7[[#This Row],[Y]],Table7[Y])</f>
        <v>18</v>
      </c>
      <c r="AJ13" s="119">
        <v>10.5</v>
      </c>
      <c r="AK13" s="21" t="s">
        <v>35</v>
      </c>
      <c r="AL13" s="89">
        <f>Table2121418198586[[#Totals],[WR1 Recep]]</f>
        <v>4.6470588235294121</v>
      </c>
      <c r="AM13" s="89">
        <f>Table2121418198586[[#Totals],[WR1 RecY]]</f>
        <v>60.352941176470587</v>
      </c>
      <c r="AN13" s="22">
        <f>Table2121418198586[[#Totals],[WR1 TD]]</f>
        <v>0.47058823529411764</v>
      </c>
      <c r="AP13" s="119">
        <f t="shared" si="3"/>
        <v>13.333333333333334</v>
      </c>
      <c r="AQ13" s="119">
        <v>22.5</v>
      </c>
      <c r="AR13" s="119">
        <f>_xlfn.RANK.AVG(Table712[[#This Row],[Y]],Table712[Y])</f>
        <v>15</v>
      </c>
      <c r="AS13" s="119">
        <v>2.5</v>
      </c>
      <c r="AT13" s="21" t="s">
        <v>35</v>
      </c>
      <c r="AU13" s="89">
        <f>Table2121418198586[[#Totals],[WR2 Recep]]</f>
        <v>3</v>
      </c>
      <c r="AV13" s="89">
        <f>Table2121418198586[[#Totals],[WR2 RecY]]</f>
        <v>42.647058823529413</v>
      </c>
      <c r="AW13" s="22">
        <f>Table2121418198586[[#Totals],[WR2 TD]]</f>
        <v>0.58823529411764708</v>
      </c>
      <c r="AY13" s="119">
        <f t="shared" si="4"/>
        <v>10.833333333333334</v>
      </c>
      <c r="AZ13" s="119">
        <v>17</v>
      </c>
      <c r="BA13" s="119">
        <f>_xlfn.RANK.AVG(Table8[[#This Row],[Y]],Table8[Y])</f>
        <v>9</v>
      </c>
      <c r="BB13" s="119">
        <v>6.5</v>
      </c>
      <c r="BC13" s="120" t="s">
        <v>35</v>
      </c>
      <c r="BD13" s="89">
        <f>Table2121418198586[[#Totals],[TE1 Recep]]</f>
        <v>3.7058823529411766</v>
      </c>
      <c r="BE13" s="89">
        <f>Table2121418198586[[#Totals],[TE1 RecY]]</f>
        <v>44.823529411764703</v>
      </c>
      <c r="BF13" s="22">
        <f>Table2121418198586[[#Totals],[TE1 TD]]</f>
        <v>0.41176470588235292</v>
      </c>
    </row>
    <row r="14" spans="2:58" ht="14.5" customHeight="1" x14ac:dyDescent="0.35">
      <c r="B14" s="24">
        <v>1</v>
      </c>
      <c r="C14" s="155" t="str">
        <f>Table82[[#This Row],[Slate]]</f>
        <v>n/a</v>
      </c>
      <c r="D14" s="23" t="s">
        <v>36</v>
      </c>
      <c r="E14" s="23" t="str">
        <f>Table4334[[#This Row],[OPP]]</f>
        <v>n/a</v>
      </c>
      <c r="G14" s="119">
        <f t="shared" si="0"/>
        <v>24.4</v>
      </c>
      <c r="H14" s="119">
        <v>23</v>
      </c>
      <c r="I14" s="119">
        <v>28</v>
      </c>
      <c r="J14" s="119">
        <f>_xlfn.RANK.AVG(Table1[[#This Row],[P+R]],Table1[P+R])</f>
        <v>27</v>
      </c>
      <c r="K14" s="119">
        <v>21</v>
      </c>
      <c r="L14" s="119">
        <v>23</v>
      </c>
      <c r="M14" s="23" t="s">
        <v>36</v>
      </c>
      <c r="N14" s="89">
        <f>Table2121418198598101[[#Totals],[QB PY]]</f>
        <v>206.8235294117647</v>
      </c>
      <c r="O14" s="89">
        <f>Table2121418198598101[[#Totals],[QB RY]]</f>
        <v>14.470588235294118</v>
      </c>
      <c r="P14" s="89">
        <f>Table1[[#This Row],[P]]+Table1[[#This Row],[R]]</f>
        <v>221.29411764705881</v>
      </c>
      <c r="Q14" s="22">
        <f>Table2121418198598101[[#Totals],[P TD]]</f>
        <v>1.411764705882353</v>
      </c>
      <c r="R14" s="22">
        <f>Table2121418198598101[[#Totals],[QB TD]]</f>
        <v>0.11764705882352941</v>
      </c>
      <c r="S14" s="121"/>
      <c r="T14" s="119">
        <f t="shared" si="1"/>
        <v>18</v>
      </c>
      <c r="U14" s="119">
        <v>13</v>
      </c>
      <c r="V14" s="119">
        <v>11.5</v>
      </c>
      <c r="W14" s="119">
        <v>25</v>
      </c>
      <c r="X14" s="119">
        <v>16</v>
      </c>
      <c r="Y14" s="119">
        <v>24.5</v>
      </c>
      <c r="Z14" s="23" t="s">
        <v>36</v>
      </c>
      <c r="AA14" s="122">
        <f>_xlfn.XLOOKUP(Table20[[#This Row],[DEF]],Table4[DEF],Table4[R])+_xlfn.XLOOKUP(Table20[[#This Row],[DEF]],Table44[DEF],Table44[R])</f>
        <v>100.47058823529412</v>
      </c>
      <c r="AB14" s="122">
        <f>_xlfn.XLOOKUP(Table20[[#This Row],[DEF]],Table4[DEF],Table4[REC])+_xlfn.XLOOKUP(Table20[[#This Row],[DEF]],Table44[DEF],Table44[REC])</f>
        <v>4.5882352941176467</v>
      </c>
      <c r="AC14" s="122">
        <f>_xlfn.XLOOKUP(Table20[[#This Row],[DEF]],Table4[DEF],Table4[Y])+_xlfn.XLOOKUP(Table20[[#This Row],[DEF]],Table44[DEF],Table44[Y])</f>
        <v>26.882352941176471</v>
      </c>
      <c r="AD14" s="122">
        <f>_xlfn.XLOOKUP(Table20[[#This Row],[DEF]],Table4[DEF],Table4[R+R])+_xlfn.XLOOKUP(Table20[[#This Row],[DEF]],Table44[DEF],Table44[R+R])</f>
        <v>127.35294117647058</v>
      </c>
      <c r="AE14" s="121">
        <f>_xlfn.XLOOKUP(Table20[[#This Row],[DEF]],Table4[DEF],Table4[TD])+_xlfn.XLOOKUP(Table20[[#This Row],[DEF]],Table44[DEF],Table44[TD])</f>
        <v>0.76470588235294112</v>
      </c>
      <c r="AG14" s="119">
        <f t="shared" si="2"/>
        <v>14.166666666666666</v>
      </c>
      <c r="AH14" s="119">
        <v>18</v>
      </c>
      <c r="AI14" s="119">
        <f>_xlfn.RANK.AVG(Table7[[#This Row],[Y]],Table7[Y])</f>
        <v>14</v>
      </c>
      <c r="AJ14" s="119">
        <v>10.5</v>
      </c>
      <c r="AK14" s="23" t="s">
        <v>36</v>
      </c>
      <c r="AL14" s="89">
        <f>Table2121418198598101[[#Totals],[WR1 Recep]]</f>
        <v>4.7647058823529411</v>
      </c>
      <c r="AM14" s="89">
        <f>Table2121418198598101[[#Totals],[WR1 RecY]]</f>
        <v>63.235294117647058</v>
      </c>
      <c r="AN14" s="22">
        <f>Table2121418198598101[[#Totals],[WR1 TD]]</f>
        <v>0.47058823529411764</v>
      </c>
      <c r="AP14" s="119">
        <f t="shared" si="3"/>
        <v>17.333333333333332</v>
      </c>
      <c r="AQ14" s="119">
        <v>12</v>
      </c>
      <c r="AR14" s="119">
        <f>_xlfn.RANK.AVG(Table712[[#This Row],[Y]],Table712[Y])</f>
        <v>19</v>
      </c>
      <c r="AS14" s="119">
        <v>21</v>
      </c>
      <c r="AT14" s="23" t="s">
        <v>36</v>
      </c>
      <c r="AU14" s="89">
        <f>Table2121418198598101[[#Totals],[WR2 Recep]]</f>
        <v>3.2941176470588234</v>
      </c>
      <c r="AV14" s="89">
        <f>Table2121418198598101[[#Totals],[WR2 RecY]]</f>
        <v>39.235294117647058</v>
      </c>
      <c r="AW14" s="22">
        <f>Table2121418198598101[[#Totals],[WR2 TD]]</f>
        <v>0.23529411764705882</v>
      </c>
      <c r="AY14" s="119">
        <f t="shared" si="4"/>
        <v>17.5</v>
      </c>
      <c r="AZ14" s="119">
        <v>14</v>
      </c>
      <c r="BA14" s="119">
        <f>_xlfn.RANK.AVG(Table8[[#This Row],[Y]],Table8[Y])</f>
        <v>23</v>
      </c>
      <c r="BB14" s="119">
        <v>15.5</v>
      </c>
      <c r="BC14" s="119" t="s">
        <v>36</v>
      </c>
      <c r="BD14" s="89">
        <f>Table2121418198598101[[#Totals],[TE1 Recep]]</f>
        <v>3.9411764705882355</v>
      </c>
      <c r="BE14" s="89">
        <f>Table2121418198598101[[#Totals],[TE1 RecY]]</f>
        <v>33.823529411764703</v>
      </c>
      <c r="BF14" s="22">
        <f>Table2121418198598101[[#Totals],[TE1 TD]]</f>
        <v>0.29411764705882354</v>
      </c>
    </row>
    <row r="15" spans="2:58" ht="14.5" customHeight="1" x14ac:dyDescent="0.35">
      <c r="B15" s="24">
        <v>1</v>
      </c>
      <c r="C15" s="155" t="str">
        <f>Table82[[#This Row],[Slate]]</f>
        <v>n/a</v>
      </c>
      <c r="D15" s="21" t="s">
        <v>37</v>
      </c>
      <c r="E15" s="23" t="str">
        <f>Table4334[[#This Row],[OPP]]</f>
        <v>n/a</v>
      </c>
      <c r="G15" s="119">
        <f t="shared" si="0"/>
        <v>22.7</v>
      </c>
      <c r="H15" s="119">
        <v>26</v>
      </c>
      <c r="I15" s="119">
        <v>10</v>
      </c>
      <c r="J15" s="119">
        <f>_xlfn.RANK.AVG(Table1[[#This Row],[P+R]],Table1[P+R])</f>
        <v>24</v>
      </c>
      <c r="K15" s="119">
        <v>25</v>
      </c>
      <c r="L15" s="119">
        <v>28.5</v>
      </c>
      <c r="M15" s="21" t="s">
        <v>37</v>
      </c>
      <c r="N15" s="89">
        <f>Table2121418198598102[[#Totals],[QB PY]]</f>
        <v>205.05882352941177</v>
      </c>
      <c r="O15" s="89">
        <f>Table2121418198598102[[#Totals],[QB RY]]</f>
        <v>19.647058823529413</v>
      </c>
      <c r="P15" s="89">
        <f>Table1[[#This Row],[P]]+Table1[[#This Row],[R]]</f>
        <v>224.70588235294119</v>
      </c>
      <c r="Q15" s="22">
        <f>Table2121418198598102[[#Totals],[P TD]]</f>
        <v>1.1764705882352942</v>
      </c>
      <c r="R15" s="22">
        <f>Table2121418198598102[[#Totals],[QB TD]]</f>
        <v>5.8823529411764705E-2</v>
      </c>
      <c r="S15" s="121"/>
      <c r="T15" s="119">
        <f t="shared" si="1"/>
        <v>22.3</v>
      </c>
      <c r="U15" s="119">
        <v>29</v>
      </c>
      <c r="V15" s="119">
        <v>17</v>
      </c>
      <c r="W15" s="119">
        <v>14</v>
      </c>
      <c r="X15" s="119">
        <v>30</v>
      </c>
      <c r="Y15" s="119">
        <v>21.5</v>
      </c>
      <c r="Z15" s="21" t="s">
        <v>37</v>
      </c>
      <c r="AA15" s="122">
        <f>_xlfn.XLOOKUP(Table20[[#This Row],[DEF]],Table4[DEF],Table4[R])+_xlfn.XLOOKUP(Table20[[#This Row],[DEF]],Table44[DEF],Table44[R])</f>
        <v>73.529411764705884</v>
      </c>
      <c r="AB15" s="122">
        <f>_xlfn.XLOOKUP(Table20[[#This Row],[DEF]],Table4[DEF],Table4[REC])+_xlfn.XLOOKUP(Table20[[#This Row],[DEF]],Table44[DEF],Table44[REC])</f>
        <v>4.2352941176470589</v>
      </c>
      <c r="AC15" s="122">
        <f>_xlfn.XLOOKUP(Table20[[#This Row],[DEF]],Table4[DEF],Table4[Y])+_xlfn.XLOOKUP(Table20[[#This Row],[DEF]],Table44[DEF],Table44[Y])</f>
        <v>31.823529411764703</v>
      </c>
      <c r="AD15" s="122">
        <f>_xlfn.XLOOKUP(Table20[[#This Row],[DEF]],Table4[DEF],Table4[R+R])+_xlfn.XLOOKUP(Table20[[#This Row],[DEF]],Table44[DEF],Table44[R+R])</f>
        <v>105.35294117647058</v>
      </c>
      <c r="AE15" s="121">
        <f>_xlfn.XLOOKUP(Table20[[#This Row],[DEF]],Table4[DEF],Table4[TD])+_xlfn.XLOOKUP(Table20[[#This Row],[DEF]],Table44[DEF],Table44[TD])</f>
        <v>0.82352941176470584</v>
      </c>
      <c r="AG15" s="119">
        <f t="shared" si="2"/>
        <v>28.166666666666668</v>
      </c>
      <c r="AH15" s="119">
        <v>28.5</v>
      </c>
      <c r="AI15" s="119">
        <f>_xlfn.RANK.AVG(Table7[[#This Row],[Y]],Table7[Y])</f>
        <v>27</v>
      </c>
      <c r="AJ15" s="119">
        <v>29</v>
      </c>
      <c r="AK15" s="21" t="s">
        <v>37</v>
      </c>
      <c r="AL15" s="89">
        <f>Table2121418198598102[[#Totals],[WR1 Recep]]</f>
        <v>3.9411764705882355</v>
      </c>
      <c r="AM15" s="89">
        <f>Table2121418198598102[[#Totals],[WR1 RecY]]</f>
        <v>52.294117647058826</v>
      </c>
      <c r="AN15" s="22">
        <f>Table2121418198598102[[#Totals],[WR1 TD]]</f>
        <v>0.17647058823529413</v>
      </c>
      <c r="AP15" s="119">
        <f t="shared" si="3"/>
        <v>16</v>
      </c>
      <c r="AQ15" s="119">
        <v>28</v>
      </c>
      <c r="AR15" s="119">
        <f>_xlfn.RANK.AVG(Table712[[#This Row],[Y]],Table712[Y])</f>
        <v>11</v>
      </c>
      <c r="AS15" s="119">
        <v>9</v>
      </c>
      <c r="AT15" s="21" t="s">
        <v>37</v>
      </c>
      <c r="AU15" s="89">
        <f>Table2121418198598102[[#Totals],[WR2 Recep]]</f>
        <v>2.7058823529411766</v>
      </c>
      <c r="AV15" s="89">
        <f>Table2121418198598102[[#Totals],[WR2 RecY]]</f>
        <v>44.058823529411768</v>
      </c>
      <c r="AW15" s="22">
        <f>Table2121418198598102[[#Totals],[WR2 TD]]</f>
        <v>0.35294117647058826</v>
      </c>
      <c r="AY15" s="119">
        <f t="shared" si="4"/>
        <v>17.833333333333332</v>
      </c>
      <c r="AZ15" s="119">
        <v>23</v>
      </c>
      <c r="BA15" s="119">
        <f>_xlfn.RANK.AVG(Table8[[#This Row],[Y]],Table8[Y])</f>
        <v>24</v>
      </c>
      <c r="BB15" s="119">
        <v>6.5</v>
      </c>
      <c r="BC15" s="120" t="s">
        <v>37</v>
      </c>
      <c r="BD15" s="89">
        <f>Table2121418198598102[[#Totals],[TE1 Recep]]</f>
        <v>3.3529411764705883</v>
      </c>
      <c r="BE15" s="89">
        <f>Table2121418198598102[[#Totals],[TE1 RecY]]</f>
        <v>32.882352941176471</v>
      </c>
      <c r="BF15" s="22">
        <f>Table2121418198598102[[#Totals],[TE1 TD]]</f>
        <v>0.41176470588235292</v>
      </c>
    </row>
    <row r="16" spans="2:58" ht="14.5" customHeight="1" x14ac:dyDescent="0.35">
      <c r="B16" s="24">
        <v>1</v>
      </c>
      <c r="C16" s="155" t="str">
        <f>Table82[[#This Row],[Slate]]</f>
        <v>n/a</v>
      </c>
      <c r="D16" s="23" t="s">
        <v>38</v>
      </c>
      <c r="E16" s="23" t="str">
        <f>Table4334[[#This Row],[OPP]]</f>
        <v>n/a</v>
      </c>
      <c r="G16" s="119">
        <f t="shared" si="0"/>
        <v>15.5</v>
      </c>
      <c r="H16" s="119">
        <v>2</v>
      </c>
      <c r="I16" s="119">
        <v>30.5</v>
      </c>
      <c r="J16" s="119">
        <f>_xlfn.RANK.AVG(Table1[[#This Row],[P+R]],Table1[P+R])</f>
        <v>6</v>
      </c>
      <c r="K16" s="119">
        <v>21</v>
      </c>
      <c r="L16" s="119">
        <v>18</v>
      </c>
      <c r="M16" s="23" t="s">
        <v>38</v>
      </c>
      <c r="N16" s="89">
        <f>Table2121418198598103[[#Totals],[QB PY]]</f>
        <v>262.47058823529414</v>
      </c>
      <c r="O16" s="89">
        <f>Table2121418198598103[[#Totals],[QB RY]]</f>
        <v>12.235294117647058</v>
      </c>
      <c r="P16" s="89">
        <f>Table1[[#This Row],[P]]+Table1[[#This Row],[R]]</f>
        <v>274.70588235294122</v>
      </c>
      <c r="Q16" s="22">
        <f>Table2121418198598103[[#Totals],[P TD]]</f>
        <v>1.411764705882353</v>
      </c>
      <c r="R16" s="22">
        <f>Table2121418198598103[[#Totals],[QB TD]]</f>
        <v>0.17647058823529413</v>
      </c>
      <c r="S16" s="121"/>
      <c r="T16" s="119">
        <f t="shared" si="1"/>
        <v>23.2</v>
      </c>
      <c r="U16" s="119">
        <v>23</v>
      </c>
      <c r="V16" s="119">
        <v>23</v>
      </c>
      <c r="W16" s="119">
        <v>29</v>
      </c>
      <c r="X16" s="119">
        <v>26</v>
      </c>
      <c r="Y16" s="119">
        <v>15</v>
      </c>
      <c r="Z16" s="23" t="s">
        <v>38</v>
      </c>
      <c r="AA16" s="122">
        <f>_xlfn.XLOOKUP(Table20[[#This Row],[DEF]],Table4[DEF],Table4[R])+_xlfn.XLOOKUP(Table20[[#This Row],[DEF]],Table44[DEF],Table44[R])</f>
        <v>86.764705882352942</v>
      </c>
      <c r="AB16" s="122">
        <f>_xlfn.XLOOKUP(Table20[[#This Row],[DEF]],Table4[DEF],Table4[REC])+_xlfn.XLOOKUP(Table20[[#This Row],[DEF]],Table44[DEF],Table44[REC])</f>
        <v>3.9411764705882351</v>
      </c>
      <c r="AC16" s="122">
        <f>_xlfn.XLOOKUP(Table20[[#This Row],[DEF]],Table4[DEF],Table4[Y])+_xlfn.XLOOKUP(Table20[[#This Row],[DEF]],Table44[DEF],Table44[Y])</f>
        <v>24.411764705882351</v>
      </c>
      <c r="AD16" s="122">
        <f>_xlfn.XLOOKUP(Table20[[#This Row],[DEF]],Table4[DEF],Table4[R+R])+_xlfn.XLOOKUP(Table20[[#This Row],[DEF]],Table44[DEF],Table44[R+R])</f>
        <v>111.17647058823529</v>
      </c>
      <c r="AE16" s="121">
        <f>_xlfn.XLOOKUP(Table20[[#This Row],[DEF]],Table4[DEF],Table4[TD])+_xlfn.XLOOKUP(Table20[[#This Row],[DEF]],Table44[DEF],Table44[TD])</f>
        <v>0.88235294117647056</v>
      </c>
      <c r="AG16" s="119">
        <f t="shared" si="2"/>
        <v>17.666666666666668</v>
      </c>
      <c r="AH16" s="119">
        <v>19.5</v>
      </c>
      <c r="AI16" s="119">
        <f>_xlfn.RANK.AVG(Table7[[#This Row],[Y]],Table7[Y])</f>
        <v>11</v>
      </c>
      <c r="AJ16" s="119">
        <v>22.5</v>
      </c>
      <c r="AK16" s="23" t="s">
        <v>38</v>
      </c>
      <c r="AL16" s="89">
        <f>Table2121418198598103[[#Totals],[WR1 Recep]]</f>
        <v>4.7058823529411766</v>
      </c>
      <c r="AM16" s="89">
        <f>Table2121418198598103[[#Totals],[WR1 RecY]]</f>
        <v>65.17647058823529</v>
      </c>
      <c r="AN16" s="22">
        <f>Table2121418198598103[[#Totals],[WR1 TD]]</f>
        <v>0.29411764705882354</v>
      </c>
      <c r="AP16" s="119">
        <f t="shared" si="3"/>
        <v>8.3333333333333339</v>
      </c>
      <c r="AQ16" s="119">
        <v>1</v>
      </c>
      <c r="AR16" s="119">
        <f>_xlfn.RANK.AVG(Table712[[#This Row],[Y]],Table712[Y])</f>
        <v>10</v>
      </c>
      <c r="AS16" s="119">
        <v>14</v>
      </c>
      <c r="AT16" s="23" t="s">
        <v>38</v>
      </c>
      <c r="AU16" s="89">
        <f>Table2121418198598103[[#Totals],[WR2 Recep]]</f>
        <v>4.1764705882352944</v>
      </c>
      <c r="AV16" s="89">
        <f>Table2121418198598103[[#Totals],[WR2 RecY]]</f>
        <v>46.294117647058826</v>
      </c>
      <c r="AW16" s="22">
        <f>Table2121418198598103[[#Totals],[WR2 TD]]</f>
        <v>0.29411764705882354</v>
      </c>
      <c r="AY16" s="119">
        <f t="shared" si="4"/>
        <v>12.833333333333334</v>
      </c>
      <c r="AZ16" s="119">
        <v>10</v>
      </c>
      <c r="BA16" s="119">
        <f>_xlfn.RANK.AVG(Table8[[#This Row],[Y]],Table8[Y])</f>
        <v>2</v>
      </c>
      <c r="BB16" s="119">
        <v>26.5</v>
      </c>
      <c r="BC16" s="119" t="s">
        <v>38</v>
      </c>
      <c r="BD16" s="89">
        <f>Table2121418198598103[[#Totals],[TE1 Recep]]</f>
        <v>4.117647058823529</v>
      </c>
      <c r="BE16" s="89">
        <f>Table2121418198598103[[#Totals],[TE1 RecY]]</f>
        <v>53.235294117647058</v>
      </c>
      <c r="BF16" s="22">
        <f>Table2121418198598103[[#Totals],[TE1 TD]]</f>
        <v>0.17647058823529413</v>
      </c>
    </row>
    <row r="17" spans="2:60" ht="14.5" customHeight="1" x14ac:dyDescent="0.35">
      <c r="B17" s="24">
        <v>1</v>
      </c>
      <c r="C17" s="155" t="str">
        <f>Table82[[#This Row],[Slate]]</f>
        <v>n/a</v>
      </c>
      <c r="D17" s="21" t="s">
        <v>39</v>
      </c>
      <c r="E17" s="23" t="str">
        <f>Table4334[[#This Row],[OPP]]</f>
        <v>n/a</v>
      </c>
      <c r="G17" s="119">
        <f t="shared" si="0"/>
        <v>15.4</v>
      </c>
      <c r="H17" s="119">
        <v>14</v>
      </c>
      <c r="I17" s="119">
        <v>21</v>
      </c>
      <c r="J17" s="119">
        <f>_xlfn.RANK.AVG(Table1[[#This Row],[P+R]],Table1[P+R])</f>
        <v>17</v>
      </c>
      <c r="K17" s="119">
        <v>17</v>
      </c>
      <c r="L17" s="119">
        <v>8</v>
      </c>
      <c r="M17" s="21" t="s">
        <v>39</v>
      </c>
      <c r="N17" s="89">
        <f>Table2121418198598104[[#Totals],[QB PY]]</f>
        <v>231.35294117647058</v>
      </c>
      <c r="O17" s="89">
        <f>Table2121418198598104[[#Totals],[QB RY]]</f>
        <v>16.647058823529413</v>
      </c>
      <c r="P17" s="89">
        <f>Table1[[#This Row],[P]]+Table1[[#This Row],[R]]</f>
        <v>248</v>
      </c>
      <c r="Q17" s="22">
        <f>Table2121418198598104[[#Totals],[P TD]]</f>
        <v>1.4705882352941178</v>
      </c>
      <c r="R17" s="22">
        <f>Table2121418198598104[[#Totals],[QB TD]]</f>
        <v>0.29411764705882354</v>
      </c>
      <c r="S17" s="121"/>
      <c r="T17" s="119">
        <f t="shared" si="1"/>
        <v>20.9</v>
      </c>
      <c r="U17" s="119">
        <v>32</v>
      </c>
      <c r="V17" s="119">
        <v>8</v>
      </c>
      <c r="W17" s="119">
        <v>12</v>
      </c>
      <c r="X17" s="119">
        <v>31</v>
      </c>
      <c r="Y17" s="119">
        <v>21.5</v>
      </c>
      <c r="Z17" s="21" t="s">
        <v>39</v>
      </c>
      <c r="AA17" s="122">
        <f>_xlfn.XLOOKUP(Table20[[#This Row],[DEF]],Table4[DEF],Table4[R])+_xlfn.XLOOKUP(Table20[[#This Row],[DEF]],Table44[DEF],Table44[R])</f>
        <v>68</v>
      </c>
      <c r="AB17" s="122">
        <f>_xlfn.XLOOKUP(Table20[[#This Row],[DEF]],Table4[DEF],Table4[REC])+_xlfn.XLOOKUP(Table20[[#This Row],[DEF]],Table44[DEF],Table44[REC])</f>
        <v>4.8235294117647065</v>
      </c>
      <c r="AC17" s="122">
        <f>_xlfn.XLOOKUP(Table20[[#This Row],[DEF]],Table4[DEF],Table4[Y])+_xlfn.XLOOKUP(Table20[[#This Row],[DEF]],Table44[DEF],Table44[Y])</f>
        <v>34.470588235294116</v>
      </c>
      <c r="AD17" s="122">
        <f>_xlfn.XLOOKUP(Table20[[#This Row],[DEF]],Table4[DEF],Table4[R+R])+_xlfn.XLOOKUP(Table20[[#This Row],[DEF]],Table44[DEF],Table44[R+R])</f>
        <v>102.47058823529412</v>
      </c>
      <c r="AE17" s="121">
        <f>_xlfn.XLOOKUP(Table20[[#This Row],[DEF]],Table4[DEF],Table4[TD])+_xlfn.XLOOKUP(Table20[[#This Row],[DEF]],Table44[DEF],Table44[TD])</f>
        <v>0.82352941176470584</v>
      </c>
      <c r="AG17" s="119">
        <f t="shared" si="2"/>
        <v>11.333333333333334</v>
      </c>
      <c r="AH17" s="119">
        <v>1.5</v>
      </c>
      <c r="AI17" s="119">
        <f>_xlfn.RANK.AVG(Table7[[#This Row],[Y]],Table7[Y])</f>
        <v>7</v>
      </c>
      <c r="AJ17" s="119">
        <v>25.5</v>
      </c>
      <c r="AK17" s="21" t="s">
        <v>39</v>
      </c>
      <c r="AL17" s="89">
        <f>Table2121418198598104[[#Totals],[WR1 Recep]]</f>
        <v>5.7058823529411766</v>
      </c>
      <c r="AM17" s="89">
        <f>Table2121418198598104[[#Totals],[WR1 RecY]]</f>
        <v>67.705882352941174</v>
      </c>
      <c r="AN17" s="22">
        <f>Table2121418198598104[[#Totals],[WR1 TD]]</f>
        <v>0.23529411764705882</v>
      </c>
      <c r="AP17" s="119">
        <f t="shared" si="3"/>
        <v>18.833333333333332</v>
      </c>
      <c r="AQ17" s="119">
        <v>17.5</v>
      </c>
      <c r="AR17" s="119">
        <f>_xlfn.RANK.AVG(Table712[[#This Row],[Y]],Table712[Y])</f>
        <v>25</v>
      </c>
      <c r="AS17" s="119">
        <v>14</v>
      </c>
      <c r="AT17" s="21" t="s">
        <v>39</v>
      </c>
      <c r="AU17" s="89">
        <f>Table2121418198598104[[#Totals],[WR2 Recep]]</f>
        <v>3.1764705882352939</v>
      </c>
      <c r="AV17" s="89">
        <f>Table2121418198598104[[#Totals],[WR2 RecY]]</f>
        <v>35.647058823529413</v>
      </c>
      <c r="AW17" s="22">
        <f>Table2121418198598104[[#Totals],[WR2 TD]]</f>
        <v>0.29411764705882354</v>
      </c>
      <c r="AY17" s="119">
        <f t="shared" si="4"/>
        <v>7.833333333333333</v>
      </c>
      <c r="AZ17" s="119">
        <v>6.5</v>
      </c>
      <c r="BA17" s="119">
        <f>_xlfn.RANK.AVG(Table8[[#This Row],[Y]],Table8[Y])</f>
        <v>7</v>
      </c>
      <c r="BB17" s="119">
        <v>10</v>
      </c>
      <c r="BC17" s="120" t="s">
        <v>39</v>
      </c>
      <c r="BD17" s="89">
        <f>Table2121418198598104[[#Totals],[TE1 Recep]]</f>
        <v>4.2941176470588234</v>
      </c>
      <c r="BE17" s="89">
        <f>Table2121418198598104[[#Totals],[TE1 RecY]]</f>
        <v>45.235294117647058</v>
      </c>
      <c r="BF17" s="22">
        <f>Table2121418198598104[[#Totals],[TE1 TD]]</f>
        <v>0.35294117647058826</v>
      </c>
    </row>
    <row r="18" spans="2:60" ht="14.5" customHeight="1" x14ac:dyDescent="0.35">
      <c r="B18" s="24">
        <v>1</v>
      </c>
      <c r="C18" s="155" t="str">
        <f>Table82[[#This Row],[Slate]]</f>
        <v>n/a</v>
      </c>
      <c r="D18" s="23" t="s">
        <v>40</v>
      </c>
      <c r="E18" s="23" t="str">
        <f>Table4334[[#This Row],[OPP]]</f>
        <v>n/a</v>
      </c>
      <c r="G18" s="119">
        <f t="shared" si="0"/>
        <v>19.100000000000001</v>
      </c>
      <c r="H18" s="119">
        <v>25</v>
      </c>
      <c r="I18" s="119">
        <v>13</v>
      </c>
      <c r="J18" s="119">
        <f>_xlfn.RANK.AVG(Table1[[#This Row],[P+R]],Table1[P+R])</f>
        <v>25</v>
      </c>
      <c r="K18" s="119">
        <v>28.5</v>
      </c>
      <c r="L18" s="119">
        <v>4</v>
      </c>
      <c r="M18" s="23" t="s">
        <v>40</v>
      </c>
      <c r="N18" s="89">
        <f>Table2121418198598105[[#Totals],[QB PY]]</f>
        <v>205.11764705882354</v>
      </c>
      <c r="O18" s="89">
        <f>Table2121418198598105[[#Totals],[QB RY]]</f>
        <v>19.294117647058822</v>
      </c>
      <c r="P18" s="89">
        <f>Table1[[#This Row],[P]]+Table1[[#This Row],[R]]</f>
        <v>224.41176470588235</v>
      </c>
      <c r="Q18" s="22">
        <f>Table2121418198598105[[#Totals],[P TD]]</f>
        <v>1.0588235294117647</v>
      </c>
      <c r="R18" s="22">
        <f>Table2121418198598105[[#Totals],[QB TD]]</f>
        <v>0.35294117647058826</v>
      </c>
      <c r="S18" s="121"/>
      <c r="T18" s="119">
        <f t="shared" si="1"/>
        <v>23.3</v>
      </c>
      <c r="U18" s="119">
        <v>25</v>
      </c>
      <c r="V18" s="119">
        <v>19.5</v>
      </c>
      <c r="W18" s="119">
        <v>19</v>
      </c>
      <c r="X18" s="119">
        <v>25</v>
      </c>
      <c r="Y18" s="119">
        <v>28</v>
      </c>
      <c r="Z18" s="23" t="s">
        <v>40</v>
      </c>
      <c r="AA18" s="122">
        <f>_xlfn.XLOOKUP(Table20[[#This Row],[DEF]],Table4[DEF],Table4[R])+_xlfn.XLOOKUP(Table20[[#This Row],[DEF]],Table44[DEF],Table44[R])</f>
        <v>83.235294117647058</v>
      </c>
      <c r="AB18" s="122">
        <f>_xlfn.XLOOKUP(Table20[[#This Row],[DEF]],Table4[DEF],Table4[REC])+_xlfn.XLOOKUP(Table20[[#This Row],[DEF]],Table44[DEF],Table44[REC])</f>
        <v>4.0588235294117645</v>
      </c>
      <c r="AC18" s="122">
        <f>_xlfn.XLOOKUP(Table20[[#This Row],[DEF]],Table4[DEF],Table4[Y])+_xlfn.XLOOKUP(Table20[[#This Row],[DEF]],Table44[DEF],Table44[Y])</f>
        <v>29.117647058823529</v>
      </c>
      <c r="AD18" s="122">
        <f>_xlfn.XLOOKUP(Table20[[#This Row],[DEF]],Table4[DEF],Table4[R+R])+_xlfn.XLOOKUP(Table20[[#This Row],[DEF]],Table44[DEF],Table44[R+R])</f>
        <v>112.35294117647058</v>
      </c>
      <c r="AE18" s="121">
        <f>_xlfn.XLOOKUP(Table20[[#This Row],[DEF]],Table4[DEF],Table4[TD])+_xlfn.XLOOKUP(Table20[[#This Row],[DEF]],Table44[DEF],Table44[TD])</f>
        <v>0.70588235294117641</v>
      </c>
      <c r="AG18" s="119">
        <f t="shared" si="2"/>
        <v>27.166666666666668</v>
      </c>
      <c r="AH18" s="119">
        <v>24.5</v>
      </c>
      <c r="AI18" s="119">
        <f>_xlfn.RANK.AVG(Table7[[#This Row],[Y]],Table7[Y])</f>
        <v>28</v>
      </c>
      <c r="AJ18" s="119">
        <v>29</v>
      </c>
      <c r="AK18" s="23" t="s">
        <v>40</v>
      </c>
      <c r="AL18" s="89">
        <f>Table2121418198598105[[#Totals],[WR1 Recep]]</f>
        <v>4.3529411764705879</v>
      </c>
      <c r="AM18" s="89">
        <f>Table2121418198598105[[#Totals],[WR1 RecY]]</f>
        <v>52</v>
      </c>
      <c r="AN18" s="22">
        <f>Table2121418198598105[[#Totals],[WR1 TD]]</f>
        <v>0.17647058823529413</v>
      </c>
      <c r="AP18" s="119">
        <f t="shared" si="3"/>
        <v>15.833333333333334</v>
      </c>
      <c r="AQ18" s="119">
        <v>9.5</v>
      </c>
      <c r="AR18" s="119">
        <f>_xlfn.RANK.AVG(Table712[[#This Row],[Y]],Table712[Y])</f>
        <v>17</v>
      </c>
      <c r="AS18" s="119">
        <v>21</v>
      </c>
      <c r="AT18" s="23" t="s">
        <v>40</v>
      </c>
      <c r="AU18" s="89">
        <f>Table2121418198598105[[#Totals],[WR2 Recep]]</f>
        <v>3.4705882352941178</v>
      </c>
      <c r="AV18" s="89">
        <f>Table2121418198598105[[#Totals],[WR2 RecY]]</f>
        <v>41.705882352941174</v>
      </c>
      <c r="AW18" s="22">
        <f>Table2121418198598105[[#Totals],[WR2 TD]]</f>
        <v>0.23529411764705882</v>
      </c>
      <c r="AY18" s="119">
        <f t="shared" si="4"/>
        <v>22.666666666666668</v>
      </c>
      <c r="AZ18" s="119">
        <v>19.5</v>
      </c>
      <c r="BA18" s="119">
        <f>_xlfn.RANK.AVG(Table8[[#This Row],[Y]],Table8[Y])</f>
        <v>22</v>
      </c>
      <c r="BB18" s="119">
        <v>26.5</v>
      </c>
      <c r="BC18" s="119" t="s">
        <v>40</v>
      </c>
      <c r="BD18" s="89">
        <f>Table2121418198598105[[#Totals],[TE1 Recep]]</f>
        <v>3.5882352941176472</v>
      </c>
      <c r="BE18" s="89">
        <f>Table2121418198598105[[#Totals],[TE1 RecY]]</f>
        <v>33.941176470588232</v>
      </c>
      <c r="BF18" s="22">
        <f>Table2121418198598105[[#Totals],[TE1 TD]]</f>
        <v>0.17647058823529413</v>
      </c>
    </row>
    <row r="19" spans="2:60" ht="14.5" customHeight="1" x14ac:dyDescent="0.35">
      <c r="B19" s="24">
        <v>1</v>
      </c>
      <c r="C19" s="155" t="str">
        <f>Table82[[#This Row],[Slate]]</f>
        <v>n/a</v>
      </c>
      <c r="D19" s="21" t="s">
        <v>41</v>
      </c>
      <c r="E19" s="23" t="str">
        <f>Table4334[[#This Row],[OPP]]</f>
        <v>n/a</v>
      </c>
      <c r="G19" s="119">
        <f t="shared" si="0"/>
        <v>22.9</v>
      </c>
      <c r="H19" s="119">
        <v>29</v>
      </c>
      <c r="I19" s="119">
        <v>15</v>
      </c>
      <c r="J19" s="119">
        <f>_xlfn.RANK.AVG(Table1[[#This Row],[P+R]],Table1[P+R])</f>
        <v>28</v>
      </c>
      <c r="K19" s="119">
        <v>30</v>
      </c>
      <c r="L19" s="119">
        <v>12.5</v>
      </c>
      <c r="M19" s="21" t="s">
        <v>41</v>
      </c>
      <c r="N19" s="89">
        <f>Table2121418198598106[[#Totals],[QB PY]]</f>
        <v>194.94117647058823</v>
      </c>
      <c r="O19" s="89">
        <f>Table2121418198598106[[#Totals],[QB RY]]</f>
        <v>18.588235294117649</v>
      </c>
      <c r="P19" s="89">
        <f>Table1[[#This Row],[P]]+Table1[[#This Row],[R]]</f>
        <v>213.52941176470588</v>
      </c>
      <c r="Q19" s="22">
        <f>Table2121418198598106[[#Totals],[P TD]]</f>
        <v>0.94117647058823528</v>
      </c>
      <c r="R19" s="22">
        <f>Table2121418198598106[[#Totals],[QB TD]]</f>
        <v>0.23529411764705882</v>
      </c>
      <c r="S19" s="121"/>
      <c r="T19" s="119">
        <f t="shared" si="1"/>
        <v>26.3</v>
      </c>
      <c r="U19" s="119">
        <v>24</v>
      </c>
      <c r="V19" s="119">
        <v>27</v>
      </c>
      <c r="W19" s="119">
        <v>26</v>
      </c>
      <c r="X19" s="119">
        <v>28</v>
      </c>
      <c r="Y19" s="119">
        <v>26.5</v>
      </c>
      <c r="Z19" s="21" t="s">
        <v>41</v>
      </c>
      <c r="AA19" s="122">
        <f>_xlfn.XLOOKUP(Table20[[#This Row],[DEF]],Table4[DEF],Table4[R])+_xlfn.XLOOKUP(Table20[[#This Row],[DEF]],Table44[DEF],Table44[R])</f>
        <v>84.941176470588232</v>
      </c>
      <c r="AB19" s="122">
        <f>_xlfn.XLOOKUP(Table20[[#This Row],[DEF]],Table4[DEF],Table4[REC])+_xlfn.XLOOKUP(Table20[[#This Row],[DEF]],Table44[DEF],Table44[REC])</f>
        <v>3.4705882352941178</v>
      </c>
      <c r="AC19" s="122">
        <f>_xlfn.XLOOKUP(Table20[[#This Row],[DEF]],Table4[DEF],Table4[Y])+_xlfn.XLOOKUP(Table20[[#This Row],[DEF]],Table44[DEF],Table44[Y])</f>
        <v>25.294117647058826</v>
      </c>
      <c r="AD19" s="122">
        <f>_xlfn.XLOOKUP(Table20[[#This Row],[DEF]],Table4[DEF],Table4[R+R])+_xlfn.XLOOKUP(Table20[[#This Row],[DEF]],Table44[DEF],Table44[R+R])</f>
        <v>110.23529411764707</v>
      </c>
      <c r="AE19" s="121">
        <f>_xlfn.XLOOKUP(Table20[[#This Row],[DEF]],Table4[DEF],Table4[TD])+_xlfn.XLOOKUP(Table20[[#This Row],[DEF]],Table44[DEF],Table44[TD])</f>
        <v>0.70588235294117652</v>
      </c>
      <c r="AG19" s="119">
        <f t="shared" si="2"/>
        <v>17.5</v>
      </c>
      <c r="AH19" s="119">
        <v>7.5</v>
      </c>
      <c r="AI19" s="119">
        <f>_xlfn.RANK.AVG(Table7[[#This Row],[Y]],Table7[Y])</f>
        <v>16</v>
      </c>
      <c r="AJ19" s="119">
        <v>29</v>
      </c>
      <c r="AK19" s="21" t="s">
        <v>41</v>
      </c>
      <c r="AL19" s="89">
        <f>Table2121418198598106[[#Totals],[WR1 Recep]]</f>
        <v>5.2352941176470589</v>
      </c>
      <c r="AM19" s="89">
        <f>Table2121418198598106[[#Totals],[WR1 RecY]]</f>
        <v>62.176470588235297</v>
      </c>
      <c r="AN19" s="22">
        <f>Table2121418198598106[[#Totals],[WR1 TD]]</f>
        <v>0.17647058823529413</v>
      </c>
      <c r="AP19" s="119">
        <f t="shared" si="3"/>
        <v>25.666666666666668</v>
      </c>
      <c r="AQ19" s="119">
        <v>25.5</v>
      </c>
      <c r="AR19" s="119">
        <f>_xlfn.RANK.AVG(Table712[[#This Row],[Y]],Table712[Y])</f>
        <v>24</v>
      </c>
      <c r="AS19" s="119">
        <v>27.5</v>
      </c>
      <c r="AT19" s="21" t="s">
        <v>41</v>
      </c>
      <c r="AU19" s="89">
        <f>Table2121418198598106[[#Totals],[WR2 Recep]]</f>
        <v>2.7647058823529411</v>
      </c>
      <c r="AV19" s="89">
        <f>Table2121418198598106[[#Totals],[WR2 RecY]]</f>
        <v>36.764705882352942</v>
      </c>
      <c r="AW19" s="22">
        <f>Table2121418198598106[[#Totals],[WR2 TD]]</f>
        <v>0.17647058823529413</v>
      </c>
      <c r="AY19" s="119">
        <f t="shared" si="4"/>
        <v>19.166666666666668</v>
      </c>
      <c r="AZ19" s="119">
        <v>26.5</v>
      </c>
      <c r="BA19" s="119">
        <f>_xlfn.RANK.AVG(Table8[[#This Row],[Y]],Table8[Y])</f>
        <v>21</v>
      </c>
      <c r="BB19" s="119">
        <v>10</v>
      </c>
      <c r="BC19" s="120" t="s">
        <v>41</v>
      </c>
      <c r="BD19" s="89">
        <f>Table2121418198598106[[#Totals],[TE1 Recep]]</f>
        <v>3.1764705882352939</v>
      </c>
      <c r="BE19" s="89">
        <f>Table2121418198598106[[#Totals],[TE1 RecY]]</f>
        <v>34.117647058823529</v>
      </c>
      <c r="BF19" s="22">
        <f>Table2121418198598106[[#Totals],[TE1 TD]]</f>
        <v>0.35294117647058826</v>
      </c>
    </row>
    <row r="20" spans="2:60" ht="14.5" customHeight="1" x14ac:dyDescent="0.35">
      <c r="B20" s="24">
        <v>1</v>
      </c>
      <c r="C20" s="155" t="str">
        <f>Table82[[#This Row],[Slate]]</f>
        <v>n/a</v>
      </c>
      <c r="D20" s="23" t="s">
        <v>42</v>
      </c>
      <c r="E20" s="23" t="str">
        <f>Table4334[[#This Row],[OPP]]</f>
        <v>n/a</v>
      </c>
      <c r="G20" s="119">
        <f t="shared" si="0"/>
        <v>18.100000000000001</v>
      </c>
      <c r="H20" s="119">
        <v>13</v>
      </c>
      <c r="I20" s="119">
        <v>20</v>
      </c>
      <c r="J20" s="119">
        <f>_xlfn.RANK.AVG(Table1[[#This Row],[P+R]],Table1[P+R])</f>
        <v>15</v>
      </c>
      <c r="K20" s="119">
        <v>14</v>
      </c>
      <c r="L20" s="119">
        <v>28.5</v>
      </c>
      <c r="M20" s="23" t="s">
        <v>42</v>
      </c>
      <c r="N20" s="89">
        <f>Table2121418198598107[[#Totals],[QB PY]]</f>
        <v>234.58823529411765</v>
      </c>
      <c r="O20" s="89">
        <f>Table2121418198598107[[#Totals],[QB RY]]</f>
        <v>16.705882352941178</v>
      </c>
      <c r="P20" s="89">
        <f>Table1[[#This Row],[P]]+Table1[[#This Row],[R]]</f>
        <v>251.29411764705884</v>
      </c>
      <c r="Q20" s="22">
        <f>Table2121418198598107[[#Totals],[P TD]]</f>
        <v>1.5294117647058822</v>
      </c>
      <c r="R20" s="22">
        <f>Table2121418198598107[[#Totals],[QB TD]]</f>
        <v>5.8823529411764705E-2</v>
      </c>
      <c r="S20" s="121"/>
      <c r="T20" s="119">
        <f t="shared" si="1"/>
        <v>16.3</v>
      </c>
      <c r="U20" s="119">
        <v>22</v>
      </c>
      <c r="V20" s="119">
        <v>7</v>
      </c>
      <c r="W20" s="119">
        <v>5</v>
      </c>
      <c r="X20" s="119">
        <v>18</v>
      </c>
      <c r="Y20" s="119">
        <v>29.5</v>
      </c>
      <c r="Z20" s="23" t="s">
        <v>42</v>
      </c>
      <c r="AA20" s="122">
        <f>_xlfn.XLOOKUP(Table20[[#This Row],[DEF]],Table4[DEF],Table4[R])+_xlfn.XLOOKUP(Table20[[#This Row],[DEF]],Table44[DEF],Table44[R])</f>
        <v>88.529411764705884</v>
      </c>
      <c r="AB20" s="122">
        <f>_xlfn.XLOOKUP(Table20[[#This Row],[DEF]],Table4[DEF],Table4[REC])+_xlfn.XLOOKUP(Table20[[#This Row],[DEF]],Table44[DEF],Table44[REC])</f>
        <v>4.8823529411764701</v>
      </c>
      <c r="AC20" s="122">
        <f>_xlfn.XLOOKUP(Table20[[#This Row],[DEF]],Table4[DEF],Table4[Y])+_xlfn.XLOOKUP(Table20[[#This Row],[DEF]],Table44[DEF],Table44[Y])</f>
        <v>38.235294117647058</v>
      </c>
      <c r="AD20" s="122">
        <f>_xlfn.XLOOKUP(Table20[[#This Row],[DEF]],Table4[DEF],Table4[R+R])+_xlfn.XLOOKUP(Table20[[#This Row],[DEF]],Table44[DEF],Table44[R+R])</f>
        <v>126.76470588235294</v>
      </c>
      <c r="AE20" s="121">
        <f>_xlfn.XLOOKUP(Table20[[#This Row],[DEF]],Table4[DEF],Table4[TD])+_xlfn.XLOOKUP(Table20[[#This Row],[DEF]],Table44[DEF],Table44[TD])</f>
        <v>0.58823529411764708</v>
      </c>
      <c r="AG20" s="119">
        <f t="shared" si="2"/>
        <v>4</v>
      </c>
      <c r="AH20" s="119">
        <v>3</v>
      </c>
      <c r="AI20" s="119">
        <f>_xlfn.RANK.AVG(Table7[[#This Row],[Y]],Table7[Y])</f>
        <v>5</v>
      </c>
      <c r="AJ20" s="119">
        <v>4</v>
      </c>
      <c r="AK20" s="23" t="s">
        <v>42</v>
      </c>
      <c r="AL20" s="89">
        <f>Table2121418198598107[[#Totals],[WR1 Recep]]</f>
        <v>5.6470588235294121</v>
      </c>
      <c r="AM20" s="89">
        <f>Table2121418198598107[[#Totals],[WR1 RecY]]</f>
        <v>74.352941176470594</v>
      </c>
      <c r="AN20" s="22">
        <f>Table2121418198598107[[#Totals],[WR1 TD]]</f>
        <v>0.58823529411764708</v>
      </c>
      <c r="AP20" s="119">
        <f t="shared" si="3"/>
        <v>20.833333333333332</v>
      </c>
      <c r="AQ20" s="119">
        <v>14.5</v>
      </c>
      <c r="AR20" s="119">
        <f>_xlfn.RANK.AVG(Table712[[#This Row],[Y]],Table712[Y])</f>
        <v>20.5</v>
      </c>
      <c r="AS20" s="119">
        <v>27.5</v>
      </c>
      <c r="AT20" s="23" t="s">
        <v>42</v>
      </c>
      <c r="AU20" s="89">
        <f>Table2121418198598107[[#Totals],[WR2 Recep]]</f>
        <v>3.2352941176470589</v>
      </c>
      <c r="AV20" s="89">
        <f>Table2121418198598107[[#Totals],[WR2 RecY]]</f>
        <v>38.294117647058826</v>
      </c>
      <c r="AW20" s="22">
        <f>Table2121418198598107[[#Totals],[WR2 TD]]</f>
        <v>0.17647058823529413</v>
      </c>
      <c r="AY20" s="119">
        <f t="shared" si="4"/>
        <v>12.333333333333334</v>
      </c>
      <c r="AZ20" s="119">
        <v>9</v>
      </c>
      <c r="BA20" s="119">
        <f>_xlfn.RANK.AVG(Table8[[#This Row],[Y]],Table8[Y])</f>
        <v>18</v>
      </c>
      <c r="BB20" s="119">
        <v>10</v>
      </c>
      <c r="BC20" s="119" t="s">
        <v>42</v>
      </c>
      <c r="BD20" s="89">
        <f>Table2121418198598107[[#Totals],[TE1 Recep]]</f>
        <v>4.1764705882352944</v>
      </c>
      <c r="BE20" s="89">
        <f>Table2121418198598107[[#Totals],[TE1 RecY]]</f>
        <v>37.823529411764703</v>
      </c>
      <c r="BF20" s="22">
        <f>Table2121418198598107[[#Totals],[TE1 TD]]</f>
        <v>0.35294117647058826</v>
      </c>
    </row>
    <row r="21" spans="2:60" ht="14.5" customHeight="1" x14ac:dyDescent="0.35">
      <c r="B21" s="24">
        <v>1</v>
      </c>
      <c r="C21" s="155" t="str">
        <f>Table82[[#This Row],[Slate]]</f>
        <v>n/a</v>
      </c>
      <c r="D21" s="21" t="s">
        <v>43</v>
      </c>
      <c r="E21" s="23" t="str">
        <f>Table4334[[#This Row],[OPP]]</f>
        <v>n/a</v>
      </c>
      <c r="G21" s="119">
        <f t="shared" si="0"/>
        <v>18.600000000000001</v>
      </c>
      <c r="H21" s="119">
        <v>20</v>
      </c>
      <c r="I21" s="119">
        <v>25</v>
      </c>
      <c r="J21" s="119">
        <f>_xlfn.RANK.AVG(Table1[[#This Row],[P+R]],Table1[P+R])</f>
        <v>21</v>
      </c>
      <c r="K21" s="119">
        <v>23</v>
      </c>
      <c r="L21" s="119">
        <v>4</v>
      </c>
      <c r="M21" s="21" t="s">
        <v>43</v>
      </c>
      <c r="N21" s="89">
        <f>Table2121418198598108[[#Totals],[QB PY]]</f>
        <v>214.35294117647058</v>
      </c>
      <c r="O21" s="89">
        <f>Table2121418198598108[[#Totals],[QB RY]]</f>
        <v>15.647058823529411</v>
      </c>
      <c r="P21" s="89">
        <f>Table1[[#This Row],[P]]+Table1[[#This Row],[R]]</f>
        <v>230</v>
      </c>
      <c r="Q21" s="22">
        <f>Table2121418198598108[[#Totals],[P TD]]</f>
        <v>1.3529411764705883</v>
      </c>
      <c r="R21" s="22">
        <f>Table2121418198598108[[#Totals],[QB TD]]</f>
        <v>0.35294117647058826</v>
      </c>
      <c r="S21" s="121"/>
      <c r="T21" s="119">
        <f t="shared" si="1"/>
        <v>14.8</v>
      </c>
      <c r="U21" s="119">
        <v>14</v>
      </c>
      <c r="V21" s="119">
        <v>11.5</v>
      </c>
      <c r="W21" s="119">
        <v>21</v>
      </c>
      <c r="X21" s="119">
        <v>17</v>
      </c>
      <c r="Y21" s="119">
        <v>10.5</v>
      </c>
      <c r="Z21" s="21" t="s">
        <v>43</v>
      </c>
      <c r="AA21" s="122">
        <f>_xlfn.XLOOKUP(Table20[[#This Row],[DEF]],Table4[DEF],Table4[R])+_xlfn.XLOOKUP(Table20[[#This Row],[DEF]],Table44[DEF],Table44[R])</f>
        <v>99</v>
      </c>
      <c r="AB21" s="122">
        <f>_xlfn.XLOOKUP(Table20[[#This Row],[DEF]],Table4[DEF],Table4[REC])+_xlfn.XLOOKUP(Table20[[#This Row],[DEF]],Table44[DEF],Table44[REC])</f>
        <v>4.5882352941176467</v>
      </c>
      <c r="AC21" s="122">
        <f>_xlfn.XLOOKUP(Table20[[#This Row],[DEF]],Table4[DEF],Table4[Y])+_xlfn.XLOOKUP(Table20[[#This Row],[DEF]],Table44[DEF],Table44[Y])</f>
        <v>27.882352941176471</v>
      </c>
      <c r="AD21" s="122">
        <f>_xlfn.XLOOKUP(Table20[[#This Row],[DEF]],Table4[DEF],Table4[R+R])+_xlfn.XLOOKUP(Table20[[#This Row],[DEF]],Table44[DEF],Table44[R+R])</f>
        <v>126.88235294117648</v>
      </c>
      <c r="AE21" s="121">
        <f>_xlfn.XLOOKUP(Table20[[#This Row],[DEF]],Table4[DEF],Table4[TD])+_xlfn.XLOOKUP(Table20[[#This Row],[DEF]],Table44[DEF],Table44[TD])</f>
        <v>1</v>
      </c>
      <c r="AG21" s="119">
        <f t="shared" si="2"/>
        <v>25</v>
      </c>
      <c r="AH21" s="119">
        <v>26</v>
      </c>
      <c r="AI21" s="119">
        <f>_xlfn.RANK.AVG(Table7[[#This Row],[Y]],Table7[Y])</f>
        <v>29</v>
      </c>
      <c r="AJ21" s="119">
        <v>20</v>
      </c>
      <c r="AK21" s="21" t="s">
        <v>43</v>
      </c>
      <c r="AL21" s="89">
        <f>Table2121418198598108[[#Totals],[WR1 Recep]]</f>
        <v>4.2941176470588234</v>
      </c>
      <c r="AM21" s="89">
        <f>Table2121418198598108[[#Totals],[WR1 RecY]]</f>
        <v>51.647058823529413</v>
      </c>
      <c r="AN21" s="22">
        <f>Table2121418198598108[[#Totals],[WR1 TD]]</f>
        <v>0.35294117647058826</v>
      </c>
      <c r="AP21" s="119">
        <f t="shared" si="3"/>
        <v>16.5</v>
      </c>
      <c r="AQ21" s="119">
        <v>17.5</v>
      </c>
      <c r="AR21" s="119">
        <f>_xlfn.RANK.AVG(Table712[[#This Row],[Y]],Table712[Y])</f>
        <v>23</v>
      </c>
      <c r="AS21" s="119">
        <v>9</v>
      </c>
      <c r="AT21" s="21" t="s">
        <v>43</v>
      </c>
      <c r="AU21" s="89">
        <f>Table2121418198598108[[#Totals],[WR2 Recep]]</f>
        <v>3.1764705882352939</v>
      </c>
      <c r="AV21" s="89">
        <f>Table2121418198598108[[#Totals],[WR2 RecY]]</f>
        <v>37.117647058823529</v>
      </c>
      <c r="AW21" s="22">
        <f>Table2121418198598108[[#Totals],[WR2 TD]]</f>
        <v>0.35294117647058826</v>
      </c>
      <c r="AY21" s="119">
        <f t="shared" si="4"/>
        <v>22.666666666666668</v>
      </c>
      <c r="AZ21" s="119">
        <v>26.5</v>
      </c>
      <c r="BA21" s="119">
        <f>_xlfn.RANK.AVG(Table8[[#This Row],[Y]],Table8[Y])</f>
        <v>26</v>
      </c>
      <c r="BB21" s="119">
        <v>15.5</v>
      </c>
      <c r="BC21" s="120" t="s">
        <v>43</v>
      </c>
      <c r="BD21" s="89">
        <f>Table2121418198598108[[#Totals],[TE1 Recep]]</f>
        <v>3.1764705882352939</v>
      </c>
      <c r="BE21" s="89">
        <f>Table2121418198598108[[#Totals],[TE1 RecY]]</f>
        <v>31.647058823529413</v>
      </c>
      <c r="BF21" s="22">
        <f>Table2121418198598108[[#Totals],[TE1 TD]]</f>
        <v>0.29411764705882354</v>
      </c>
    </row>
    <row r="22" spans="2:60" ht="14.5" customHeight="1" x14ac:dyDescent="0.35">
      <c r="B22" s="24">
        <v>1</v>
      </c>
      <c r="C22" s="155" t="str">
        <f>Table82[[#This Row],[Slate]]</f>
        <v>n/a</v>
      </c>
      <c r="D22" s="23" t="s">
        <v>44</v>
      </c>
      <c r="E22" s="23" t="str">
        <f>Table4334[[#This Row],[OPP]]</f>
        <v>n/a</v>
      </c>
      <c r="G22" s="119">
        <f t="shared" si="0"/>
        <v>12.2</v>
      </c>
      <c r="H22" s="119">
        <v>15</v>
      </c>
      <c r="I22" s="119">
        <v>8</v>
      </c>
      <c r="J22" s="119">
        <f>_xlfn.RANK.AVG(Table1[[#This Row],[P+R]],Table1[P+R])</f>
        <v>14</v>
      </c>
      <c r="K22" s="119">
        <v>11.5</v>
      </c>
      <c r="L22" s="119">
        <v>12.5</v>
      </c>
      <c r="M22" s="23" t="s">
        <v>44</v>
      </c>
      <c r="N22" s="89">
        <f>Table2121418198598109[[#Totals],[QB PY]]</f>
        <v>230.58823529411765</v>
      </c>
      <c r="O22" s="89">
        <f>Table2121418198598109[[#Totals],[QB RY]]</f>
        <v>21.235294117647058</v>
      </c>
      <c r="P22" s="89">
        <f>Table1[[#This Row],[P]]+Table1[[#This Row],[R]]</f>
        <v>251.8235294117647</v>
      </c>
      <c r="Q22" s="22">
        <f>Table2121418198598109[[#Totals],[P TD]]</f>
        <v>1.7058823529411764</v>
      </c>
      <c r="R22" s="22">
        <f>Table2121418198598109[[#Totals],[QB TD]]</f>
        <v>0.23529411764705882</v>
      </c>
      <c r="S22" s="121"/>
      <c r="T22" s="119">
        <f t="shared" si="1"/>
        <v>7.8</v>
      </c>
      <c r="U22" s="119">
        <v>7</v>
      </c>
      <c r="V22" s="119">
        <v>6</v>
      </c>
      <c r="W22" s="119">
        <v>8</v>
      </c>
      <c r="X22" s="119">
        <v>6</v>
      </c>
      <c r="Y22" s="119">
        <v>12</v>
      </c>
      <c r="Z22" s="23" t="s">
        <v>44</v>
      </c>
      <c r="AA22" s="122">
        <f>_xlfn.XLOOKUP(Table20[[#This Row],[DEF]],Table4[DEF],Table4[R])+_xlfn.XLOOKUP(Table20[[#This Row],[DEF]],Table44[DEF],Table44[R])</f>
        <v>106.8235294117647</v>
      </c>
      <c r="AB22" s="122">
        <f>_xlfn.XLOOKUP(Table20[[#This Row],[DEF]],Table4[DEF],Table4[REC])+_xlfn.XLOOKUP(Table20[[#This Row],[DEF]],Table44[DEF],Table44[REC])</f>
        <v>4.882352941176471</v>
      </c>
      <c r="AC22" s="122">
        <f>_xlfn.XLOOKUP(Table20[[#This Row],[DEF]],Table4[DEF],Table4[Y])+_xlfn.XLOOKUP(Table20[[#This Row],[DEF]],Table44[DEF],Table44[Y])</f>
        <v>36.529411764705884</v>
      </c>
      <c r="AD22" s="122">
        <f>_xlfn.XLOOKUP(Table20[[#This Row],[DEF]],Table4[DEF],Table4[R+R])+_xlfn.XLOOKUP(Table20[[#This Row],[DEF]],Table44[DEF],Table44[R+R])</f>
        <v>143.35294117647058</v>
      </c>
      <c r="AE22" s="121">
        <f>_xlfn.XLOOKUP(Table20[[#This Row],[DEF]],Table4[DEF],Table4[TD])+_xlfn.XLOOKUP(Table20[[#This Row],[DEF]],Table44[DEF],Table44[TD])</f>
        <v>0.94117647058823528</v>
      </c>
      <c r="AG22" s="119">
        <f t="shared" si="2"/>
        <v>20.166666666666668</v>
      </c>
      <c r="AH22" s="119">
        <v>19.5</v>
      </c>
      <c r="AI22" s="119">
        <f>_xlfn.RANK.AVG(Table7[[#This Row],[Y]],Table7[Y])</f>
        <v>25</v>
      </c>
      <c r="AJ22" s="119">
        <v>16</v>
      </c>
      <c r="AK22" s="23" t="s">
        <v>44</v>
      </c>
      <c r="AL22" s="89">
        <f>Table2121418198598109[[#Totals],[WR1 Recep]]</f>
        <v>4.7058823529411766</v>
      </c>
      <c r="AM22" s="89">
        <f>Table2121418198598109[[#Totals],[WR1 RecY]]</f>
        <v>54.705882352941174</v>
      </c>
      <c r="AN22" s="22">
        <f>Table2121418198598109[[#Totals],[WR1 TD]]</f>
        <v>0.41176470588235292</v>
      </c>
      <c r="AP22" s="119">
        <f t="shared" si="3"/>
        <v>22</v>
      </c>
      <c r="AQ22" s="119">
        <v>30.5</v>
      </c>
      <c r="AR22" s="119">
        <f>_xlfn.RANK.AVG(Table712[[#This Row],[Y]],Table712[Y])</f>
        <v>30</v>
      </c>
      <c r="AS22" s="119">
        <v>5.5</v>
      </c>
      <c r="AT22" s="23" t="s">
        <v>44</v>
      </c>
      <c r="AU22" s="89">
        <f>Table2121418198598109[[#Totals],[WR2 Recep]]</f>
        <v>2.3529411764705883</v>
      </c>
      <c r="AV22" s="89">
        <f>Table2121418198598109[[#Totals],[WR2 RecY]]</f>
        <v>27.705882352941178</v>
      </c>
      <c r="AW22" s="22">
        <f>Table2121418198598109[[#Totals],[WR2 TD]]</f>
        <v>0.41176470588235292</v>
      </c>
      <c r="AY22" s="119">
        <f t="shared" si="4"/>
        <v>13.666666666666666</v>
      </c>
      <c r="AZ22" s="119">
        <v>8</v>
      </c>
      <c r="BA22" s="119">
        <f>_xlfn.RANK.AVG(Table8[[#This Row],[Y]],Table8[Y])</f>
        <v>12</v>
      </c>
      <c r="BB22" s="119">
        <v>21</v>
      </c>
      <c r="BC22" s="119" t="s">
        <v>44</v>
      </c>
      <c r="BD22" s="89">
        <f>Table2121418198598109[[#Totals],[TE1 Recep]]</f>
        <v>4.2352941176470589</v>
      </c>
      <c r="BE22" s="89">
        <f>Table2121418198598109[[#Totals],[TE1 RecY]]</f>
        <v>42.705882352941174</v>
      </c>
      <c r="BF22" s="22">
        <f>Table2121418198598109[[#Totals],[TE1 TD]]</f>
        <v>0.23529411764705882</v>
      </c>
      <c r="BH22" t="s">
        <v>694</v>
      </c>
    </row>
    <row r="23" spans="2:60" ht="14.5" customHeight="1" x14ac:dyDescent="0.35">
      <c r="B23" s="24">
        <v>1</v>
      </c>
      <c r="C23" s="155" t="str">
        <f>Table82[[#This Row],[Slate]]</f>
        <v>n/a</v>
      </c>
      <c r="D23" s="21" t="s">
        <v>45</v>
      </c>
      <c r="E23" s="23" t="str">
        <f>Table4334[[#This Row],[OPP]]</f>
        <v>n/a</v>
      </c>
      <c r="G23" s="119">
        <f t="shared" si="0"/>
        <v>29</v>
      </c>
      <c r="H23" s="119">
        <v>31</v>
      </c>
      <c r="I23" s="119">
        <v>23.5</v>
      </c>
      <c r="J23" s="119">
        <f>_xlfn.RANK.AVG(Table1[[#This Row],[P+R]],Table1[P+R])</f>
        <v>31</v>
      </c>
      <c r="K23" s="119">
        <v>31</v>
      </c>
      <c r="L23" s="119">
        <v>28.5</v>
      </c>
      <c r="M23" s="21" t="s">
        <v>45</v>
      </c>
      <c r="N23" s="89">
        <f>Table2121418198598110[[#Totals],[QB PY]]</f>
        <v>177.70588235294119</v>
      </c>
      <c r="O23" s="89">
        <f>Table2121418198598110[[#Totals],[QB RY]]</f>
        <v>15.764705882352942</v>
      </c>
      <c r="P23" s="89">
        <f>Table1[[#This Row],[P]]+Table1[[#This Row],[R]]</f>
        <v>193.47058823529414</v>
      </c>
      <c r="Q23" s="22">
        <f>Table2121418198598110[[#Totals],[P TD]]</f>
        <v>0.88235294117647056</v>
      </c>
      <c r="R23" s="22">
        <f>Table2121418198598110[[#Totals],[QB TD]]</f>
        <v>5.8823529411764705E-2</v>
      </c>
      <c r="S23" s="121"/>
      <c r="T23" s="119">
        <f t="shared" si="1"/>
        <v>23.9</v>
      </c>
      <c r="U23" s="119">
        <v>9</v>
      </c>
      <c r="V23" s="119">
        <v>31</v>
      </c>
      <c r="W23" s="119">
        <v>32</v>
      </c>
      <c r="X23" s="119">
        <v>21</v>
      </c>
      <c r="Y23" s="119">
        <v>26.5</v>
      </c>
      <c r="Z23" s="21" t="s">
        <v>45</v>
      </c>
      <c r="AA23" s="122">
        <f>_xlfn.XLOOKUP(Table20[[#This Row],[DEF]],Table4[DEF],Table4[R])+_xlfn.XLOOKUP(Table20[[#This Row],[DEF]],Table44[DEF],Table44[R])</f>
        <v>105.11764705882354</v>
      </c>
      <c r="AB23" s="122">
        <f>_xlfn.XLOOKUP(Table20[[#This Row],[DEF]],Table4[DEF],Table4[REC])+_xlfn.XLOOKUP(Table20[[#This Row],[DEF]],Table44[DEF],Table44[REC])</f>
        <v>3.2352941176470589</v>
      </c>
      <c r="AC23" s="122">
        <f>_xlfn.XLOOKUP(Table20[[#This Row],[DEF]],Table4[DEF],Table4[Y])+_xlfn.XLOOKUP(Table20[[#This Row],[DEF]],Table44[DEF],Table44[Y])</f>
        <v>19.470588235294116</v>
      </c>
      <c r="AD23" s="122">
        <f>_xlfn.XLOOKUP(Table20[[#This Row],[DEF]],Table4[DEF],Table4[R+R])+_xlfn.XLOOKUP(Table20[[#This Row],[DEF]],Table44[DEF],Table44[R+R])</f>
        <v>124.58823529411765</v>
      </c>
      <c r="AE23" s="121">
        <f>_xlfn.XLOOKUP(Table20[[#This Row],[DEF]],Table4[DEF],Table4[TD])+_xlfn.XLOOKUP(Table20[[#This Row],[DEF]],Table44[DEF],Table44[TD])</f>
        <v>0.70588235294117652</v>
      </c>
      <c r="AG23" s="119">
        <f t="shared" si="2"/>
        <v>24.333333333333332</v>
      </c>
      <c r="AH23" s="119">
        <v>28.5</v>
      </c>
      <c r="AI23" s="119">
        <f>_xlfn.RANK.AVG(Table7[[#This Row],[Y]],Table7[Y])</f>
        <v>19</v>
      </c>
      <c r="AJ23" s="119">
        <v>25.5</v>
      </c>
      <c r="AK23" s="21" t="s">
        <v>45</v>
      </c>
      <c r="AL23" s="89">
        <f>Table2121418198598110[[#Totals],[WR1 Recep]]</f>
        <v>3.9411764705882355</v>
      </c>
      <c r="AM23" s="89">
        <f>Table2121418198598110[[#Totals],[WR1 RecY]]</f>
        <v>58.823529411764703</v>
      </c>
      <c r="AN23" s="22">
        <f>Table2121418198598110[[#Totals],[WR1 TD]]</f>
        <v>0.23529411764705882</v>
      </c>
      <c r="AP23" s="119">
        <f t="shared" si="3"/>
        <v>22.666666666666668</v>
      </c>
      <c r="AQ23" s="119">
        <v>20</v>
      </c>
      <c r="AR23" s="119">
        <f>_xlfn.RANK.AVG(Table712[[#This Row],[Y]],Table712[Y])</f>
        <v>20.5</v>
      </c>
      <c r="AS23" s="119">
        <v>27.5</v>
      </c>
      <c r="AT23" s="21" t="s">
        <v>45</v>
      </c>
      <c r="AU23" s="89">
        <f>Table2121418198598110[[#Totals],[WR2 Recep]]</f>
        <v>3.1176470588235294</v>
      </c>
      <c r="AV23" s="89">
        <f>Table2121418198598110[[#Totals],[WR2 RecY]]</f>
        <v>38.294117647058826</v>
      </c>
      <c r="AW23" s="22">
        <f>Table2121418198598110[[#Totals],[WR2 TD]]</f>
        <v>0.17647058823529413</v>
      </c>
      <c r="AY23" s="119">
        <f t="shared" si="4"/>
        <v>27</v>
      </c>
      <c r="AZ23" s="119">
        <v>30</v>
      </c>
      <c r="BA23" s="119">
        <f>_xlfn.RANK.AVG(Table8[[#This Row],[Y]],Table8[Y])</f>
        <v>30</v>
      </c>
      <c r="BB23" s="119">
        <v>21</v>
      </c>
      <c r="BC23" s="120" t="s">
        <v>45</v>
      </c>
      <c r="BD23" s="89">
        <f>Table2121418198598110[[#Totals],[TE1 Recep]]</f>
        <v>2.8823529411764706</v>
      </c>
      <c r="BE23" s="89">
        <f>Table2121418198598110[[#Totals],[TE1 RecY]]</f>
        <v>28.882352941176471</v>
      </c>
      <c r="BF23" s="22">
        <f>Table2121418198598110[[#Totals],[TE1 TD]]</f>
        <v>0.23529411764705882</v>
      </c>
    </row>
    <row r="24" spans="2:60" ht="14.5" customHeight="1" x14ac:dyDescent="0.35">
      <c r="B24" s="24">
        <v>1</v>
      </c>
      <c r="C24" s="155" t="str">
        <f>Table82[[#This Row],[Slate]]</f>
        <v>SB LX</v>
      </c>
      <c r="D24" s="23" t="s">
        <v>46</v>
      </c>
      <c r="E24" s="23" t="str">
        <f>Table4334[[#This Row],[OPP]]</f>
        <v>SEA</v>
      </c>
      <c r="G24" s="119">
        <f t="shared" si="0"/>
        <v>23.5</v>
      </c>
      <c r="H24" s="119">
        <v>24</v>
      </c>
      <c r="I24" s="119">
        <v>22</v>
      </c>
      <c r="J24" s="119">
        <f>_xlfn.RANK.AVG(Table1[[#This Row],[P+R]],Table1[P+R])</f>
        <v>26</v>
      </c>
      <c r="K24" s="119">
        <v>17</v>
      </c>
      <c r="L24" s="119">
        <v>28.5</v>
      </c>
      <c r="M24" s="23" t="s">
        <v>46</v>
      </c>
      <c r="N24" s="89">
        <f>Table2121418198598111[[#Totals],[QB PY]]</f>
        <v>206.58823529411765</v>
      </c>
      <c r="O24" s="89">
        <f>Table2121418198598111[[#Totals],[QB RY]]</f>
        <v>16.294117647058822</v>
      </c>
      <c r="P24" s="89">
        <f>Table1[[#This Row],[P]]+Table1[[#This Row],[R]]</f>
        <v>222.88235294117646</v>
      </c>
      <c r="Q24" s="22">
        <f>Table2121418198598111[[#Totals],[P TD]]</f>
        <v>1.4705882352941178</v>
      </c>
      <c r="R24" s="22">
        <f>Table2121418198598111[[#Totals],[QB TD]]</f>
        <v>5.8823529411764705E-2</v>
      </c>
      <c r="S24" s="121"/>
      <c r="T24" s="119">
        <f t="shared" si="1"/>
        <v>21.5</v>
      </c>
      <c r="U24" s="119">
        <v>28</v>
      </c>
      <c r="V24" s="119">
        <v>5</v>
      </c>
      <c r="W24" s="119">
        <v>16</v>
      </c>
      <c r="X24" s="119">
        <v>29</v>
      </c>
      <c r="Y24" s="119">
        <v>29.5</v>
      </c>
      <c r="Z24" s="23" t="s">
        <v>46</v>
      </c>
      <c r="AA24" s="122">
        <f>_xlfn.XLOOKUP(Table20[[#This Row],[DEF]],Table4[DEF],Table4[R])+_xlfn.XLOOKUP(Table20[[#This Row],[DEF]],Table44[DEF],Table44[R])</f>
        <v>77.117647058823536</v>
      </c>
      <c r="AB24" s="122">
        <f>_xlfn.XLOOKUP(Table20[[#This Row],[DEF]],Table4[DEF],Table4[REC])+_xlfn.XLOOKUP(Table20[[#This Row],[DEF]],Table44[DEF],Table44[REC])</f>
        <v>4.9411764705882355</v>
      </c>
      <c r="AC24" s="122">
        <f>_xlfn.XLOOKUP(Table20[[#This Row],[DEF]],Table4[DEF],Table4[Y])+_xlfn.XLOOKUP(Table20[[#This Row],[DEF]],Table44[DEF],Table44[Y])</f>
        <v>31</v>
      </c>
      <c r="AD24" s="122">
        <f>_xlfn.XLOOKUP(Table20[[#This Row],[DEF]],Table4[DEF],Table4[R+R])+_xlfn.XLOOKUP(Table20[[#This Row],[DEF]],Table44[DEF],Table44[R+R])</f>
        <v>108.11764705882354</v>
      </c>
      <c r="AE24" s="121">
        <f>_xlfn.XLOOKUP(Table20[[#This Row],[DEF]],Table4[DEF],Table4[TD])+_xlfn.XLOOKUP(Table20[[#This Row],[DEF]],Table44[DEF],Table44[TD])</f>
        <v>0.58823529411764708</v>
      </c>
      <c r="AG24" s="119">
        <f t="shared" si="2"/>
        <v>18</v>
      </c>
      <c r="AH24" s="119">
        <v>21.5</v>
      </c>
      <c r="AI24" s="119">
        <f>_xlfn.RANK.AVG(Table7[[#This Row],[Y]],Table7[Y])</f>
        <v>22</v>
      </c>
      <c r="AJ24" s="119">
        <v>10.5</v>
      </c>
      <c r="AK24" s="23" t="s">
        <v>46</v>
      </c>
      <c r="AL24" s="89">
        <f>Table2121418198598111[[#Totals],[WR1 Recep]]</f>
        <v>4.6470588235294121</v>
      </c>
      <c r="AM24" s="89">
        <f>Table2121418198598111[[#Totals],[WR1 RecY]]</f>
        <v>56.117647058823529</v>
      </c>
      <c r="AN24" s="22">
        <f>Table2121418198598111[[#Totals],[WR1 TD]]</f>
        <v>0.47058823529411764</v>
      </c>
      <c r="AP24" s="119">
        <f t="shared" si="3"/>
        <v>19</v>
      </c>
      <c r="AQ24" s="119">
        <v>25.5</v>
      </c>
      <c r="AR24" s="119">
        <f>_xlfn.RANK.AVG(Table712[[#This Row],[Y]],Table712[Y])</f>
        <v>26</v>
      </c>
      <c r="AS24" s="119">
        <v>5.5</v>
      </c>
      <c r="AT24" s="23" t="s">
        <v>46</v>
      </c>
      <c r="AU24" s="89">
        <f>Table2121418198598111[[#Totals],[WR2 Recep]]</f>
        <v>2.7647058823529411</v>
      </c>
      <c r="AV24" s="89">
        <f>Table2121418198598111[[#Totals],[WR2 RecY]]</f>
        <v>33.294117647058826</v>
      </c>
      <c r="AW24" s="22">
        <f>Table2121418198598111[[#Totals],[WR2 TD]]</f>
        <v>0.41176470588235292</v>
      </c>
      <c r="AY24" s="119">
        <f t="shared" si="4"/>
        <v>20.666666666666668</v>
      </c>
      <c r="AZ24" s="119">
        <v>19.5</v>
      </c>
      <c r="BA24" s="119">
        <f>_xlfn.RANK.AVG(Table8[[#This Row],[Y]],Table8[Y])</f>
        <v>16</v>
      </c>
      <c r="BB24" s="119">
        <v>26.5</v>
      </c>
      <c r="BC24" s="119" t="s">
        <v>46</v>
      </c>
      <c r="BD24" s="89">
        <f>Table2121418198598111[[#Totals],[TE1 Recep]]</f>
        <v>3.5882352941176472</v>
      </c>
      <c r="BE24" s="89">
        <f>Table2121418198598111[[#Totals],[TE1 RecY]]</f>
        <v>39.176470588235297</v>
      </c>
      <c r="BF24" s="22">
        <f>Table2121418198598111[[#Totals],[TE1 TD]]</f>
        <v>0.17647058823529413</v>
      </c>
    </row>
    <row r="25" spans="2:60" ht="14.5" customHeight="1" x14ac:dyDescent="0.35">
      <c r="B25" s="24">
        <v>1</v>
      </c>
      <c r="C25" s="155" t="str">
        <f>Table82[[#This Row],[Slate]]</f>
        <v>n/a</v>
      </c>
      <c r="D25" s="21" t="s">
        <v>47</v>
      </c>
      <c r="E25" s="23" t="str">
        <f>Table4334[[#This Row],[OPP]]</f>
        <v>n/a</v>
      </c>
      <c r="G25" s="119">
        <f t="shared" si="0"/>
        <v>24.3</v>
      </c>
      <c r="H25" s="119">
        <v>28</v>
      </c>
      <c r="I25" s="119">
        <v>19</v>
      </c>
      <c r="J25" s="119">
        <f>_xlfn.RANK.AVG(Table1[[#This Row],[P+R]],Table1[P+R])</f>
        <v>29</v>
      </c>
      <c r="K25" s="119">
        <v>17</v>
      </c>
      <c r="L25" s="119">
        <v>28.5</v>
      </c>
      <c r="M25" s="21" t="s">
        <v>47</v>
      </c>
      <c r="N25" s="89">
        <f>Table2121418198598112[[#Totals],[QB PY]]</f>
        <v>196.23529411764707</v>
      </c>
      <c r="O25" s="89">
        <f>Table2121418198598112[[#Totals],[QB RY]]</f>
        <v>16.823529411764707</v>
      </c>
      <c r="P25" s="89">
        <f>Table1[[#This Row],[P]]+Table1[[#This Row],[R]]</f>
        <v>213.05882352941177</v>
      </c>
      <c r="Q25" s="22">
        <f>Table2121418198598112[[#Totals],[P TD]]</f>
        <v>1.4705882352941178</v>
      </c>
      <c r="R25" s="22">
        <f>Table2121418198598112[[#Totals],[QB TD]]</f>
        <v>5.8823529411764705E-2</v>
      </c>
      <c r="S25" s="121"/>
      <c r="T25" s="119">
        <f t="shared" si="1"/>
        <v>21.6</v>
      </c>
      <c r="U25" s="119">
        <v>11</v>
      </c>
      <c r="V25" s="119">
        <v>29.5</v>
      </c>
      <c r="W25" s="119">
        <v>30</v>
      </c>
      <c r="X25" s="119">
        <v>19</v>
      </c>
      <c r="Y25" s="119">
        <v>18.5</v>
      </c>
      <c r="Z25" s="21" t="s">
        <v>47</v>
      </c>
      <c r="AA25" s="122">
        <f>_xlfn.XLOOKUP(Table20[[#This Row],[DEF]],Table4[DEF],Table4[R])+_xlfn.XLOOKUP(Table20[[#This Row],[DEF]],Table44[DEF],Table44[R])</f>
        <v>102.70588235294119</v>
      </c>
      <c r="AB25" s="122">
        <f>_xlfn.XLOOKUP(Table20[[#This Row],[DEF]],Table4[DEF],Table4[REC])+_xlfn.XLOOKUP(Table20[[#This Row],[DEF]],Table44[DEF],Table44[REC])</f>
        <v>3.3529411764705879</v>
      </c>
      <c r="AC25" s="122">
        <f>_xlfn.XLOOKUP(Table20[[#This Row],[DEF]],Table4[DEF],Table4[Y])+_xlfn.XLOOKUP(Table20[[#This Row],[DEF]],Table44[DEF],Table44[Y])</f>
        <v>23.588235294117649</v>
      </c>
      <c r="AD25" s="122">
        <f>_xlfn.XLOOKUP(Table20[[#This Row],[DEF]],Table4[DEF],Table4[R+R])+_xlfn.XLOOKUP(Table20[[#This Row],[DEF]],Table44[DEF],Table44[R+R])</f>
        <v>126.29411764705883</v>
      </c>
      <c r="AE25" s="121">
        <f>_xlfn.XLOOKUP(Table20[[#This Row],[DEF]],Table4[DEF],Table4[TD])+_xlfn.XLOOKUP(Table20[[#This Row],[DEF]],Table44[DEF],Table44[TD])</f>
        <v>0.82352941176470595</v>
      </c>
      <c r="AG25" s="119">
        <f t="shared" si="2"/>
        <v>25.666666666666668</v>
      </c>
      <c r="AH25" s="119">
        <v>31</v>
      </c>
      <c r="AI25" s="119">
        <f>_xlfn.RANK.AVG(Table7[[#This Row],[Y]],Table7[Y])</f>
        <v>30</v>
      </c>
      <c r="AJ25" s="119">
        <v>16</v>
      </c>
      <c r="AK25" s="21" t="s">
        <v>47</v>
      </c>
      <c r="AL25" s="89">
        <f>Table2121418198598112[[#Totals],[WR1 Recep]]</f>
        <v>3.7058823529411766</v>
      </c>
      <c r="AM25" s="89">
        <f>Table2121418198598112[[#Totals],[WR1 RecY]]</f>
        <v>50.882352941176471</v>
      </c>
      <c r="AN25" s="22">
        <f>Table2121418198598112[[#Totals],[WR1 TD]]</f>
        <v>0.41176470588235292</v>
      </c>
      <c r="AP25" s="119">
        <f t="shared" si="3"/>
        <v>13.833333333333334</v>
      </c>
      <c r="AQ25" s="119">
        <v>14.5</v>
      </c>
      <c r="AR25" s="119">
        <f>_xlfn.RANK.AVG(Table712[[#This Row],[Y]],Table712[Y])</f>
        <v>18</v>
      </c>
      <c r="AS25" s="119">
        <v>9</v>
      </c>
      <c r="AT25" s="21" t="s">
        <v>47</v>
      </c>
      <c r="AU25" s="89">
        <f>Table2121418198598112[[#Totals],[WR2 Recep]]</f>
        <v>3.2352941176470589</v>
      </c>
      <c r="AV25" s="89">
        <f>Table2121418198598112[[#Totals],[WR2 RecY]]</f>
        <v>39.823529411764703</v>
      </c>
      <c r="AW25" s="22">
        <f>Table2121418198598112[[#Totals],[WR2 TD]]</f>
        <v>0.35294117647058826</v>
      </c>
      <c r="AY25" s="119">
        <f t="shared" si="4"/>
        <v>21.5</v>
      </c>
      <c r="AZ25" s="119">
        <v>24</v>
      </c>
      <c r="BA25" s="119">
        <f>_xlfn.RANK.AVG(Table8[[#This Row],[Y]],Table8[Y])</f>
        <v>25</v>
      </c>
      <c r="BB25" s="119">
        <v>15.5</v>
      </c>
      <c r="BC25" s="120" t="s">
        <v>47</v>
      </c>
      <c r="BD25" s="89">
        <f>Table2121418198598112[[#Totals],[TE1 Recep]]</f>
        <v>3.2941176470588234</v>
      </c>
      <c r="BE25" s="89">
        <f>Table2121418198598112[[#Totals],[TE1 RecY]]</f>
        <v>31.941176470588236</v>
      </c>
      <c r="BF25" s="22">
        <f>Table2121418198598112[[#Totals],[TE1 TD]]</f>
        <v>0.29411764705882354</v>
      </c>
    </row>
    <row r="26" spans="2:60" ht="14.5" customHeight="1" x14ac:dyDescent="0.35">
      <c r="B26" s="24">
        <v>1</v>
      </c>
      <c r="C26" s="155" t="str">
        <f>Table82[[#This Row],[Slate]]</f>
        <v>n/a</v>
      </c>
      <c r="D26" s="23" t="s">
        <v>48</v>
      </c>
      <c r="E26" s="23" t="str">
        <f>Table4334[[#This Row],[OPP]]</f>
        <v>n/a</v>
      </c>
      <c r="G26" s="119">
        <f t="shared" si="0"/>
        <v>10.6</v>
      </c>
      <c r="H26" s="119">
        <v>16</v>
      </c>
      <c r="I26" s="119">
        <v>1</v>
      </c>
      <c r="J26" s="119">
        <f>_xlfn.RANK.AVG(Table1[[#This Row],[P+R]],Table1[P+R])</f>
        <v>11</v>
      </c>
      <c r="K26" s="119">
        <v>17</v>
      </c>
      <c r="L26" s="119">
        <v>8</v>
      </c>
      <c r="M26" s="23" t="s">
        <v>48</v>
      </c>
      <c r="N26" s="89">
        <f>Table2121418198598113[[#Totals],[QB PY]]</f>
        <v>229.88235294117646</v>
      </c>
      <c r="O26" s="89">
        <f>Table2121418198598113[[#Totals],[QB RY]]</f>
        <v>24.470588235294116</v>
      </c>
      <c r="P26" s="89">
        <f>Table1[[#This Row],[P]]+Table1[[#This Row],[R]]</f>
        <v>254.35294117647058</v>
      </c>
      <c r="Q26" s="22">
        <f>Table2121418198598113[[#Totals],[P TD]]</f>
        <v>1.4705882352941178</v>
      </c>
      <c r="R26" s="22">
        <f>Table2121418198598113[[#Totals],[QB TD]]</f>
        <v>0.29411764705882354</v>
      </c>
      <c r="S26" s="121"/>
      <c r="T26" s="119">
        <f t="shared" si="1"/>
        <v>8.5</v>
      </c>
      <c r="U26" s="119">
        <v>2</v>
      </c>
      <c r="V26" s="119">
        <v>11.5</v>
      </c>
      <c r="W26" s="119">
        <v>17</v>
      </c>
      <c r="X26" s="119">
        <v>4</v>
      </c>
      <c r="Y26" s="119">
        <v>8</v>
      </c>
      <c r="Z26" s="23" t="s">
        <v>48</v>
      </c>
      <c r="AA26" s="122">
        <f>_xlfn.XLOOKUP(Table20[[#This Row],[DEF]],Table4[DEF],Table4[R])+_xlfn.XLOOKUP(Table20[[#This Row],[DEF]],Table44[DEF],Table44[R])</f>
        <v>116.70588235294119</v>
      </c>
      <c r="AB26" s="122">
        <f>_xlfn.XLOOKUP(Table20[[#This Row],[DEF]],Table4[DEF],Table4[REC])+_xlfn.XLOOKUP(Table20[[#This Row],[DEF]],Table44[DEF],Table44[REC])</f>
        <v>4.5882352941176467</v>
      </c>
      <c r="AC26" s="122">
        <f>_xlfn.XLOOKUP(Table20[[#This Row],[DEF]],Table4[DEF],Table4[Y])+_xlfn.XLOOKUP(Table20[[#This Row],[DEF]],Table44[DEF],Table44[Y])</f>
        <v>30.647058823529413</v>
      </c>
      <c r="AD26" s="122">
        <f>_xlfn.XLOOKUP(Table20[[#This Row],[DEF]],Table4[DEF],Table4[R+R])+_xlfn.XLOOKUP(Table20[[#This Row],[DEF]],Table44[DEF],Table44[R+R])</f>
        <v>147.35294117647061</v>
      </c>
      <c r="AE26" s="121">
        <f>_xlfn.XLOOKUP(Table20[[#This Row],[DEF]],Table4[DEF],Table4[TD])+_xlfn.XLOOKUP(Table20[[#This Row],[DEF]],Table44[DEF],Table44[TD])</f>
        <v>1.1176470588235294</v>
      </c>
      <c r="AG26" s="119">
        <f t="shared" si="2"/>
        <v>19.166666666666668</v>
      </c>
      <c r="AH26" s="119">
        <v>17</v>
      </c>
      <c r="AI26" s="119">
        <f>_xlfn.RANK.AVG(Table7[[#This Row],[Y]],Table7[Y])</f>
        <v>15</v>
      </c>
      <c r="AJ26" s="119">
        <v>25.5</v>
      </c>
      <c r="AK26" s="23" t="s">
        <v>48</v>
      </c>
      <c r="AL26" s="89">
        <f>Table2121418198598113[[#Totals],[WR1 Recep]]</f>
        <v>4.8235294117647056</v>
      </c>
      <c r="AM26" s="89">
        <f>Table2121418198598113[[#Totals],[WR1 RecY]]</f>
        <v>62.588235294117645</v>
      </c>
      <c r="AN26" s="22">
        <f>Table2121418198598113[[#Totals],[WR1 TD]]</f>
        <v>0.23529411764705882</v>
      </c>
      <c r="AP26" s="119">
        <f t="shared" si="3"/>
        <v>9.5</v>
      </c>
      <c r="AQ26" s="119">
        <v>14.5</v>
      </c>
      <c r="AR26" s="119">
        <f>_xlfn.RANK.AVG(Table712[[#This Row],[Y]],Table712[Y])</f>
        <v>13</v>
      </c>
      <c r="AS26" s="119">
        <v>1</v>
      </c>
      <c r="AT26" s="23" t="s">
        <v>48</v>
      </c>
      <c r="AU26" s="89">
        <f>Table2121418198598113[[#Totals],[WR2 Recep]]</f>
        <v>3.2352941176470589</v>
      </c>
      <c r="AV26" s="89">
        <f>Table2121418198598113[[#Totals],[WR2 RecY]]</f>
        <v>43.411764705882355</v>
      </c>
      <c r="AW26" s="22">
        <f>Table2121418198598113[[#Totals],[WR2 TD]]</f>
        <v>0.6470588235294118</v>
      </c>
      <c r="AY26" s="119">
        <f t="shared" si="4"/>
        <v>18.666666666666668</v>
      </c>
      <c r="AZ26" s="119">
        <v>16</v>
      </c>
      <c r="BA26" s="119">
        <f>_xlfn.RANK.AVG(Table8[[#This Row],[Y]],Table8[Y])</f>
        <v>19</v>
      </c>
      <c r="BB26" s="119">
        <v>21</v>
      </c>
      <c r="BC26" s="119" t="s">
        <v>48</v>
      </c>
      <c r="BD26" s="89">
        <f>Table2121418198598113[[#Totals],[TE1 Recep]]</f>
        <v>3.7647058823529411</v>
      </c>
      <c r="BE26" s="89">
        <f>Table2121418198598113[[#Totals],[TE1 RecY]]</f>
        <v>37.235294117647058</v>
      </c>
      <c r="BF26" s="22">
        <f>Table2121418198598113[[#Totals],[TE1 TD]]</f>
        <v>0.23529411764705882</v>
      </c>
    </row>
    <row r="27" spans="2:60" ht="14.5" customHeight="1" x14ac:dyDescent="0.35">
      <c r="B27" s="24">
        <v>1</v>
      </c>
      <c r="C27" s="155" t="str">
        <f>Table82[[#This Row],[Slate]]</f>
        <v>n/a</v>
      </c>
      <c r="D27" s="21" t="s">
        <v>49</v>
      </c>
      <c r="E27" s="23" t="str">
        <f>Table4334[[#This Row],[OPP]]</f>
        <v>n/a</v>
      </c>
      <c r="G27" s="119">
        <f t="shared" si="0"/>
        <v>12.4</v>
      </c>
      <c r="H27" s="119">
        <v>17</v>
      </c>
      <c r="I27" s="119">
        <v>5</v>
      </c>
      <c r="J27" s="119">
        <f>_xlfn.RANK.AVG(Table1[[#This Row],[P+R]],Table1[P+R])</f>
        <v>16</v>
      </c>
      <c r="K27" s="119">
        <v>1</v>
      </c>
      <c r="L27" s="119">
        <v>23</v>
      </c>
      <c r="M27" s="21" t="s">
        <v>49</v>
      </c>
      <c r="N27" s="89">
        <f>Table2121418198598114[[#Totals],[QB PY]]</f>
        <v>226.41176470588235</v>
      </c>
      <c r="O27" s="89">
        <f>Table2121418198598114[[#Totals],[QB RY]]</f>
        <v>21.705882352941178</v>
      </c>
      <c r="P27" s="89">
        <f>Table1[[#This Row],[P]]+Table1[[#This Row],[R]]</f>
        <v>248.11764705882354</v>
      </c>
      <c r="Q27" s="22">
        <f>Table2121418198598114[[#Totals],[P TD]]</f>
        <v>2.1176470588235294</v>
      </c>
      <c r="R27" s="22">
        <f>Table2121418198598114[[#Totals],[QB TD]]</f>
        <v>0.11764705882352941</v>
      </c>
      <c r="S27" s="121"/>
      <c r="T27" s="119">
        <f t="shared" si="1"/>
        <v>9.4</v>
      </c>
      <c r="U27" s="119">
        <v>5</v>
      </c>
      <c r="V27" s="119">
        <v>25</v>
      </c>
      <c r="W27" s="119">
        <v>11</v>
      </c>
      <c r="X27" s="119">
        <v>5</v>
      </c>
      <c r="Y27" s="119">
        <v>1</v>
      </c>
      <c r="Z27" s="21" t="s">
        <v>49</v>
      </c>
      <c r="AA27" s="122">
        <f>_xlfn.XLOOKUP(Table20[[#This Row],[DEF]],Table4[DEF],Table4[R])+_xlfn.XLOOKUP(Table20[[#This Row],[DEF]],Table44[DEF],Table44[R])</f>
        <v>110.17647058823529</v>
      </c>
      <c r="AB27" s="122">
        <f>_xlfn.XLOOKUP(Table20[[#This Row],[DEF]],Table4[DEF],Table4[REC])+_xlfn.XLOOKUP(Table20[[#This Row],[DEF]],Table44[DEF],Table44[REC])</f>
        <v>3.6470588235294121</v>
      </c>
      <c r="AC27" s="122">
        <f>_xlfn.XLOOKUP(Table20[[#This Row],[DEF]],Table4[DEF],Table4[Y])+_xlfn.XLOOKUP(Table20[[#This Row],[DEF]],Table44[DEF],Table44[Y])</f>
        <v>34.529411764705884</v>
      </c>
      <c r="AD27" s="122">
        <f>_xlfn.XLOOKUP(Table20[[#This Row],[DEF]],Table4[DEF],Table4[R+R])+_xlfn.XLOOKUP(Table20[[#This Row],[DEF]],Table44[DEF],Table44[R+R])</f>
        <v>144.70588235294116</v>
      </c>
      <c r="AE27" s="121">
        <f>_xlfn.XLOOKUP(Table20[[#This Row],[DEF]],Table4[DEF],Table4[TD])+_xlfn.XLOOKUP(Table20[[#This Row],[DEF]],Table44[DEF],Table44[TD])</f>
        <v>1.6470588235294117</v>
      </c>
      <c r="AG27" s="119">
        <f t="shared" si="2"/>
        <v>10.833333333333334</v>
      </c>
      <c r="AH27" s="119">
        <v>14.5</v>
      </c>
      <c r="AI27" s="119">
        <f>_xlfn.RANK.AVG(Table7[[#This Row],[Y]],Table7[Y])</f>
        <v>12</v>
      </c>
      <c r="AJ27" s="119">
        <v>6</v>
      </c>
      <c r="AK27" s="21" t="s">
        <v>49</v>
      </c>
      <c r="AL27" s="89">
        <f>Table2121418198598114[[#Totals],[WR1 Recep]]</f>
        <v>4.9411764705882355</v>
      </c>
      <c r="AM27" s="89">
        <f>Table2121418198598114[[#Totals],[WR1 RecY]]</f>
        <v>63.941176470588232</v>
      </c>
      <c r="AN27" s="22">
        <f>Table2121418198598114[[#Totals],[WR1 TD]]</f>
        <v>0.52941176470588236</v>
      </c>
      <c r="AP27" s="119">
        <f t="shared" si="3"/>
        <v>19.166666666666668</v>
      </c>
      <c r="AQ27" s="119">
        <v>14.5</v>
      </c>
      <c r="AR27" s="119">
        <f>_xlfn.RANK.AVG(Table712[[#This Row],[Y]],Table712[Y])</f>
        <v>22</v>
      </c>
      <c r="AS27" s="119">
        <v>21</v>
      </c>
      <c r="AT27" s="21" t="s">
        <v>49</v>
      </c>
      <c r="AU27" s="89">
        <f>Table2121418198598114[[#Totals],[WR2 Recep]]</f>
        <v>3.2352941176470589</v>
      </c>
      <c r="AV27" s="89">
        <f>Table2121418198598114[[#Totals],[WR2 RecY]]</f>
        <v>37.235294117647058</v>
      </c>
      <c r="AW27" s="22">
        <f>Table2121418198598114[[#Totals],[WR2 TD]]</f>
        <v>0.23529411764705882</v>
      </c>
      <c r="AY27" s="119">
        <f t="shared" si="4"/>
        <v>17.333333333333332</v>
      </c>
      <c r="AZ27" s="119">
        <v>22</v>
      </c>
      <c r="BA27" s="119">
        <f>_xlfn.RANK.AVG(Table8[[#This Row],[Y]],Table8[Y])</f>
        <v>20</v>
      </c>
      <c r="BB27" s="119">
        <v>10</v>
      </c>
      <c r="BC27" s="120" t="s">
        <v>49</v>
      </c>
      <c r="BD27" s="89">
        <f>Table2121418198598114[[#Totals],[TE1 Recep]]</f>
        <v>3.4705882352941178</v>
      </c>
      <c r="BE27" s="89">
        <f>Table2121418198598114[[#Totals],[TE1 RecY]]</f>
        <v>36.294117647058826</v>
      </c>
      <c r="BF27" s="22">
        <f>Table2121418198598114[[#Totals],[TE1 TD]]</f>
        <v>0.35294117647058826</v>
      </c>
    </row>
    <row r="28" spans="2:60" ht="14.5" customHeight="1" x14ac:dyDescent="0.35">
      <c r="B28" s="24">
        <v>1</v>
      </c>
      <c r="C28" s="155" t="str">
        <f>Table82[[#This Row],[Slate]]</f>
        <v>n/a</v>
      </c>
      <c r="D28" s="23" t="s">
        <v>50</v>
      </c>
      <c r="E28" s="23" t="str">
        <f>Table4334[[#This Row],[OPP]]</f>
        <v>n/a</v>
      </c>
      <c r="G28" s="119">
        <f t="shared" si="0"/>
        <v>17.2</v>
      </c>
      <c r="H28" s="119">
        <v>27</v>
      </c>
      <c r="I28" s="119">
        <v>2</v>
      </c>
      <c r="J28" s="119">
        <f>_xlfn.RANK.AVG(Table1[[#This Row],[P+R]],Table1[P+R])</f>
        <v>23</v>
      </c>
      <c r="K28" s="119">
        <v>32</v>
      </c>
      <c r="L28" s="119">
        <v>2</v>
      </c>
      <c r="M28" s="23" t="s">
        <v>50</v>
      </c>
      <c r="N28" s="89">
        <f>Table21214181984[[#Totals],[QB PY]]</f>
        <v>204.47058823529412</v>
      </c>
      <c r="O28" s="89">
        <f>Table21214181984[[#Totals],[QB RY]]</f>
        <v>23.529411764705884</v>
      </c>
      <c r="P28" s="89">
        <f>Table1[[#This Row],[P]]+Table1[[#This Row],[R]]</f>
        <v>228</v>
      </c>
      <c r="Q28" s="22">
        <f>Table21214181984[[#Totals],[P TD]]</f>
        <v>0.82352941176470584</v>
      </c>
      <c r="R28" s="22">
        <f>Table21214181984[[#Totals],[QB TD]]</f>
        <v>0.41176470588235292</v>
      </c>
      <c r="S28" s="121"/>
      <c r="T28" s="119">
        <f t="shared" si="1"/>
        <v>13.1</v>
      </c>
      <c r="U28" s="119">
        <v>15</v>
      </c>
      <c r="V28" s="119">
        <v>24</v>
      </c>
      <c r="W28" s="119">
        <v>7</v>
      </c>
      <c r="X28" s="119">
        <v>9</v>
      </c>
      <c r="Y28" s="119">
        <v>10.5</v>
      </c>
      <c r="Z28" s="23" t="s">
        <v>50</v>
      </c>
      <c r="AA28" s="122">
        <f>_xlfn.XLOOKUP(Table20[[#This Row],[DEF]],Table4[DEF],Table4[R])+_xlfn.XLOOKUP(Table20[[#This Row],[DEF]],Table44[DEF],Table44[R])</f>
        <v>96.588235294117652</v>
      </c>
      <c r="AB28" s="122">
        <f>_xlfn.XLOOKUP(Table20[[#This Row],[DEF]],Table4[DEF],Table4[REC])+_xlfn.XLOOKUP(Table20[[#This Row],[DEF]],Table44[DEF],Table44[REC])</f>
        <v>3.7058823529411762</v>
      </c>
      <c r="AC28" s="122">
        <f>_xlfn.XLOOKUP(Table20[[#This Row],[DEF]],Table4[DEF],Table4[Y])+_xlfn.XLOOKUP(Table20[[#This Row],[DEF]],Table44[DEF],Table44[Y])</f>
        <v>37.588235294117645</v>
      </c>
      <c r="AD28" s="122">
        <f>_xlfn.XLOOKUP(Table20[[#This Row],[DEF]],Table4[DEF],Table4[R+R])+_xlfn.XLOOKUP(Table20[[#This Row],[DEF]],Table44[DEF],Table44[R+R])</f>
        <v>134.1764705882353</v>
      </c>
      <c r="AE28" s="121">
        <f>_xlfn.XLOOKUP(Table20[[#This Row],[DEF]],Table4[DEF],Table4[TD])+_xlfn.XLOOKUP(Table20[[#This Row],[DEF]],Table44[DEF],Table44[TD])</f>
        <v>1</v>
      </c>
      <c r="AG28" s="119">
        <f t="shared" si="2"/>
        <v>26.333333333333332</v>
      </c>
      <c r="AH28" s="119">
        <v>27</v>
      </c>
      <c r="AI28" s="119">
        <f>_xlfn.RANK.AVG(Table7[[#This Row],[Y]],Table7[Y])</f>
        <v>21</v>
      </c>
      <c r="AJ28" s="119">
        <v>31</v>
      </c>
      <c r="AK28" s="23" t="s">
        <v>50</v>
      </c>
      <c r="AL28" s="89">
        <f>Table21214181984[[#Totals],[WR1 Recep]]</f>
        <v>4.2352941176470589</v>
      </c>
      <c r="AM28" s="89">
        <f>Table21214181984[[#Totals],[WR1 RecY]]</f>
        <v>56.411764705882355</v>
      </c>
      <c r="AN28" s="22">
        <f>Table21214181984[[#Totals],[WR1 TD]]</f>
        <v>0.11764705882352941</v>
      </c>
      <c r="AP28" s="119">
        <f t="shared" si="3"/>
        <v>11.5</v>
      </c>
      <c r="AQ28" s="119">
        <v>9.5</v>
      </c>
      <c r="AR28" s="119">
        <f>_xlfn.RANK.AVG(Table712[[#This Row],[Y]],Table712[Y])</f>
        <v>4</v>
      </c>
      <c r="AS28" s="119">
        <v>21</v>
      </c>
      <c r="AT28" s="23" t="s">
        <v>50</v>
      </c>
      <c r="AU28" s="89">
        <f>Table21214181984[[#Totals],[WR2 Recep]]</f>
        <v>3.4705882352941178</v>
      </c>
      <c r="AV28" s="89">
        <f>Table21214181984[[#Totals],[WR2 RecY]]</f>
        <v>51.529411764705884</v>
      </c>
      <c r="AW28" s="22">
        <f>Table21214181984[[#Totals],[WR2 TD]]</f>
        <v>0.23529411764705882</v>
      </c>
      <c r="AY28" s="119">
        <f t="shared" si="4"/>
        <v>29.666666666666668</v>
      </c>
      <c r="AZ28" s="119">
        <v>25</v>
      </c>
      <c r="BA28" s="119">
        <f>_xlfn.RANK.AVG(Table8[[#This Row],[Y]],Table8[Y])</f>
        <v>32</v>
      </c>
      <c r="BB28" s="119">
        <v>32</v>
      </c>
      <c r="BC28" s="119" t="s">
        <v>50</v>
      </c>
      <c r="BD28" s="89">
        <f>Table21214181984[[#Totals],[TE1 Recep]]</f>
        <v>3.2352941176470589</v>
      </c>
      <c r="BE28" s="89">
        <f>Table21214181984[[#Totals],[TE1 RecY]]</f>
        <v>24</v>
      </c>
      <c r="BF28" s="22">
        <f>Table21214181984[[#Totals],[TE1 TD]]</f>
        <v>5.8823529411764705E-2</v>
      </c>
    </row>
    <row r="29" spans="2:60" ht="14.5" customHeight="1" x14ac:dyDescent="0.35">
      <c r="B29" s="24">
        <v>1</v>
      </c>
      <c r="C29" s="155" t="str">
        <f>Table82[[#This Row],[Slate]]</f>
        <v>n/a</v>
      </c>
      <c r="D29" s="21" t="s">
        <v>51</v>
      </c>
      <c r="E29" s="23" t="str">
        <f>Table4334[[#This Row],[OPP]]</f>
        <v>n/a</v>
      </c>
      <c r="G29" s="119">
        <f t="shared" si="0"/>
        <v>10.1</v>
      </c>
      <c r="H29" s="119">
        <v>3</v>
      </c>
      <c r="I29" s="119">
        <v>26</v>
      </c>
      <c r="J29" s="119">
        <f>_xlfn.RANK.AVG(Table1[[#This Row],[P+R]],Table1[P+R])</f>
        <v>4</v>
      </c>
      <c r="K29" s="119">
        <v>9.5</v>
      </c>
      <c r="L29" s="119">
        <v>8</v>
      </c>
      <c r="M29" s="21" t="s">
        <v>51</v>
      </c>
      <c r="N29" s="89">
        <f>Table2121418198598115[[#Totals],[QB PY]]</f>
        <v>261</v>
      </c>
      <c r="O29" s="89">
        <f>Table2121418198598115[[#Totals],[QB RY]]</f>
        <v>15.294117647058824</v>
      </c>
      <c r="P29" s="89">
        <f>Table1[[#This Row],[P]]+Table1[[#This Row],[R]]</f>
        <v>276.29411764705884</v>
      </c>
      <c r="Q29" s="22">
        <f>Table2121418198598115[[#Totals],[P TD]]</f>
        <v>1.7647058823529411</v>
      </c>
      <c r="R29" s="22">
        <f>Table2121418198598115[[#Totals],[QB TD]]</f>
        <v>0.29411764705882354</v>
      </c>
      <c r="S29" s="121"/>
      <c r="T29" s="119">
        <f t="shared" si="1"/>
        <v>18.3</v>
      </c>
      <c r="U29" s="119">
        <v>16</v>
      </c>
      <c r="V29" s="119">
        <v>14</v>
      </c>
      <c r="W29" s="119">
        <v>15</v>
      </c>
      <c r="X29" s="119">
        <v>15</v>
      </c>
      <c r="Y29" s="119">
        <v>31.5</v>
      </c>
      <c r="Z29" s="21" t="s">
        <v>51</v>
      </c>
      <c r="AA29" s="122">
        <f>_xlfn.XLOOKUP(Table20[[#This Row],[DEF]],Table4[DEF],Table4[R])+_xlfn.XLOOKUP(Table20[[#This Row],[DEF]],Table44[DEF],Table44[R])</f>
        <v>96.529411764705884</v>
      </c>
      <c r="AB29" s="122">
        <f>_xlfn.XLOOKUP(Table20[[#This Row],[DEF]],Table4[DEF],Table4[REC])+_xlfn.XLOOKUP(Table20[[#This Row],[DEF]],Table44[DEF],Table44[REC])</f>
        <v>4.5294117647058822</v>
      </c>
      <c r="AC29" s="122">
        <f>_xlfn.XLOOKUP(Table20[[#This Row],[DEF]],Table4[DEF],Table4[Y])+_xlfn.XLOOKUP(Table20[[#This Row],[DEF]],Table44[DEF],Table44[Y])</f>
        <v>31.411764705882351</v>
      </c>
      <c r="AD29" s="122">
        <f>_xlfn.XLOOKUP(Table20[[#This Row],[DEF]],Table4[DEF],Table4[R+R])+_xlfn.XLOOKUP(Table20[[#This Row],[DEF]],Table44[DEF],Table44[R+R])</f>
        <v>127.94117647058823</v>
      </c>
      <c r="AE29" s="121">
        <f>_xlfn.XLOOKUP(Table20[[#This Row],[DEF]],Table4[DEF],Table4[TD])+_xlfn.XLOOKUP(Table20[[#This Row],[DEF]],Table44[DEF],Table44[TD])</f>
        <v>0.41176470588235292</v>
      </c>
      <c r="AG29" s="119">
        <f t="shared" si="2"/>
        <v>6.833333333333333</v>
      </c>
      <c r="AH29" s="119">
        <v>1.5</v>
      </c>
      <c r="AI29" s="119">
        <f>_xlfn.RANK.AVG(Table7[[#This Row],[Y]],Table7[Y])</f>
        <v>3</v>
      </c>
      <c r="AJ29" s="119">
        <v>16</v>
      </c>
      <c r="AK29" s="21" t="s">
        <v>51</v>
      </c>
      <c r="AL29" s="89">
        <f>Table2121418198598115[[#Totals],[WR1 Recep]]</f>
        <v>5.7058823529411766</v>
      </c>
      <c r="AM29" s="89">
        <f>Table2121418198598115[[#Totals],[WR1 RecY]]</f>
        <v>74.82352941176471</v>
      </c>
      <c r="AN29" s="22">
        <f>Table2121418198598115[[#Totals],[WR1 TD]]</f>
        <v>0.41176470588235292</v>
      </c>
      <c r="AP29" s="119">
        <f t="shared" si="3"/>
        <v>18.5</v>
      </c>
      <c r="AQ29" s="119">
        <v>20</v>
      </c>
      <c r="AR29" s="119">
        <f>_xlfn.RANK.AVG(Table712[[#This Row],[Y]],Table712[Y])</f>
        <v>8</v>
      </c>
      <c r="AS29" s="119">
        <v>27.5</v>
      </c>
      <c r="AT29" s="21" t="s">
        <v>51</v>
      </c>
      <c r="AU29" s="89">
        <f>Table2121418198598115[[#Totals],[WR2 Recep]]</f>
        <v>3.1176470588235294</v>
      </c>
      <c r="AV29" s="89">
        <f>Table2121418198598115[[#Totals],[WR2 RecY]]</f>
        <v>48.352941176470587</v>
      </c>
      <c r="AW29" s="22">
        <f>Table2121418198598115[[#Totals],[WR2 TD]]</f>
        <v>0.17647058823529413</v>
      </c>
      <c r="AY29" s="119">
        <f t="shared" si="4"/>
        <v>8.1666666666666661</v>
      </c>
      <c r="AZ29" s="119">
        <v>11.5</v>
      </c>
      <c r="BA29" s="119">
        <f>_xlfn.RANK.AVG(Table8[[#This Row],[Y]],Table8[Y])</f>
        <v>10</v>
      </c>
      <c r="BB29" s="119">
        <v>3</v>
      </c>
      <c r="BC29" s="120" t="s">
        <v>51</v>
      </c>
      <c r="BD29" s="89">
        <f>Table2121418198598115[[#Totals],[TE1 Recep]]</f>
        <v>4</v>
      </c>
      <c r="BE29" s="89">
        <f>Table2121418198598115[[#Totals],[TE1 RecY]]</f>
        <v>43.176470588235297</v>
      </c>
      <c r="BF29" s="22">
        <f>Table2121418198598115[[#Totals],[TE1 TD]]</f>
        <v>0.58823529411764708</v>
      </c>
    </row>
    <row r="30" spans="2:60" ht="14.5" customHeight="1" x14ac:dyDescent="0.35">
      <c r="B30" s="24">
        <v>1</v>
      </c>
      <c r="C30" s="155" t="str">
        <f>Table82[[#This Row],[Slate]]</f>
        <v>SB LX</v>
      </c>
      <c r="D30" s="23" t="s">
        <v>52</v>
      </c>
      <c r="E30" s="23" t="str">
        <f>Table4334[[#This Row],[OPP]]</f>
        <v>NE</v>
      </c>
      <c r="G30" s="119">
        <f t="shared" si="0"/>
        <v>20.8</v>
      </c>
      <c r="H30" s="119">
        <v>21</v>
      </c>
      <c r="I30" s="119">
        <v>18</v>
      </c>
      <c r="J30" s="119">
        <f>_xlfn.RANK.AVG(Table1[[#This Row],[P+R]],Table1[P+R])</f>
        <v>22</v>
      </c>
      <c r="K30" s="119">
        <v>25</v>
      </c>
      <c r="L30" s="119">
        <v>18</v>
      </c>
      <c r="M30" s="23" t="s">
        <v>52</v>
      </c>
      <c r="N30" s="89">
        <f>Table2121418198598116[[#Totals],[QB PY]]</f>
        <v>212.88235294117646</v>
      </c>
      <c r="O30" s="89">
        <f>Table2121418198598116[[#Totals],[QB RY]]</f>
        <v>16.882352941176471</v>
      </c>
      <c r="P30" s="89">
        <f>Table1[[#This Row],[P]]+Table1[[#This Row],[R]]</f>
        <v>229.76470588235293</v>
      </c>
      <c r="Q30" s="22">
        <f>Table2121418198598116[[#Totals],[P TD]]</f>
        <v>1.1764705882352942</v>
      </c>
      <c r="R30" s="22">
        <f>Table2121418198598116[[#Totals],[QB TD]]</f>
        <v>0.17647058823529413</v>
      </c>
      <c r="S30" s="121"/>
      <c r="T30" s="119">
        <f t="shared" si="1"/>
        <v>19.100000000000001</v>
      </c>
      <c r="U30" s="119">
        <v>30</v>
      </c>
      <c r="V30" s="119">
        <v>1</v>
      </c>
      <c r="W30" s="119">
        <v>6</v>
      </c>
      <c r="X30" s="119">
        <v>27</v>
      </c>
      <c r="Y30" s="119">
        <v>31.5</v>
      </c>
      <c r="Z30" s="23" t="s">
        <v>52</v>
      </c>
      <c r="AA30" s="122">
        <f>_xlfn.XLOOKUP(Table20[[#This Row],[DEF]],Table4[DEF],Table4[R])+_xlfn.XLOOKUP(Table20[[#This Row],[DEF]],Table44[DEF],Table44[R])</f>
        <v>72.882352941176478</v>
      </c>
      <c r="AB30" s="122">
        <f>_xlfn.XLOOKUP(Table20[[#This Row],[DEF]],Table4[DEF],Table4[REC])+_xlfn.XLOOKUP(Table20[[#This Row],[DEF]],Table44[DEF],Table44[REC])</f>
        <v>5.7058823529411757</v>
      </c>
      <c r="AC30" s="122">
        <f>_xlfn.XLOOKUP(Table20[[#This Row],[DEF]],Table4[DEF],Table4[Y])+_xlfn.XLOOKUP(Table20[[#This Row],[DEF]],Table44[DEF],Table44[Y])</f>
        <v>37.647058823529413</v>
      </c>
      <c r="AD30" s="122">
        <f>_xlfn.XLOOKUP(Table20[[#This Row],[DEF]],Table4[DEF],Table4[R+R])+_xlfn.XLOOKUP(Table20[[#This Row],[DEF]],Table44[DEF],Table44[R+R])</f>
        <v>110.52941176470588</v>
      </c>
      <c r="AE30" s="121">
        <f>_xlfn.XLOOKUP(Table20[[#This Row],[DEF]],Table4[DEF],Table4[TD])+_xlfn.XLOOKUP(Table20[[#This Row],[DEF]],Table44[DEF],Table44[TD])</f>
        <v>0.41176470588235292</v>
      </c>
      <c r="AG30" s="119">
        <f t="shared" si="2"/>
        <v>16.833333333333332</v>
      </c>
      <c r="AH30" s="119">
        <v>16</v>
      </c>
      <c r="AI30" s="119">
        <f>_xlfn.RANK.AVG(Table7[[#This Row],[Y]],Table7[Y])</f>
        <v>24</v>
      </c>
      <c r="AJ30" s="119">
        <v>10.5</v>
      </c>
      <c r="AK30" s="23" t="s">
        <v>52</v>
      </c>
      <c r="AL30" s="89">
        <f>Table2121418198598116[[#Totals],[WR1 Recep]]</f>
        <v>4.882352941176471</v>
      </c>
      <c r="AM30" s="89">
        <f>Table2121418198598116[[#Totals],[WR1 RecY]]</f>
        <v>54.882352941176471</v>
      </c>
      <c r="AN30" s="22">
        <f>Table2121418198598116[[#Totals],[WR1 TD]]</f>
        <v>0.47058823529411764</v>
      </c>
      <c r="AP30" s="119">
        <f t="shared" si="3"/>
        <v>29</v>
      </c>
      <c r="AQ30" s="119">
        <v>28</v>
      </c>
      <c r="AR30" s="119">
        <f>_xlfn.RANK.AVG(Table712[[#This Row],[Y]],Table712[Y])</f>
        <v>28</v>
      </c>
      <c r="AS30" s="119">
        <v>31</v>
      </c>
      <c r="AT30" s="23" t="s">
        <v>52</v>
      </c>
      <c r="AU30" s="89">
        <f>Table2121418198598116[[#Totals],[WR2 Recep]]</f>
        <v>2.7058823529411766</v>
      </c>
      <c r="AV30" s="89">
        <f>Table2121418198598116[[#Totals],[WR2 RecY]]</f>
        <v>30.117647058823529</v>
      </c>
      <c r="AW30" s="22">
        <f>Table2121418198598116[[#Totals],[WR2 TD]]</f>
        <v>5.8823529411764705E-2</v>
      </c>
      <c r="AY30" s="119">
        <f t="shared" si="4"/>
        <v>12.666666666666666</v>
      </c>
      <c r="AZ30" s="119">
        <v>2.5</v>
      </c>
      <c r="BA30" s="119">
        <f>_xlfn.RANK.AVG(Table8[[#This Row],[Y]],Table8[Y])</f>
        <v>5</v>
      </c>
      <c r="BB30" s="119">
        <v>30.5</v>
      </c>
      <c r="BC30" s="119" t="s">
        <v>52</v>
      </c>
      <c r="BD30" s="89">
        <f>Table2121418198598116[[#Totals],[TE1 Recep]]</f>
        <v>4.4705882352941178</v>
      </c>
      <c r="BE30" s="89">
        <f>Table2121418198598116[[#Totals],[TE1 RecY]]</f>
        <v>47.823529411764703</v>
      </c>
      <c r="BF30" s="22">
        <f>Table2121418198598116[[#Totals],[TE1 TD]]</f>
        <v>0.11764705882352941</v>
      </c>
    </row>
    <row r="31" spans="2:60" x14ac:dyDescent="0.35">
      <c r="B31" s="24">
        <v>1</v>
      </c>
      <c r="C31" s="155" t="str">
        <f>Table82[[#This Row],[Slate]]</f>
        <v>n/a</v>
      </c>
      <c r="D31" s="21" t="s">
        <v>53</v>
      </c>
      <c r="E31" s="23" t="str">
        <f>Table4334[[#This Row],[OPP]]</f>
        <v>n/a</v>
      </c>
      <c r="G31" s="119">
        <f t="shared" si="0"/>
        <v>17.8</v>
      </c>
      <c r="H31" s="119">
        <v>10</v>
      </c>
      <c r="I31" s="119">
        <v>29</v>
      </c>
      <c r="J31" s="119">
        <f>_xlfn.RANK.AVG(Table1[[#This Row],[P+R]],Table1[P+R])</f>
        <v>10</v>
      </c>
      <c r="K31" s="119">
        <v>11.5</v>
      </c>
      <c r="L31" s="119">
        <v>28.5</v>
      </c>
      <c r="M31" s="21" t="s">
        <v>53</v>
      </c>
      <c r="N31" s="89">
        <f>Table2121418198598117[[#Totals],[QB PY]]</f>
        <v>241.76470588235293</v>
      </c>
      <c r="O31" s="89">
        <f>Table2121418198598117[[#Totals],[QB RY]]</f>
        <v>13.176470588235293</v>
      </c>
      <c r="P31" s="89">
        <f>Table1[[#This Row],[P]]+Table1[[#This Row],[R]]</f>
        <v>254.94117647058823</v>
      </c>
      <c r="Q31" s="22">
        <f>Table2121418198598117[[#Totals],[P TD]]</f>
        <v>1.7058823529411764</v>
      </c>
      <c r="R31" s="22">
        <f>Table2121418198598117[[#Totals],[QB TD]]</f>
        <v>5.8823529411764705E-2</v>
      </c>
      <c r="S31" s="121"/>
      <c r="T31" s="119">
        <f t="shared" si="1"/>
        <v>11.7</v>
      </c>
      <c r="U31" s="119">
        <v>19</v>
      </c>
      <c r="V31" s="119">
        <v>2.5</v>
      </c>
      <c r="W31" s="119">
        <v>10</v>
      </c>
      <c r="X31" s="119">
        <v>14</v>
      </c>
      <c r="Y31" s="119">
        <v>13</v>
      </c>
      <c r="Z31" s="21" t="s">
        <v>53</v>
      </c>
      <c r="AA31" s="122">
        <f>_xlfn.XLOOKUP(Table20[[#This Row],[DEF]],Table4[DEF],Table4[R])+_xlfn.XLOOKUP(Table20[[#This Row],[DEF]],Table44[DEF],Table44[R])</f>
        <v>93.058823529411768</v>
      </c>
      <c r="AB31" s="122">
        <f>_xlfn.XLOOKUP(Table20[[#This Row],[DEF]],Table4[DEF],Table4[REC])+_xlfn.XLOOKUP(Table20[[#This Row],[DEF]],Table44[DEF],Table44[REC])</f>
        <v>5.5294117647058822</v>
      </c>
      <c r="AC31" s="122">
        <f>_xlfn.XLOOKUP(Table20[[#This Row],[DEF]],Table4[DEF],Table4[Y])+_xlfn.XLOOKUP(Table20[[#This Row],[DEF]],Table44[DEF],Table44[Y])</f>
        <v>35.705882352941174</v>
      </c>
      <c r="AD31" s="122">
        <f>_xlfn.XLOOKUP(Table20[[#This Row],[DEF]],Table4[DEF],Table4[R+R])+_xlfn.XLOOKUP(Table20[[#This Row],[DEF]],Table44[DEF],Table44[R+R])</f>
        <v>128.76470588235293</v>
      </c>
      <c r="AE31" s="121">
        <f>_xlfn.XLOOKUP(Table20[[#This Row],[DEF]],Table4[DEF],Table4[TD])+_xlfn.XLOOKUP(Table20[[#This Row],[DEF]],Table44[DEF],Table44[TD])</f>
        <v>0.88235294117647067</v>
      </c>
      <c r="AG31" s="119">
        <f t="shared" si="2"/>
        <v>18.666666666666668</v>
      </c>
      <c r="AH31" s="119">
        <v>7.5</v>
      </c>
      <c r="AI31" s="119">
        <f>_xlfn.RANK.AVG(Table7[[#This Row],[Y]],Table7[Y])</f>
        <v>23</v>
      </c>
      <c r="AJ31" s="119">
        <v>25.5</v>
      </c>
      <c r="AK31" s="21" t="s">
        <v>53</v>
      </c>
      <c r="AL31" s="89">
        <f>Table2121418198598117[[#Totals],[WR1 Recep]]</f>
        <v>5.2352941176470589</v>
      </c>
      <c r="AM31" s="89">
        <f>Table2121418198598117[[#Totals],[WR1 RecY]]</f>
        <v>56</v>
      </c>
      <c r="AN31" s="22">
        <f>Table2121418198598117[[#Totals],[WR1 TD]]</f>
        <v>0.23529411764705882</v>
      </c>
      <c r="AP31" s="119">
        <f t="shared" si="3"/>
        <v>4.833333333333333</v>
      </c>
      <c r="AQ31" s="119">
        <v>6</v>
      </c>
      <c r="AR31" s="119">
        <f>_xlfn.RANK.AVG(Table712[[#This Row],[Y]],Table712[Y])</f>
        <v>3</v>
      </c>
      <c r="AS31" s="119">
        <v>5.5</v>
      </c>
      <c r="AT31" s="21" t="s">
        <v>53</v>
      </c>
      <c r="AU31" s="89">
        <f>Table2121418198598117[[#Totals],[WR2 Recep]]</f>
        <v>3.7058823529411766</v>
      </c>
      <c r="AV31" s="89">
        <f>Table2121418198598117[[#Totals],[WR2 RecY]]</f>
        <v>52.176470588235297</v>
      </c>
      <c r="AW31" s="22">
        <f>Table2121418198598117[[#Totals],[WR2 TD]]</f>
        <v>0.41176470588235292</v>
      </c>
      <c r="AY31" s="119">
        <f t="shared" si="4"/>
        <v>15.5</v>
      </c>
      <c r="AZ31" s="119">
        <v>14</v>
      </c>
      <c r="BA31" s="119">
        <f>_xlfn.RANK.AVG(Table8[[#This Row],[Y]],Table8[Y])</f>
        <v>17</v>
      </c>
      <c r="BB31" s="119">
        <v>15.5</v>
      </c>
      <c r="BC31" s="120" t="s">
        <v>53</v>
      </c>
      <c r="BD31" s="89">
        <f>Table2121418198598117[[#Totals],[TE1 Recep]]</f>
        <v>3.9411764705882355</v>
      </c>
      <c r="BE31" s="89">
        <f>Table2121418198598117[[#Totals],[TE1 RecY]]</f>
        <v>38.470588235294116</v>
      </c>
      <c r="BF31" s="22">
        <f>Table2121418198598117[[#Totals],[TE1 TD]]</f>
        <v>0.29411764705882354</v>
      </c>
    </row>
    <row r="32" spans="2:60" x14ac:dyDescent="0.35">
      <c r="B32" s="24">
        <v>1</v>
      </c>
      <c r="C32" s="155" t="str">
        <f>Table82[[#This Row],[Slate]]</f>
        <v>n/a</v>
      </c>
      <c r="D32" s="23" t="s">
        <v>54</v>
      </c>
      <c r="E32" s="23" t="str">
        <f>Table4334[[#This Row],[OPP]]</f>
        <v>n/a</v>
      </c>
      <c r="G32" s="119">
        <f t="shared" si="0"/>
        <v>6.1</v>
      </c>
      <c r="H32" s="119">
        <v>6</v>
      </c>
      <c r="I32" s="119">
        <v>9</v>
      </c>
      <c r="J32" s="119">
        <f>_xlfn.RANK.AVG(Table1[[#This Row],[P+R]],Table1[P+R])</f>
        <v>5</v>
      </c>
      <c r="K32" s="119">
        <v>6.5</v>
      </c>
      <c r="L32" s="119">
        <v>4</v>
      </c>
      <c r="M32" s="23" t="s">
        <v>54</v>
      </c>
      <c r="N32" s="89">
        <f>Table2121418198598118[[#Totals],[QB PY]]</f>
        <v>254.8235294117647</v>
      </c>
      <c r="O32" s="89">
        <f>Table2121418198598118[[#Totals],[QB RY]]</f>
        <v>20.882352941176471</v>
      </c>
      <c r="P32" s="89">
        <f>Table1[[#This Row],[P]]+Table1[[#This Row],[R]]</f>
        <v>275.70588235294116</v>
      </c>
      <c r="Q32" s="22">
        <f>Table2121418198598118[[#Totals],[P TD]]</f>
        <v>1.8823529411764706</v>
      </c>
      <c r="R32" s="22">
        <f>Table2121418198598118[[#Totals],[QB TD]]</f>
        <v>0.35294117647058826</v>
      </c>
      <c r="S32" s="121"/>
      <c r="T32" s="119">
        <f t="shared" si="1"/>
        <v>14.2</v>
      </c>
      <c r="U32" s="119">
        <v>27</v>
      </c>
      <c r="V32" s="119">
        <v>11.5</v>
      </c>
      <c r="W32" s="119">
        <v>1</v>
      </c>
      <c r="X32" s="119">
        <v>13</v>
      </c>
      <c r="Y32" s="119">
        <v>18.5</v>
      </c>
      <c r="Z32" s="23" t="s">
        <v>54</v>
      </c>
      <c r="AA32" s="122">
        <f>_xlfn.XLOOKUP(Table20[[#This Row],[DEF]],Table4[DEF],Table4[R])+_xlfn.XLOOKUP(Table20[[#This Row],[DEF]],Table44[DEF],Table44[R])</f>
        <v>78.82352941176471</v>
      </c>
      <c r="AB32" s="122">
        <f>_xlfn.XLOOKUP(Table20[[#This Row],[DEF]],Table4[DEF],Table4[REC])+_xlfn.XLOOKUP(Table20[[#This Row],[DEF]],Table44[DEF],Table44[REC])</f>
        <v>4.5882352941176467</v>
      </c>
      <c r="AC32" s="122">
        <f>_xlfn.XLOOKUP(Table20[[#This Row],[DEF]],Table4[DEF],Table4[Y])+_xlfn.XLOOKUP(Table20[[#This Row],[DEF]],Table44[DEF],Table44[Y])</f>
        <v>50.588235294117645</v>
      </c>
      <c r="AD32" s="122">
        <f>_xlfn.XLOOKUP(Table20[[#This Row],[DEF]],Table4[DEF],Table4[R+R])+_xlfn.XLOOKUP(Table20[[#This Row],[DEF]],Table44[DEF],Table44[R+R])</f>
        <v>129.41176470588235</v>
      </c>
      <c r="AE32" s="121">
        <f>_xlfn.XLOOKUP(Table20[[#This Row],[DEF]],Table4[DEF],Table4[TD])+_xlfn.XLOOKUP(Table20[[#This Row],[DEF]],Table44[DEF],Table44[TD])</f>
        <v>0.82352941176470595</v>
      </c>
      <c r="AG32" s="119">
        <f t="shared" si="2"/>
        <v>15.166666666666666</v>
      </c>
      <c r="AH32" s="119">
        <v>12.5</v>
      </c>
      <c r="AI32" s="119">
        <f>_xlfn.RANK.AVG(Table7[[#This Row],[Y]],Table7[Y])</f>
        <v>17</v>
      </c>
      <c r="AJ32" s="119">
        <v>16</v>
      </c>
      <c r="AK32" s="23" t="s">
        <v>54</v>
      </c>
      <c r="AL32" s="89">
        <f>Table2121418198598118[[#Totals],[WR1 Recep]]</f>
        <v>5</v>
      </c>
      <c r="AM32" s="89">
        <f>Table2121418198598118[[#Totals],[WR1 RecY]]</f>
        <v>61.588235294117645</v>
      </c>
      <c r="AN32" s="22">
        <f>Table2121418198598118[[#Totals],[WR1 TD]]</f>
        <v>0.41176470588235292</v>
      </c>
      <c r="AP32" s="119">
        <f t="shared" si="3"/>
        <v>9.6666666666666661</v>
      </c>
      <c r="AQ32" s="119">
        <v>6</v>
      </c>
      <c r="AR32" s="119">
        <f>_xlfn.RANK.AVG(Table712[[#This Row],[Y]],Table712[Y])</f>
        <v>9</v>
      </c>
      <c r="AS32" s="119">
        <v>14</v>
      </c>
      <c r="AT32" s="23" t="s">
        <v>54</v>
      </c>
      <c r="AU32" s="89">
        <f>Table2121418198598118[[#Totals],[WR2 Recep]]</f>
        <v>3.7058823529411766</v>
      </c>
      <c r="AV32" s="89">
        <f>Table2121418198598118[[#Totals],[WR2 RecY]]</f>
        <v>47.647058823529413</v>
      </c>
      <c r="AW32" s="22">
        <f>Table2121418198598118[[#Totals],[WR2 TD]]</f>
        <v>0.29411764705882354</v>
      </c>
      <c r="AY32" s="119">
        <f t="shared" si="4"/>
        <v>6.333333333333333</v>
      </c>
      <c r="AZ32" s="119">
        <v>5</v>
      </c>
      <c r="BA32" s="119">
        <f>_xlfn.RANK.AVG(Table8[[#This Row],[Y]],Table8[Y])</f>
        <v>11</v>
      </c>
      <c r="BB32" s="119">
        <v>3</v>
      </c>
      <c r="BC32" s="119" t="s">
        <v>54</v>
      </c>
      <c r="BD32" s="89">
        <f>Table2121418198598118[[#Totals],[TE1 Recep]]</f>
        <v>4.3529411764705879</v>
      </c>
      <c r="BE32" s="89">
        <f>Table2121418198598118[[#Totals],[TE1 RecY]]</f>
        <v>42.823529411764703</v>
      </c>
      <c r="BF32" s="22">
        <f>Table2121418198598118[[#Totals],[TE1 TD]]</f>
        <v>0.58823529411764708</v>
      </c>
    </row>
    <row r="33" spans="2:58" x14ac:dyDescent="0.35">
      <c r="B33" s="24">
        <v>1</v>
      </c>
      <c r="C33" s="155" t="str">
        <f>Table82[[#This Row],[Slate]]</f>
        <v>n/a</v>
      </c>
      <c r="D33" s="21" t="s">
        <v>55</v>
      </c>
      <c r="E33" s="23" t="str">
        <f>Table4334[[#This Row],[OPP]]</f>
        <v>n/a</v>
      </c>
      <c r="G33" s="119">
        <f t="shared" si="0"/>
        <v>10.7</v>
      </c>
      <c r="H33" s="119">
        <v>7</v>
      </c>
      <c r="I33" s="119">
        <v>12</v>
      </c>
      <c r="J33" s="119">
        <f>_xlfn.RANK.AVG(Table1[[#This Row],[P+R]],Table1[P+R])</f>
        <v>7</v>
      </c>
      <c r="K33" s="119">
        <v>9.5</v>
      </c>
      <c r="L33" s="119">
        <v>18</v>
      </c>
      <c r="M33" s="21" t="s">
        <v>55</v>
      </c>
      <c r="N33" s="89">
        <f>Table2121418198598119[[#Totals],[QB PY]]</f>
        <v>248.29411764705881</v>
      </c>
      <c r="O33" s="89">
        <f>Table2121418198598119[[#Totals],[QB RY]]</f>
        <v>19.411764705882351</v>
      </c>
      <c r="P33" s="89">
        <f>Table1[[#This Row],[P]]+Table1[[#This Row],[R]]</f>
        <v>267.70588235294116</v>
      </c>
      <c r="Q33" s="22">
        <f>Table2121418198598119[[#Totals],[P TD]]</f>
        <v>1.7647058823529411</v>
      </c>
      <c r="R33" s="22">
        <f>Table2121418198598119[[#Totals],[QB TD]]</f>
        <v>0.17647058823529413</v>
      </c>
      <c r="S33" s="121"/>
      <c r="T33" s="119">
        <f t="shared" si="1"/>
        <v>20.399999999999999</v>
      </c>
      <c r="U33" s="119">
        <v>20</v>
      </c>
      <c r="V33" s="119">
        <v>29.5</v>
      </c>
      <c r="W33" s="119">
        <v>24</v>
      </c>
      <c r="X33" s="119">
        <v>23</v>
      </c>
      <c r="Y33" s="119">
        <v>5.5</v>
      </c>
      <c r="Z33" s="21" t="s">
        <v>55</v>
      </c>
      <c r="AA33" s="122">
        <f>_xlfn.XLOOKUP(Table20[[#This Row],[DEF]],Table4[DEF],Table4[R])+_xlfn.XLOOKUP(Table20[[#This Row],[DEF]],Table44[DEF],Table44[R])</f>
        <v>91.35294117647058</v>
      </c>
      <c r="AB33" s="122">
        <f>_xlfn.XLOOKUP(Table20[[#This Row],[DEF]],Table4[DEF],Table4[REC])+_xlfn.XLOOKUP(Table20[[#This Row],[DEF]],Table44[DEF],Table44[REC])</f>
        <v>3.3529411764705879</v>
      </c>
      <c r="AC33" s="122">
        <f>_xlfn.XLOOKUP(Table20[[#This Row],[DEF]],Table4[DEF],Table4[Y])+_xlfn.XLOOKUP(Table20[[#This Row],[DEF]],Table44[DEF],Table44[Y])</f>
        <v>27.058823529411761</v>
      </c>
      <c r="AD33" s="122">
        <f>_xlfn.XLOOKUP(Table20[[#This Row],[DEF]],Table4[DEF],Table4[R+R])+_xlfn.XLOOKUP(Table20[[#This Row],[DEF]],Table44[DEF],Table44[R+R])</f>
        <v>118.41176470588235</v>
      </c>
      <c r="AE33" s="121">
        <f>_xlfn.XLOOKUP(Table20[[#This Row],[DEF]],Table4[DEF],Table4[TD])+_xlfn.XLOOKUP(Table20[[#This Row],[DEF]],Table44[DEF],Table44[TD])</f>
        <v>1.1764705882352942</v>
      </c>
      <c r="AG33" s="119">
        <f t="shared" si="2"/>
        <v>5.333333333333333</v>
      </c>
      <c r="AH33" s="119">
        <v>9</v>
      </c>
      <c r="AI33" s="119">
        <f>_xlfn.RANK.AVG(Table7[[#This Row],[Y]],Table7[Y])</f>
        <v>4</v>
      </c>
      <c r="AJ33" s="119">
        <v>3</v>
      </c>
      <c r="AK33" s="21" t="s">
        <v>55</v>
      </c>
      <c r="AL33" s="89">
        <f>Table2121418198598119[[#Totals],[WR1 Recep]]</f>
        <v>5.1764705882352944</v>
      </c>
      <c r="AM33" s="89">
        <f>Table2121418198598119[[#Totals],[WR1 RecY]]</f>
        <v>74.705882352941174</v>
      </c>
      <c r="AN33" s="22">
        <f>Table2121418198598119[[#Totals],[WR1 TD]]</f>
        <v>0.6470588235294118</v>
      </c>
      <c r="AP33" s="119">
        <f t="shared" si="3"/>
        <v>9.3333333333333339</v>
      </c>
      <c r="AQ33" s="119">
        <v>8</v>
      </c>
      <c r="AR33" s="119">
        <f>_xlfn.RANK.AVG(Table712[[#This Row],[Y]],Table712[Y])</f>
        <v>6</v>
      </c>
      <c r="AS33" s="119">
        <v>14</v>
      </c>
      <c r="AT33" s="21" t="s">
        <v>55</v>
      </c>
      <c r="AU33" s="89">
        <f>Table2121418198598119[[#Totals],[WR2 Recep]]</f>
        <v>3.5294117647058822</v>
      </c>
      <c r="AV33" s="89">
        <f>Table2121418198598119[[#Totals],[WR2 RecY]]</f>
        <v>49.470588235294116</v>
      </c>
      <c r="AW33" s="22">
        <f>Table2121418198598119[[#Totals],[WR2 TD]]</f>
        <v>0.29411764705882354</v>
      </c>
      <c r="AY33" s="119">
        <f t="shared" si="4"/>
        <v>7.333333333333333</v>
      </c>
      <c r="AZ33" s="119">
        <v>2.5</v>
      </c>
      <c r="BA33" s="119">
        <f>_xlfn.RANK.AVG(Table8[[#This Row],[Y]],Table8[Y])</f>
        <v>4</v>
      </c>
      <c r="BB33" s="119">
        <v>15.5</v>
      </c>
      <c r="BC33" s="120" t="s">
        <v>55</v>
      </c>
      <c r="BD33" s="89">
        <f>Table2121418198598119[[#Totals],[TE1 Recep]]</f>
        <v>4.4705882352941178</v>
      </c>
      <c r="BE33" s="89">
        <f>Table2121418198598119[[#Totals],[TE1 RecY]]</f>
        <v>49.411764705882355</v>
      </c>
      <c r="BF33" s="22">
        <f>Table2121418198598119[[#Totals],[TE1 TD]]</f>
        <v>0.29411764705882354</v>
      </c>
    </row>
    <row r="34" spans="2:58" x14ac:dyDescent="0.35">
      <c r="B34" s="24">
        <v>1</v>
      </c>
      <c r="C34" s="155" t="str">
        <f>Table82[[#This Row],[Slate]]</f>
        <v>n/a</v>
      </c>
      <c r="D34" s="123" t="s">
        <v>56</v>
      </c>
      <c r="E34" s="23" t="str">
        <f>Table4334[[#This Row],[OPP]]</f>
        <v>n/a</v>
      </c>
      <c r="G34" s="124">
        <f t="shared" si="0"/>
        <v>10.3</v>
      </c>
      <c r="H34" s="124">
        <v>5</v>
      </c>
      <c r="I34" s="124">
        <v>11</v>
      </c>
      <c r="J34" s="124">
        <f>_xlfn.RANK.AVG(Table1[[#This Row],[P+R]],Table1[P+R])</f>
        <v>3</v>
      </c>
      <c r="K34" s="124">
        <v>4</v>
      </c>
      <c r="L34" s="124">
        <v>28.5</v>
      </c>
      <c r="M34" s="123" t="s">
        <v>56</v>
      </c>
      <c r="N34" s="125">
        <f>Table2121418198598121[[#Totals],[QB PY]]</f>
        <v>257.11764705882354</v>
      </c>
      <c r="O34" s="125">
        <f>Table2121418198598121[[#Totals],[QB RY]]</f>
        <v>19.470588235294116</v>
      </c>
      <c r="P34" s="125">
        <f>Table1[[#This Row],[P]]+Table1[[#This Row],[R]]</f>
        <v>276.58823529411768</v>
      </c>
      <c r="Q34" s="67">
        <f>Table2121418198598121[[#Totals],[P TD]]</f>
        <v>1.9411764705882353</v>
      </c>
      <c r="R34" s="67">
        <f>Table2121418198598121[[#Totals],[QB TD]]</f>
        <v>5.8823529411764705E-2</v>
      </c>
      <c r="S34" s="121"/>
      <c r="T34" s="124">
        <f t="shared" si="1"/>
        <v>10.5</v>
      </c>
      <c r="U34" s="124">
        <v>3</v>
      </c>
      <c r="V34" s="124">
        <v>28</v>
      </c>
      <c r="W34" s="124">
        <v>13</v>
      </c>
      <c r="X34" s="124">
        <v>3</v>
      </c>
      <c r="Y34" s="124">
        <v>5.5</v>
      </c>
      <c r="Z34" s="123" t="s">
        <v>56</v>
      </c>
      <c r="AA34" s="122">
        <f>_xlfn.XLOOKUP(Table20[[#This Row],[DEF]],Table4[DEF],Table4[R])+_xlfn.XLOOKUP(Table20[[#This Row],[DEF]],Table44[DEF],Table44[R])</f>
        <v>115.47058823529412</v>
      </c>
      <c r="AB34" s="122">
        <f>_xlfn.XLOOKUP(Table20[[#This Row],[DEF]],Table4[DEF],Table4[REC])+_xlfn.XLOOKUP(Table20[[#This Row],[DEF]],Table44[DEF],Table44[REC])</f>
        <v>3.4117647058823533</v>
      </c>
      <c r="AC34" s="122">
        <f>_xlfn.XLOOKUP(Table20[[#This Row],[DEF]],Table4[DEF],Table4[Y])+_xlfn.XLOOKUP(Table20[[#This Row],[DEF]],Table44[DEF],Table44[Y])</f>
        <v>33.235294117647058</v>
      </c>
      <c r="AD34" s="122">
        <f>_xlfn.XLOOKUP(Table20[[#This Row],[DEF]],Table4[DEF],Table4[R+R])+_xlfn.XLOOKUP(Table20[[#This Row],[DEF]],Table44[DEF],Table44[R+R])</f>
        <v>148.70588235294119</v>
      </c>
      <c r="AE34" s="121">
        <f>_xlfn.XLOOKUP(Table20[[#This Row],[DEF]],Table4[DEF],Table4[TD])+_xlfn.XLOOKUP(Table20[[#This Row],[DEF]],Table44[DEF],Table44[TD])</f>
        <v>1.1764705882352942</v>
      </c>
      <c r="AG34" s="119">
        <f t="shared" si="2"/>
        <v>10.5</v>
      </c>
      <c r="AH34" s="119">
        <v>11</v>
      </c>
      <c r="AI34" s="119">
        <f>_xlfn.RANK.AVG(Table7[[#This Row],[Y]],Table7[Y])</f>
        <v>10</v>
      </c>
      <c r="AJ34" s="119">
        <v>10.5</v>
      </c>
      <c r="AK34" s="23" t="s">
        <v>56</v>
      </c>
      <c r="AL34" s="89">
        <f>Table2121418198598121[[#Totals],[WR1 Recep]]</f>
        <v>5.0588235294117645</v>
      </c>
      <c r="AM34" s="89">
        <f>Table2121418198598121[[#Totals],[WR1 RecY]]</f>
        <v>65.588235294117652</v>
      </c>
      <c r="AN34" s="22">
        <f>Table2121418198598121[[#Totals],[WR1 TD]]</f>
        <v>0.47058823529411764</v>
      </c>
      <c r="AP34" s="119">
        <f t="shared" si="3"/>
        <v>3.1666666666666665</v>
      </c>
      <c r="AQ34" s="119">
        <v>2</v>
      </c>
      <c r="AR34" s="119">
        <f>_xlfn.RANK.AVG(Table712[[#This Row],[Y]],Table712[Y])</f>
        <v>2</v>
      </c>
      <c r="AS34" s="119">
        <v>5.5</v>
      </c>
      <c r="AT34" s="23" t="s">
        <v>56</v>
      </c>
      <c r="AU34" s="89">
        <f>Table2121418198598121[[#Totals],[WR2 Recep]]</f>
        <v>4.117647058823529</v>
      </c>
      <c r="AV34" s="89">
        <f>Table2121418198598121[[#Totals],[WR2 RecY]]</f>
        <v>57.117647058823529</v>
      </c>
      <c r="AW34" s="22">
        <f>Table2121418198598121[[#Totals],[WR2 TD]]</f>
        <v>0.41176470588235292</v>
      </c>
      <c r="AY34" s="119">
        <f t="shared" si="4"/>
        <v>12.333333333333334</v>
      </c>
      <c r="AZ34" s="119">
        <v>21</v>
      </c>
      <c r="BA34" s="119">
        <f>_xlfn.RANK.AVG(Table8[[#This Row],[Y]],Table8[Y])</f>
        <v>13</v>
      </c>
      <c r="BB34" s="119">
        <v>3</v>
      </c>
      <c r="BC34" s="119" t="s">
        <v>56</v>
      </c>
      <c r="BD34" s="89">
        <f>Table2121418198598121[[#Totals],[TE1 Recep]]</f>
        <v>3.5294117647058822</v>
      </c>
      <c r="BE34" s="89">
        <f>Table2121418198598121[[#Totals],[TE1 RecY]]</f>
        <v>42.529411764705884</v>
      </c>
      <c r="BF34" s="22">
        <f>Table2121418198598121[[#Totals],[TE1 TD]]</f>
        <v>0.58823529411764708</v>
      </c>
    </row>
    <row r="35" spans="2:58" ht="7" customHeight="1" x14ac:dyDescent="0.35">
      <c r="D35" s="72"/>
      <c r="E35" s="72"/>
      <c r="H35" s="126"/>
      <c r="I35" s="126"/>
      <c r="J35" s="126"/>
      <c r="K35" s="126"/>
      <c r="L35" s="126"/>
      <c r="M35" s="72"/>
      <c r="N35" s="122"/>
      <c r="O35" s="122"/>
      <c r="P35" s="122"/>
      <c r="Q35" s="121"/>
      <c r="R35" s="121"/>
      <c r="S35" s="121"/>
      <c r="T35" s="121"/>
      <c r="U35" s="126"/>
      <c r="V35" s="126"/>
      <c r="W35" s="126"/>
      <c r="X35" s="126"/>
      <c r="Y35" s="126"/>
      <c r="Z35" s="72"/>
      <c r="AA35" s="122"/>
      <c r="AB35" s="122"/>
      <c r="AC35" s="122"/>
      <c r="AD35" s="122"/>
      <c r="AE35" s="121"/>
      <c r="AH35" s="126"/>
      <c r="AI35" s="126"/>
      <c r="AJ35" s="126"/>
      <c r="AK35" s="126"/>
      <c r="AL35" s="126"/>
      <c r="AM35" s="72"/>
      <c r="AN35" s="122"/>
      <c r="AP35" s="122"/>
      <c r="AQ35" s="122"/>
      <c r="AR35" s="122"/>
      <c r="AS35" s="121"/>
      <c r="AU35" s="126"/>
      <c r="AV35" s="126"/>
      <c r="AW35" s="126"/>
      <c r="AY35" s="126"/>
      <c r="AZ35" s="126"/>
      <c r="BA35" s="72"/>
      <c r="BB35" s="122"/>
      <c r="BC35" s="122"/>
      <c r="BD35" s="122"/>
      <c r="BE35" s="122"/>
      <c r="BF35" s="121"/>
    </row>
    <row r="36" spans="2:58" ht="16" x14ac:dyDescent="0.4">
      <c r="B36" s="158"/>
      <c r="C36" s="220" t="s">
        <v>684</v>
      </c>
      <c r="D36" s="210" t="s">
        <v>101</v>
      </c>
      <c r="E36" s="211"/>
      <c r="G36" s="212" t="s">
        <v>684</v>
      </c>
      <c r="H36" s="212"/>
      <c r="I36" s="212"/>
      <c r="J36" s="212"/>
      <c r="K36" s="212"/>
      <c r="L36" s="213"/>
      <c r="M36" s="214" t="s">
        <v>676</v>
      </c>
      <c r="N36" s="215"/>
      <c r="O36" s="215"/>
      <c r="P36" s="215"/>
      <c r="Q36" s="215"/>
      <c r="R36" s="216"/>
      <c r="S36" s="127"/>
      <c r="T36" s="212" t="s">
        <v>684</v>
      </c>
      <c r="U36" s="212"/>
      <c r="V36" s="212"/>
      <c r="W36" s="212"/>
      <c r="X36" s="212"/>
      <c r="Y36" s="213"/>
      <c r="Z36" s="214" t="s">
        <v>677</v>
      </c>
      <c r="AA36" s="215"/>
      <c r="AB36" s="215"/>
      <c r="AC36" s="215"/>
      <c r="AD36" s="215"/>
      <c r="AE36" s="216"/>
      <c r="AG36" s="205" t="s">
        <v>684</v>
      </c>
      <c r="AH36" s="205"/>
      <c r="AI36" s="205"/>
      <c r="AJ36" s="206"/>
      <c r="AK36" s="217" t="s">
        <v>680</v>
      </c>
      <c r="AL36" s="217"/>
      <c r="AM36" s="217"/>
      <c r="AN36" s="217"/>
      <c r="AP36" s="205" t="s">
        <v>684</v>
      </c>
      <c r="AQ36" s="205"/>
      <c r="AR36" s="205"/>
      <c r="AS36" s="206"/>
      <c r="AT36" s="207" t="s">
        <v>683</v>
      </c>
      <c r="AU36" s="208"/>
      <c r="AV36" s="208"/>
      <c r="AW36" s="209"/>
      <c r="AY36" s="205" t="s">
        <v>684</v>
      </c>
      <c r="AZ36" s="205"/>
      <c r="BA36" s="205"/>
      <c r="BB36" s="206"/>
      <c r="BC36" s="202" t="s">
        <v>682</v>
      </c>
      <c r="BD36" s="203"/>
      <c r="BE36" s="203"/>
      <c r="BF36" s="204"/>
    </row>
    <row r="37" spans="2:58" s="129" customFormat="1" ht="13" x14ac:dyDescent="0.3">
      <c r="B37" s="156" t="s">
        <v>739</v>
      </c>
      <c r="C37" s="220"/>
      <c r="D37" s="61" t="s">
        <v>105</v>
      </c>
      <c r="E37" s="128" t="s">
        <v>72</v>
      </c>
      <c r="G37" s="130" t="s">
        <v>649</v>
      </c>
      <c r="H37" s="130" t="s">
        <v>74</v>
      </c>
      <c r="I37" s="130" t="s">
        <v>98</v>
      </c>
      <c r="J37" s="130" t="s">
        <v>104</v>
      </c>
      <c r="K37" s="130" t="s">
        <v>95</v>
      </c>
      <c r="L37" s="130" t="s">
        <v>72</v>
      </c>
      <c r="M37" s="61" t="s">
        <v>105</v>
      </c>
      <c r="N37" s="131" t="s">
        <v>74</v>
      </c>
      <c r="O37" s="131" t="s">
        <v>98</v>
      </c>
      <c r="P37" s="131" t="s">
        <v>104</v>
      </c>
      <c r="Q37" s="131" t="s">
        <v>95</v>
      </c>
      <c r="R37" s="131" t="s">
        <v>72</v>
      </c>
      <c r="S37" s="132"/>
      <c r="T37" s="130" t="s">
        <v>649</v>
      </c>
      <c r="U37" s="130" t="s">
        <v>74</v>
      </c>
      <c r="V37" s="130" t="s">
        <v>98</v>
      </c>
      <c r="W37" s="130" t="s">
        <v>104</v>
      </c>
      <c r="X37" s="130" t="s">
        <v>95</v>
      </c>
      <c r="Y37" s="130" t="s">
        <v>72</v>
      </c>
      <c r="Z37" s="61" t="s">
        <v>105</v>
      </c>
      <c r="AA37" s="131" t="s">
        <v>74</v>
      </c>
      <c r="AB37" s="131" t="s">
        <v>98</v>
      </c>
      <c r="AC37" s="131" t="s">
        <v>104</v>
      </c>
      <c r="AD37" s="131" t="s">
        <v>95</v>
      </c>
      <c r="AE37" s="131" t="s">
        <v>72</v>
      </c>
      <c r="AG37" s="130" t="s">
        <v>649</v>
      </c>
      <c r="AH37" s="133" t="s">
        <v>98</v>
      </c>
      <c r="AI37" s="133" t="s">
        <v>104</v>
      </c>
      <c r="AJ37" s="133" t="s">
        <v>72</v>
      </c>
      <c r="AK37" s="61" t="s">
        <v>105</v>
      </c>
      <c r="AL37" s="134" t="s">
        <v>98</v>
      </c>
      <c r="AM37" s="134" t="s">
        <v>104</v>
      </c>
      <c r="AN37" s="134" t="s">
        <v>72</v>
      </c>
      <c r="AP37" s="130" t="s">
        <v>649</v>
      </c>
      <c r="AQ37" s="133" t="s">
        <v>98</v>
      </c>
      <c r="AR37" s="133" t="s">
        <v>104</v>
      </c>
      <c r="AS37" s="133" t="s">
        <v>72</v>
      </c>
      <c r="AT37" s="61" t="s">
        <v>105</v>
      </c>
      <c r="AU37" s="134" t="s">
        <v>98</v>
      </c>
      <c r="AV37" s="134" t="s">
        <v>104</v>
      </c>
      <c r="AW37" s="134" t="s">
        <v>72</v>
      </c>
      <c r="AY37" s="130" t="s">
        <v>649</v>
      </c>
      <c r="AZ37" s="133" t="s">
        <v>98</v>
      </c>
      <c r="BA37" s="133" t="s">
        <v>104</v>
      </c>
      <c r="BB37" s="133" t="s">
        <v>72</v>
      </c>
      <c r="BC37" s="61" t="s">
        <v>105</v>
      </c>
      <c r="BD37" s="135" t="s">
        <v>98</v>
      </c>
      <c r="BE37" s="135" t="s">
        <v>104</v>
      </c>
      <c r="BF37" s="135" t="s">
        <v>72</v>
      </c>
    </row>
    <row r="38" spans="2:58" x14ac:dyDescent="0.35">
      <c r="B38" s="155" t="str">
        <f>C3</f>
        <v>n/a</v>
      </c>
      <c r="C38" s="119" cm="1">
        <f t="array" ref="C38:C69">_xlfn.RANK.AVG(Table10[TD],Table10[TD])</f>
        <v>10.5</v>
      </c>
      <c r="D38" s="21" t="s">
        <v>0</v>
      </c>
      <c r="E38" s="22">
        <f>Table2121418198598100[[#Totals],[D/ST TD]]</f>
        <v>0.17647058823529413</v>
      </c>
      <c r="G38" s="119">
        <f>AVERAGE(H38:L38)</f>
        <v>7.4</v>
      </c>
      <c r="H38" s="119" cm="1">
        <f t="array" ref="H38:H69">_xlfn.RANK.AVG(Table4[R],Table4[R])</f>
        <v>15</v>
      </c>
      <c r="I38" s="119" cm="1">
        <f t="array" ref="I38:I69">_xlfn.RANK.AVG(Table4[REC],Table4[REC])</f>
        <v>8</v>
      </c>
      <c r="J38" s="119" cm="1">
        <f t="array" ref="J38:J69">_xlfn.RANK.AVG(Table4[Y],Table4[Y])</f>
        <v>4</v>
      </c>
      <c r="K38" s="119">
        <f>_xlfn.RANK.AVG(Table4[[#This Row],[R+R]],Table4[R+R])</f>
        <v>7</v>
      </c>
      <c r="L38" s="119" cm="1">
        <f t="array" ref="L38:L69">_xlfn.RANK.AVG(Table4[TD],Table4[TD])</f>
        <v>3</v>
      </c>
      <c r="M38" s="21" t="s">
        <v>0</v>
      </c>
      <c r="N38" s="89">
        <f>Table2121418198598100[[#Totals],[RB1 RY]]</f>
        <v>70</v>
      </c>
      <c r="O38" s="89">
        <f>Table2121418198598100[[#Totals],[RB1 Recep]]</f>
        <v>3.1764705882352939</v>
      </c>
      <c r="P38" s="89">
        <f>Table2121418198598100[[#Totals],[RB1 RecY]]</f>
        <v>27.235294117647058</v>
      </c>
      <c r="Q38" s="89">
        <f>Table4[[#This Row],[R]]+Table4[[#This Row],[Y]]</f>
        <v>97.235294117647058</v>
      </c>
      <c r="R38" s="22">
        <f>Table2121418198598100[[#Totals],[RB1 TD]]</f>
        <v>0.94117647058823528</v>
      </c>
      <c r="S38" s="121"/>
      <c r="T38" s="119">
        <f>AVERAGE(U38:Y38)</f>
        <v>11.4</v>
      </c>
      <c r="U38" s="119" cm="1">
        <f t="array" ref="U38:U69">_xlfn.RANK.AVG(Table44[R],Table44[R])</f>
        <v>1</v>
      </c>
      <c r="V38" s="119" cm="1">
        <f t="array" ref="V38:V69">_xlfn.RANK.AVG(Table44[REC],Table44[REC])</f>
        <v>22</v>
      </c>
      <c r="W38" s="119" cm="1">
        <f t="array" ref="W38:W69">_xlfn.RANK.AVG(Table44[Y],Table44[Y])</f>
        <v>26</v>
      </c>
      <c r="X38" s="119" cm="1">
        <f t="array" ref="X38:X69">_xlfn.RANK.AVG(Table44[R+R],Table44[R+R])</f>
        <v>2</v>
      </c>
      <c r="Y38" s="119" cm="1">
        <f t="array" ref="Y38:Y69">_xlfn.RANK.AVG(Table44[TD],Table44[TD])</f>
        <v>6</v>
      </c>
      <c r="Z38" s="21" t="s">
        <v>0</v>
      </c>
      <c r="AA38" s="89">
        <f>Table2121418198598100[[#Totals],[RB2+ RY]]</f>
        <v>43.294117647058826</v>
      </c>
      <c r="AB38" s="89">
        <f>Table2121418198598100[[#Totals],[RB2 Recep]]</f>
        <v>1.2941176470588236</v>
      </c>
      <c r="AC38" s="89">
        <f>Table2121418198598100[[#Totals],[RB2 RecY]]</f>
        <v>8.5882352941176467</v>
      </c>
      <c r="AD38" s="89">
        <f>Table44[[#This Row],[R]]+Table44[[#This Row],[Y]]</f>
        <v>51.882352941176471</v>
      </c>
      <c r="AE38" s="22">
        <f>Table2121418198598100[[#Totals],[RB2 TD]]</f>
        <v>0.41176470588235292</v>
      </c>
      <c r="AG38" s="119">
        <f>AVERAGE(AH38:AJ38)</f>
        <v>30.833333333333332</v>
      </c>
      <c r="AH38" s="119" cm="1">
        <f t="array" ref="AH38:AH69">_xlfn.RANK.AVG(Table71214[REC],Table71214[REC])</f>
        <v>31</v>
      </c>
      <c r="AI38" s="119">
        <f>_xlfn.RANK.AVG(Table71214[[#This Row],[Y]],Table71214[Y])</f>
        <v>32</v>
      </c>
      <c r="AJ38" s="119" cm="1">
        <f t="array" ref="AJ38:AJ69">_xlfn.RANK.AVG(Table71214[TD],Table71214[TD])</f>
        <v>29.5</v>
      </c>
      <c r="AK38" s="21" t="s">
        <v>0</v>
      </c>
      <c r="AL38" s="89">
        <f>Table2121418198598100[[#Totals],[WR3 Recep]]</f>
        <v>1.3529411764705883</v>
      </c>
      <c r="AM38" s="89">
        <f>Table2121418198598100[[#Totals],[WR3 RecY]]</f>
        <v>12.588235294117647</v>
      </c>
      <c r="AN38" s="22">
        <f>Table2121418198598100[[#Totals],[WR3 TD]]</f>
        <v>0</v>
      </c>
      <c r="AP38" s="119">
        <f>AVERAGE(AQ38:AS38)</f>
        <v>20.5</v>
      </c>
      <c r="AQ38" s="119" cm="1">
        <f t="array" ref="AQ38:AQ69">_xlfn.RANK.AVG(Table7121415[REC],Table7121415[REC])</f>
        <v>26</v>
      </c>
      <c r="AR38" s="119">
        <f>_xlfn.RANK.AVG(Table7121415[[#This Row],[Y]],Table7121415[Y])</f>
        <v>27</v>
      </c>
      <c r="AS38" s="119" cm="1">
        <f t="array" ref="AS38:AS69">_xlfn.RANK.AVG(Table7121415[TD],Table7121415[TD])</f>
        <v>8.5</v>
      </c>
      <c r="AT38" s="21" t="s">
        <v>0</v>
      </c>
      <c r="AU38" s="89">
        <f>Table2121418198598100[[#Totals],[WR4+ Recep]]</f>
        <v>0.76470588235294112</v>
      </c>
      <c r="AV38" s="89">
        <f>Table2121418198598100[[#Totals],[WR4+ RecY]]</f>
        <v>7.3529411764705879</v>
      </c>
      <c r="AW38" s="22">
        <f>Table2121418198598100[[#Totals],[WR4+ TD]]</f>
        <v>0.11764705882352941</v>
      </c>
      <c r="AY38" s="119">
        <f>AVERAGE(AZ38:BB38)</f>
        <v>10.166666666666666</v>
      </c>
      <c r="AZ38" s="119" cm="1">
        <f t="array" ref="AZ38:AZ69">_xlfn.RANK.AVG(Table816[REC],Table816[REC])</f>
        <v>11</v>
      </c>
      <c r="BA38" s="119" cm="1">
        <f t="array" ref="BA38:BA69">_xlfn.RANK.AVG(Table816[Y],Table816[Y])</f>
        <v>9.5</v>
      </c>
      <c r="BB38" s="119" cm="1">
        <f t="array" ref="BB38:BB69">_xlfn.RANK.AVG(Table816[TD],Table816[TD])</f>
        <v>10</v>
      </c>
      <c r="BC38" s="21" t="s">
        <v>0</v>
      </c>
      <c r="BD38" s="89">
        <f>Table2121418198598100[[#Totals],[TE2 Recep]]</f>
        <v>1.8235294117647058</v>
      </c>
      <c r="BE38" s="89">
        <f>Table2121418198598100[[#Totals],[TE2 RecY]]</f>
        <v>18.529411764705884</v>
      </c>
      <c r="BF38" s="22">
        <f>Table2121418198598100[[#Totals],[TE2 TD]]</f>
        <v>0.17647058823529413</v>
      </c>
    </row>
    <row r="39" spans="2:58" x14ac:dyDescent="0.35">
      <c r="B39" s="155" t="str">
        <f t="shared" ref="B39:B69" si="5">C4</f>
        <v>n/a</v>
      </c>
      <c r="C39" s="119">
        <v>5</v>
      </c>
      <c r="D39" s="23" t="s">
        <v>15</v>
      </c>
      <c r="E39" s="22">
        <f>Table212141819859899[[#Totals],[D/ST TD]]</f>
        <v>0.23529411764705882</v>
      </c>
      <c r="G39" s="119">
        <f t="shared" ref="G39:G69" si="6">AVERAGE(H39:L39)</f>
        <v>13.4</v>
      </c>
      <c r="H39" s="119">
        <v>12</v>
      </c>
      <c r="I39" s="119">
        <v>9</v>
      </c>
      <c r="J39" s="119">
        <v>10</v>
      </c>
      <c r="K39" s="119">
        <f>_xlfn.RANK.AVG(Table4[[#This Row],[R+R]],Table4[R+R])</f>
        <v>9</v>
      </c>
      <c r="L39" s="119">
        <v>27</v>
      </c>
      <c r="M39" s="23" t="s">
        <v>15</v>
      </c>
      <c r="N39" s="89">
        <f>Table212141819859899[[#Totals],[RB1 RY]]</f>
        <v>71.117647058823536</v>
      </c>
      <c r="O39" s="89">
        <f>Table212141819859899[[#Totals],[RB1 Recep]]</f>
        <v>3.1176470588235294</v>
      </c>
      <c r="P39" s="89">
        <f>Table212141819859899[[#Totals],[RB1 RecY]]</f>
        <v>24.411764705882351</v>
      </c>
      <c r="Q39" s="89">
        <f>Table4[[#This Row],[R]]+Table4[[#This Row],[Y]]</f>
        <v>95.529411764705884</v>
      </c>
      <c r="R39" s="22">
        <f>Table212141819859899[[#Totals],[RB1 TD]]</f>
        <v>0.47058823529411764</v>
      </c>
      <c r="S39" s="121"/>
      <c r="T39" s="119">
        <f t="shared" ref="T39:T69" si="7">AVERAGE(U39:Y39)</f>
        <v>20.8</v>
      </c>
      <c r="U39" s="119">
        <v>11.5</v>
      </c>
      <c r="V39" s="119">
        <v>30.5</v>
      </c>
      <c r="W39" s="119">
        <v>30</v>
      </c>
      <c r="X39" s="119">
        <v>18</v>
      </c>
      <c r="Y39" s="119">
        <v>14</v>
      </c>
      <c r="Z39" s="23" t="s">
        <v>15</v>
      </c>
      <c r="AA39" s="89">
        <f>Table212141819859899[[#Totals],[RB2+ RY]]</f>
        <v>30.470588235294116</v>
      </c>
      <c r="AB39" s="89">
        <f>Table212141819859899[[#Totals],[RB2 Recep]]</f>
        <v>0.94117647058823528</v>
      </c>
      <c r="AC39" s="89">
        <f>Table212141819859899[[#Totals],[RB2 RecY]]</f>
        <v>6.1764705882352944</v>
      </c>
      <c r="AD39" s="89">
        <f>Table44[[#This Row],[R]]+Table44[[#This Row],[Y]]</f>
        <v>36.647058823529413</v>
      </c>
      <c r="AE39" s="22">
        <f>Table212141819859899[[#Totals],[RB2 TD]]</f>
        <v>0.29411764705882354</v>
      </c>
      <c r="AG39" s="119">
        <f t="shared" ref="AG39:AG69" si="8">AVERAGE(AH39:AJ39)</f>
        <v>11.166666666666666</v>
      </c>
      <c r="AH39" s="119">
        <v>8</v>
      </c>
      <c r="AI39" s="119">
        <f>_xlfn.RANK.AVG(Table71214[[#This Row],[Y]],Table71214[Y])</f>
        <v>9</v>
      </c>
      <c r="AJ39" s="119">
        <v>16.5</v>
      </c>
      <c r="AK39" s="23" t="s">
        <v>15</v>
      </c>
      <c r="AL39" s="89">
        <f>Table212141819859899[[#Totals],[WR3 Recep]]</f>
        <v>2.2941176470588234</v>
      </c>
      <c r="AM39" s="89">
        <f>Table212141819859899[[#Totals],[WR3 RecY]]</f>
        <v>27.823529411764707</v>
      </c>
      <c r="AN39" s="22">
        <f>Table212141819859899[[#Totals],[WR3 TD]]</f>
        <v>0.11764705882352941</v>
      </c>
      <c r="AP39" s="119">
        <f t="shared" ref="AP39:AP69" si="9">AVERAGE(AQ39:AS39)</f>
        <v>25.5</v>
      </c>
      <c r="AQ39" s="119">
        <v>23.5</v>
      </c>
      <c r="AR39" s="119">
        <f>_xlfn.RANK.AVG(Table7121415[[#This Row],[Y]],Table7121415[Y])</f>
        <v>25.5</v>
      </c>
      <c r="AS39" s="119">
        <v>27.5</v>
      </c>
      <c r="AT39" s="23" t="s">
        <v>15</v>
      </c>
      <c r="AU39" s="89">
        <f>Table212141819859899[[#Totals],[WR4+ Recep]]</f>
        <v>0.82352941176470584</v>
      </c>
      <c r="AV39" s="89">
        <f>Table212141819859899[[#Totals],[WR4+ RecY]]</f>
        <v>8.1764705882352935</v>
      </c>
      <c r="AW39" s="22">
        <f>Table212141819859899[[#Totals],[WR4+ TD]]</f>
        <v>0</v>
      </c>
      <c r="AY39" s="119">
        <f t="shared" ref="AY39:AY69" si="10">AVERAGE(AZ39:BB39)</f>
        <v>18</v>
      </c>
      <c r="AZ39" s="119">
        <v>23</v>
      </c>
      <c r="BA39" s="119">
        <v>7</v>
      </c>
      <c r="BB39" s="119">
        <v>24</v>
      </c>
      <c r="BC39" s="23" t="s">
        <v>15</v>
      </c>
      <c r="BD39" s="89">
        <f>Table212141819859899[[#Totals],[TE2 Recep]]</f>
        <v>1.3529411764705883</v>
      </c>
      <c r="BE39" s="89">
        <f>Table212141819859899[[#Totals],[TE2 RecY]]</f>
        <v>18.941176470588236</v>
      </c>
      <c r="BF39" s="22">
        <f>Table212141819859899[[#Totals],[TE2 TD]]</f>
        <v>5.8823529411764705E-2</v>
      </c>
    </row>
    <row r="40" spans="2:58" x14ac:dyDescent="0.35">
      <c r="B40" s="155" t="str">
        <f t="shared" si="5"/>
        <v>n/a</v>
      </c>
      <c r="C40" s="119">
        <v>24.5</v>
      </c>
      <c r="D40" s="21" t="s">
        <v>16</v>
      </c>
      <c r="E40" s="22">
        <f>Table2121418198598[[#Totals],[D/ST TD]]</f>
        <v>5.8823529411764705E-2</v>
      </c>
      <c r="G40" s="119">
        <f t="shared" si="6"/>
        <v>16.899999999999999</v>
      </c>
      <c r="H40" s="119">
        <v>31</v>
      </c>
      <c r="I40" s="119">
        <v>5.5</v>
      </c>
      <c r="J40" s="119">
        <v>3</v>
      </c>
      <c r="K40" s="119">
        <f>_xlfn.RANK.AVG(Table4[[#This Row],[R+R]],Table4[R+R])</f>
        <v>24</v>
      </c>
      <c r="L40" s="119">
        <v>21</v>
      </c>
      <c r="M40" s="21" t="s">
        <v>16</v>
      </c>
      <c r="N40" s="89">
        <f>Table2121418198598[[#Totals],[RB1 RY]]</f>
        <v>49.647058823529413</v>
      </c>
      <c r="O40" s="89">
        <f>Table2121418198598[[#Totals],[RB1 Recep]]</f>
        <v>3.3529411764705883</v>
      </c>
      <c r="P40" s="89">
        <f>Table2121418198598[[#Totals],[RB1 RecY]]</f>
        <v>29</v>
      </c>
      <c r="Q40" s="89">
        <f>Table4[[#This Row],[R]]+Table4[[#This Row],[Y]]</f>
        <v>78.64705882352942</v>
      </c>
      <c r="R40" s="22">
        <f>Table2121418198598[[#Totals],[RB1 TD]]</f>
        <v>0.58823529411764708</v>
      </c>
      <c r="S40" s="121"/>
      <c r="T40" s="119">
        <f t="shared" si="7"/>
        <v>6.4</v>
      </c>
      <c r="U40" s="119">
        <v>7.5</v>
      </c>
      <c r="V40" s="119">
        <v>2.5</v>
      </c>
      <c r="W40" s="119">
        <v>4</v>
      </c>
      <c r="X40" s="119">
        <v>4</v>
      </c>
      <c r="Y40" s="119">
        <v>14</v>
      </c>
      <c r="Z40" s="21" t="s">
        <v>16</v>
      </c>
      <c r="AA40" s="89">
        <f>Table2121418198598[[#Totals],[RB2+ RY]]</f>
        <v>32.470588235294116</v>
      </c>
      <c r="AB40" s="89">
        <f>Table2121418198598[[#Totals],[RB2 Recep]]</f>
        <v>2.1764705882352939</v>
      </c>
      <c r="AC40" s="89">
        <f>Table2121418198598[[#Totals],[RB2 RecY]]</f>
        <v>14.235294117647058</v>
      </c>
      <c r="AD40" s="89">
        <f>Table44[[#This Row],[R]]+Table44[[#This Row],[Y]]</f>
        <v>46.705882352941174</v>
      </c>
      <c r="AE40" s="22">
        <f>Table2121418198598[[#Totals],[RB2 TD]]</f>
        <v>0.29411764705882354</v>
      </c>
      <c r="AG40" s="119">
        <f t="shared" si="8"/>
        <v>4.333333333333333</v>
      </c>
      <c r="AH40" s="119">
        <v>2</v>
      </c>
      <c r="AI40" s="119">
        <f>_xlfn.RANK.AVG(Table71214[[#This Row],[Y]],Table71214[Y])</f>
        <v>5</v>
      </c>
      <c r="AJ40" s="119">
        <v>6</v>
      </c>
      <c r="AK40" s="21" t="s">
        <v>16</v>
      </c>
      <c r="AL40" s="89">
        <f>Table2121418198598[[#Totals],[WR3 Recep]]</f>
        <v>3.1764705882352939</v>
      </c>
      <c r="AM40" s="89">
        <f>Table2121418198598[[#Totals],[WR3 RecY]]</f>
        <v>31.235294117647058</v>
      </c>
      <c r="AN40" s="22">
        <f>Table2121418198598[[#Totals],[WR3 TD]]</f>
        <v>0.23529411764705882</v>
      </c>
      <c r="AP40" s="119">
        <f t="shared" si="9"/>
        <v>5.5</v>
      </c>
      <c r="AQ40" s="119">
        <v>3</v>
      </c>
      <c r="AR40" s="119">
        <f>_xlfn.RANK.AVG(Table7121415[[#This Row],[Y]],Table7121415[Y])</f>
        <v>11</v>
      </c>
      <c r="AS40" s="119">
        <v>2.5</v>
      </c>
      <c r="AT40" s="21" t="s">
        <v>16</v>
      </c>
      <c r="AU40" s="89">
        <f>Table2121418198598[[#Totals],[WR4+ Recep]]</f>
        <v>1.4705882352941178</v>
      </c>
      <c r="AV40" s="89">
        <f>Table2121418198598[[#Totals],[WR4+ RecY]]</f>
        <v>13.705882352941176</v>
      </c>
      <c r="AW40" s="22">
        <f>Table2121418198598[[#Totals],[WR4+ TD]]</f>
        <v>0.17647058823529413</v>
      </c>
      <c r="AY40" s="119">
        <f t="shared" si="10"/>
        <v>13.5</v>
      </c>
      <c r="AZ40" s="119">
        <v>11</v>
      </c>
      <c r="BA40" s="119">
        <v>14</v>
      </c>
      <c r="BB40" s="119">
        <v>15.5</v>
      </c>
      <c r="BC40" s="21" t="s">
        <v>16</v>
      </c>
      <c r="BD40" s="89">
        <f>Table2121418198598[[#Totals],[TE2 Recep]]</f>
        <v>1.8235294117647058</v>
      </c>
      <c r="BE40" s="89">
        <f>Table2121418198598[[#Totals],[TE2 RecY]]</f>
        <v>15.588235294117647</v>
      </c>
      <c r="BF40" s="22">
        <f>Table2121418198598[[#Totals],[TE2 TD]]</f>
        <v>0.11764705882352941</v>
      </c>
    </row>
    <row r="41" spans="2:58" x14ac:dyDescent="0.35">
      <c r="B41" s="155" t="str">
        <f t="shared" si="5"/>
        <v>n/a</v>
      </c>
      <c r="C41" s="119">
        <v>29.5</v>
      </c>
      <c r="D41" s="23" t="s">
        <v>17</v>
      </c>
      <c r="E41" s="22">
        <f>Table2121418198593[[#Totals],[D/ST TD]]</f>
        <v>0</v>
      </c>
      <c r="G41" s="119">
        <f t="shared" si="6"/>
        <v>13</v>
      </c>
      <c r="H41" s="119">
        <v>6</v>
      </c>
      <c r="I41" s="119">
        <v>19</v>
      </c>
      <c r="J41" s="119">
        <v>27</v>
      </c>
      <c r="K41" s="119">
        <f>_xlfn.RANK.AVG(Table4[[#This Row],[R+R]],Table4[R+R])</f>
        <v>11</v>
      </c>
      <c r="L41" s="119">
        <v>2</v>
      </c>
      <c r="M41" s="23" t="s">
        <v>17</v>
      </c>
      <c r="N41" s="89">
        <f>Table2121418198593[[#Totals],[RB1 RY]]</f>
        <v>78.17647058823529</v>
      </c>
      <c r="O41" s="89">
        <f>Table2121418198593[[#Totals],[RB1 Recep]]</f>
        <v>2.6470588235294117</v>
      </c>
      <c r="P41" s="89">
        <f>Table2121418198593[[#Totals],[RB1 RecY]]</f>
        <v>15.529411764705882</v>
      </c>
      <c r="Q41" s="89">
        <f>Table4[[#This Row],[R]]+Table4[[#This Row],[Y]]</f>
        <v>93.705882352941174</v>
      </c>
      <c r="R41" s="22">
        <f>Table2121418198593[[#Totals],[RB1 TD]]</f>
        <v>1</v>
      </c>
      <c r="S41" s="121"/>
      <c r="T41" s="119">
        <f t="shared" si="7"/>
        <v>17.7</v>
      </c>
      <c r="U41" s="119">
        <v>14</v>
      </c>
      <c r="V41" s="119">
        <v>22</v>
      </c>
      <c r="W41" s="119">
        <v>21</v>
      </c>
      <c r="X41" s="119">
        <v>13</v>
      </c>
      <c r="Y41" s="119">
        <v>18.5</v>
      </c>
      <c r="Z41" s="23" t="s">
        <v>17</v>
      </c>
      <c r="AA41" s="89">
        <f>Table2121418198593[[#Totals],[RB2+ RY]]</f>
        <v>29.470588235294116</v>
      </c>
      <c r="AB41" s="89">
        <f>Table2121418198593[[#Totals],[RB2 Recep]]</f>
        <v>1.2941176470588236</v>
      </c>
      <c r="AC41" s="89">
        <f>Table2121418198593[[#Totals],[RB2 RecY]]</f>
        <v>9.4705882352941178</v>
      </c>
      <c r="AD41" s="89">
        <f>Table44[[#This Row],[R]]+Table44[[#This Row],[Y]]</f>
        <v>38.941176470588232</v>
      </c>
      <c r="AE41" s="22">
        <f>Table2121418198593[[#Totals],[RB2 TD]]</f>
        <v>0.23529411764705882</v>
      </c>
      <c r="AG41" s="119">
        <f t="shared" si="8"/>
        <v>16.833333333333332</v>
      </c>
      <c r="AH41" s="119">
        <v>14</v>
      </c>
      <c r="AI41" s="119">
        <f>_xlfn.RANK.AVG(Table71214[[#This Row],[Y]],Table71214[Y])</f>
        <v>20</v>
      </c>
      <c r="AJ41" s="119">
        <v>16.5</v>
      </c>
      <c r="AK41" s="23" t="s">
        <v>17</v>
      </c>
      <c r="AL41" s="89">
        <f>Table2121418198593[[#Totals],[WR3 Recep]]</f>
        <v>2</v>
      </c>
      <c r="AM41" s="89">
        <f>Table2121418198593[[#Totals],[WR3 RecY]]</f>
        <v>21.470588235294116</v>
      </c>
      <c r="AN41" s="22">
        <f>Table2121418198593[[#Totals],[WR3 TD]]</f>
        <v>0.11764705882352941</v>
      </c>
      <c r="AP41" s="119">
        <f t="shared" si="9"/>
        <v>30.5</v>
      </c>
      <c r="AQ41" s="119">
        <v>32</v>
      </c>
      <c r="AR41" s="119">
        <f>_xlfn.RANK.AVG(Table7121415[[#This Row],[Y]],Table7121415[Y])</f>
        <v>32</v>
      </c>
      <c r="AS41" s="119">
        <v>27.5</v>
      </c>
      <c r="AT41" s="23" t="s">
        <v>17</v>
      </c>
      <c r="AU41" s="89">
        <f>Table2121418198593[[#Totals],[WR4+ Recep]]</f>
        <v>0.35294117647058826</v>
      </c>
      <c r="AV41" s="89">
        <f>Table2121418198593[[#Totals],[WR4+ RecY]]</f>
        <v>1.8235294117647058</v>
      </c>
      <c r="AW41" s="22">
        <f>Table2121418198593[[#Totals],[WR4+ TD]]</f>
        <v>0</v>
      </c>
      <c r="AY41" s="119">
        <f t="shared" si="10"/>
        <v>29.333333333333332</v>
      </c>
      <c r="AZ41" s="119">
        <v>32</v>
      </c>
      <c r="BA41" s="119">
        <v>32</v>
      </c>
      <c r="BB41" s="119">
        <v>24</v>
      </c>
      <c r="BC41" s="23" t="s">
        <v>17</v>
      </c>
      <c r="BD41" s="89">
        <f>Table2121418198593[[#Totals],[TE2 Recep]]</f>
        <v>0.47058823529411764</v>
      </c>
      <c r="BE41" s="89">
        <f>Table2121418198593[[#Totals],[TE2 RecY]]</f>
        <v>3.2352941176470589</v>
      </c>
      <c r="BF41" s="22">
        <f>Table2121418198593[[#Totals],[TE2 TD]]</f>
        <v>5.8823529411764705E-2</v>
      </c>
    </row>
    <row r="42" spans="2:58" x14ac:dyDescent="0.35">
      <c r="B42" s="155" t="str">
        <f t="shared" si="5"/>
        <v>n/a</v>
      </c>
      <c r="C42" s="119">
        <v>10.5</v>
      </c>
      <c r="D42" s="21" t="s">
        <v>29</v>
      </c>
      <c r="E42" s="22">
        <f>Table2121418198592[[#Totals],[D/ST TD]]</f>
        <v>0.17647058823529413</v>
      </c>
      <c r="G42" s="119">
        <f t="shared" si="6"/>
        <v>16.100000000000001</v>
      </c>
      <c r="H42" s="119">
        <v>8</v>
      </c>
      <c r="I42" s="119">
        <v>19</v>
      </c>
      <c r="J42" s="119">
        <v>25</v>
      </c>
      <c r="K42" s="119">
        <f>_xlfn.RANK.AVG(Table4[[#This Row],[R+R]],Table4[R+R])</f>
        <v>13</v>
      </c>
      <c r="L42" s="119">
        <v>15.5</v>
      </c>
      <c r="M42" s="21" t="s">
        <v>29</v>
      </c>
      <c r="N42" s="89">
        <f>Table2121418198592[[#Totals],[RB1 RY]]</f>
        <v>73.882352941176464</v>
      </c>
      <c r="O42" s="89">
        <f>Table2121418198592[[#Totals],[RB1 Recep]]</f>
        <v>2.6470588235294117</v>
      </c>
      <c r="P42" s="89">
        <f>Table2121418198592[[#Totals],[RB1 RecY]]</f>
        <v>16.588235294117649</v>
      </c>
      <c r="Q42" s="89">
        <f>Table4[[#This Row],[R]]+Table4[[#This Row],[Y]]</f>
        <v>90.470588235294116</v>
      </c>
      <c r="R42" s="22">
        <f>Table2121418198592[[#Totals],[RB1 TD]]</f>
        <v>0.6470588235294118</v>
      </c>
      <c r="S42" s="121"/>
      <c r="T42" s="119">
        <f t="shared" si="7"/>
        <v>8.1</v>
      </c>
      <c r="U42" s="119">
        <v>7.5</v>
      </c>
      <c r="V42" s="119">
        <v>11.5</v>
      </c>
      <c r="W42" s="119">
        <v>8.5</v>
      </c>
      <c r="X42" s="119">
        <v>7</v>
      </c>
      <c r="Y42" s="119">
        <v>6</v>
      </c>
      <c r="Z42" s="21" t="s">
        <v>29</v>
      </c>
      <c r="AA42" s="89">
        <f>Table2121418198592[[#Totals],[RB2+ RY]]</f>
        <v>32.470588235294116</v>
      </c>
      <c r="AB42" s="89">
        <f>Table2121418198592[[#Totals],[RB2 Recep]]</f>
        <v>1.7647058823529411</v>
      </c>
      <c r="AC42" s="89">
        <f>Table2121418198592[[#Totals],[RB2 RecY]]</f>
        <v>12.058823529411764</v>
      </c>
      <c r="AD42" s="89">
        <f>Table44[[#This Row],[R]]+Table44[[#This Row],[Y]]</f>
        <v>44.529411764705884</v>
      </c>
      <c r="AE42" s="22">
        <f>Table2121418198592[[#Totals],[RB2 TD]]</f>
        <v>0.41176470588235292</v>
      </c>
      <c r="AG42" s="119">
        <f t="shared" si="8"/>
        <v>24</v>
      </c>
      <c r="AH42" s="119">
        <v>27.5</v>
      </c>
      <c r="AI42" s="119">
        <f>_xlfn.RANK.AVG(Table71214[[#This Row],[Y]],Table71214[Y])</f>
        <v>21.5</v>
      </c>
      <c r="AJ42" s="119">
        <v>23</v>
      </c>
      <c r="AK42" s="21" t="s">
        <v>29</v>
      </c>
      <c r="AL42" s="89">
        <f>Table2121418198592[[#Totals],[WR3 Recep]]</f>
        <v>1.6470588235294117</v>
      </c>
      <c r="AM42" s="89">
        <f>Table2121418198592[[#Totals],[WR3 RecY]]</f>
        <v>21</v>
      </c>
      <c r="AN42" s="22">
        <f>Table2121418198592[[#Totals],[WR3 TD]]</f>
        <v>5.8823529411764705E-2</v>
      </c>
      <c r="AP42" s="119">
        <f t="shared" si="9"/>
        <v>27.5</v>
      </c>
      <c r="AQ42" s="119">
        <v>26</v>
      </c>
      <c r="AR42" s="119">
        <f>_xlfn.RANK.AVG(Table7121415[[#This Row],[Y]],Table7121415[Y])</f>
        <v>29</v>
      </c>
      <c r="AS42" s="119">
        <v>27.5</v>
      </c>
      <c r="AT42" s="21" t="s">
        <v>29</v>
      </c>
      <c r="AU42" s="89">
        <f>Table2121418198592[[#Totals],[WR4+ Recep]]</f>
        <v>0.76470588235294112</v>
      </c>
      <c r="AV42" s="89">
        <f>Table2121418198592[[#Totals],[WR4+ RecY]]</f>
        <v>6.2941176470588234</v>
      </c>
      <c r="AW42" s="22">
        <f>Table2121418198592[[#Totals],[WR4+ TD]]</f>
        <v>0</v>
      </c>
      <c r="AY42" s="119">
        <f t="shared" si="10"/>
        <v>21.666666666666668</v>
      </c>
      <c r="AZ42" s="119">
        <v>21</v>
      </c>
      <c r="BA42" s="119">
        <v>20</v>
      </c>
      <c r="BB42" s="119">
        <v>24</v>
      </c>
      <c r="BC42" s="21" t="s">
        <v>29</v>
      </c>
      <c r="BD42" s="89">
        <f>Table2121418198592[[#Totals],[TE2 Recep]]</f>
        <v>1.4705882352941178</v>
      </c>
      <c r="BE42" s="89">
        <f>Table2121418198592[[#Totals],[TE2 RecY]]</f>
        <v>13.294117647058824</v>
      </c>
      <c r="BF42" s="22">
        <f>Table2121418198592[[#Totals],[TE2 TD]]</f>
        <v>5.8823529411764705E-2</v>
      </c>
    </row>
    <row r="43" spans="2:58" x14ac:dyDescent="0.35">
      <c r="B43" s="155" t="str">
        <f t="shared" si="5"/>
        <v>n/a</v>
      </c>
      <c r="C43" s="119">
        <v>18</v>
      </c>
      <c r="D43" s="23" t="s">
        <v>30</v>
      </c>
      <c r="E43" s="22">
        <f>Table2121418198590[[#Totals],[D/ST TD]]</f>
        <v>0.11764705882352941</v>
      </c>
      <c r="G43" s="119">
        <f t="shared" si="6"/>
        <v>13</v>
      </c>
      <c r="H43" s="119">
        <v>9</v>
      </c>
      <c r="I43" s="119">
        <v>12.5</v>
      </c>
      <c r="J43" s="119">
        <v>18</v>
      </c>
      <c r="K43" s="119">
        <f>_xlfn.RANK.AVG(Table4[[#This Row],[R+R]],Table4[R+R])</f>
        <v>10</v>
      </c>
      <c r="L43" s="119">
        <v>15.5</v>
      </c>
      <c r="M43" s="23" t="s">
        <v>30</v>
      </c>
      <c r="N43" s="89">
        <f>Table2121418198590[[#Totals],[RB1 RY]]</f>
        <v>73.352941176470594</v>
      </c>
      <c r="O43" s="89">
        <f>Table2121418198590[[#Totals],[RB1 Recep]]</f>
        <v>3</v>
      </c>
      <c r="P43" s="89">
        <f>Table2121418198590[[#Totals],[RB1 RecY]]</f>
        <v>20.705882352941178</v>
      </c>
      <c r="Q43" s="89">
        <f>Table4[[#This Row],[R]]+Table4[[#This Row],[Y]]</f>
        <v>94.058823529411768</v>
      </c>
      <c r="R43" s="22">
        <f>Table2121418198590[[#Totals],[RB1 TD]]</f>
        <v>0.6470588235294118</v>
      </c>
      <c r="S43" s="121"/>
      <c r="T43" s="119">
        <f t="shared" si="7"/>
        <v>21</v>
      </c>
      <c r="U43" s="119">
        <v>10</v>
      </c>
      <c r="V43" s="119">
        <v>29</v>
      </c>
      <c r="W43" s="119">
        <v>28</v>
      </c>
      <c r="X43" s="119">
        <v>15</v>
      </c>
      <c r="Y43" s="119">
        <v>23</v>
      </c>
      <c r="Z43" s="23" t="s">
        <v>30</v>
      </c>
      <c r="AA43" s="89">
        <f>Table2121418198590[[#Totals],[RB2+ RY]]</f>
        <v>30.882352941176471</v>
      </c>
      <c r="AB43" s="89">
        <f>Table2121418198590[[#Totals],[RB2 Recep]]</f>
        <v>1</v>
      </c>
      <c r="AC43" s="89">
        <f>Table2121418198590[[#Totals],[RB2 RecY]]</f>
        <v>6.9411764705882355</v>
      </c>
      <c r="AD43" s="89">
        <f>Table44[[#This Row],[R]]+Table44[[#This Row],[Y]]</f>
        <v>37.82352941176471</v>
      </c>
      <c r="AE43" s="22">
        <f>Table2121418198590[[#Totals],[RB2 TD]]</f>
        <v>0.17647058823529413</v>
      </c>
      <c r="AG43" s="119">
        <f t="shared" si="8"/>
        <v>21.833333333333332</v>
      </c>
      <c r="AH43" s="119">
        <v>29.5</v>
      </c>
      <c r="AI43" s="119">
        <f>_xlfn.RANK.AVG(Table71214[[#This Row],[Y]],Table71214[Y])</f>
        <v>13</v>
      </c>
      <c r="AJ43" s="119">
        <v>23</v>
      </c>
      <c r="AK43" s="23" t="s">
        <v>30</v>
      </c>
      <c r="AL43" s="89">
        <f>Table2121418198590[[#Totals],[WR3 Recep]]</f>
        <v>1.4705882352941178</v>
      </c>
      <c r="AM43" s="89">
        <f>Table2121418198590[[#Totals],[WR3 RecY]]</f>
        <v>25.235294117647058</v>
      </c>
      <c r="AN43" s="22">
        <f>Table2121418198590[[#Totals],[WR3 TD]]</f>
        <v>5.8823529411764705E-2</v>
      </c>
      <c r="AP43" s="119">
        <f t="shared" si="9"/>
        <v>7.5</v>
      </c>
      <c r="AQ43" s="119">
        <v>11</v>
      </c>
      <c r="AR43" s="119">
        <f>_xlfn.RANK.AVG(Table7121415[[#This Row],[Y]],Table7121415[Y])</f>
        <v>3</v>
      </c>
      <c r="AS43" s="119">
        <v>8.5</v>
      </c>
      <c r="AT43" s="23" t="s">
        <v>30</v>
      </c>
      <c r="AU43" s="89">
        <f>Table2121418198590[[#Totals],[WR4+ Recep]]</f>
        <v>1.1176470588235294</v>
      </c>
      <c r="AV43" s="89">
        <f>Table2121418198590[[#Totals],[WR4+ RecY]]</f>
        <v>18.117647058823529</v>
      </c>
      <c r="AW43" s="22">
        <f>Table2121418198590[[#Totals],[WR4+ TD]]</f>
        <v>0.11764705882352941</v>
      </c>
      <c r="AY43" s="119">
        <f t="shared" si="10"/>
        <v>19</v>
      </c>
      <c r="AZ43" s="119">
        <v>23</v>
      </c>
      <c r="BA43" s="119">
        <v>24</v>
      </c>
      <c r="BB43" s="119">
        <v>10</v>
      </c>
      <c r="BC43" s="23" t="s">
        <v>30</v>
      </c>
      <c r="BD43" s="89">
        <f>Table2121418198590[[#Totals],[TE2 Recep]]</f>
        <v>1.3529411764705883</v>
      </c>
      <c r="BE43" s="89">
        <f>Table2121418198590[[#Totals],[TE2 RecY]]</f>
        <v>11.176470588235293</v>
      </c>
      <c r="BF43" s="22">
        <f>Table2121418198590[[#Totals],[TE2 TD]]</f>
        <v>0.17647058823529413</v>
      </c>
    </row>
    <row r="44" spans="2:58" x14ac:dyDescent="0.35">
      <c r="B44" s="155" t="str">
        <f t="shared" si="5"/>
        <v>n/a</v>
      </c>
      <c r="C44" s="119">
        <v>1</v>
      </c>
      <c r="D44" s="21" t="s">
        <v>31</v>
      </c>
      <c r="E44" s="22">
        <f>Table2121418198589[[#Totals],[D/ST TD]]</f>
        <v>0.52941176470588236</v>
      </c>
      <c r="G44" s="119">
        <f t="shared" si="6"/>
        <v>12.5</v>
      </c>
      <c r="H44" s="119">
        <v>2</v>
      </c>
      <c r="I44" s="119">
        <v>21.5</v>
      </c>
      <c r="J44" s="119">
        <v>15</v>
      </c>
      <c r="K44" s="119">
        <f>_xlfn.RANK.AVG(Table4[[#This Row],[R+R]],Table4[R+R])</f>
        <v>3</v>
      </c>
      <c r="L44" s="119">
        <v>21</v>
      </c>
      <c r="M44" s="21" t="s">
        <v>31</v>
      </c>
      <c r="N44" s="89">
        <f>Table2121418198589[[#Totals],[RB1 RY]]</f>
        <v>82.941176470588232</v>
      </c>
      <c r="O44" s="89">
        <f>Table2121418198589[[#Totals],[RB1 Recep]]</f>
        <v>2.4705882352941178</v>
      </c>
      <c r="P44" s="89">
        <f>Table2121418198589[[#Totals],[RB1 RecY]]</f>
        <v>21.941176470588236</v>
      </c>
      <c r="Q44" s="89">
        <f>Table4[[#This Row],[R]]+Table4[[#This Row],[Y]]</f>
        <v>104.88235294117646</v>
      </c>
      <c r="R44" s="22">
        <f>Table2121418198589[[#Totals],[RB1 TD]]</f>
        <v>0.58823529411764708</v>
      </c>
      <c r="S44" s="121"/>
      <c r="T44" s="119">
        <f t="shared" si="7"/>
        <v>1.4</v>
      </c>
      <c r="U44" s="119">
        <v>3</v>
      </c>
      <c r="V44" s="119">
        <v>1</v>
      </c>
      <c r="W44" s="119">
        <v>1</v>
      </c>
      <c r="X44" s="119">
        <v>1</v>
      </c>
      <c r="Y44" s="119">
        <v>1</v>
      </c>
      <c r="Z44" s="21" t="s">
        <v>31</v>
      </c>
      <c r="AA44" s="89">
        <f>Table2121418198589[[#Totals],[RB2+ RY]]</f>
        <v>36.529411764705884</v>
      </c>
      <c r="AB44" s="89">
        <f>Table2121418198589[[#Totals],[RB2 Recep]]</f>
        <v>2.2941176470588234</v>
      </c>
      <c r="AC44" s="89">
        <f>Table2121418198589[[#Totals],[RB2 RecY]]</f>
        <v>20.941176470588236</v>
      </c>
      <c r="AD44" s="89">
        <f>Table44[[#This Row],[R]]+Table44[[#This Row],[Y]]</f>
        <v>57.470588235294116</v>
      </c>
      <c r="AE44" s="22">
        <f>Table2121418198589[[#Totals],[RB2 TD]]</f>
        <v>0.58823529411764708</v>
      </c>
      <c r="AG44" s="119">
        <f t="shared" si="8"/>
        <v>11.333333333333334</v>
      </c>
      <c r="AH44" s="119">
        <v>12</v>
      </c>
      <c r="AI44" s="119">
        <f>_xlfn.RANK.AVG(Table71214[[#This Row],[Y]],Table71214[Y])</f>
        <v>16</v>
      </c>
      <c r="AJ44" s="119">
        <v>6</v>
      </c>
      <c r="AK44" s="21" t="s">
        <v>31</v>
      </c>
      <c r="AL44" s="89">
        <f>Table2121418198589[[#Totals],[WR3 Recep]]</f>
        <v>2.1176470588235294</v>
      </c>
      <c r="AM44" s="89">
        <f>Table2121418198589[[#Totals],[WR3 RecY]]</f>
        <v>23.117647058823529</v>
      </c>
      <c r="AN44" s="22">
        <f>Table2121418198589[[#Totals],[WR3 TD]]</f>
        <v>0.23529411764705882</v>
      </c>
      <c r="AP44" s="119">
        <f t="shared" si="9"/>
        <v>19.5</v>
      </c>
      <c r="AQ44" s="119">
        <v>21</v>
      </c>
      <c r="AR44" s="119">
        <f>_xlfn.RANK.AVG(Table7121415[[#This Row],[Y]],Table7121415[Y])</f>
        <v>10</v>
      </c>
      <c r="AS44" s="119">
        <v>27.5</v>
      </c>
      <c r="AT44" s="21" t="s">
        <v>31</v>
      </c>
      <c r="AU44" s="89">
        <f>Table2121418198589[[#Totals],[WR4+ Recep]]</f>
        <v>0.88235294117647056</v>
      </c>
      <c r="AV44" s="89">
        <f>Table2121418198589[[#Totals],[WR4+ RecY]]</f>
        <v>13.882352941176471</v>
      </c>
      <c r="AW44" s="22">
        <f>Table2121418198589[[#Totals],[WR4+ TD]]</f>
        <v>0</v>
      </c>
      <c r="AY44" s="119">
        <f t="shared" si="10"/>
        <v>1.6666666666666667</v>
      </c>
      <c r="AZ44" s="119">
        <v>1</v>
      </c>
      <c r="BA44" s="119">
        <v>1</v>
      </c>
      <c r="BB44" s="119">
        <v>3</v>
      </c>
      <c r="BC44" s="21" t="s">
        <v>31</v>
      </c>
      <c r="BD44" s="89">
        <f>Table2121418198589[[#Totals],[TE2 Recep]]</f>
        <v>2.6470588235294117</v>
      </c>
      <c r="BE44" s="89">
        <f>Table2121418198589[[#Totals],[TE2 RecY]]</f>
        <v>30.941176470588236</v>
      </c>
      <c r="BF44" s="22">
        <f>Table2121418198589[[#Totals],[TE2 TD]]</f>
        <v>0.29411764705882354</v>
      </c>
    </row>
    <row r="45" spans="2:58" x14ac:dyDescent="0.35">
      <c r="B45" s="155" t="str">
        <f t="shared" si="5"/>
        <v>n/a</v>
      </c>
      <c r="C45" s="119">
        <v>5</v>
      </c>
      <c r="D45" s="23" t="s">
        <v>32</v>
      </c>
      <c r="E45" s="22">
        <f>Table2121418198588[[#Totals],[D/ST TD]]</f>
        <v>0.23529411764705882</v>
      </c>
      <c r="G45" s="119">
        <f t="shared" si="6"/>
        <v>17.7</v>
      </c>
      <c r="H45" s="119">
        <v>13</v>
      </c>
      <c r="I45" s="119">
        <v>25.5</v>
      </c>
      <c r="J45" s="119">
        <v>26</v>
      </c>
      <c r="K45" s="119">
        <f>_xlfn.RANK.AVG(Table4[[#This Row],[R+R]],Table4[R+R])</f>
        <v>18</v>
      </c>
      <c r="L45" s="119">
        <v>6</v>
      </c>
      <c r="M45" s="23" t="s">
        <v>32</v>
      </c>
      <c r="N45" s="89">
        <f>Table2121418198588[[#Totals],[RB1 RY]]</f>
        <v>71.058823529411768</v>
      </c>
      <c r="O45" s="89">
        <f>Table2121418198588[[#Totals],[RB1 Recep]]</f>
        <v>2.2941176470588234</v>
      </c>
      <c r="P45" s="89">
        <f>Table2121418198588[[#Totals],[RB1 RecY]]</f>
        <v>16.294117647058822</v>
      </c>
      <c r="Q45" s="89">
        <f>Table4[[#This Row],[R]]+Table4[[#This Row],[Y]]</f>
        <v>87.352941176470594</v>
      </c>
      <c r="R45" s="22">
        <f>Table2121418198588[[#Totals],[RB1 TD]]</f>
        <v>0.82352941176470584</v>
      </c>
      <c r="S45" s="121"/>
      <c r="T45" s="119">
        <f t="shared" si="7"/>
        <v>18.100000000000001</v>
      </c>
      <c r="U45" s="119">
        <v>20</v>
      </c>
      <c r="V45" s="119">
        <v>9.5</v>
      </c>
      <c r="W45" s="119">
        <v>13</v>
      </c>
      <c r="X45" s="119">
        <v>17</v>
      </c>
      <c r="Y45" s="119">
        <v>31</v>
      </c>
      <c r="Z45" s="23" t="s">
        <v>32</v>
      </c>
      <c r="AA45" s="89">
        <f>Table2121418198588[[#Totals],[RB2+ RY]]</f>
        <v>25.294117647058822</v>
      </c>
      <c r="AB45" s="89">
        <f>Table2121418198588[[#Totals],[RB2 Recep]]</f>
        <v>1.8235294117647058</v>
      </c>
      <c r="AC45" s="89">
        <f>Table2121418198588[[#Totals],[RB2 RecY]]</f>
        <v>11.411764705882353</v>
      </c>
      <c r="AD45" s="89">
        <f>Table44[[#This Row],[R]]+Table44[[#This Row],[Y]]</f>
        <v>36.705882352941174</v>
      </c>
      <c r="AE45" s="22">
        <f>Table2121418198588[[#Totals],[RB2 TD]]</f>
        <v>5.8823529411764705E-2</v>
      </c>
      <c r="AG45" s="119">
        <f t="shared" si="8"/>
        <v>24.833333333333332</v>
      </c>
      <c r="AH45" s="119">
        <v>27.5</v>
      </c>
      <c r="AI45" s="119">
        <f>_xlfn.RANK.AVG(Table71214[[#This Row],[Y]],Table71214[Y])</f>
        <v>24</v>
      </c>
      <c r="AJ45" s="119">
        <v>23</v>
      </c>
      <c r="AK45" s="23" t="s">
        <v>32</v>
      </c>
      <c r="AL45" s="89">
        <f>Table2121418198588[[#Totals],[WR3 Recep]]</f>
        <v>1.6470588235294117</v>
      </c>
      <c r="AM45" s="89">
        <f>Table2121418198588[[#Totals],[WR3 RecY]]</f>
        <v>20.588235294117649</v>
      </c>
      <c r="AN45" s="22">
        <f>Table2121418198588[[#Totals],[WR3 TD]]</f>
        <v>5.8823529411764705E-2</v>
      </c>
      <c r="AP45" s="119">
        <f t="shared" si="9"/>
        <v>19.833333333333332</v>
      </c>
      <c r="AQ45" s="119">
        <v>29</v>
      </c>
      <c r="AR45" s="119">
        <f>_xlfn.RANK.AVG(Table7121415[[#This Row],[Y]],Table7121415[Y])</f>
        <v>28</v>
      </c>
      <c r="AS45" s="119">
        <v>2.5</v>
      </c>
      <c r="AT45" s="23" t="s">
        <v>32</v>
      </c>
      <c r="AU45" s="89">
        <f>Table2121418198588[[#Totals],[WR4+ Recep]]</f>
        <v>0.52941176470588236</v>
      </c>
      <c r="AV45" s="89">
        <f>Table2121418198588[[#Totals],[WR4+ RecY]]</f>
        <v>6.7058823529411766</v>
      </c>
      <c r="AW45" s="22">
        <f>Table2121418198588[[#Totals],[WR4+ TD]]</f>
        <v>0.17647058823529413</v>
      </c>
      <c r="AY45" s="119">
        <f t="shared" si="10"/>
        <v>5.333333333333333</v>
      </c>
      <c r="AZ45" s="119">
        <v>2</v>
      </c>
      <c r="BA45" s="119">
        <v>4</v>
      </c>
      <c r="BB45" s="119">
        <v>10</v>
      </c>
      <c r="BC45" s="23" t="s">
        <v>32</v>
      </c>
      <c r="BD45" s="89">
        <f>Table2121418198588[[#Totals],[TE2 Recep]]</f>
        <v>2.2941176470588234</v>
      </c>
      <c r="BE45" s="89">
        <f>Table2121418198588[[#Totals],[TE2 RecY]]</f>
        <v>22.176470588235293</v>
      </c>
      <c r="BF45" s="22">
        <f>Table2121418198588[[#Totals],[TE2 TD]]</f>
        <v>0.17647058823529413</v>
      </c>
    </row>
    <row r="46" spans="2:58" x14ac:dyDescent="0.35">
      <c r="B46" s="155" t="str">
        <f t="shared" si="5"/>
        <v>n/a</v>
      </c>
      <c r="C46" s="119">
        <v>29.5</v>
      </c>
      <c r="D46" s="21" t="s">
        <v>33</v>
      </c>
      <c r="E46" s="22">
        <f>Table212141819[[#Totals],[D/ST TD]]</f>
        <v>0</v>
      </c>
      <c r="G46" s="119">
        <f t="shared" si="6"/>
        <v>7</v>
      </c>
      <c r="H46" s="119">
        <v>14</v>
      </c>
      <c r="I46" s="119">
        <v>4</v>
      </c>
      <c r="J46" s="119">
        <v>2</v>
      </c>
      <c r="K46" s="119">
        <f>_xlfn.RANK.AVG(Table4[[#This Row],[R+R]],Table4[R+R])</f>
        <v>5</v>
      </c>
      <c r="L46" s="119">
        <v>10</v>
      </c>
      <c r="M46" s="21" t="s">
        <v>33</v>
      </c>
      <c r="N46" s="89">
        <f>Table212141819[[#Totals],[RB1 RY]]</f>
        <v>70.588235294117652</v>
      </c>
      <c r="O46" s="89">
        <f>Table212141819[[#Totals],[RB1 Recep]]</f>
        <v>3.4705882352941178</v>
      </c>
      <c r="P46" s="89">
        <f>Table212141819[[#Totals],[RB1 RecY]]</f>
        <v>32.705882352941174</v>
      </c>
      <c r="Q46" s="89">
        <f>Table4[[#This Row],[R]]+Table4[[#This Row],[Y]]</f>
        <v>103.29411764705883</v>
      </c>
      <c r="R46" s="22">
        <f>Table212141819[[#Totals],[RB1 TD]]</f>
        <v>0.70588235294117652</v>
      </c>
      <c r="S46" s="121"/>
      <c r="T46" s="119">
        <f t="shared" si="7"/>
        <v>15.9</v>
      </c>
      <c r="U46" s="119">
        <v>23.5</v>
      </c>
      <c r="V46" s="119">
        <v>14.5</v>
      </c>
      <c r="W46" s="119">
        <v>14.5</v>
      </c>
      <c r="X46" s="119">
        <v>23.5</v>
      </c>
      <c r="Y46" s="119">
        <v>3.5</v>
      </c>
      <c r="Z46" s="21" t="s">
        <v>33</v>
      </c>
      <c r="AA46" s="89">
        <f>Table212141819[[#Totals],[RB2+ RY]]</f>
        <v>24.647058823529413</v>
      </c>
      <c r="AB46" s="89">
        <f>Table212141819[[#Totals],[RB2 Recep]]</f>
        <v>1.5294117647058822</v>
      </c>
      <c r="AC46" s="89">
        <f>Table212141819[[#Totals],[RB2 RecY]]</f>
        <v>10.529411764705882</v>
      </c>
      <c r="AD46" s="89">
        <f>Table44[[#This Row],[R]]+Table44[[#This Row],[Y]]</f>
        <v>35.176470588235297</v>
      </c>
      <c r="AE46" s="22">
        <f>Table212141819[[#Totals],[RB2 TD]]</f>
        <v>0.47058823529411764</v>
      </c>
      <c r="AG46" s="119">
        <f t="shared" si="8"/>
        <v>5.333333333333333</v>
      </c>
      <c r="AH46" s="119">
        <v>7</v>
      </c>
      <c r="AI46" s="119">
        <f>_xlfn.RANK.AVG(Table71214[[#This Row],[Y]],Table71214[Y])</f>
        <v>7</v>
      </c>
      <c r="AJ46" s="119">
        <v>2</v>
      </c>
      <c r="AK46" s="21" t="s">
        <v>33</v>
      </c>
      <c r="AL46" s="89">
        <f>Table212141819[[#Totals],[WR3 Recep]]</f>
        <v>2.3529411764705883</v>
      </c>
      <c r="AM46" s="89">
        <f>Table212141819[[#Totals],[WR3 RecY]]</f>
        <v>30.117647058823529</v>
      </c>
      <c r="AN46" s="22">
        <f>Table212141819[[#Totals],[WR3 TD]]</f>
        <v>0.29411764705882354</v>
      </c>
      <c r="AP46" s="119">
        <f t="shared" si="9"/>
        <v>11.833333333333334</v>
      </c>
      <c r="AQ46" s="119">
        <v>11</v>
      </c>
      <c r="AR46" s="119">
        <f>_xlfn.RANK.AVG(Table7121415[[#This Row],[Y]],Table7121415[Y])</f>
        <v>7</v>
      </c>
      <c r="AS46" s="119">
        <v>17.5</v>
      </c>
      <c r="AT46" s="21" t="s">
        <v>33</v>
      </c>
      <c r="AU46" s="89">
        <f>Table212141819[[#Totals],[WR4+ Recep]]</f>
        <v>1.1176470588235294</v>
      </c>
      <c r="AV46" s="89">
        <f>Table212141819[[#Totals],[WR4+ RecY]]</f>
        <v>15.941176470588236</v>
      </c>
      <c r="AW46" s="22">
        <f>Table212141819[[#Totals],[WR4+ TD]]</f>
        <v>5.8823529411764705E-2</v>
      </c>
      <c r="AY46" s="119">
        <f t="shared" si="10"/>
        <v>23.333333333333332</v>
      </c>
      <c r="AZ46" s="119">
        <v>23</v>
      </c>
      <c r="BA46" s="119">
        <v>23</v>
      </c>
      <c r="BB46" s="119">
        <v>24</v>
      </c>
      <c r="BC46" s="21" t="s">
        <v>33</v>
      </c>
      <c r="BD46" s="89">
        <f>Table212141819[[#Totals],[TE2 Recep]]</f>
        <v>1.3529411764705883</v>
      </c>
      <c r="BE46" s="89">
        <f>Table212141819[[#Totals],[TE2 RecY]]</f>
        <v>11.705882352941176</v>
      </c>
      <c r="BF46" s="22">
        <f>Table212141819[[#Totals],[TE2 TD]]</f>
        <v>5.8823529411764705E-2</v>
      </c>
    </row>
    <row r="47" spans="2:58" x14ac:dyDescent="0.35">
      <c r="B47" s="155" t="str">
        <f t="shared" si="5"/>
        <v>n/a</v>
      </c>
      <c r="C47" s="119">
        <v>29.5</v>
      </c>
      <c r="D47" s="23" t="s">
        <v>34</v>
      </c>
      <c r="E47" s="22">
        <f>Table21214181985[[#Totals],[D/ST TD]]</f>
        <v>0</v>
      </c>
      <c r="G47" s="119">
        <f t="shared" si="6"/>
        <v>23.6</v>
      </c>
      <c r="H47" s="119">
        <v>29</v>
      </c>
      <c r="I47" s="119">
        <v>28</v>
      </c>
      <c r="J47" s="119">
        <v>20</v>
      </c>
      <c r="K47" s="119">
        <f>_xlfn.RANK.AVG(Table4[[#This Row],[R+R]],Table4[R+R])</f>
        <v>31</v>
      </c>
      <c r="L47" s="119">
        <v>10</v>
      </c>
      <c r="M47" s="23" t="s">
        <v>34</v>
      </c>
      <c r="N47" s="89">
        <f>Table21214181985[[#Totals],[RB1 RY]]</f>
        <v>54.882352941176471</v>
      </c>
      <c r="O47" s="89">
        <f>Table21214181985[[#Totals],[RB1 Recep]]</f>
        <v>2.1764705882352939</v>
      </c>
      <c r="P47" s="89">
        <f>Table21214181985[[#Totals],[RB1 RecY]]</f>
        <v>19.529411764705884</v>
      </c>
      <c r="Q47" s="89">
        <f>Table4[[#This Row],[R]]+Table4[[#This Row],[Y]]</f>
        <v>74.411764705882348</v>
      </c>
      <c r="R47" s="22">
        <f>Table21214181985[[#Totals],[RB1 TD]]</f>
        <v>0.70588235294117652</v>
      </c>
      <c r="S47" s="121"/>
      <c r="T47" s="119">
        <f t="shared" si="7"/>
        <v>30.9</v>
      </c>
      <c r="U47" s="119">
        <v>31</v>
      </c>
      <c r="V47" s="119">
        <v>32</v>
      </c>
      <c r="W47" s="119">
        <v>32</v>
      </c>
      <c r="X47" s="119">
        <v>32</v>
      </c>
      <c r="Y47" s="119">
        <v>27.5</v>
      </c>
      <c r="Z47" s="23" t="s">
        <v>34</v>
      </c>
      <c r="AA47" s="89">
        <f>Table21214181985[[#Totals],[RB2+ RY]]</f>
        <v>16.882352941176471</v>
      </c>
      <c r="AB47" s="89">
        <f>Table21214181985[[#Totals],[RB2 Recep]]</f>
        <v>0.70588235294117652</v>
      </c>
      <c r="AC47" s="89">
        <f>Table21214181985[[#Totals],[RB2 RecY]]</f>
        <v>2.0588235294117645</v>
      </c>
      <c r="AD47" s="89">
        <f>Table44[[#This Row],[R]]+Table44[[#This Row],[Y]]</f>
        <v>18.941176470588236</v>
      </c>
      <c r="AE47" s="22">
        <f>Table21214181985[[#Totals],[RB2 TD]]</f>
        <v>0.11764705882352941</v>
      </c>
      <c r="AG47" s="119">
        <f t="shared" si="8"/>
        <v>5.166666666666667</v>
      </c>
      <c r="AH47" s="119">
        <v>5.5</v>
      </c>
      <c r="AI47" s="119">
        <f>_xlfn.RANK.AVG(Table71214[[#This Row],[Y]],Table71214[Y])</f>
        <v>4</v>
      </c>
      <c r="AJ47" s="119">
        <v>6</v>
      </c>
      <c r="AK47" s="23" t="s">
        <v>34</v>
      </c>
      <c r="AL47" s="89">
        <f>Table21214181985[[#Totals],[WR3 Recep]]</f>
        <v>2.4117647058823528</v>
      </c>
      <c r="AM47" s="89">
        <f>Table21214181985[[#Totals],[WR3 RecY]]</f>
        <v>33.235294117647058</v>
      </c>
      <c r="AN47" s="22">
        <f>Table21214181985[[#Totals],[WR3 TD]]</f>
        <v>0.23529411764705882</v>
      </c>
      <c r="AP47" s="119">
        <f t="shared" si="9"/>
        <v>15.333333333333334</v>
      </c>
      <c r="AQ47" s="119">
        <v>16.5</v>
      </c>
      <c r="AR47" s="119">
        <f>_xlfn.RANK.AVG(Table7121415[[#This Row],[Y]],Table7121415[Y])</f>
        <v>12</v>
      </c>
      <c r="AS47" s="119">
        <v>17.5</v>
      </c>
      <c r="AT47" s="23" t="s">
        <v>34</v>
      </c>
      <c r="AU47" s="89">
        <f>Table21214181985[[#Totals],[WR4+ Recep]]</f>
        <v>1</v>
      </c>
      <c r="AV47" s="89">
        <f>Table21214181985[[#Totals],[WR4+ RecY]]</f>
        <v>13.647058823529411</v>
      </c>
      <c r="AW47" s="22">
        <f>Table21214181985[[#Totals],[WR4+ TD]]</f>
        <v>5.8823529411764705E-2</v>
      </c>
      <c r="AY47" s="119">
        <f t="shared" si="10"/>
        <v>19</v>
      </c>
      <c r="AZ47" s="119">
        <v>17</v>
      </c>
      <c r="BA47" s="119">
        <v>16</v>
      </c>
      <c r="BB47" s="119">
        <v>24</v>
      </c>
      <c r="BC47" s="23" t="s">
        <v>34</v>
      </c>
      <c r="BD47" s="89">
        <f>Table21214181985[[#Totals],[TE2 Recep]]</f>
        <v>1.588235294117647</v>
      </c>
      <c r="BE47" s="89">
        <f>Table21214181985[[#Totals],[TE2 RecY]]</f>
        <v>14.705882352941176</v>
      </c>
      <c r="BF47" s="22">
        <f>Table21214181985[[#Totals],[TE2 TD]]</f>
        <v>5.8823529411764705E-2</v>
      </c>
    </row>
    <row r="48" spans="2:58" x14ac:dyDescent="0.35">
      <c r="B48" s="155" t="str">
        <f t="shared" si="5"/>
        <v>n/a</v>
      </c>
      <c r="C48" s="119">
        <v>29.5</v>
      </c>
      <c r="D48" s="21" t="s">
        <v>35</v>
      </c>
      <c r="E48" s="22">
        <f>Table2121418198586[[#Totals],[D/ST TD]]</f>
        <v>0</v>
      </c>
      <c r="G48" s="119">
        <f t="shared" si="6"/>
        <v>23.8</v>
      </c>
      <c r="H48" s="119">
        <v>19</v>
      </c>
      <c r="I48" s="119">
        <v>24</v>
      </c>
      <c r="J48" s="119">
        <v>30</v>
      </c>
      <c r="K48" s="119">
        <f>_xlfn.RANK.AVG(Table4[[#This Row],[R+R]],Table4[R+R])</f>
        <v>25</v>
      </c>
      <c r="L48" s="119">
        <v>21</v>
      </c>
      <c r="M48" s="21" t="s">
        <v>35</v>
      </c>
      <c r="N48" s="89">
        <f>Table2121418198586[[#Totals],[RB1 RY]]</f>
        <v>64.352941176470594</v>
      </c>
      <c r="O48" s="89">
        <f>Table2121418198586[[#Totals],[RB1 Recep]]</f>
        <v>2.3529411764705883</v>
      </c>
      <c r="P48" s="89">
        <f>Table2121418198586[[#Totals],[RB1 RecY]]</f>
        <v>14.176470588235293</v>
      </c>
      <c r="Q48" s="89">
        <f>Table4[[#This Row],[R]]+Table4[[#This Row],[Y]]</f>
        <v>78.529411764705884</v>
      </c>
      <c r="R48" s="22">
        <f>Table2121418198586[[#Totals],[RB1 TD]]</f>
        <v>0.58823529411764708</v>
      </c>
      <c r="S48" s="121"/>
      <c r="T48" s="119">
        <f t="shared" si="7"/>
        <v>22</v>
      </c>
      <c r="U48" s="119">
        <v>22</v>
      </c>
      <c r="V48" s="119">
        <v>25.5</v>
      </c>
      <c r="W48" s="119">
        <v>16</v>
      </c>
      <c r="X48" s="119">
        <v>23.5</v>
      </c>
      <c r="Y48" s="119">
        <v>23</v>
      </c>
      <c r="Z48" s="21" t="s">
        <v>35</v>
      </c>
      <c r="AA48" s="89">
        <f>Table2121418198586[[#Totals],[RB2+ RY]]</f>
        <v>24.764705882352942</v>
      </c>
      <c r="AB48" s="89">
        <f>Table2121418198586[[#Totals],[RB2 Recep]]</f>
        <v>1.1764705882352942</v>
      </c>
      <c r="AC48" s="89">
        <f>Table2121418198586[[#Totals],[RB2 RecY]]</f>
        <v>10.411764705882353</v>
      </c>
      <c r="AD48" s="89">
        <f>Table44[[#This Row],[R]]+Table44[[#This Row],[Y]]</f>
        <v>35.176470588235297</v>
      </c>
      <c r="AE48" s="22">
        <f>Table2121418198586[[#Totals],[RB2 TD]]</f>
        <v>0.17647058823529413</v>
      </c>
      <c r="AG48" s="119">
        <f t="shared" si="8"/>
        <v>4</v>
      </c>
      <c r="AH48" s="119">
        <v>4</v>
      </c>
      <c r="AI48" s="119">
        <f>_xlfn.RANK.AVG(Table71214[[#This Row],[Y]],Table71214[Y])</f>
        <v>2</v>
      </c>
      <c r="AJ48" s="119">
        <v>6</v>
      </c>
      <c r="AK48" s="21" t="s">
        <v>35</v>
      </c>
      <c r="AL48" s="89">
        <f>Table2121418198586[[#Totals],[WR3 Recep]]</f>
        <v>2.9411764705882355</v>
      </c>
      <c r="AM48" s="89">
        <f>Table2121418198586[[#Totals],[WR3 RecY]]</f>
        <v>43.588235294117645</v>
      </c>
      <c r="AN48" s="22">
        <f>Table2121418198586[[#Totals],[WR3 TD]]</f>
        <v>0.23529411764705882</v>
      </c>
      <c r="AP48" s="119">
        <f t="shared" si="9"/>
        <v>24.666666666666668</v>
      </c>
      <c r="AQ48" s="119">
        <v>23.5</v>
      </c>
      <c r="AR48" s="119">
        <f>_xlfn.RANK.AVG(Table7121415[[#This Row],[Y]],Table7121415[Y])</f>
        <v>23</v>
      </c>
      <c r="AS48" s="119">
        <v>27.5</v>
      </c>
      <c r="AT48" s="21" t="s">
        <v>35</v>
      </c>
      <c r="AU48" s="89">
        <f>Table2121418198586[[#Totals],[WR4+ Recep]]</f>
        <v>0.82352941176470584</v>
      </c>
      <c r="AV48" s="89">
        <f>Table2121418198586[[#Totals],[WR4+ RecY]]</f>
        <v>8.9411764705882355</v>
      </c>
      <c r="AW48" s="22">
        <f>Table2121418198586[[#Totals],[WR4+ TD]]</f>
        <v>0</v>
      </c>
      <c r="AY48" s="119">
        <f t="shared" si="10"/>
        <v>24</v>
      </c>
      <c r="AZ48" s="119">
        <v>19</v>
      </c>
      <c r="BA48" s="119">
        <v>21.5</v>
      </c>
      <c r="BB48" s="119">
        <v>31.5</v>
      </c>
      <c r="BC48" s="21" t="s">
        <v>35</v>
      </c>
      <c r="BD48" s="89">
        <f>Table2121418198586[[#Totals],[TE2 Recep]]</f>
        <v>1.5294117647058822</v>
      </c>
      <c r="BE48" s="89">
        <f>Table2121418198586[[#Totals],[TE2 RecY]]</f>
        <v>11.941176470588236</v>
      </c>
      <c r="BF48" s="22">
        <f>Table2121418198586[[#Totals],[TE2 TD]]</f>
        <v>0</v>
      </c>
    </row>
    <row r="49" spans="2:58" x14ac:dyDescent="0.35">
      <c r="B49" s="155" t="str">
        <f t="shared" si="5"/>
        <v>n/a</v>
      </c>
      <c r="C49" s="119">
        <v>29.5</v>
      </c>
      <c r="D49" s="23" t="s">
        <v>36</v>
      </c>
      <c r="E49" s="22">
        <f>Table2121418198598101[[#Totals],[D/ST TD]]</f>
        <v>0</v>
      </c>
      <c r="G49" s="119">
        <f t="shared" si="6"/>
        <v>18.2</v>
      </c>
      <c r="H49" s="119">
        <v>7</v>
      </c>
      <c r="I49" s="119">
        <v>16</v>
      </c>
      <c r="J49" s="119">
        <v>28</v>
      </c>
      <c r="K49" s="119">
        <f>_xlfn.RANK.AVG(Table4[[#This Row],[R+R]],Table4[R+R])</f>
        <v>15</v>
      </c>
      <c r="L49" s="119">
        <v>25</v>
      </c>
      <c r="M49" s="23" t="s">
        <v>36</v>
      </c>
      <c r="N49" s="89">
        <f>Table2121418198598101[[#Totals],[RB1 RY]]</f>
        <v>74.117647058823536</v>
      </c>
      <c r="O49" s="89">
        <f>Table2121418198598101[[#Totals],[RB1 Recep]]</f>
        <v>2.7058823529411766</v>
      </c>
      <c r="P49" s="89">
        <f>Table2121418198598101[[#Totals],[RB1 RecY]]</f>
        <v>15.176470588235293</v>
      </c>
      <c r="Q49" s="89">
        <f>Table4[[#This Row],[R]]+Table4[[#This Row],[Y]]</f>
        <v>89.294117647058826</v>
      </c>
      <c r="R49" s="22">
        <f>Table2121418198598101[[#Totals],[RB1 TD]]</f>
        <v>0.52941176470588236</v>
      </c>
      <c r="S49" s="121"/>
      <c r="T49" s="119">
        <f t="shared" si="7"/>
        <v>14</v>
      </c>
      <c r="U49" s="119">
        <v>18</v>
      </c>
      <c r="V49" s="119">
        <v>7.5</v>
      </c>
      <c r="W49" s="119">
        <v>12</v>
      </c>
      <c r="X49" s="119">
        <v>14</v>
      </c>
      <c r="Y49" s="119">
        <v>18.5</v>
      </c>
      <c r="Z49" s="23" t="s">
        <v>36</v>
      </c>
      <c r="AA49" s="89">
        <f>Table2121418198598101[[#Totals],[RB2+ RY]]</f>
        <v>26.352941176470587</v>
      </c>
      <c r="AB49" s="89">
        <f>Table2121418198598101[[#Totals],[RB2 Recep]]</f>
        <v>1.8823529411764706</v>
      </c>
      <c r="AC49" s="89">
        <f>Table2121418198598101[[#Totals],[RB2 RecY]]</f>
        <v>11.705882352941176</v>
      </c>
      <c r="AD49" s="89">
        <f>Table44[[#This Row],[R]]+Table44[[#This Row],[Y]]</f>
        <v>38.058823529411761</v>
      </c>
      <c r="AE49" s="22">
        <f>Table2121418198598101[[#Totals],[RB2 TD]]</f>
        <v>0.23529411764705882</v>
      </c>
      <c r="AG49" s="119">
        <f t="shared" si="8"/>
        <v>15</v>
      </c>
      <c r="AH49" s="119">
        <v>17</v>
      </c>
      <c r="AI49" s="119">
        <f>_xlfn.RANK.AVG(Table71214[[#This Row],[Y]],Table71214[Y])</f>
        <v>17</v>
      </c>
      <c r="AJ49" s="119">
        <v>11</v>
      </c>
      <c r="AK49" s="23" t="s">
        <v>36</v>
      </c>
      <c r="AL49" s="89">
        <f>Table2121418198598101[[#Totals],[WR3 Recep]]</f>
        <v>1.9411764705882353</v>
      </c>
      <c r="AM49" s="89">
        <f>Table2121418198598101[[#Totals],[WR3 RecY]]</f>
        <v>22.705882352941178</v>
      </c>
      <c r="AN49" s="22">
        <f>Table2121418198598101[[#Totals],[WR3 TD]]</f>
        <v>0.17647058823529413</v>
      </c>
      <c r="AP49" s="119">
        <f t="shared" si="9"/>
        <v>13.666666666666666</v>
      </c>
      <c r="AQ49" s="119">
        <v>16.5</v>
      </c>
      <c r="AR49" s="119">
        <f>_xlfn.RANK.AVG(Table7121415[[#This Row],[Y]],Table7121415[Y])</f>
        <v>22</v>
      </c>
      <c r="AS49" s="119">
        <v>2.5</v>
      </c>
      <c r="AT49" s="23" t="s">
        <v>36</v>
      </c>
      <c r="AU49" s="89">
        <f>Table2121418198598101[[#Totals],[WR4+ Recep]]</f>
        <v>1</v>
      </c>
      <c r="AV49" s="89">
        <f>Table2121418198598101[[#Totals],[WR4+ RecY]]</f>
        <v>9.882352941176471</v>
      </c>
      <c r="AW49" s="22">
        <f>Table2121418198598101[[#Totals],[WR4+ TD]]</f>
        <v>0.17647058823529413</v>
      </c>
      <c r="AY49" s="119">
        <f t="shared" si="10"/>
        <v>21.666666666666668</v>
      </c>
      <c r="AZ49" s="119">
        <v>16</v>
      </c>
      <c r="BA49" s="119">
        <v>25</v>
      </c>
      <c r="BB49" s="119">
        <v>24</v>
      </c>
      <c r="BC49" s="23" t="s">
        <v>36</v>
      </c>
      <c r="BD49" s="89">
        <f>Table2121418198598101[[#Totals],[TE2 Recep]]</f>
        <v>1.6470588235294117</v>
      </c>
      <c r="BE49" s="89">
        <f>Table2121418198598101[[#Totals],[TE2 RecY]]</f>
        <v>11.058823529411764</v>
      </c>
      <c r="BF49" s="22">
        <f>Table2121418198598101[[#Totals],[TE2 TD]]</f>
        <v>5.8823529411764705E-2</v>
      </c>
    </row>
    <row r="50" spans="2:58" x14ac:dyDescent="0.35">
      <c r="B50" s="155" t="str">
        <f t="shared" si="5"/>
        <v>n/a</v>
      </c>
      <c r="C50" s="119">
        <v>18</v>
      </c>
      <c r="D50" s="21" t="s">
        <v>37</v>
      </c>
      <c r="E50" s="22">
        <f>Table2121418198598102[[#Totals],[D/ST TD]]</f>
        <v>0.11764705882352941</v>
      </c>
      <c r="G50" s="119">
        <f t="shared" si="6"/>
        <v>24.3</v>
      </c>
      <c r="H50" s="119">
        <v>27</v>
      </c>
      <c r="I50" s="119">
        <v>21.5</v>
      </c>
      <c r="J50" s="119">
        <v>21</v>
      </c>
      <c r="K50" s="119">
        <f>_xlfn.RANK.AVG(Table4[[#This Row],[R+R]],Table4[R+R])</f>
        <v>27</v>
      </c>
      <c r="L50" s="119">
        <v>25</v>
      </c>
      <c r="M50" s="21" t="s">
        <v>37</v>
      </c>
      <c r="N50" s="89">
        <f>Table2121418198598102[[#Totals],[RB1 RY]]</f>
        <v>58.352941176470587</v>
      </c>
      <c r="O50" s="89">
        <f>Table2121418198598102[[#Totals],[RB1 Recep]]</f>
        <v>2.4705882352941178</v>
      </c>
      <c r="P50" s="89">
        <f>Table2121418198598102[[#Totals],[RB1 RecY]]</f>
        <v>19.176470588235293</v>
      </c>
      <c r="Q50" s="89">
        <f>Table4[[#This Row],[R]]+Table4[[#This Row],[Y]]</f>
        <v>77.529411764705884</v>
      </c>
      <c r="R50" s="22">
        <f>Table2121418198598102[[#Totals],[RB1 TD]]</f>
        <v>0.52941176470588236</v>
      </c>
      <c r="S50" s="121"/>
      <c r="T50" s="119">
        <f t="shared" si="7"/>
        <v>18.7</v>
      </c>
      <c r="U50" s="119">
        <v>32</v>
      </c>
      <c r="V50" s="119">
        <v>11.5</v>
      </c>
      <c r="W50" s="119">
        <v>6</v>
      </c>
      <c r="X50" s="119">
        <v>30</v>
      </c>
      <c r="Y50" s="119">
        <v>14</v>
      </c>
      <c r="Z50" s="21" t="s">
        <v>37</v>
      </c>
      <c r="AA50" s="89">
        <f>Table2121418198598102[[#Totals],[RB2+ RY]]</f>
        <v>15.176470588235293</v>
      </c>
      <c r="AB50" s="89">
        <f>Table2121418198598102[[#Totals],[RB2 Recep]]</f>
        <v>1.7647058823529411</v>
      </c>
      <c r="AC50" s="89">
        <f>Table2121418198598102[[#Totals],[RB2 RecY]]</f>
        <v>12.647058823529411</v>
      </c>
      <c r="AD50" s="89">
        <f>Table44[[#This Row],[R]]+Table44[[#This Row],[Y]]</f>
        <v>27.823529411764703</v>
      </c>
      <c r="AE50" s="22">
        <f>Table2121418198598102[[#Totals],[RB2 TD]]</f>
        <v>0.29411764705882354</v>
      </c>
      <c r="AG50" s="119">
        <f t="shared" si="8"/>
        <v>25.333333333333332</v>
      </c>
      <c r="AH50" s="119">
        <v>25</v>
      </c>
      <c r="AI50" s="119">
        <f>_xlfn.RANK.AVG(Table71214[[#This Row],[Y]],Table71214[Y])</f>
        <v>21.5</v>
      </c>
      <c r="AJ50" s="119">
        <v>29.5</v>
      </c>
      <c r="AK50" s="21" t="s">
        <v>37</v>
      </c>
      <c r="AL50" s="89">
        <f>Table2121418198598102[[#Totals],[WR3 Recep]]</f>
        <v>1.7058823529411764</v>
      </c>
      <c r="AM50" s="89">
        <f>Table2121418198598102[[#Totals],[WR3 RecY]]</f>
        <v>21</v>
      </c>
      <c r="AN50" s="22">
        <f>Table2121418198598102[[#Totals],[WR3 TD]]</f>
        <v>0</v>
      </c>
      <c r="AP50" s="119">
        <f t="shared" si="9"/>
        <v>17.166666666666668</v>
      </c>
      <c r="AQ50" s="119">
        <v>16.5</v>
      </c>
      <c r="AR50" s="119">
        <f>_xlfn.RANK.AVG(Table7121415[[#This Row],[Y]],Table7121415[Y])</f>
        <v>17.5</v>
      </c>
      <c r="AS50" s="119">
        <v>17.5</v>
      </c>
      <c r="AT50" s="21" t="s">
        <v>37</v>
      </c>
      <c r="AU50" s="89">
        <f>Table2121418198598102[[#Totals],[WR4+ Recep]]</f>
        <v>1</v>
      </c>
      <c r="AV50" s="89">
        <f>Table2121418198598102[[#Totals],[WR4+ RecY]]</f>
        <v>11.058823529411764</v>
      </c>
      <c r="AW50" s="22">
        <f>Table2121418198598102[[#Totals],[WR4+ TD]]</f>
        <v>5.8823529411764705E-2</v>
      </c>
      <c r="AY50" s="119">
        <f t="shared" si="10"/>
        <v>18.166666666666668</v>
      </c>
      <c r="AZ50" s="119">
        <v>9</v>
      </c>
      <c r="BA50" s="119">
        <v>21.5</v>
      </c>
      <c r="BB50" s="119">
        <v>24</v>
      </c>
      <c r="BC50" s="21" t="s">
        <v>37</v>
      </c>
      <c r="BD50" s="89">
        <f>Table2121418198598102[[#Totals],[TE2 Recep]]</f>
        <v>1.8823529411764706</v>
      </c>
      <c r="BE50" s="89">
        <f>Table2121418198598102[[#Totals],[TE2 RecY]]</f>
        <v>11.941176470588236</v>
      </c>
      <c r="BF50" s="22">
        <f>Table2121418198598102[[#Totals],[TE2 TD]]</f>
        <v>5.8823529411764705E-2</v>
      </c>
    </row>
    <row r="51" spans="2:58" x14ac:dyDescent="0.35">
      <c r="B51" s="155" t="str">
        <f t="shared" si="5"/>
        <v>n/a</v>
      </c>
      <c r="C51" s="119">
        <v>18</v>
      </c>
      <c r="D51" s="23" t="s">
        <v>38</v>
      </c>
      <c r="E51" s="22">
        <f>Table2121418198598103[[#Totals],[D/ST TD]]</f>
        <v>0.11764705882352941</v>
      </c>
      <c r="G51" s="119">
        <f t="shared" si="6"/>
        <v>25.2</v>
      </c>
      <c r="H51" s="119">
        <v>23</v>
      </c>
      <c r="I51" s="119">
        <v>23</v>
      </c>
      <c r="J51" s="119">
        <v>29</v>
      </c>
      <c r="K51" s="119">
        <f>_xlfn.RANK.AVG(Table4[[#This Row],[R+R]],Table4[R+R])</f>
        <v>30</v>
      </c>
      <c r="L51" s="119">
        <v>21</v>
      </c>
      <c r="M51" s="23" t="s">
        <v>38</v>
      </c>
      <c r="N51" s="89">
        <f>Table2121418198598103[[#Totals],[RB1 RY]]</f>
        <v>60.764705882352942</v>
      </c>
      <c r="O51" s="89">
        <f>Table2121418198598103[[#Totals],[RB1 Recep]]</f>
        <v>2.4117647058823528</v>
      </c>
      <c r="P51" s="89">
        <f>Table2121418198598103[[#Totals],[RB1 RecY]]</f>
        <v>14.235294117647058</v>
      </c>
      <c r="Q51" s="89">
        <f>Table4[[#This Row],[R]]+Table4[[#This Row],[Y]]</f>
        <v>75</v>
      </c>
      <c r="R51" s="22">
        <f>Table2121418198598103[[#Totals],[RB1 TD]]</f>
        <v>0.58823529411764708</v>
      </c>
      <c r="S51" s="121"/>
      <c r="T51" s="119">
        <f t="shared" si="7"/>
        <v>16.899999999999999</v>
      </c>
      <c r="U51" s="119">
        <v>19</v>
      </c>
      <c r="V51" s="119">
        <v>14.5</v>
      </c>
      <c r="W51" s="119">
        <v>17</v>
      </c>
      <c r="X51" s="119">
        <v>20</v>
      </c>
      <c r="Y51" s="119">
        <v>14</v>
      </c>
      <c r="Z51" s="23" t="s">
        <v>38</v>
      </c>
      <c r="AA51" s="89">
        <f>Table2121418198598103[[#Totals],[RB2+ RY]]</f>
        <v>26</v>
      </c>
      <c r="AB51" s="89">
        <f>Table2121418198598103[[#Totals],[RB2 Recep]]</f>
        <v>1.5294117647058822</v>
      </c>
      <c r="AC51" s="89">
        <f>Table2121418198598103[[#Totals],[RB2 RecY]]</f>
        <v>10.176470588235293</v>
      </c>
      <c r="AD51" s="89">
        <f>Table44[[#This Row],[R]]+Table44[[#This Row],[Y]]</f>
        <v>36.17647058823529</v>
      </c>
      <c r="AE51" s="22">
        <f>Table2121418198598103[[#Totals],[RB2 TD]]</f>
        <v>0.29411764705882354</v>
      </c>
      <c r="AG51" s="119">
        <f t="shared" si="8"/>
        <v>1.3333333333333333</v>
      </c>
      <c r="AH51" s="119">
        <v>1</v>
      </c>
      <c r="AI51" s="119">
        <f>_xlfn.RANK.AVG(Table71214[[#This Row],[Y]],Table71214[Y])</f>
        <v>1</v>
      </c>
      <c r="AJ51" s="119">
        <v>2</v>
      </c>
      <c r="AK51" s="23" t="s">
        <v>38</v>
      </c>
      <c r="AL51" s="89">
        <f>Table2121418198598103[[#Totals],[WR3 Recep]]</f>
        <v>3.4117647058823528</v>
      </c>
      <c r="AM51" s="89">
        <f>Table2121418198598103[[#Totals],[WR3 RecY]]</f>
        <v>48.647058823529413</v>
      </c>
      <c r="AN51" s="22">
        <f>Table2121418198598103[[#Totals],[WR3 TD]]</f>
        <v>0.29411764705882354</v>
      </c>
      <c r="AP51" s="119">
        <f t="shared" si="9"/>
        <v>16.666666666666668</v>
      </c>
      <c r="AQ51" s="119">
        <v>8.5</v>
      </c>
      <c r="AR51" s="119">
        <f>_xlfn.RANK.AVG(Table7121415[[#This Row],[Y]],Table7121415[Y])</f>
        <v>24</v>
      </c>
      <c r="AS51" s="119">
        <v>17.5</v>
      </c>
      <c r="AT51" s="23" t="s">
        <v>38</v>
      </c>
      <c r="AU51" s="89">
        <f>Table2121418198598103[[#Totals],[WR4+ Recep]]</f>
        <v>1.2352941176470589</v>
      </c>
      <c r="AV51" s="89">
        <f>Table2121418198598103[[#Totals],[WR4+ RecY]]</f>
        <v>8.8235294117647065</v>
      </c>
      <c r="AW51" s="22">
        <f>Table2121418198598103[[#Totals],[WR4+ TD]]</f>
        <v>5.8823529411764705E-2</v>
      </c>
      <c r="AY51" s="119">
        <f t="shared" si="10"/>
        <v>11.666666666666666</v>
      </c>
      <c r="AZ51" s="119">
        <v>13</v>
      </c>
      <c r="BA51" s="119">
        <v>12</v>
      </c>
      <c r="BB51" s="119">
        <v>10</v>
      </c>
      <c r="BC51" s="23" t="s">
        <v>38</v>
      </c>
      <c r="BD51" s="89">
        <f>Table2121418198598103[[#Totals],[TE2 Recep]]</f>
        <v>1.7647058823529411</v>
      </c>
      <c r="BE51" s="89">
        <f>Table2121418198598103[[#Totals],[TE2 RecY]]</f>
        <v>15.882352941176471</v>
      </c>
      <c r="BF51" s="22">
        <f>Table2121418198598103[[#Totals],[TE2 TD]]</f>
        <v>0.17647058823529413</v>
      </c>
    </row>
    <row r="52" spans="2:58" x14ac:dyDescent="0.35">
      <c r="B52" s="155" t="str">
        <f t="shared" si="5"/>
        <v>n/a</v>
      </c>
      <c r="C52" s="119">
        <v>18</v>
      </c>
      <c r="D52" s="21" t="s">
        <v>39</v>
      </c>
      <c r="E52" s="22">
        <f>Table2121418198598104[[#Totals],[D/ST TD]]</f>
        <v>0.11764705882352941</v>
      </c>
      <c r="G52" s="119">
        <f t="shared" si="6"/>
        <v>22.8</v>
      </c>
      <c r="H52" s="119">
        <v>32</v>
      </c>
      <c r="I52" s="119">
        <v>16</v>
      </c>
      <c r="J52" s="119">
        <v>13</v>
      </c>
      <c r="K52" s="119">
        <f>_xlfn.RANK.AVG(Table4[[#This Row],[R+R]],Table4[R+R])</f>
        <v>32</v>
      </c>
      <c r="L52" s="119">
        <v>21</v>
      </c>
      <c r="M52" s="21" t="s">
        <v>39</v>
      </c>
      <c r="N52" s="89">
        <f>Table2121418198598104[[#Totals],[RB1 RY]]</f>
        <v>46.235294117647058</v>
      </c>
      <c r="O52" s="89">
        <f>Table2121418198598104[[#Totals],[RB1 Recep]]</f>
        <v>2.7058823529411766</v>
      </c>
      <c r="P52" s="89">
        <f>Table2121418198598104[[#Totals],[RB1 RecY]]</f>
        <v>22.411764705882351</v>
      </c>
      <c r="Q52" s="89">
        <f>Table4[[#This Row],[R]]+Table4[[#This Row],[Y]]</f>
        <v>68.647058823529406</v>
      </c>
      <c r="R52" s="22">
        <f>Table2121418198598104[[#Totals],[RB1 TD]]</f>
        <v>0.58823529411764708</v>
      </c>
      <c r="S52" s="121"/>
      <c r="T52" s="119">
        <f t="shared" si="7"/>
        <v>16.399999999999999</v>
      </c>
      <c r="U52" s="119">
        <v>26</v>
      </c>
      <c r="V52" s="119">
        <v>4</v>
      </c>
      <c r="W52" s="119">
        <v>8.5</v>
      </c>
      <c r="X52" s="119">
        <v>25</v>
      </c>
      <c r="Y52" s="119">
        <v>18.5</v>
      </c>
      <c r="Z52" s="21" t="s">
        <v>39</v>
      </c>
      <c r="AA52" s="89">
        <f>Table2121418198598104[[#Totals],[RB2+ RY]]</f>
        <v>21.764705882352942</v>
      </c>
      <c r="AB52" s="89">
        <f>Table2121418198598104[[#Totals],[RB2 Recep]]</f>
        <v>2.1176470588235294</v>
      </c>
      <c r="AC52" s="89">
        <f>Table2121418198598104[[#Totals],[RB2 RecY]]</f>
        <v>12.058823529411764</v>
      </c>
      <c r="AD52" s="89">
        <f>Table44[[#This Row],[R]]+Table44[[#This Row],[Y]]</f>
        <v>33.82352941176471</v>
      </c>
      <c r="AE52" s="22">
        <f>Table2121418198598104[[#Totals],[RB2 TD]]</f>
        <v>0.23529411764705882</v>
      </c>
      <c r="AG52" s="119">
        <f t="shared" si="8"/>
        <v>21.833333333333332</v>
      </c>
      <c r="AH52" s="119">
        <v>10</v>
      </c>
      <c r="AI52" s="119">
        <f>_xlfn.RANK.AVG(Table71214[[#This Row],[Y]],Table71214[Y])</f>
        <v>26</v>
      </c>
      <c r="AJ52" s="119">
        <v>29.5</v>
      </c>
      <c r="AK52" s="21" t="s">
        <v>39</v>
      </c>
      <c r="AL52" s="89">
        <f>Table2121418198598104[[#Totals],[WR3 Recep]]</f>
        <v>2.2352941176470589</v>
      </c>
      <c r="AM52" s="89">
        <f>Table2121418198598104[[#Totals],[WR3 RecY]]</f>
        <v>19.411764705882351</v>
      </c>
      <c r="AN52" s="22">
        <f>Table2121418198598104[[#Totals],[WR3 TD]]</f>
        <v>0</v>
      </c>
      <c r="AP52" s="119">
        <f t="shared" si="9"/>
        <v>8.3333333333333339</v>
      </c>
      <c r="AQ52" s="119">
        <v>8.5</v>
      </c>
      <c r="AR52" s="119">
        <f>_xlfn.RANK.AVG(Table7121415[[#This Row],[Y]],Table7121415[Y])</f>
        <v>8</v>
      </c>
      <c r="AS52" s="119">
        <v>8.5</v>
      </c>
      <c r="AT52" s="21" t="s">
        <v>39</v>
      </c>
      <c r="AU52" s="89">
        <f>Table2121418198598104[[#Totals],[WR4+ Recep]]</f>
        <v>1.2352941176470589</v>
      </c>
      <c r="AV52" s="89">
        <f>Table2121418198598104[[#Totals],[WR4+ RecY]]</f>
        <v>15.058823529411764</v>
      </c>
      <c r="AW52" s="22">
        <f>Table2121418198598104[[#Totals],[WR4+ TD]]</f>
        <v>0.11764705882352941</v>
      </c>
      <c r="AY52" s="119">
        <f t="shared" si="10"/>
        <v>14.5</v>
      </c>
      <c r="AZ52" s="119">
        <v>11</v>
      </c>
      <c r="BA52" s="119">
        <v>17</v>
      </c>
      <c r="BB52" s="119">
        <v>15.5</v>
      </c>
      <c r="BC52" s="21" t="s">
        <v>39</v>
      </c>
      <c r="BD52" s="89">
        <f>Table2121418198598104[[#Totals],[TE2 Recep]]</f>
        <v>1.8235294117647058</v>
      </c>
      <c r="BE52" s="89">
        <f>Table2121418198598104[[#Totals],[TE2 RecY]]</f>
        <v>13.823529411764707</v>
      </c>
      <c r="BF52" s="22">
        <f>Table2121418198598104[[#Totals],[TE2 TD]]</f>
        <v>0.11764705882352941</v>
      </c>
    </row>
    <row r="53" spans="2:58" x14ac:dyDescent="0.35">
      <c r="B53" s="155" t="str">
        <f t="shared" si="5"/>
        <v>n/a</v>
      </c>
      <c r="C53" s="119">
        <v>24.5</v>
      </c>
      <c r="D53" s="23" t="s">
        <v>40</v>
      </c>
      <c r="E53" s="22">
        <f>Table2121418198598105[[#Totals],[D/ST TD]]</f>
        <v>5.8823529411764705E-2</v>
      </c>
      <c r="G53" s="119">
        <f t="shared" si="6"/>
        <v>22</v>
      </c>
      <c r="H53" s="119">
        <v>24</v>
      </c>
      <c r="I53" s="119">
        <v>14</v>
      </c>
      <c r="J53" s="119">
        <v>19</v>
      </c>
      <c r="K53" s="119">
        <f>_xlfn.RANK.AVG(Table4[[#This Row],[R+R]],Table4[R+R])</f>
        <v>23</v>
      </c>
      <c r="L53" s="119">
        <v>30</v>
      </c>
      <c r="M53" s="23" t="s">
        <v>40</v>
      </c>
      <c r="N53" s="89">
        <f>Table2121418198598105[[#Totals],[RB1 RY]]</f>
        <v>60</v>
      </c>
      <c r="O53" s="89">
        <f>Table2121418198598105[[#Totals],[RB1 Recep]]</f>
        <v>2.7647058823529411</v>
      </c>
      <c r="P53" s="89">
        <f>Table2121418198598105[[#Totals],[RB1 RecY]]</f>
        <v>20.411764705882351</v>
      </c>
      <c r="Q53" s="89">
        <f>Table4[[#This Row],[R]]+Table4[[#This Row],[Y]]</f>
        <v>80.411764705882348</v>
      </c>
      <c r="R53" s="22">
        <f>Table2121418198598105[[#Totals],[RB1 TD]]</f>
        <v>0.29411764705882354</v>
      </c>
      <c r="S53" s="121"/>
      <c r="T53" s="119">
        <f t="shared" si="7"/>
        <v>21.3</v>
      </c>
      <c r="U53" s="119">
        <v>25</v>
      </c>
      <c r="V53" s="119">
        <v>22</v>
      </c>
      <c r="W53" s="119">
        <v>24.5</v>
      </c>
      <c r="X53" s="119">
        <v>29</v>
      </c>
      <c r="Y53" s="119">
        <v>6</v>
      </c>
      <c r="Z53" s="23" t="s">
        <v>40</v>
      </c>
      <c r="AA53" s="89">
        <f>Table2121418198598105[[#Totals],[RB2+ RY]]</f>
        <v>23.235294117647058</v>
      </c>
      <c r="AB53" s="89">
        <f>Table2121418198598105[[#Totals],[RB2 Recep]]</f>
        <v>1.2941176470588236</v>
      </c>
      <c r="AC53" s="89">
        <f>Table2121418198598105[[#Totals],[RB2 RecY]]</f>
        <v>8.7058823529411757</v>
      </c>
      <c r="AD53" s="89">
        <f>Table44[[#This Row],[R]]+Table44[[#This Row],[Y]]</f>
        <v>31.941176470588232</v>
      </c>
      <c r="AE53" s="22">
        <f>Table2121418198598105[[#Totals],[RB2 TD]]</f>
        <v>0.41176470588235292</v>
      </c>
      <c r="AG53" s="119">
        <f t="shared" si="8"/>
        <v>17.333333333333332</v>
      </c>
      <c r="AH53" s="119">
        <v>10</v>
      </c>
      <c r="AI53" s="119">
        <f>_xlfn.RANK.AVG(Table71214[[#This Row],[Y]],Table71214[Y])</f>
        <v>19</v>
      </c>
      <c r="AJ53" s="119">
        <v>23</v>
      </c>
      <c r="AK53" s="23" t="s">
        <v>40</v>
      </c>
      <c r="AL53" s="89">
        <f>Table2121418198598105[[#Totals],[WR3 Recep]]</f>
        <v>2.2352941176470589</v>
      </c>
      <c r="AM53" s="89">
        <f>Table2121418198598105[[#Totals],[WR3 RecY]]</f>
        <v>21.705882352941178</v>
      </c>
      <c r="AN53" s="22">
        <f>Table2121418198598105[[#Totals],[WR3 TD]]</f>
        <v>5.8823529411764705E-2</v>
      </c>
      <c r="AP53" s="119">
        <f t="shared" si="9"/>
        <v>13</v>
      </c>
      <c r="AQ53" s="119">
        <v>16.5</v>
      </c>
      <c r="AR53" s="119">
        <f>_xlfn.RANK.AVG(Table7121415[[#This Row],[Y]],Table7121415[Y])</f>
        <v>14</v>
      </c>
      <c r="AS53" s="119">
        <v>8.5</v>
      </c>
      <c r="AT53" s="23" t="s">
        <v>40</v>
      </c>
      <c r="AU53" s="89">
        <f>Table2121418198598105[[#Totals],[WR4+ Recep]]</f>
        <v>1</v>
      </c>
      <c r="AV53" s="89">
        <f>Table2121418198598105[[#Totals],[WR4+ RecY]]</f>
        <v>13</v>
      </c>
      <c r="AW53" s="22">
        <f>Table2121418198598105[[#Totals],[WR4+ TD]]</f>
        <v>0.11764705882352941</v>
      </c>
      <c r="AY53" s="119">
        <f t="shared" si="10"/>
        <v>22.5</v>
      </c>
      <c r="AZ53" s="119">
        <v>25.5</v>
      </c>
      <c r="BA53" s="119">
        <v>18</v>
      </c>
      <c r="BB53" s="119">
        <v>24</v>
      </c>
      <c r="BC53" s="23" t="s">
        <v>40</v>
      </c>
      <c r="BD53" s="89">
        <f>Table2121418198598105[[#Totals],[TE2 Recep]]</f>
        <v>1.2352941176470589</v>
      </c>
      <c r="BE53" s="89">
        <f>Table2121418198598105[[#Totals],[TE2 RecY]]</f>
        <v>13.647058823529411</v>
      </c>
      <c r="BF53" s="22">
        <f>Table2121418198598105[[#Totals],[TE2 TD]]</f>
        <v>5.8823529411764705E-2</v>
      </c>
    </row>
    <row r="54" spans="2:58" x14ac:dyDescent="0.35">
      <c r="B54" s="155" t="str">
        <f t="shared" si="5"/>
        <v>n/a</v>
      </c>
      <c r="C54" s="119">
        <v>10.5</v>
      </c>
      <c r="D54" s="21" t="s">
        <v>41</v>
      </c>
      <c r="E54" s="22">
        <f>Table2121418198598106[[#Totals],[D/ST TD]]</f>
        <v>0.17647058823529413</v>
      </c>
      <c r="G54" s="119">
        <f t="shared" si="6"/>
        <v>25.6</v>
      </c>
      <c r="H54" s="119">
        <v>21</v>
      </c>
      <c r="I54" s="119">
        <v>31.5</v>
      </c>
      <c r="J54" s="119">
        <v>31</v>
      </c>
      <c r="K54" s="119">
        <f>_xlfn.RANK.AVG(Table4[[#This Row],[R+R]],Table4[R+R])</f>
        <v>29</v>
      </c>
      <c r="L54" s="119">
        <v>15.5</v>
      </c>
      <c r="M54" s="21" t="s">
        <v>41</v>
      </c>
      <c r="N54" s="89">
        <f>Table2121418198598106[[#Totals],[RB1 RY]]</f>
        <v>63.764705882352942</v>
      </c>
      <c r="O54" s="89">
        <f>Table2121418198598106[[#Totals],[RB1 Recep]]</f>
        <v>1.9411764705882353</v>
      </c>
      <c r="P54" s="89">
        <f>Table2121418198598106[[#Totals],[RB1 RecY]]</f>
        <v>12.823529411764707</v>
      </c>
      <c r="Q54" s="89">
        <f>Table4[[#This Row],[R]]+Table4[[#This Row],[Y]]</f>
        <v>76.588235294117652</v>
      </c>
      <c r="R54" s="22">
        <f>Table2121418198598106[[#Totals],[RB1 TD]]</f>
        <v>0.6470588235294118</v>
      </c>
      <c r="S54" s="121"/>
      <c r="T54" s="119">
        <f t="shared" si="7"/>
        <v>21.1</v>
      </c>
      <c r="U54" s="119">
        <v>27</v>
      </c>
      <c r="V54" s="119">
        <v>14.5</v>
      </c>
      <c r="W54" s="119">
        <v>7</v>
      </c>
      <c r="X54" s="119">
        <v>26</v>
      </c>
      <c r="Y54" s="119">
        <v>31</v>
      </c>
      <c r="Z54" s="21" t="s">
        <v>41</v>
      </c>
      <c r="AA54" s="89">
        <f>Table2121418198598106[[#Totals],[RB2+ RY]]</f>
        <v>21.176470588235293</v>
      </c>
      <c r="AB54" s="89">
        <f>Table2121418198598106[[#Totals],[RB2 Recep]]</f>
        <v>1.5294117647058822</v>
      </c>
      <c r="AC54" s="89">
        <f>Table2121418198598106[[#Totals],[RB2 RecY]]</f>
        <v>12.470588235294118</v>
      </c>
      <c r="AD54" s="89">
        <f>Table44[[#This Row],[R]]+Table44[[#This Row],[Y]]</f>
        <v>33.647058823529413</v>
      </c>
      <c r="AE54" s="22">
        <f>Table2121418198598106[[#Totals],[RB2 TD]]</f>
        <v>5.8823529411764705E-2</v>
      </c>
      <c r="AG54" s="119">
        <f t="shared" si="8"/>
        <v>23.166666666666668</v>
      </c>
      <c r="AH54" s="119">
        <v>29.5</v>
      </c>
      <c r="AI54" s="119">
        <f>_xlfn.RANK.AVG(Table71214[[#This Row],[Y]],Table71214[Y])</f>
        <v>29</v>
      </c>
      <c r="AJ54" s="119">
        <v>11</v>
      </c>
      <c r="AK54" s="21" t="s">
        <v>41</v>
      </c>
      <c r="AL54" s="89">
        <f>Table2121418198598106[[#Totals],[WR3 Recep]]</f>
        <v>1.4705882352941178</v>
      </c>
      <c r="AM54" s="89">
        <f>Table2121418198598106[[#Totals],[WR3 RecY]]</f>
        <v>16.058823529411764</v>
      </c>
      <c r="AN54" s="22">
        <f>Table2121418198598106[[#Totals],[WR3 TD]]</f>
        <v>0.17647058823529413</v>
      </c>
      <c r="AP54" s="119">
        <f t="shared" si="9"/>
        <v>16.333333333333332</v>
      </c>
      <c r="AQ54" s="119">
        <v>16.5</v>
      </c>
      <c r="AR54" s="119">
        <f>_xlfn.RANK.AVG(Table7121415[[#This Row],[Y]],Table7121415[Y])</f>
        <v>15</v>
      </c>
      <c r="AS54" s="119">
        <v>17.5</v>
      </c>
      <c r="AT54" s="21" t="s">
        <v>41</v>
      </c>
      <c r="AU54" s="89">
        <f>Table2121418198598106[[#Totals],[WR4+ Recep]]</f>
        <v>1</v>
      </c>
      <c r="AV54" s="89">
        <f>Table2121418198598106[[#Totals],[WR4+ RecY]]</f>
        <v>12.470588235294118</v>
      </c>
      <c r="AW54" s="22">
        <f>Table2121418198598106[[#Totals],[WR4+ TD]]</f>
        <v>5.8823529411764705E-2</v>
      </c>
      <c r="AY54" s="119">
        <f t="shared" si="10"/>
        <v>29.166666666666668</v>
      </c>
      <c r="AZ54" s="119">
        <v>29</v>
      </c>
      <c r="BA54" s="119">
        <v>27</v>
      </c>
      <c r="BB54" s="119">
        <v>31.5</v>
      </c>
      <c r="BC54" s="21" t="s">
        <v>41</v>
      </c>
      <c r="BD54" s="89">
        <f>Table2121418198598106[[#Totals],[TE2 Recep]]</f>
        <v>0.94117647058823528</v>
      </c>
      <c r="BE54" s="89">
        <f>Table2121418198598106[[#Totals],[TE2 RecY]]</f>
        <v>8.0588235294117645</v>
      </c>
      <c r="BF54" s="22">
        <f>Table2121418198598106[[#Totals],[TE2 TD]]</f>
        <v>0</v>
      </c>
    </row>
    <row r="55" spans="2:58" x14ac:dyDescent="0.35">
      <c r="B55" s="155" t="str">
        <f t="shared" si="5"/>
        <v>n/a</v>
      </c>
      <c r="C55" s="119">
        <v>5</v>
      </c>
      <c r="D55" s="23" t="s">
        <v>42</v>
      </c>
      <c r="E55" s="22">
        <f>Table2121418198598107[[#Totals],[D/ST TD]]</f>
        <v>0.23529411764705882</v>
      </c>
      <c r="G55" s="119">
        <f t="shared" si="6"/>
        <v>15.9</v>
      </c>
      <c r="H55" s="119">
        <v>20</v>
      </c>
      <c r="I55" s="119">
        <v>10.5</v>
      </c>
      <c r="J55" s="119">
        <v>5</v>
      </c>
      <c r="K55" s="119">
        <f>_xlfn.RANK.AVG(Table4[[#This Row],[R+R]],Table4[R+R])</f>
        <v>14</v>
      </c>
      <c r="L55" s="119">
        <v>30</v>
      </c>
      <c r="M55" s="23" t="s">
        <v>42</v>
      </c>
      <c r="N55" s="89">
        <f>Table2121418198598107[[#Totals],[RB1 RY]]</f>
        <v>63.882352941176471</v>
      </c>
      <c r="O55" s="89">
        <f>Table2121418198598107[[#Totals],[RB1 Recep]]</f>
        <v>3.0588235294117645</v>
      </c>
      <c r="P55" s="89">
        <f>Table2121418198598107[[#Totals],[RB1 RecY]]</f>
        <v>26.411764705882351</v>
      </c>
      <c r="Q55" s="89">
        <f>Table4[[#This Row],[R]]+Table4[[#This Row],[Y]]</f>
        <v>90.294117647058826</v>
      </c>
      <c r="R55" s="22">
        <f>Table2121418198598107[[#Totals],[RB1 TD]]</f>
        <v>0.29411764705882354</v>
      </c>
      <c r="S55" s="121"/>
      <c r="T55" s="119">
        <f t="shared" si="7"/>
        <v>15.4</v>
      </c>
      <c r="U55" s="119">
        <v>23.5</v>
      </c>
      <c r="V55" s="119">
        <v>9.5</v>
      </c>
      <c r="W55" s="119">
        <v>11</v>
      </c>
      <c r="X55" s="119">
        <v>19</v>
      </c>
      <c r="Y55" s="119">
        <v>14</v>
      </c>
      <c r="Z55" s="23" t="s">
        <v>42</v>
      </c>
      <c r="AA55" s="89">
        <f>Table2121418198598107[[#Totals],[RB2+ RY]]</f>
        <v>24.647058823529413</v>
      </c>
      <c r="AB55" s="89">
        <f>Table2121418198598107[[#Totals],[RB2 Recep]]</f>
        <v>1.8235294117647058</v>
      </c>
      <c r="AC55" s="89">
        <f>Table2121418198598107[[#Totals],[RB2 RecY]]</f>
        <v>11.823529411764707</v>
      </c>
      <c r="AD55" s="89">
        <f>Table44[[#This Row],[R]]+Table44[[#This Row],[Y]]</f>
        <v>36.470588235294116</v>
      </c>
      <c r="AE55" s="22">
        <f>Table2121418198598107[[#Totals],[RB2 TD]]</f>
        <v>0.29411764705882354</v>
      </c>
      <c r="AG55" s="119">
        <f t="shared" si="8"/>
        <v>18.833333333333332</v>
      </c>
      <c r="AH55" s="119">
        <v>25</v>
      </c>
      <c r="AI55" s="119">
        <f>_xlfn.RANK.AVG(Table71214[[#This Row],[Y]],Table71214[Y])</f>
        <v>15</v>
      </c>
      <c r="AJ55" s="119">
        <v>16.5</v>
      </c>
      <c r="AK55" s="23" t="s">
        <v>42</v>
      </c>
      <c r="AL55" s="89">
        <f>Table2121418198598107[[#Totals],[WR3 Recep]]</f>
        <v>1.7058823529411764</v>
      </c>
      <c r="AM55" s="89">
        <f>Table2121418198598107[[#Totals],[WR3 RecY]]</f>
        <v>23.941176470588236</v>
      </c>
      <c r="AN55" s="22">
        <f>Table2121418198598107[[#Totals],[WR3 TD]]</f>
        <v>0.11764705882352941</v>
      </c>
      <c r="AP55" s="119">
        <f t="shared" si="9"/>
        <v>14.166666666666666</v>
      </c>
      <c r="AQ55" s="119">
        <v>6</v>
      </c>
      <c r="AR55" s="119">
        <f>_xlfn.RANK.AVG(Table7121415[[#This Row],[Y]],Table7121415[Y])</f>
        <v>9</v>
      </c>
      <c r="AS55" s="119">
        <v>27.5</v>
      </c>
      <c r="AT55" s="23" t="s">
        <v>42</v>
      </c>
      <c r="AU55" s="89">
        <f>Table2121418198598107[[#Totals],[WR4+ Recep]]</f>
        <v>1.2941176470588236</v>
      </c>
      <c r="AV55" s="89">
        <f>Table2121418198598107[[#Totals],[WR4+ RecY]]</f>
        <v>14.176470588235293</v>
      </c>
      <c r="AW55" s="22">
        <f>Table2121418198598107[[#Totals],[WR4+ TD]]</f>
        <v>0</v>
      </c>
      <c r="AY55" s="119">
        <f t="shared" si="10"/>
        <v>23</v>
      </c>
      <c r="AZ55" s="119">
        <v>25.5</v>
      </c>
      <c r="BA55" s="119">
        <v>28</v>
      </c>
      <c r="BB55" s="119">
        <v>15.5</v>
      </c>
      <c r="BC55" s="23" t="s">
        <v>42</v>
      </c>
      <c r="BD55" s="89">
        <f>Table2121418198598107[[#Totals],[TE2 Recep]]</f>
        <v>1.2352941176470589</v>
      </c>
      <c r="BE55" s="89">
        <f>Table2121418198598107[[#Totals],[TE2 RecY]]</f>
        <v>7.7647058823529411</v>
      </c>
      <c r="BF55" s="22">
        <f>Table2121418198598107[[#Totals],[TE2 TD]]</f>
        <v>0.11764705882352941</v>
      </c>
    </row>
    <row r="56" spans="2:58" x14ac:dyDescent="0.35">
      <c r="B56" s="155" t="str">
        <f t="shared" si="5"/>
        <v>n/a</v>
      </c>
      <c r="C56" s="119">
        <v>2</v>
      </c>
      <c r="D56" s="21" t="s">
        <v>43</v>
      </c>
      <c r="E56" s="22">
        <f>Table2121418198598108[[#Totals],[D/ST TD]]</f>
        <v>0.29411764705882354</v>
      </c>
      <c r="G56" s="119">
        <f t="shared" si="6"/>
        <v>22.3</v>
      </c>
      <c r="H56" s="119">
        <v>26</v>
      </c>
      <c r="I56" s="119">
        <v>19</v>
      </c>
      <c r="J56" s="119">
        <v>23</v>
      </c>
      <c r="K56" s="119">
        <f>_xlfn.RANK.AVG(Table4[[#This Row],[R+R]],Table4[R+R])</f>
        <v>28</v>
      </c>
      <c r="L56" s="119">
        <v>15.5</v>
      </c>
      <c r="M56" s="21" t="s">
        <v>43</v>
      </c>
      <c r="N56" s="89">
        <f>Table2121418198598108[[#Totals],[RB1 RY]]</f>
        <v>59.705882352941174</v>
      </c>
      <c r="O56" s="89">
        <f>Table2121418198598108[[#Totals],[RB1 Recep]]</f>
        <v>2.6470588235294117</v>
      </c>
      <c r="P56" s="89">
        <f>Table2121418198598108[[#Totals],[RB1 RecY]]</f>
        <v>17.352941176470587</v>
      </c>
      <c r="Q56" s="89">
        <f>Table4[[#This Row],[R]]+Table4[[#This Row],[Y]]</f>
        <v>77.058823529411768</v>
      </c>
      <c r="R56" s="22">
        <f>Table2121418198598108[[#Totals],[RB1 TD]]</f>
        <v>0.6470588235294118</v>
      </c>
      <c r="S56" s="121"/>
      <c r="T56" s="119">
        <f t="shared" si="7"/>
        <v>7</v>
      </c>
      <c r="U56" s="119">
        <v>2</v>
      </c>
      <c r="V56" s="119">
        <v>6</v>
      </c>
      <c r="W56" s="119">
        <v>14.5</v>
      </c>
      <c r="X56" s="119">
        <v>3</v>
      </c>
      <c r="Y56" s="119">
        <v>9.5</v>
      </c>
      <c r="Z56" s="21" t="s">
        <v>43</v>
      </c>
      <c r="AA56" s="89">
        <f>Table2121418198598108[[#Totals],[RB2+ RY]]</f>
        <v>39.294117647058826</v>
      </c>
      <c r="AB56" s="89">
        <f>Table2121418198598108[[#Totals],[RB2 Recep]]</f>
        <v>1.9411764705882353</v>
      </c>
      <c r="AC56" s="89">
        <f>Table2121418198598108[[#Totals],[RB2 RecY]]</f>
        <v>10.529411764705882</v>
      </c>
      <c r="AD56" s="89">
        <f>Table44[[#This Row],[R]]+Table44[[#This Row],[Y]]</f>
        <v>49.82352941176471</v>
      </c>
      <c r="AE56" s="22">
        <f>Table2121418198598108[[#Totals],[RB2 TD]]</f>
        <v>0.35294117647058826</v>
      </c>
      <c r="AG56" s="119">
        <f t="shared" si="8"/>
        <v>4</v>
      </c>
      <c r="AH56" s="119">
        <v>3</v>
      </c>
      <c r="AI56" s="119">
        <f>_xlfn.RANK.AVG(Table71214[[#This Row],[Y]],Table71214[Y])</f>
        <v>3</v>
      </c>
      <c r="AJ56" s="119">
        <v>6</v>
      </c>
      <c r="AK56" s="21" t="s">
        <v>43</v>
      </c>
      <c r="AL56" s="89">
        <f>Table2121418198598108[[#Totals],[WR3 Recep]]</f>
        <v>3.1176470588235294</v>
      </c>
      <c r="AM56" s="89">
        <f>Table2121418198598108[[#Totals],[WR3 RecY]]</f>
        <v>41.705882352941174</v>
      </c>
      <c r="AN56" s="22">
        <f>Table2121418198598108[[#Totals],[WR3 TD]]</f>
        <v>0.23529411764705882</v>
      </c>
      <c r="AP56" s="119">
        <f t="shared" si="9"/>
        <v>11.5</v>
      </c>
      <c r="AQ56" s="119">
        <v>1</v>
      </c>
      <c r="AR56" s="119">
        <f>_xlfn.RANK.AVG(Table7121415[[#This Row],[Y]],Table7121415[Y])</f>
        <v>6</v>
      </c>
      <c r="AS56" s="119">
        <v>27.5</v>
      </c>
      <c r="AT56" s="21" t="s">
        <v>43</v>
      </c>
      <c r="AU56" s="89">
        <f>Table2121418198598108[[#Totals],[WR4+ Recep]]</f>
        <v>1.7647058823529411</v>
      </c>
      <c r="AV56" s="89">
        <f>Table2121418198598108[[#Totals],[WR4+ RecY]]</f>
        <v>16.882352941176471</v>
      </c>
      <c r="AW56" s="22">
        <f>Table2121418198598108[[#Totals],[WR4+ TD]]</f>
        <v>0</v>
      </c>
      <c r="AY56" s="119">
        <f t="shared" si="10"/>
        <v>27.333333333333332</v>
      </c>
      <c r="AZ56" s="119">
        <v>29</v>
      </c>
      <c r="BA56" s="119">
        <v>29</v>
      </c>
      <c r="BB56" s="119">
        <v>24</v>
      </c>
      <c r="BC56" s="21" t="s">
        <v>43</v>
      </c>
      <c r="BD56" s="89">
        <f>Table2121418198598108[[#Totals],[TE2 Recep]]</f>
        <v>0.94117647058823528</v>
      </c>
      <c r="BE56" s="89">
        <f>Table2121418198598108[[#Totals],[TE2 RecY]]</f>
        <v>7.4705882352941178</v>
      </c>
      <c r="BF56" s="22">
        <f>Table2121418198598108[[#Totals],[TE2 TD]]</f>
        <v>5.8823529411764705E-2</v>
      </c>
    </row>
    <row r="57" spans="2:58" x14ac:dyDescent="0.35">
      <c r="B57" s="155" t="str">
        <f t="shared" si="5"/>
        <v>n/a</v>
      </c>
      <c r="C57" s="119">
        <v>10.5</v>
      </c>
      <c r="D57" s="23" t="s">
        <v>44</v>
      </c>
      <c r="E57" s="22">
        <f>Table2121418198598109[[#Totals],[D/ST TD]]</f>
        <v>0.17647058823529413</v>
      </c>
      <c r="G57" s="119">
        <f t="shared" si="6"/>
        <v>9.5</v>
      </c>
      <c r="H57" s="119">
        <v>5</v>
      </c>
      <c r="I57" s="119">
        <v>12.5</v>
      </c>
      <c r="J57" s="119">
        <v>14</v>
      </c>
      <c r="K57" s="119">
        <f>_xlfn.RANK.AVG(Table4[[#This Row],[R+R]],Table4[R+R])</f>
        <v>6</v>
      </c>
      <c r="L57" s="119">
        <v>10</v>
      </c>
      <c r="M57" s="23" t="s">
        <v>44</v>
      </c>
      <c r="N57" s="89">
        <f>Table2121418198598109[[#Totals],[RB1 RY]]</f>
        <v>78.647058823529406</v>
      </c>
      <c r="O57" s="89">
        <f>Table2121418198598109[[#Totals],[RB1 Recep]]</f>
        <v>3</v>
      </c>
      <c r="P57" s="89">
        <f>Table2121418198598109[[#Totals],[RB1 RecY]]</f>
        <v>22.235294117647058</v>
      </c>
      <c r="Q57" s="89">
        <f>Table4[[#This Row],[R]]+Table4[[#This Row],[Y]]</f>
        <v>100.88235294117646</v>
      </c>
      <c r="R57" s="22">
        <f>Table2121418198598109[[#Totals],[RB1 TD]]</f>
        <v>0.70588235294117652</v>
      </c>
      <c r="S57" s="121"/>
      <c r="T57" s="119">
        <f t="shared" si="7"/>
        <v>10.6</v>
      </c>
      <c r="U57" s="119">
        <v>16</v>
      </c>
      <c r="V57" s="119">
        <v>7.5</v>
      </c>
      <c r="W57" s="119">
        <v>3</v>
      </c>
      <c r="X57" s="119">
        <v>8</v>
      </c>
      <c r="Y57" s="119">
        <v>18.5</v>
      </c>
      <c r="Z57" s="23" t="s">
        <v>44</v>
      </c>
      <c r="AA57" s="89">
        <f>Table2121418198598109[[#Totals],[RB2+ RY]]</f>
        <v>28.176470588235293</v>
      </c>
      <c r="AB57" s="89">
        <f>Table2121418198598109[[#Totals],[RB2 Recep]]</f>
        <v>1.8823529411764706</v>
      </c>
      <c r="AC57" s="89">
        <f>Table2121418198598109[[#Totals],[RB2 RecY]]</f>
        <v>14.294117647058824</v>
      </c>
      <c r="AD57" s="89">
        <f>Table44[[#This Row],[R]]+Table44[[#This Row],[Y]]</f>
        <v>42.470588235294116</v>
      </c>
      <c r="AE57" s="22">
        <f>Table2121418198598109[[#Totals],[RB2 TD]]</f>
        <v>0.23529411764705882</v>
      </c>
      <c r="AG57" s="119">
        <f t="shared" si="8"/>
        <v>21.166666666666668</v>
      </c>
      <c r="AH57" s="119">
        <v>22</v>
      </c>
      <c r="AI57" s="119">
        <f>_xlfn.RANK.AVG(Table71214[[#This Row],[Y]],Table71214[Y])</f>
        <v>25</v>
      </c>
      <c r="AJ57" s="119">
        <v>16.5</v>
      </c>
      <c r="AK57" s="23" t="s">
        <v>44</v>
      </c>
      <c r="AL57" s="89">
        <f>Table2121418198598109[[#Totals],[WR3 Recep]]</f>
        <v>1.8235294117647058</v>
      </c>
      <c r="AM57" s="89">
        <f>Table2121418198598109[[#Totals],[WR3 RecY]]</f>
        <v>20.235294117647058</v>
      </c>
      <c r="AN57" s="22">
        <f>Table2121418198598109[[#Totals],[WR3 TD]]</f>
        <v>0.11764705882352941</v>
      </c>
      <c r="AP57" s="119">
        <f t="shared" si="9"/>
        <v>6.833333333333333</v>
      </c>
      <c r="AQ57" s="119">
        <v>2</v>
      </c>
      <c r="AR57" s="119">
        <f>_xlfn.RANK.AVG(Table7121415[[#This Row],[Y]],Table7121415[Y])</f>
        <v>1</v>
      </c>
      <c r="AS57" s="119">
        <v>17.5</v>
      </c>
      <c r="AT57" s="23" t="s">
        <v>44</v>
      </c>
      <c r="AU57" s="89">
        <f>Table2121418198598109[[#Totals],[WR4+ Recep]]</f>
        <v>1.7058823529411764</v>
      </c>
      <c r="AV57" s="89">
        <f>Table2121418198598109[[#Totals],[WR4+ RecY]]</f>
        <v>24.764705882352942</v>
      </c>
      <c r="AW57" s="22">
        <f>Table2121418198598109[[#Totals],[WR4+ TD]]</f>
        <v>5.8823529411764705E-2</v>
      </c>
      <c r="AY57" s="119">
        <f t="shared" si="10"/>
        <v>2.6666666666666665</v>
      </c>
      <c r="AZ57" s="119">
        <v>4.5</v>
      </c>
      <c r="BA57" s="119">
        <v>2</v>
      </c>
      <c r="BB57" s="119">
        <v>1.5</v>
      </c>
      <c r="BC57" s="23" t="s">
        <v>44</v>
      </c>
      <c r="BD57" s="89">
        <f>Table2121418198598109[[#Totals],[TE2 Recep]]</f>
        <v>2.1176470588235294</v>
      </c>
      <c r="BE57" s="89">
        <f>Table2121418198598109[[#Totals],[TE2 RecY]]</f>
        <v>23.941176470588236</v>
      </c>
      <c r="BF57" s="22">
        <f>Table2121418198598109[[#Totals],[TE2 TD]]</f>
        <v>0.35294117647058826</v>
      </c>
    </row>
    <row r="58" spans="2:58" x14ac:dyDescent="0.35">
      <c r="B58" s="155" t="str">
        <f t="shared" si="5"/>
        <v>n/a</v>
      </c>
      <c r="C58" s="119">
        <v>5</v>
      </c>
      <c r="D58" s="21" t="s">
        <v>45</v>
      </c>
      <c r="E58" s="22">
        <f>Table2121418198598110[[#Totals],[D/ST TD]]</f>
        <v>0.23529411764705882</v>
      </c>
      <c r="G58" s="119">
        <f t="shared" si="6"/>
        <v>23.8</v>
      </c>
      <c r="H58" s="119">
        <v>10</v>
      </c>
      <c r="I58" s="119">
        <v>30</v>
      </c>
      <c r="J58" s="119">
        <v>32</v>
      </c>
      <c r="K58" s="119">
        <f>_xlfn.RANK.AVG(Table4[[#This Row],[R+R]],Table4[R+R])</f>
        <v>19</v>
      </c>
      <c r="L58" s="119">
        <v>28</v>
      </c>
      <c r="M58" s="21" t="s">
        <v>45</v>
      </c>
      <c r="N58" s="89">
        <f>Table2121418198598110[[#Totals],[RB1 RY]]</f>
        <v>72.705882352941174</v>
      </c>
      <c r="O58" s="89">
        <f>Table2121418198598110[[#Totals],[RB1 Recep]]</f>
        <v>2.1176470588235294</v>
      </c>
      <c r="P58" s="89">
        <f>Table2121418198598110[[#Totals],[RB1 RecY]]</f>
        <v>11.705882352941176</v>
      </c>
      <c r="Q58" s="89">
        <f>Table4[[#This Row],[R]]+Table4[[#This Row],[Y]]</f>
        <v>84.411764705882348</v>
      </c>
      <c r="R58" s="22">
        <f>Table2121418198598110[[#Totals],[RB1 TD]]</f>
        <v>0.35294117647058826</v>
      </c>
      <c r="S58" s="121"/>
      <c r="T58" s="119">
        <f t="shared" si="7"/>
        <v>16.899999999999999</v>
      </c>
      <c r="U58" s="119">
        <v>9</v>
      </c>
      <c r="V58" s="119">
        <v>27</v>
      </c>
      <c r="W58" s="119">
        <v>27</v>
      </c>
      <c r="X58" s="119">
        <v>12</v>
      </c>
      <c r="Y58" s="119">
        <v>9.5</v>
      </c>
      <c r="Z58" s="21" t="s">
        <v>45</v>
      </c>
      <c r="AA58" s="89">
        <f>Table2121418198598110[[#Totals],[RB2+ RY]]</f>
        <v>32.411764705882355</v>
      </c>
      <c r="AB58" s="89">
        <f>Table2121418198598110[[#Totals],[RB2 Recep]]</f>
        <v>1.1176470588235294</v>
      </c>
      <c r="AC58" s="89">
        <f>Table2121418198598110[[#Totals],[RB2 RecY]]</f>
        <v>7.7647058823529411</v>
      </c>
      <c r="AD58" s="89">
        <f>Table44[[#This Row],[R]]+Table44[[#This Row],[Y]]</f>
        <v>40.176470588235297</v>
      </c>
      <c r="AE58" s="22">
        <f>Table2121418198598110[[#Totals],[RB2 TD]]</f>
        <v>0.35294117647058826</v>
      </c>
      <c r="AG58" s="119">
        <f t="shared" si="8"/>
        <v>28.666666666666668</v>
      </c>
      <c r="AH58" s="119">
        <v>32</v>
      </c>
      <c r="AI58" s="119">
        <f>_xlfn.RANK.AVG(Table71214[[#This Row],[Y]],Table71214[Y])</f>
        <v>31</v>
      </c>
      <c r="AJ58" s="119">
        <v>23</v>
      </c>
      <c r="AK58" s="21" t="s">
        <v>45</v>
      </c>
      <c r="AL58" s="89">
        <f>Table2121418198598110[[#Totals],[WR3 Recep]]</f>
        <v>1.2352941176470589</v>
      </c>
      <c r="AM58" s="89">
        <f>Table2121418198598110[[#Totals],[WR3 RecY]]</f>
        <v>14.941176470588236</v>
      </c>
      <c r="AN58" s="22">
        <f>Table2121418198598110[[#Totals],[WR3 TD]]</f>
        <v>5.8823529411764705E-2</v>
      </c>
      <c r="AP58" s="119">
        <f t="shared" si="9"/>
        <v>26.5</v>
      </c>
      <c r="AQ58" s="119">
        <v>31</v>
      </c>
      <c r="AR58" s="119">
        <f>_xlfn.RANK.AVG(Table7121415[[#This Row],[Y]],Table7121415[Y])</f>
        <v>31</v>
      </c>
      <c r="AS58" s="119">
        <v>17.5</v>
      </c>
      <c r="AT58" s="21" t="s">
        <v>45</v>
      </c>
      <c r="AU58" s="89">
        <f>Table2121418198598110[[#Totals],[WR4+ Recep]]</f>
        <v>0.47058823529411764</v>
      </c>
      <c r="AV58" s="89">
        <f>Table2121418198598110[[#Totals],[WR4+ RecY]]</f>
        <v>3.8823529411764706</v>
      </c>
      <c r="AW58" s="22">
        <f>Table2121418198598110[[#Totals],[WR4+ TD]]</f>
        <v>5.8823529411764705E-2</v>
      </c>
      <c r="AY58" s="119">
        <f t="shared" si="10"/>
        <v>17.833333333333332</v>
      </c>
      <c r="AZ58" s="119">
        <v>19</v>
      </c>
      <c r="BA58" s="119">
        <v>19</v>
      </c>
      <c r="BB58" s="119">
        <v>15.5</v>
      </c>
      <c r="BC58" s="21" t="s">
        <v>45</v>
      </c>
      <c r="BD58" s="89">
        <f>Table2121418198598110[[#Totals],[TE2 Recep]]</f>
        <v>1.5294117647058822</v>
      </c>
      <c r="BE58" s="89">
        <f>Table2121418198598110[[#Totals],[TE2 RecY]]</f>
        <v>13.411764705882353</v>
      </c>
      <c r="BF58" s="22">
        <f>Table2121418198598110[[#Totals],[TE2 TD]]</f>
        <v>0.11764705882352941</v>
      </c>
    </row>
    <row r="59" spans="2:58" x14ac:dyDescent="0.35">
      <c r="B59" s="155" t="str">
        <f t="shared" si="5"/>
        <v>SB LX</v>
      </c>
      <c r="C59" s="119">
        <v>18</v>
      </c>
      <c r="D59" s="23" t="s">
        <v>46</v>
      </c>
      <c r="E59" s="22">
        <f>Table2121418198598111[[#Totals],[D/ST TD]]</f>
        <v>0.11764705882352941</v>
      </c>
      <c r="G59" s="119">
        <f t="shared" si="6"/>
        <v>17.2</v>
      </c>
      <c r="H59" s="119">
        <v>28</v>
      </c>
      <c r="I59" s="119">
        <v>2</v>
      </c>
      <c r="J59" s="119">
        <v>9</v>
      </c>
      <c r="K59" s="119">
        <f>_xlfn.RANK.AVG(Table4[[#This Row],[R+R]],Table4[R+R])</f>
        <v>22</v>
      </c>
      <c r="L59" s="119">
        <v>25</v>
      </c>
      <c r="M59" s="23" t="s">
        <v>46</v>
      </c>
      <c r="N59" s="89">
        <f>Table2121418198598111[[#Totals],[RB1 RY]]</f>
        <v>57.117647058823529</v>
      </c>
      <c r="O59" s="89">
        <f>Table2121418198598111[[#Totals],[RB1 Recep]]</f>
        <v>3.5294117647058822</v>
      </c>
      <c r="P59" s="89">
        <f>Table2121418198598111[[#Totals],[RB1 RecY]]</f>
        <v>25.470588235294116</v>
      </c>
      <c r="Q59" s="89">
        <f>Table4[[#This Row],[R]]+Table4[[#This Row],[Y]]</f>
        <v>82.588235294117652</v>
      </c>
      <c r="R59" s="22">
        <f>Table2121418198598111[[#Totals],[RB1 TD]]</f>
        <v>0.52941176470588236</v>
      </c>
      <c r="S59" s="121"/>
      <c r="T59" s="119">
        <f t="shared" si="7"/>
        <v>28.2</v>
      </c>
      <c r="U59" s="119">
        <v>29</v>
      </c>
      <c r="V59" s="119">
        <v>19</v>
      </c>
      <c r="W59" s="119">
        <v>31</v>
      </c>
      <c r="X59" s="119">
        <v>31</v>
      </c>
      <c r="Y59" s="119">
        <v>31</v>
      </c>
      <c r="Z59" s="23" t="s">
        <v>46</v>
      </c>
      <c r="AA59" s="89">
        <f>Table2121418198598111[[#Totals],[RB2+ RY]]</f>
        <v>20</v>
      </c>
      <c r="AB59" s="89">
        <f>Table2121418198598111[[#Totals],[RB2 Recep]]</f>
        <v>1.411764705882353</v>
      </c>
      <c r="AC59" s="89">
        <f>Table2121418198598111[[#Totals],[RB2 RecY]]</f>
        <v>5.5294117647058822</v>
      </c>
      <c r="AD59" s="89">
        <f>Table44[[#This Row],[R]]+Table44[[#This Row],[Y]]</f>
        <v>25.529411764705884</v>
      </c>
      <c r="AE59" s="22">
        <f>Table2121418198598111[[#Totals],[RB2 TD]]</f>
        <v>5.8823529411764705E-2</v>
      </c>
      <c r="AG59" s="119">
        <f t="shared" si="8"/>
        <v>15.833333333333334</v>
      </c>
      <c r="AH59" s="119">
        <v>17</v>
      </c>
      <c r="AI59" s="119">
        <f>_xlfn.RANK.AVG(Table71214[[#This Row],[Y]],Table71214[Y])</f>
        <v>14</v>
      </c>
      <c r="AJ59" s="119">
        <v>16.5</v>
      </c>
      <c r="AK59" s="23" t="s">
        <v>46</v>
      </c>
      <c r="AL59" s="89">
        <f>Table2121418198598111[[#Totals],[WR3 Recep]]</f>
        <v>1.9411764705882353</v>
      </c>
      <c r="AM59" s="89">
        <f>Table2121418198598111[[#Totals],[WR3 RecY]]</f>
        <v>24.058823529411764</v>
      </c>
      <c r="AN59" s="22">
        <f>Table2121418198598111[[#Totals],[WR3 TD]]</f>
        <v>0.11764705882352941</v>
      </c>
      <c r="AP59" s="119">
        <f t="shared" si="9"/>
        <v>25.5</v>
      </c>
      <c r="AQ59" s="119">
        <v>29</v>
      </c>
      <c r="AR59" s="119">
        <f>_xlfn.RANK.AVG(Table7121415[[#This Row],[Y]],Table7121415[Y])</f>
        <v>30</v>
      </c>
      <c r="AS59" s="119">
        <v>17.5</v>
      </c>
      <c r="AT59" s="23" t="s">
        <v>46</v>
      </c>
      <c r="AU59" s="89">
        <f>Table2121418198598111[[#Totals],[WR4+ Recep]]</f>
        <v>0.52941176470588236</v>
      </c>
      <c r="AV59" s="89">
        <f>Table2121418198598111[[#Totals],[WR4+ RecY]]</f>
        <v>5</v>
      </c>
      <c r="AW59" s="22">
        <f>Table2121418198598111[[#Totals],[WR4+ TD]]</f>
        <v>5.8823529411764705E-2</v>
      </c>
      <c r="AY59" s="119">
        <f t="shared" si="10"/>
        <v>9</v>
      </c>
      <c r="AZ59" s="119">
        <v>6</v>
      </c>
      <c r="BA59" s="119">
        <v>11</v>
      </c>
      <c r="BB59" s="119">
        <v>10</v>
      </c>
      <c r="BC59" s="23" t="s">
        <v>46</v>
      </c>
      <c r="BD59" s="89">
        <f>Table2121418198598111[[#Totals],[TE2 Recep]]</f>
        <v>2.0588235294117645</v>
      </c>
      <c r="BE59" s="89">
        <f>Table2121418198598111[[#Totals],[TE2 RecY]]</f>
        <v>17.941176470588236</v>
      </c>
      <c r="BF59" s="22">
        <f>Table2121418198598111[[#Totals],[TE2 TD]]</f>
        <v>0.17647058823529413</v>
      </c>
    </row>
    <row r="60" spans="2:58" x14ac:dyDescent="0.35">
      <c r="B60" s="155" t="str">
        <f t="shared" si="5"/>
        <v>n/a</v>
      </c>
      <c r="C60" s="119">
        <v>18</v>
      </c>
      <c r="D60" s="21" t="s">
        <v>47</v>
      </c>
      <c r="E60" s="22">
        <f>Table2121418198598112[[#Totals],[D/ST TD]]</f>
        <v>0.11764705882352941</v>
      </c>
      <c r="G60" s="119">
        <f t="shared" si="6"/>
        <v>20.2</v>
      </c>
      <c r="H60" s="119">
        <v>16</v>
      </c>
      <c r="I60" s="119">
        <v>25.5</v>
      </c>
      <c r="J60" s="119">
        <v>24</v>
      </c>
      <c r="K60" s="119">
        <f>_xlfn.RANK.AVG(Table4[[#This Row],[R+R]],Table4[R+R])</f>
        <v>20</v>
      </c>
      <c r="L60" s="119">
        <v>15.5</v>
      </c>
      <c r="M60" s="21" t="s">
        <v>47</v>
      </c>
      <c r="N60" s="89">
        <f>Table2121418198598112[[#Totals],[RB1 RY]]</f>
        <v>67.117647058823536</v>
      </c>
      <c r="O60" s="89">
        <f>Table2121418198598112[[#Totals],[RB1 Recep]]</f>
        <v>2.2941176470588234</v>
      </c>
      <c r="P60" s="89">
        <f>Table2121418198598112[[#Totals],[RB1 RecY]]</f>
        <v>16.941176470588236</v>
      </c>
      <c r="Q60" s="89">
        <f>Table4[[#This Row],[R]]+Table4[[#This Row],[Y]]</f>
        <v>84.058823529411768</v>
      </c>
      <c r="R60" s="22">
        <f>Table2121418198598112[[#Totals],[RB1 TD]]</f>
        <v>0.6470588235294118</v>
      </c>
      <c r="S60" s="121"/>
      <c r="T60" s="119">
        <f t="shared" si="7"/>
        <v>18.600000000000001</v>
      </c>
      <c r="U60" s="119">
        <v>4</v>
      </c>
      <c r="V60" s="119">
        <v>28</v>
      </c>
      <c r="W60" s="119">
        <v>29</v>
      </c>
      <c r="X60" s="119">
        <v>9</v>
      </c>
      <c r="Y60" s="119">
        <v>23</v>
      </c>
      <c r="Z60" s="21" t="s">
        <v>47</v>
      </c>
      <c r="AA60" s="89">
        <f>Table2121418198598112[[#Totals],[RB2+ RY]]</f>
        <v>35.588235294117645</v>
      </c>
      <c r="AB60" s="89">
        <f>Table2121418198598112[[#Totals],[RB2 Recep]]</f>
        <v>1.0588235294117647</v>
      </c>
      <c r="AC60" s="89">
        <f>Table2121418198598112[[#Totals],[RB2 RecY]]</f>
        <v>6.6470588235294121</v>
      </c>
      <c r="AD60" s="89">
        <f>Table44[[#This Row],[R]]+Table44[[#This Row],[Y]]</f>
        <v>42.235294117647058</v>
      </c>
      <c r="AE60" s="22">
        <f>Table2121418198598112[[#Totals],[RB2 TD]]</f>
        <v>0.17647058823529413</v>
      </c>
      <c r="AG60" s="119">
        <f t="shared" si="8"/>
        <v>15.666666666666666</v>
      </c>
      <c r="AH60" s="119">
        <v>13</v>
      </c>
      <c r="AI60" s="119">
        <f>_xlfn.RANK.AVG(Table71214[[#This Row],[Y]],Table71214[Y])</f>
        <v>23</v>
      </c>
      <c r="AJ60" s="119">
        <v>11</v>
      </c>
      <c r="AK60" s="21" t="s">
        <v>47</v>
      </c>
      <c r="AL60" s="89">
        <f>Table2121418198598112[[#Totals],[WR3 Recep]]</f>
        <v>2.0588235294117645</v>
      </c>
      <c r="AM60" s="89">
        <f>Table2121418198598112[[#Totals],[WR3 RecY]]</f>
        <v>20.823529411764707</v>
      </c>
      <c r="AN60" s="22">
        <f>Table2121418198598112[[#Totals],[WR3 TD]]</f>
        <v>0.17647058823529413</v>
      </c>
      <c r="AP60" s="119">
        <f t="shared" si="9"/>
        <v>24.833333333333332</v>
      </c>
      <c r="AQ60" s="119">
        <v>26</v>
      </c>
      <c r="AR60" s="119">
        <f>_xlfn.RANK.AVG(Table7121415[[#This Row],[Y]],Table7121415[Y])</f>
        <v>21</v>
      </c>
      <c r="AS60" s="119">
        <v>27.5</v>
      </c>
      <c r="AT60" s="21" t="s">
        <v>47</v>
      </c>
      <c r="AU60" s="89">
        <f>Table2121418198598112[[#Totals],[WR4+ Recep]]</f>
        <v>0.76470588235294112</v>
      </c>
      <c r="AV60" s="89">
        <f>Table2121418198598112[[#Totals],[WR4+ RecY]]</f>
        <v>10</v>
      </c>
      <c r="AW60" s="22">
        <f>Table2121418198598112[[#Totals],[WR4+ TD]]</f>
        <v>0</v>
      </c>
      <c r="AY60" s="119">
        <f t="shared" si="10"/>
        <v>12.5</v>
      </c>
      <c r="AZ60" s="119">
        <v>7.5</v>
      </c>
      <c r="BA60" s="119">
        <v>6</v>
      </c>
      <c r="BB60" s="119">
        <v>24</v>
      </c>
      <c r="BC60" s="21" t="s">
        <v>47</v>
      </c>
      <c r="BD60" s="89">
        <f>Table2121418198598112[[#Totals],[TE2 Recep]]</f>
        <v>1.9411764705882353</v>
      </c>
      <c r="BE60" s="89">
        <f>Table2121418198598112[[#Totals],[TE2 RecY]]</f>
        <v>19.176470588235293</v>
      </c>
      <c r="BF60" s="22">
        <f>Table2121418198598112[[#Totals],[TE2 TD]]</f>
        <v>5.8823529411764705E-2</v>
      </c>
    </row>
    <row r="61" spans="2:58" x14ac:dyDescent="0.35">
      <c r="B61" s="155" t="str">
        <f t="shared" si="5"/>
        <v>n/a</v>
      </c>
      <c r="C61" s="119">
        <v>10.5</v>
      </c>
      <c r="D61" s="23" t="s">
        <v>48</v>
      </c>
      <c r="E61" s="22">
        <f>Table2121418198598113[[#Totals],[D/ST TD]]</f>
        <v>0.17647058823529413</v>
      </c>
      <c r="G61" s="119">
        <f t="shared" si="6"/>
        <v>8.1999999999999993</v>
      </c>
      <c r="H61" s="119">
        <v>1</v>
      </c>
      <c r="I61" s="119">
        <v>5.5</v>
      </c>
      <c r="J61" s="119">
        <v>17</v>
      </c>
      <c r="K61" s="119">
        <f>_xlfn.RANK.AVG(Table4[[#This Row],[R+R]],Table4[R+R])</f>
        <v>2</v>
      </c>
      <c r="L61" s="119">
        <v>15.5</v>
      </c>
      <c r="M61" s="23" t="s">
        <v>48</v>
      </c>
      <c r="N61" s="89">
        <f>Table2121418198598113[[#Totals],[RB1 RY]]</f>
        <v>84.058823529411768</v>
      </c>
      <c r="O61" s="89">
        <f>Table2121418198598113[[#Totals],[RB1 Recep]]</f>
        <v>3.3529411764705883</v>
      </c>
      <c r="P61" s="89">
        <f>Table2121418198598113[[#Totals],[RB1 RecY]]</f>
        <v>21.235294117647058</v>
      </c>
      <c r="Q61" s="89">
        <f>Table4[[#This Row],[R]]+Table4[[#This Row],[Y]]</f>
        <v>105.29411764705883</v>
      </c>
      <c r="R61" s="22">
        <f>Table2121418198598113[[#Totals],[RB1 TD]]</f>
        <v>0.6470588235294118</v>
      </c>
      <c r="S61" s="121"/>
      <c r="T61" s="119">
        <f t="shared" si="7"/>
        <v>13.1</v>
      </c>
      <c r="U61" s="119">
        <v>6</v>
      </c>
      <c r="V61" s="119">
        <v>24</v>
      </c>
      <c r="W61" s="119">
        <v>22</v>
      </c>
      <c r="X61" s="119">
        <v>10</v>
      </c>
      <c r="Y61" s="119">
        <v>3.5</v>
      </c>
      <c r="Z61" s="23" t="s">
        <v>48</v>
      </c>
      <c r="AA61" s="89">
        <f>Table2121418198598113[[#Totals],[RB2+ RY]]</f>
        <v>32.647058823529413</v>
      </c>
      <c r="AB61" s="89">
        <f>Table2121418198598113[[#Totals],[RB2 Recep]]</f>
        <v>1.2352941176470589</v>
      </c>
      <c r="AC61" s="89">
        <f>Table2121418198598113[[#Totals],[RB2 RecY]]</f>
        <v>9.4117647058823533</v>
      </c>
      <c r="AD61" s="89">
        <f>Table44[[#This Row],[R]]+Table44[[#This Row],[Y]]</f>
        <v>42.058823529411768</v>
      </c>
      <c r="AE61" s="22">
        <f>Table2121418198598113[[#Totals],[RB2 TD]]</f>
        <v>0.47058823529411764</v>
      </c>
      <c r="AG61" s="119">
        <f t="shared" si="8"/>
        <v>16.833333333333332</v>
      </c>
      <c r="AH61" s="119">
        <v>10</v>
      </c>
      <c r="AI61" s="119">
        <f>_xlfn.RANK.AVG(Table71214[[#This Row],[Y]],Table71214[Y])</f>
        <v>11</v>
      </c>
      <c r="AJ61" s="119">
        <v>29.5</v>
      </c>
      <c r="AK61" s="23" t="s">
        <v>48</v>
      </c>
      <c r="AL61" s="89">
        <f>Table2121418198598113[[#Totals],[WR3 Recep]]</f>
        <v>2.2352941176470589</v>
      </c>
      <c r="AM61" s="89">
        <f>Table2121418198598113[[#Totals],[WR3 RecY]]</f>
        <v>27.235294117647058</v>
      </c>
      <c r="AN61" s="22">
        <f>Table2121418198598113[[#Totals],[WR3 TD]]</f>
        <v>0</v>
      </c>
      <c r="AP61" s="119">
        <f t="shared" si="9"/>
        <v>5.5</v>
      </c>
      <c r="AQ61" s="119">
        <v>6</v>
      </c>
      <c r="AR61" s="119">
        <f>_xlfn.RANK.AVG(Table7121415[[#This Row],[Y]],Table7121415[Y])</f>
        <v>2</v>
      </c>
      <c r="AS61" s="119">
        <v>8.5</v>
      </c>
      <c r="AT61" s="23" t="s">
        <v>48</v>
      </c>
      <c r="AU61" s="89">
        <f>Table2121418198598113[[#Totals],[WR4+ Recep]]</f>
        <v>1.2941176470588236</v>
      </c>
      <c r="AV61" s="89">
        <f>Table2121418198598113[[#Totals],[WR4+ RecY]]</f>
        <v>18.529411764705884</v>
      </c>
      <c r="AW61" s="22">
        <f>Table2121418198598113[[#Totals],[WR4+ TD]]</f>
        <v>0.11764705882352941</v>
      </c>
      <c r="AY61" s="119">
        <f t="shared" si="10"/>
        <v>25.666666666666668</v>
      </c>
      <c r="AZ61" s="119">
        <v>27</v>
      </c>
      <c r="BA61" s="119">
        <v>26</v>
      </c>
      <c r="BB61" s="119">
        <v>24</v>
      </c>
      <c r="BC61" s="23" t="s">
        <v>48</v>
      </c>
      <c r="BD61" s="89">
        <f>Table2121418198598113[[#Totals],[TE2 Recep]]</f>
        <v>1.1176470588235294</v>
      </c>
      <c r="BE61" s="89">
        <f>Table2121418198598113[[#Totals],[TE2 RecY]]</f>
        <v>10.235294117647058</v>
      </c>
      <c r="BF61" s="22">
        <f>Table2121418198598113[[#Totals],[TE2 TD]]</f>
        <v>5.8823529411764705E-2</v>
      </c>
    </row>
    <row r="62" spans="2:58" x14ac:dyDescent="0.35">
      <c r="B62" s="155" t="str">
        <f t="shared" si="5"/>
        <v>n/a</v>
      </c>
      <c r="C62" s="119">
        <v>24.5</v>
      </c>
      <c r="D62" s="21" t="s">
        <v>49</v>
      </c>
      <c r="E62" s="22">
        <f>Table2121418198598114[[#Totals],[D/ST TD]]</f>
        <v>5.8823529411764705E-2</v>
      </c>
      <c r="G62" s="119">
        <f t="shared" si="6"/>
        <v>5.4</v>
      </c>
      <c r="H62" s="119">
        <v>3</v>
      </c>
      <c r="I62" s="119">
        <v>16</v>
      </c>
      <c r="J62" s="119">
        <v>6</v>
      </c>
      <c r="K62" s="119">
        <f>_xlfn.RANK.AVG(Table4[[#This Row],[R+R]],Table4[R+R])</f>
        <v>1</v>
      </c>
      <c r="L62" s="119">
        <v>1</v>
      </c>
      <c r="M62" s="21" t="s">
        <v>49</v>
      </c>
      <c r="N62" s="89">
        <f>Table2121418198598114[[#Totals],[RB1 RY]]</f>
        <v>81.17647058823529</v>
      </c>
      <c r="O62" s="89">
        <f>Table2121418198598114[[#Totals],[RB1 Recep]]</f>
        <v>2.7058823529411766</v>
      </c>
      <c r="P62" s="89">
        <f>Table2121418198598114[[#Totals],[RB1 RecY]]</f>
        <v>25.764705882352942</v>
      </c>
      <c r="Q62" s="89">
        <f>Table4[[#This Row],[R]]+Table4[[#This Row],[Y]]</f>
        <v>106.94117647058823</v>
      </c>
      <c r="R62" s="22">
        <f>Table2121418198598114[[#Totals],[RB1 TD]]</f>
        <v>1.1176470588235294</v>
      </c>
      <c r="S62" s="121"/>
      <c r="T62" s="119">
        <f t="shared" si="7"/>
        <v>17.3</v>
      </c>
      <c r="U62" s="119">
        <v>15</v>
      </c>
      <c r="V62" s="119">
        <v>30.5</v>
      </c>
      <c r="W62" s="119">
        <v>23</v>
      </c>
      <c r="X62" s="119">
        <v>16</v>
      </c>
      <c r="Y62" s="119">
        <v>2</v>
      </c>
      <c r="Z62" s="21" t="s">
        <v>49</v>
      </c>
      <c r="AA62" s="89">
        <f>Table2121418198598114[[#Totals],[RB2+ RY]]</f>
        <v>29</v>
      </c>
      <c r="AB62" s="89">
        <f>Table2121418198598114[[#Totals],[RB2 Recep]]</f>
        <v>0.94117647058823528</v>
      </c>
      <c r="AC62" s="89">
        <f>Table2121418198598114[[#Totals],[RB2 RecY]]</f>
        <v>8.764705882352942</v>
      </c>
      <c r="AD62" s="89">
        <f>Table44[[#This Row],[R]]+Table44[[#This Row],[Y]]</f>
        <v>37.764705882352942</v>
      </c>
      <c r="AE62" s="22">
        <f>Table2121418198598114[[#Totals],[RB2 TD]]</f>
        <v>0.52941176470588236</v>
      </c>
      <c r="AG62" s="119">
        <f t="shared" si="8"/>
        <v>21.166666666666668</v>
      </c>
      <c r="AH62" s="119">
        <v>22</v>
      </c>
      <c r="AI62" s="119">
        <f>_xlfn.RANK.AVG(Table71214[[#This Row],[Y]],Table71214[Y])</f>
        <v>12</v>
      </c>
      <c r="AJ62" s="119">
        <v>29.5</v>
      </c>
      <c r="AK62" s="21" t="s">
        <v>49</v>
      </c>
      <c r="AL62" s="89">
        <f>Table2121418198598114[[#Totals],[WR3 Recep]]</f>
        <v>1.8235294117647058</v>
      </c>
      <c r="AM62" s="89">
        <f>Table2121418198598114[[#Totals],[WR3 RecY]]</f>
        <v>26.705882352941178</v>
      </c>
      <c r="AN62" s="22">
        <f>Table2121418198598114[[#Totals],[WR3 TD]]</f>
        <v>0</v>
      </c>
      <c r="AP62" s="119">
        <f t="shared" si="9"/>
        <v>19</v>
      </c>
      <c r="AQ62" s="119">
        <v>29</v>
      </c>
      <c r="AR62" s="119">
        <f>_xlfn.RANK.AVG(Table7121415[[#This Row],[Y]],Table7121415[Y])</f>
        <v>25.5</v>
      </c>
      <c r="AS62" s="119">
        <v>2.5</v>
      </c>
      <c r="AT62" s="21" t="s">
        <v>49</v>
      </c>
      <c r="AU62" s="89">
        <f>Table2121418198598114[[#Totals],[WR4+ Recep]]</f>
        <v>0.52941176470588236</v>
      </c>
      <c r="AV62" s="89">
        <f>Table2121418198598114[[#Totals],[WR4+ RecY]]</f>
        <v>8.1764705882352935</v>
      </c>
      <c r="AW62" s="22">
        <f>Table2121418198598114[[#Totals],[WR4+ TD]]</f>
        <v>0.17647058823529413</v>
      </c>
      <c r="AY62" s="119">
        <f t="shared" si="10"/>
        <v>4.833333333333333</v>
      </c>
      <c r="AZ62" s="119">
        <v>4.5</v>
      </c>
      <c r="BA62" s="119">
        <v>5</v>
      </c>
      <c r="BB62" s="119">
        <v>5</v>
      </c>
      <c r="BC62" s="21" t="s">
        <v>49</v>
      </c>
      <c r="BD62" s="89">
        <f>Table2121418198598114[[#Totals],[TE2 Recep]]</f>
        <v>2.1176470588235294</v>
      </c>
      <c r="BE62" s="89">
        <f>Table2121418198598114[[#Totals],[TE2 RecY]]</f>
        <v>19.529411764705884</v>
      </c>
      <c r="BF62" s="22">
        <f>Table2121418198598114[[#Totals],[TE2 TD]]</f>
        <v>0.23529411764705882</v>
      </c>
    </row>
    <row r="63" spans="2:58" x14ac:dyDescent="0.35">
      <c r="B63" s="155" t="str">
        <f t="shared" si="5"/>
        <v>n/a</v>
      </c>
      <c r="C63" s="119">
        <v>29.5</v>
      </c>
      <c r="D63" s="23" t="s">
        <v>50</v>
      </c>
      <c r="E63" s="22">
        <f>Table21214181984[[#Totals],[D/ST TD]]</f>
        <v>0</v>
      </c>
      <c r="G63" s="119">
        <f t="shared" si="6"/>
        <v>15.4</v>
      </c>
      <c r="H63" s="119">
        <v>17</v>
      </c>
      <c r="I63" s="119">
        <v>28</v>
      </c>
      <c r="J63" s="119">
        <v>12</v>
      </c>
      <c r="K63" s="119">
        <f>_xlfn.RANK.AVG(Table4[[#This Row],[R+R]],Table4[R+R])</f>
        <v>16</v>
      </c>
      <c r="L63" s="119">
        <v>4</v>
      </c>
      <c r="M63" s="23" t="s">
        <v>50</v>
      </c>
      <c r="N63" s="89">
        <f>Table21214181984[[#Totals],[RB1 RY]]</f>
        <v>66.117647058823536</v>
      </c>
      <c r="O63" s="89">
        <f>Table21214181984[[#Totals],[RB1 Recep]]</f>
        <v>2.1764705882352939</v>
      </c>
      <c r="P63" s="89">
        <f>Table21214181984[[#Totals],[RB1 RecY]]</f>
        <v>22.882352941176471</v>
      </c>
      <c r="Q63" s="89">
        <f>Table4[[#This Row],[R]]+Table4[[#This Row],[Y]]</f>
        <v>89</v>
      </c>
      <c r="R63" s="22">
        <f>Table21214181984[[#Totals],[RB1 TD]]</f>
        <v>0.88235294117647056</v>
      </c>
      <c r="S63" s="121"/>
      <c r="T63" s="119">
        <f t="shared" si="7"/>
        <v>12.3</v>
      </c>
      <c r="U63" s="119">
        <v>11.5</v>
      </c>
      <c r="V63" s="119">
        <v>14.5</v>
      </c>
      <c r="W63" s="119">
        <v>2</v>
      </c>
      <c r="X63" s="119">
        <v>6</v>
      </c>
      <c r="Y63" s="119">
        <v>27.5</v>
      </c>
      <c r="Z63" s="23" t="s">
        <v>50</v>
      </c>
      <c r="AA63" s="89">
        <f>Table21214181984[[#Totals],[RB2+ RY]]</f>
        <v>30.470588235294116</v>
      </c>
      <c r="AB63" s="89">
        <f>Table21214181984[[#Totals],[RB2 Recep]]</f>
        <v>1.5294117647058822</v>
      </c>
      <c r="AC63" s="89">
        <f>Table21214181984[[#Totals],[RB2 RecY]]</f>
        <v>14.705882352941176</v>
      </c>
      <c r="AD63" s="89">
        <f>Table44[[#This Row],[R]]+Table44[[#This Row],[Y]]</f>
        <v>45.17647058823529</v>
      </c>
      <c r="AE63" s="22">
        <f>Table21214181984[[#Totals],[RB2 TD]]</f>
        <v>0.11764705882352941</v>
      </c>
      <c r="AG63" s="119">
        <f t="shared" si="8"/>
        <v>26.5</v>
      </c>
      <c r="AH63" s="119">
        <v>20</v>
      </c>
      <c r="AI63" s="119">
        <f>_xlfn.RANK.AVG(Table71214[[#This Row],[Y]],Table71214[Y])</f>
        <v>30</v>
      </c>
      <c r="AJ63" s="119">
        <v>29.5</v>
      </c>
      <c r="AK63" s="23" t="s">
        <v>50</v>
      </c>
      <c r="AL63" s="89">
        <f>Table21214181984[[#Totals],[WR3 Recep]]</f>
        <v>1.8823529411764706</v>
      </c>
      <c r="AM63" s="89">
        <f>Table21214181984[[#Totals],[WR3 RecY]]</f>
        <v>16</v>
      </c>
      <c r="AN63" s="22">
        <f>Table21214181984[[#Totals],[WR3 TD]]</f>
        <v>0</v>
      </c>
      <c r="AP63" s="119">
        <f t="shared" si="9"/>
        <v>21.5</v>
      </c>
      <c r="AQ63" s="119">
        <v>21</v>
      </c>
      <c r="AR63" s="119">
        <f>_xlfn.RANK.AVG(Table7121415[[#This Row],[Y]],Table7121415[Y])</f>
        <v>16</v>
      </c>
      <c r="AS63" s="119">
        <v>27.5</v>
      </c>
      <c r="AT63" s="23" t="s">
        <v>50</v>
      </c>
      <c r="AU63" s="89">
        <f>Table21214181984[[#Totals],[WR4+ Recep]]</f>
        <v>0.88235294117647056</v>
      </c>
      <c r="AV63" s="89">
        <f>Table21214181984[[#Totals],[WR4+ RecY]]</f>
        <v>11.882352941176471</v>
      </c>
      <c r="AW63" s="22">
        <f>Table21214181984[[#Totals],[WR4+ TD]]</f>
        <v>0</v>
      </c>
      <c r="AY63" s="119">
        <f t="shared" si="10"/>
        <v>23.666666666666668</v>
      </c>
      <c r="AZ63" s="119">
        <v>31</v>
      </c>
      <c r="BA63" s="119">
        <v>30</v>
      </c>
      <c r="BB63" s="119">
        <v>10</v>
      </c>
      <c r="BC63" s="23" t="s">
        <v>50</v>
      </c>
      <c r="BD63" s="89">
        <f>Table21214181984[[#Totals],[TE2 Recep]]</f>
        <v>0.76470588235294112</v>
      </c>
      <c r="BE63" s="89">
        <f>Table21214181984[[#Totals],[TE2 RecY]]</f>
        <v>7.0588235294117645</v>
      </c>
      <c r="BF63" s="22">
        <f>Table21214181984[[#Totals],[TE2 TD]]</f>
        <v>0.17647058823529413</v>
      </c>
    </row>
    <row r="64" spans="2:58" x14ac:dyDescent="0.35">
      <c r="B64" s="155" t="str">
        <f t="shared" si="5"/>
        <v>n/a</v>
      </c>
      <c r="C64" s="119">
        <v>18</v>
      </c>
      <c r="D64" s="21" t="s">
        <v>51</v>
      </c>
      <c r="E64" s="22">
        <f>Table2121418198598115[[#Totals],[D/ST TD]]</f>
        <v>0.11764705882352941</v>
      </c>
      <c r="G64" s="119">
        <f t="shared" si="6"/>
        <v>16.3</v>
      </c>
      <c r="H64" s="119">
        <v>11</v>
      </c>
      <c r="I64" s="119">
        <v>10.5</v>
      </c>
      <c r="J64" s="119">
        <v>16</v>
      </c>
      <c r="K64" s="119">
        <f>_xlfn.RANK.AVG(Table4[[#This Row],[R+R]],Table4[R+R])</f>
        <v>12</v>
      </c>
      <c r="L64" s="119">
        <v>32</v>
      </c>
      <c r="M64" s="21" t="s">
        <v>51</v>
      </c>
      <c r="N64" s="89">
        <f>Table2121418198598115[[#Totals],[RB1 RY]]</f>
        <v>71.411764705882348</v>
      </c>
      <c r="O64" s="89">
        <f>Table2121418198598115[[#Totals],[RB1 Recep]]</f>
        <v>3.0588235294117645</v>
      </c>
      <c r="P64" s="89">
        <f>Table2121418198598115[[#Totals],[RB1 RecY]]</f>
        <v>21.294117647058822</v>
      </c>
      <c r="Q64" s="89">
        <f>Table4[[#This Row],[R]]+Table4[[#This Row],[Y]]</f>
        <v>92.705882352941174</v>
      </c>
      <c r="R64" s="22">
        <f>Table2121418198598115[[#Totals],[RB1 TD]]</f>
        <v>0.23529411764705882</v>
      </c>
      <c r="S64" s="121"/>
      <c r="T64" s="119">
        <f t="shared" si="7"/>
        <v>20.399999999999999</v>
      </c>
      <c r="U64" s="119">
        <v>21</v>
      </c>
      <c r="V64" s="119">
        <v>17.5</v>
      </c>
      <c r="W64" s="119">
        <v>18.5</v>
      </c>
      <c r="X64" s="119">
        <v>22</v>
      </c>
      <c r="Y64" s="119">
        <v>23</v>
      </c>
      <c r="Z64" s="21" t="s">
        <v>51</v>
      </c>
      <c r="AA64" s="89">
        <f>Table2121418198598115[[#Totals],[RB2+ RY]]</f>
        <v>25.117647058823529</v>
      </c>
      <c r="AB64" s="89">
        <f>Table2121418198598115[[#Totals],[RB2 Recep]]</f>
        <v>1.4705882352941178</v>
      </c>
      <c r="AC64" s="89">
        <f>Table2121418198598115[[#Totals],[RB2 RecY]]</f>
        <v>10.117647058823529</v>
      </c>
      <c r="AD64" s="89">
        <f>Table44[[#This Row],[R]]+Table44[[#This Row],[Y]]</f>
        <v>35.235294117647058</v>
      </c>
      <c r="AE64" s="22">
        <f>Table2121418198598115[[#Totals],[RB2 TD]]</f>
        <v>0.17647058823529413</v>
      </c>
      <c r="AG64" s="119">
        <f t="shared" si="8"/>
        <v>5.166666666666667</v>
      </c>
      <c r="AH64" s="119">
        <v>5.5</v>
      </c>
      <c r="AI64" s="119">
        <f>_xlfn.RANK.AVG(Table71214[[#This Row],[Y]],Table71214[Y])</f>
        <v>8</v>
      </c>
      <c r="AJ64" s="119">
        <v>2</v>
      </c>
      <c r="AK64" s="21" t="s">
        <v>51</v>
      </c>
      <c r="AL64" s="89">
        <f>Table2121418198598115[[#Totals],[WR3 Recep]]</f>
        <v>2.4117647058823528</v>
      </c>
      <c r="AM64" s="89">
        <f>Table2121418198598115[[#Totals],[WR3 RecY]]</f>
        <v>29.647058823529413</v>
      </c>
      <c r="AN64" s="22">
        <f>Table2121418198598115[[#Totals],[WR3 TD]]</f>
        <v>0.29411764705882354</v>
      </c>
      <c r="AP64" s="119">
        <f t="shared" si="9"/>
        <v>11.166666666666666</v>
      </c>
      <c r="AQ64" s="119">
        <v>6</v>
      </c>
      <c r="AR64" s="119">
        <f>_xlfn.RANK.AVG(Table7121415[[#This Row],[Y]],Table7121415[Y])</f>
        <v>19</v>
      </c>
      <c r="AS64" s="119">
        <v>8.5</v>
      </c>
      <c r="AT64" s="21" t="s">
        <v>51</v>
      </c>
      <c r="AU64" s="89">
        <f>Table2121418198598115[[#Totals],[WR4+ Recep]]</f>
        <v>1.2941176470588236</v>
      </c>
      <c r="AV64" s="89">
        <f>Table2121418198598115[[#Totals],[WR4+ RecY]]</f>
        <v>10.823529411764707</v>
      </c>
      <c r="AW64" s="22">
        <f>Table2121418198598115[[#Totals],[WR4+ TD]]</f>
        <v>0.11764705882352941</v>
      </c>
      <c r="AY64" s="119">
        <f t="shared" si="10"/>
        <v>10</v>
      </c>
      <c r="AZ64" s="119">
        <v>3</v>
      </c>
      <c r="BA64" s="119">
        <v>3</v>
      </c>
      <c r="BB64" s="119">
        <v>24</v>
      </c>
      <c r="BC64" s="21" t="s">
        <v>51</v>
      </c>
      <c r="BD64" s="89">
        <f>Table2121418198598115[[#Totals],[TE2 Recep]]</f>
        <v>2.2352941176470589</v>
      </c>
      <c r="BE64" s="89">
        <f>Table2121418198598115[[#Totals],[TE2 RecY]]</f>
        <v>22.764705882352942</v>
      </c>
      <c r="BF64" s="22">
        <f>Table2121418198598115[[#Totals],[TE2 TD]]</f>
        <v>5.8823529411764705E-2</v>
      </c>
    </row>
    <row r="65" spans="2:58" x14ac:dyDescent="0.35">
      <c r="B65" s="155" t="str">
        <f t="shared" si="5"/>
        <v>SB LX</v>
      </c>
      <c r="C65" s="119">
        <v>18</v>
      </c>
      <c r="D65" s="23" t="s">
        <v>52</v>
      </c>
      <c r="E65" s="22">
        <f>Table2121418198598116[[#Totals],[D/ST TD]]</f>
        <v>0.11764705882352941</v>
      </c>
      <c r="G65" s="119">
        <f t="shared" si="6"/>
        <v>19.100000000000001</v>
      </c>
      <c r="H65" s="119">
        <v>30</v>
      </c>
      <c r="I65" s="119">
        <v>2</v>
      </c>
      <c r="J65" s="119">
        <v>7.5</v>
      </c>
      <c r="K65" s="119">
        <f>_xlfn.RANK.AVG(Table4[[#This Row],[R+R]],Table4[R+R])</f>
        <v>26</v>
      </c>
      <c r="L65" s="119">
        <v>30</v>
      </c>
      <c r="M65" s="23" t="s">
        <v>52</v>
      </c>
      <c r="N65" s="89">
        <f>Table2121418198598116[[#Totals],[RB1 RY]]</f>
        <v>52.294117647058826</v>
      </c>
      <c r="O65" s="89">
        <f>Table2121418198598116[[#Totals],[RB1 Recep]]</f>
        <v>3.5294117647058822</v>
      </c>
      <c r="P65" s="89">
        <f>Table2121418198598116[[#Totals],[RB1 RecY]]</f>
        <v>25.647058823529413</v>
      </c>
      <c r="Q65" s="89">
        <f>Table4[[#This Row],[R]]+Table4[[#This Row],[Y]]</f>
        <v>77.941176470588232</v>
      </c>
      <c r="R65" s="22">
        <f>Table2121418198598116[[#Totals],[RB1 TD]]</f>
        <v>0.29411764705882354</v>
      </c>
      <c r="S65" s="121"/>
      <c r="T65" s="119">
        <f t="shared" si="7"/>
        <v>19.2</v>
      </c>
      <c r="U65" s="119">
        <v>28</v>
      </c>
      <c r="V65" s="119">
        <v>2.5</v>
      </c>
      <c r="W65" s="119">
        <v>10</v>
      </c>
      <c r="X65" s="119">
        <v>28</v>
      </c>
      <c r="Y65" s="119">
        <v>27.5</v>
      </c>
      <c r="Z65" s="23" t="s">
        <v>52</v>
      </c>
      <c r="AA65" s="89">
        <f>Table2121418198598116[[#Totals],[RB2+ RY]]</f>
        <v>20.588235294117649</v>
      </c>
      <c r="AB65" s="89">
        <f>Table2121418198598116[[#Totals],[RB2 Recep]]</f>
        <v>2.1764705882352939</v>
      </c>
      <c r="AC65" s="89">
        <f>Table2121418198598116[[#Totals],[RB2 RecY]]</f>
        <v>12</v>
      </c>
      <c r="AD65" s="89">
        <f>Table44[[#This Row],[R]]+Table44[[#This Row],[Y]]</f>
        <v>32.588235294117652</v>
      </c>
      <c r="AE65" s="22">
        <f>Table2121418198598116[[#Totals],[RB2 TD]]</f>
        <v>0.11764705882352941</v>
      </c>
      <c r="AG65" s="119">
        <f t="shared" si="8"/>
        <v>21.333333333333332</v>
      </c>
      <c r="AH65" s="119">
        <v>25</v>
      </c>
      <c r="AI65" s="119">
        <f>_xlfn.RANK.AVG(Table71214[[#This Row],[Y]],Table71214[Y])</f>
        <v>28</v>
      </c>
      <c r="AJ65" s="119">
        <v>11</v>
      </c>
      <c r="AK65" s="23" t="s">
        <v>52</v>
      </c>
      <c r="AL65" s="89">
        <f>Table2121418198598116[[#Totals],[WR3 Recep]]</f>
        <v>1.7058823529411764</v>
      </c>
      <c r="AM65" s="89">
        <f>Table2121418198598116[[#Totals],[WR3 RecY]]</f>
        <v>16.176470588235293</v>
      </c>
      <c r="AN65" s="22">
        <f>Table2121418198598116[[#Totals],[WR3 TD]]</f>
        <v>0.17647058823529413</v>
      </c>
      <c r="AP65" s="119">
        <f t="shared" si="9"/>
        <v>19.5</v>
      </c>
      <c r="AQ65" s="119">
        <v>21</v>
      </c>
      <c r="AR65" s="119">
        <f>_xlfn.RANK.AVG(Table7121415[[#This Row],[Y]],Table7121415[Y])</f>
        <v>20</v>
      </c>
      <c r="AS65" s="119">
        <v>17.5</v>
      </c>
      <c r="AT65" s="23" t="s">
        <v>52</v>
      </c>
      <c r="AU65" s="89">
        <f>Table2121418198598116[[#Totals],[WR4+ Recep]]</f>
        <v>0.88235294117647056</v>
      </c>
      <c r="AV65" s="89">
        <f>Table2121418198598116[[#Totals],[WR4+ RecY]]</f>
        <v>10.529411764705882</v>
      </c>
      <c r="AW65" s="22">
        <f>Table2121418198598116[[#Totals],[WR4+ TD]]</f>
        <v>5.8823529411764705E-2</v>
      </c>
      <c r="AY65" s="119">
        <f t="shared" si="10"/>
        <v>10.833333333333334</v>
      </c>
      <c r="AZ65" s="119">
        <v>14.5</v>
      </c>
      <c r="BA65" s="119">
        <v>13</v>
      </c>
      <c r="BB65" s="119">
        <v>5</v>
      </c>
      <c r="BC65" s="23" t="s">
        <v>52</v>
      </c>
      <c r="BD65" s="89">
        <f>Table2121418198598116[[#Totals],[TE2 Recep]]</f>
        <v>1.7058823529411764</v>
      </c>
      <c r="BE65" s="89">
        <f>Table2121418198598116[[#Totals],[TE2 RecY]]</f>
        <v>15.705882352941176</v>
      </c>
      <c r="BF65" s="22">
        <f>Table2121418198598116[[#Totals],[TE2 TD]]</f>
        <v>0.23529411764705882</v>
      </c>
    </row>
    <row r="66" spans="2:58" x14ac:dyDescent="0.35">
      <c r="B66" s="155" t="str">
        <f t="shared" si="5"/>
        <v>n/a</v>
      </c>
      <c r="C66" s="119">
        <v>18</v>
      </c>
      <c r="D66" s="21" t="s">
        <v>53</v>
      </c>
      <c r="E66" s="22">
        <f>Table2121418198598117[[#Totals],[D/ST TD]]</f>
        <v>0.11764705882352941</v>
      </c>
      <c r="G66" s="119">
        <f t="shared" si="6"/>
        <v>11.7</v>
      </c>
      <c r="H66" s="119">
        <v>22</v>
      </c>
      <c r="I66" s="119">
        <v>2</v>
      </c>
      <c r="J66" s="119">
        <v>7.5</v>
      </c>
      <c r="K66" s="119">
        <f>_xlfn.RANK.AVG(Table4[[#This Row],[R+R]],Table4[R+R])</f>
        <v>17</v>
      </c>
      <c r="L66" s="119">
        <v>10</v>
      </c>
      <c r="M66" s="21" t="s">
        <v>53</v>
      </c>
      <c r="N66" s="89">
        <f>Table2121418198598117[[#Totals],[RB1 RY]]</f>
        <v>62.764705882352942</v>
      </c>
      <c r="O66" s="89">
        <f>Table2121418198598117[[#Totals],[RB1 Recep]]</f>
        <v>3.5294117647058822</v>
      </c>
      <c r="P66" s="89">
        <f>Table2121418198598117[[#Totals],[RB1 RecY]]</f>
        <v>25.647058823529413</v>
      </c>
      <c r="Q66" s="89">
        <f>Table4[[#This Row],[R]]+Table4[[#This Row],[Y]]</f>
        <v>88.411764705882348</v>
      </c>
      <c r="R66" s="22">
        <f>Table2121418198598117[[#Totals],[RB1 TD]]</f>
        <v>0.70588235294117652</v>
      </c>
      <c r="S66" s="121"/>
      <c r="T66" s="119">
        <f t="shared" si="7"/>
        <v>14.4</v>
      </c>
      <c r="U66" s="119">
        <v>13</v>
      </c>
      <c r="V66" s="119">
        <v>5</v>
      </c>
      <c r="W66" s="119">
        <v>20</v>
      </c>
      <c r="X66" s="119">
        <v>11</v>
      </c>
      <c r="Y66" s="119">
        <v>23</v>
      </c>
      <c r="Z66" s="21" t="s">
        <v>53</v>
      </c>
      <c r="AA66" s="89">
        <f>Table2121418198598117[[#Totals],[RB2+ RY]]</f>
        <v>30.294117647058822</v>
      </c>
      <c r="AB66" s="89">
        <f>Table2121418198598117[[#Totals],[RB2 Recep]]</f>
        <v>2</v>
      </c>
      <c r="AC66" s="89">
        <f>Table2121418198598117[[#Totals],[RB2 RecY]]</f>
        <v>10.058823529411764</v>
      </c>
      <c r="AD66" s="89">
        <f>Table44[[#This Row],[R]]+Table44[[#This Row],[Y]]</f>
        <v>40.352941176470587</v>
      </c>
      <c r="AE66" s="22">
        <f>Table2121418198598117[[#Totals],[RB2 TD]]</f>
        <v>0.17647058823529413</v>
      </c>
      <c r="AG66" s="119">
        <f t="shared" si="8"/>
        <v>14.5</v>
      </c>
      <c r="AH66" s="119">
        <v>17</v>
      </c>
      <c r="AI66" s="119">
        <f>_xlfn.RANK.AVG(Table71214[[#This Row],[Y]],Table71214[Y])</f>
        <v>10</v>
      </c>
      <c r="AJ66" s="119">
        <v>16.5</v>
      </c>
      <c r="AK66" s="21" t="s">
        <v>53</v>
      </c>
      <c r="AL66" s="89">
        <f>Table2121418198598117[[#Totals],[WR3 Recep]]</f>
        <v>1.9411764705882353</v>
      </c>
      <c r="AM66" s="89">
        <f>Table2121418198598117[[#Totals],[WR3 RecY]]</f>
        <v>27.705882352941178</v>
      </c>
      <c r="AN66" s="22">
        <f>Table2121418198598117[[#Totals],[WR3 TD]]</f>
        <v>0.11764705882352941</v>
      </c>
      <c r="AP66" s="119">
        <f t="shared" si="9"/>
        <v>10.833333333333334</v>
      </c>
      <c r="AQ66" s="119">
        <v>11</v>
      </c>
      <c r="AR66" s="119">
        <f>_xlfn.RANK.AVG(Table7121415[[#This Row],[Y]],Table7121415[Y])</f>
        <v>13</v>
      </c>
      <c r="AS66" s="119">
        <v>8.5</v>
      </c>
      <c r="AT66" s="21" t="s">
        <v>53</v>
      </c>
      <c r="AU66" s="89">
        <f>Table2121418198598117[[#Totals],[WR4+ Recep]]</f>
        <v>1.1176470588235294</v>
      </c>
      <c r="AV66" s="89">
        <f>Table2121418198598117[[#Totals],[WR4+ RecY]]</f>
        <v>13.176470588235293</v>
      </c>
      <c r="AW66" s="22">
        <f>Table2121418198598117[[#Totals],[WR4+ TD]]</f>
        <v>0.11764705882352941</v>
      </c>
      <c r="AY66" s="119">
        <f t="shared" si="10"/>
        <v>6.166666666666667</v>
      </c>
      <c r="AZ66" s="119">
        <v>7.5</v>
      </c>
      <c r="BA66" s="119">
        <v>9.5</v>
      </c>
      <c r="BB66" s="119">
        <v>1.5</v>
      </c>
      <c r="BC66" s="21" t="s">
        <v>53</v>
      </c>
      <c r="BD66" s="89">
        <f>Table2121418198598117[[#Totals],[TE2 Recep]]</f>
        <v>1.9411764705882353</v>
      </c>
      <c r="BE66" s="89">
        <f>Table2121418198598117[[#Totals],[TE2 RecY]]</f>
        <v>18.529411764705884</v>
      </c>
      <c r="BF66" s="22">
        <f>Table2121418198598117[[#Totals],[TE2 TD]]</f>
        <v>0.35294117647058826</v>
      </c>
    </row>
    <row r="67" spans="2:58" x14ac:dyDescent="0.35">
      <c r="B67" s="155" t="str">
        <f t="shared" si="5"/>
        <v>n/a</v>
      </c>
      <c r="C67" s="119">
        <v>10.5</v>
      </c>
      <c r="D67" s="23" t="s">
        <v>54</v>
      </c>
      <c r="E67" s="22">
        <f>Table2121418198598118[[#Totals],[D/ST TD]]</f>
        <v>0.17647058823529413</v>
      </c>
      <c r="G67" s="119">
        <f t="shared" si="6"/>
        <v>10.199999999999999</v>
      </c>
      <c r="H67" s="119">
        <v>25</v>
      </c>
      <c r="I67" s="119">
        <v>7</v>
      </c>
      <c r="J67" s="119">
        <v>1</v>
      </c>
      <c r="K67" s="119">
        <f>_xlfn.RANK.AVG(Table4[[#This Row],[R+R]],Table4[R+R])</f>
        <v>8</v>
      </c>
      <c r="L67" s="119">
        <v>10</v>
      </c>
      <c r="M67" s="23" t="s">
        <v>54</v>
      </c>
      <c r="N67" s="89">
        <f>Table2121418198598118[[#Totals],[RB1 RY]]</f>
        <v>59.764705882352942</v>
      </c>
      <c r="O67" s="89">
        <f>Table2121418198598118[[#Totals],[RB1 Recep]]</f>
        <v>3.2352941176470589</v>
      </c>
      <c r="P67" s="89">
        <f>Table2121418198598118[[#Totals],[RB1 RecY]]</f>
        <v>36.470588235294116</v>
      </c>
      <c r="Q67" s="89">
        <f>Table4[[#This Row],[R]]+Table4[[#This Row],[Y]]</f>
        <v>96.235294117647058</v>
      </c>
      <c r="R67" s="22">
        <f>Table2121418198598118[[#Totals],[RB1 TD]]</f>
        <v>0.70588235294117652</v>
      </c>
      <c r="S67" s="121"/>
      <c r="T67" s="119">
        <f t="shared" si="7"/>
        <v>21.9</v>
      </c>
      <c r="U67" s="119">
        <v>30</v>
      </c>
      <c r="V67" s="119">
        <v>20</v>
      </c>
      <c r="W67" s="119">
        <v>5</v>
      </c>
      <c r="X67" s="119">
        <v>27</v>
      </c>
      <c r="Y67" s="119">
        <v>27.5</v>
      </c>
      <c r="Z67" s="23" t="s">
        <v>54</v>
      </c>
      <c r="AA67" s="89">
        <f>Table2121418198598118[[#Totals],[RB2+ RY]]</f>
        <v>19.058823529411764</v>
      </c>
      <c r="AB67" s="89">
        <f>Table2121418198598118[[#Totals],[RB2 Recep]]</f>
        <v>1.3529411764705883</v>
      </c>
      <c r="AC67" s="89">
        <f>Table2121418198598118[[#Totals],[RB2 RecY]]</f>
        <v>14.117647058823529</v>
      </c>
      <c r="AD67" s="89">
        <f>Table44[[#This Row],[R]]+Table44[[#This Row],[Y]]</f>
        <v>33.17647058823529</v>
      </c>
      <c r="AE67" s="22">
        <f>Table2121418198598118[[#Totals],[RB2 TD]]</f>
        <v>0.11764705882352941</v>
      </c>
      <c r="AG67" s="119">
        <f t="shared" si="8"/>
        <v>24</v>
      </c>
      <c r="AH67" s="119">
        <v>22</v>
      </c>
      <c r="AI67" s="119">
        <f>_xlfn.RANK.AVG(Table71214[[#This Row],[Y]],Table71214[Y])</f>
        <v>27</v>
      </c>
      <c r="AJ67" s="119">
        <v>23</v>
      </c>
      <c r="AK67" s="23" t="s">
        <v>54</v>
      </c>
      <c r="AL67" s="89">
        <f>Table2121418198598118[[#Totals],[WR3 Recep]]</f>
        <v>1.8235294117647058</v>
      </c>
      <c r="AM67" s="89">
        <f>Table2121418198598118[[#Totals],[WR3 RecY]]</f>
        <v>18.647058823529413</v>
      </c>
      <c r="AN67" s="22">
        <f>Table2121418198598118[[#Totals],[WR3 TD]]</f>
        <v>5.8823529411764705E-2</v>
      </c>
      <c r="AP67" s="119">
        <f t="shared" si="9"/>
        <v>8.5</v>
      </c>
      <c r="AQ67" s="119">
        <v>13</v>
      </c>
      <c r="AR67" s="119">
        <f>_xlfn.RANK.AVG(Table7121415[[#This Row],[Y]],Table7121415[Y])</f>
        <v>4</v>
      </c>
      <c r="AS67" s="119">
        <v>8.5</v>
      </c>
      <c r="AT67" s="23" t="s">
        <v>54</v>
      </c>
      <c r="AU67" s="89">
        <f>Table2121418198598118[[#Totals],[WR4+ Recep]]</f>
        <v>1.0588235294117647</v>
      </c>
      <c r="AV67" s="89">
        <f>Table2121418198598118[[#Totals],[WR4+ RecY]]</f>
        <v>17.764705882352942</v>
      </c>
      <c r="AW67" s="22">
        <f>Table2121418198598118[[#Totals],[WR4+ TD]]</f>
        <v>0.11764705882352941</v>
      </c>
      <c r="AY67" s="119">
        <f t="shared" si="10"/>
        <v>17.833333333333332</v>
      </c>
      <c r="AZ67" s="119">
        <v>14.5</v>
      </c>
      <c r="BA67" s="119">
        <v>15</v>
      </c>
      <c r="BB67" s="119">
        <v>24</v>
      </c>
      <c r="BC67" s="23" t="s">
        <v>54</v>
      </c>
      <c r="BD67" s="89">
        <f>Table2121418198598118[[#Totals],[TE2 Recep]]</f>
        <v>1.7058823529411764</v>
      </c>
      <c r="BE67" s="89">
        <f>Table2121418198598118[[#Totals],[TE2 RecY]]</f>
        <v>15.411764705882353</v>
      </c>
      <c r="BF67" s="22">
        <f>Table2121418198598118[[#Totals],[TE2 TD]]</f>
        <v>5.8823529411764705E-2</v>
      </c>
    </row>
    <row r="68" spans="2:58" x14ac:dyDescent="0.35">
      <c r="B68" s="155" t="str">
        <f t="shared" si="5"/>
        <v>n/a</v>
      </c>
      <c r="C68" s="119">
        <v>5</v>
      </c>
      <c r="D68" s="21" t="s">
        <v>55</v>
      </c>
      <c r="E68" s="22">
        <f>Table2121418198598119[[#Totals],[D/ST TD]]</f>
        <v>0.23529411764705882</v>
      </c>
      <c r="G68" s="119">
        <f t="shared" si="6"/>
        <v>19</v>
      </c>
      <c r="H68" s="119">
        <v>18</v>
      </c>
      <c r="I68" s="119">
        <v>28</v>
      </c>
      <c r="J68" s="119">
        <v>22</v>
      </c>
      <c r="K68" s="119">
        <f>_xlfn.RANK.AVG(Table4[[#This Row],[R+R]],Table4[R+R])</f>
        <v>21</v>
      </c>
      <c r="L68" s="119">
        <v>6</v>
      </c>
      <c r="M68" s="21" t="s">
        <v>55</v>
      </c>
      <c r="N68" s="89">
        <f>Table2121418198598119[[#Totals],[RB1 RY]]</f>
        <v>64.647058823529406</v>
      </c>
      <c r="O68" s="89">
        <f>Table2121418198598119[[#Totals],[RB1 Recep]]</f>
        <v>2.1764705882352939</v>
      </c>
      <c r="P68" s="89">
        <f>Table2121418198598119[[#Totals],[RB1 RecY]]</f>
        <v>18.352941176470587</v>
      </c>
      <c r="Q68" s="89">
        <f>Table4[[#This Row],[R]]+Table4[[#This Row],[Y]]</f>
        <v>83</v>
      </c>
      <c r="R68" s="22">
        <f>Table2121418198598119[[#Totals],[RB1 TD]]</f>
        <v>0.82352941176470584</v>
      </c>
      <c r="S68" s="121"/>
      <c r="T68" s="119">
        <f t="shared" si="7"/>
        <v>19.5</v>
      </c>
      <c r="U68" s="119">
        <v>17</v>
      </c>
      <c r="V68" s="119">
        <v>25.5</v>
      </c>
      <c r="W68" s="119">
        <v>24.5</v>
      </c>
      <c r="X68" s="119">
        <v>21</v>
      </c>
      <c r="Y68" s="119">
        <v>9.5</v>
      </c>
      <c r="Z68" s="21" t="s">
        <v>55</v>
      </c>
      <c r="AA68" s="89">
        <f>Table2121418198598119[[#Totals],[RB2+ RY]]</f>
        <v>26.705882352941178</v>
      </c>
      <c r="AB68" s="89">
        <f>Table2121418198598119[[#Totals],[RB2 Recep]]</f>
        <v>1.1764705882352942</v>
      </c>
      <c r="AC68" s="89">
        <f>Table2121418198598119[[#Totals],[RB2 RecY]]</f>
        <v>8.7058823529411757</v>
      </c>
      <c r="AD68" s="89">
        <f>Table44[[#This Row],[R]]+Table44[[#This Row],[Y]]</f>
        <v>35.411764705882355</v>
      </c>
      <c r="AE68" s="22">
        <f>Table2121418198598119[[#Totals],[RB2 TD]]</f>
        <v>0.35294117647058826</v>
      </c>
      <c r="AG68" s="119">
        <f t="shared" si="8"/>
        <v>11.333333333333334</v>
      </c>
      <c r="AH68" s="119">
        <v>17</v>
      </c>
      <c r="AI68" s="119">
        <f>_xlfn.RANK.AVG(Table71214[[#This Row],[Y]],Table71214[Y])</f>
        <v>6</v>
      </c>
      <c r="AJ68" s="119">
        <v>11</v>
      </c>
      <c r="AK68" s="21" t="s">
        <v>55</v>
      </c>
      <c r="AL68" s="89">
        <f>Table2121418198598119[[#Totals],[WR3 Recep]]</f>
        <v>1.9411764705882353</v>
      </c>
      <c r="AM68" s="89">
        <f>Table2121418198598119[[#Totals],[WR3 RecY]]</f>
        <v>30.294117647058822</v>
      </c>
      <c r="AN68" s="22">
        <f>Table2121418198598119[[#Totals],[WR3 TD]]</f>
        <v>0.17647058823529413</v>
      </c>
      <c r="AP68" s="119">
        <f t="shared" si="9"/>
        <v>16.333333333333332</v>
      </c>
      <c r="AQ68" s="119">
        <v>4</v>
      </c>
      <c r="AR68" s="119">
        <f>_xlfn.RANK.AVG(Table7121415[[#This Row],[Y]],Table7121415[Y])</f>
        <v>17.5</v>
      </c>
      <c r="AS68" s="119">
        <v>27.5</v>
      </c>
      <c r="AT68" s="21" t="s">
        <v>55</v>
      </c>
      <c r="AU68" s="89">
        <f>Table2121418198598119[[#Totals],[WR4+ Recep]]</f>
        <v>1.3529411764705883</v>
      </c>
      <c r="AV68" s="89">
        <f>Table2121418198598119[[#Totals],[WR4+ RecY]]</f>
        <v>11.058823529411764</v>
      </c>
      <c r="AW68" s="22">
        <f>Table2121418198598119[[#Totals],[WR4+ TD]]</f>
        <v>0</v>
      </c>
      <c r="AY68" s="119">
        <f t="shared" si="10"/>
        <v>21.666666666666668</v>
      </c>
      <c r="AZ68" s="119">
        <v>29</v>
      </c>
      <c r="BA68" s="119">
        <v>31</v>
      </c>
      <c r="BB68" s="119">
        <v>5</v>
      </c>
      <c r="BC68" s="21" t="s">
        <v>55</v>
      </c>
      <c r="BD68" s="89">
        <f>Table2121418198598119[[#Totals],[TE2 Recep]]</f>
        <v>0.94117647058823528</v>
      </c>
      <c r="BE68" s="89">
        <f>Table2121418198598119[[#Totals],[TE2 RecY]]</f>
        <v>6.2941176470588234</v>
      </c>
      <c r="BF68" s="22">
        <f>Table2121418198598119[[#Totals],[TE2 TD]]</f>
        <v>0.23529411764705882</v>
      </c>
    </row>
    <row r="69" spans="2:58" x14ac:dyDescent="0.35">
      <c r="B69" s="155" t="str">
        <f t="shared" si="5"/>
        <v>n/a</v>
      </c>
      <c r="C69" s="119">
        <v>24.5</v>
      </c>
      <c r="D69" s="23" t="s">
        <v>56</v>
      </c>
      <c r="E69" s="22">
        <f>Table2121418198598121[[#Totals],[D/ST TD]]</f>
        <v>5.8823529411764705E-2</v>
      </c>
      <c r="G69" s="124">
        <f t="shared" si="6"/>
        <v>11.3</v>
      </c>
      <c r="H69" s="124">
        <v>4</v>
      </c>
      <c r="I69" s="124">
        <v>31.5</v>
      </c>
      <c r="J69" s="124">
        <v>11</v>
      </c>
      <c r="K69" s="124">
        <f>_xlfn.RANK.AVG(Table4[[#This Row],[R+R]],Table4[R+R])</f>
        <v>4</v>
      </c>
      <c r="L69" s="124">
        <v>6</v>
      </c>
      <c r="M69" s="123" t="s">
        <v>56</v>
      </c>
      <c r="N69" s="125">
        <f>Table2121418198598121[[#Totals],[RB1 RY]]</f>
        <v>80.411764705882348</v>
      </c>
      <c r="O69" s="125">
        <f>Table2121418198598121[[#Totals],[RB1 Recep]]</f>
        <v>1.9411764705882353</v>
      </c>
      <c r="P69" s="125">
        <f>Table2121418198598121[[#Totals],[RB1 RecY]]</f>
        <v>23.117647058823529</v>
      </c>
      <c r="Q69" s="125">
        <f>Table4[[#This Row],[R]]+Table4[[#This Row],[Y]]</f>
        <v>103.52941176470588</v>
      </c>
      <c r="R69" s="67">
        <f>Table2121418198598121[[#Totals],[RB1 TD]]</f>
        <v>0.82352941176470584</v>
      </c>
      <c r="S69" s="121"/>
      <c r="T69" s="124">
        <f t="shared" si="7"/>
        <v>11.1</v>
      </c>
      <c r="U69" s="124">
        <v>5</v>
      </c>
      <c r="V69" s="124">
        <v>17.5</v>
      </c>
      <c r="W69" s="124">
        <v>18.5</v>
      </c>
      <c r="X69" s="124">
        <v>5</v>
      </c>
      <c r="Y69" s="124">
        <v>9.5</v>
      </c>
      <c r="Z69" s="123" t="s">
        <v>56</v>
      </c>
      <c r="AA69" s="125">
        <f>Table2121418198598121[[#Totals],[RB2+ RY]]</f>
        <v>35.058823529411768</v>
      </c>
      <c r="AB69" s="125">
        <f>Table2121418198598121[[#Totals],[RB2 Recep]]</f>
        <v>1.4705882352941178</v>
      </c>
      <c r="AC69" s="125">
        <f>Table2121418198598121[[#Totals],[RB2 RecY]]</f>
        <v>10.117647058823529</v>
      </c>
      <c r="AD69" s="125">
        <f>Table44[[#This Row],[R]]+Table44[[#This Row],[Y]]</f>
        <v>45.176470588235297</v>
      </c>
      <c r="AE69" s="67">
        <f>Table2121418198598121[[#Totals],[RB2 TD]]</f>
        <v>0.35294117647058826</v>
      </c>
      <c r="AG69" s="119">
        <f t="shared" si="8"/>
        <v>19.333333333333332</v>
      </c>
      <c r="AH69" s="119">
        <v>17</v>
      </c>
      <c r="AI69" s="119">
        <f>_xlfn.RANK.AVG(Table71214[[#This Row],[Y]],Table71214[Y])</f>
        <v>18</v>
      </c>
      <c r="AJ69" s="119">
        <v>23</v>
      </c>
      <c r="AK69" s="23" t="s">
        <v>56</v>
      </c>
      <c r="AL69" s="89">
        <f>Table2121418198598121[[#Totals],[WR3 Recep]]</f>
        <v>1.9411764705882353</v>
      </c>
      <c r="AM69" s="89">
        <f>Table2121418198598121[[#Totals],[WR3 RecY]]</f>
        <v>22.470588235294116</v>
      </c>
      <c r="AN69" s="22">
        <f>Table2121418198598121[[#Totals],[WR3 TD]]</f>
        <v>5.8823529411764705E-2</v>
      </c>
      <c r="AP69" s="119">
        <f t="shared" si="9"/>
        <v>13</v>
      </c>
      <c r="AQ69" s="119">
        <v>16.5</v>
      </c>
      <c r="AR69" s="119">
        <f>_xlfn.RANK.AVG(Table7121415[[#This Row],[Y]],Table7121415[Y])</f>
        <v>5</v>
      </c>
      <c r="AS69" s="119">
        <v>17.5</v>
      </c>
      <c r="AT69" s="23" t="s">
        <v>56</v>
      </c>
      <c r="AU69" s="89">
        <f>Table2121418198598121[[#Totals],[WR4+ Recep]]</f>
        <v>1</v>
      </c>
      <c r="AV69" s="89">
        <f>Table2121418198598121[[#Totals],[WR4+ RecY]]</f>
        <v>17.529411764705884</v>
      </c>
      <c r="AW69" s="22">
        <f>Table2121418198598121[[#Totals],[WR4+ TD]]</f>
        <v>5.8823529411764705E-2</v>
      </c>
      <c r="AY69" s="119">
        <f t="shared" si="10"/>
        <v>12.333333333333334</v>
      </c>
      <c r="AZ69" s="119">
        <v>19</v>
      </c>
      <c r="BA69" s="119">
        <v>8</v>
      </c>
      <c r="BB69" s="119">
        <v>10</v>
      </c>
      <c r="BC69" s="23" t="s">
        <v>56</v>
      </c>
      <c r="BD69" s="89">
        <f>Table2121418198598121[[#Totals],[TE2 Recep]]</f>
        <v>1.5294117647058822</v>
      </c>
      <c r="BE69" s="89">
        <f>Table2121418198598121[[#Totals],[TE2 RecY]]</f>
        <v>18.647058823529413</v>
      </c>
      <c r="BF69" s="22">
        <f>Table2121418198598121[[#Totals],[TE2 TD]]</f>
        <v>0.17647058823529413</v>
      </c>
    </row>
    <row r="70" spans="2:58" x14ac:dyDescent="0.35">
      <c r="D70" s="72"/>
      <c r="E70" s="72"/>
      <c r="H70" s="126"/>
      <c r="I70" s="126"/>
      <c r="J70" s="126"/>
      <c r="K70" s="126"/>
      <c r="L70" s="126"/>
      <c r="M70" s="72"/>
      <c r="N70" s="122"/>
      <c r="O70" s="122"/>
      <c r="P70" s="122"/>
      <c r="Q70" s="121"/>
      <c r="R70" s="121"/>
      <c r="S70" s="121"/>
      <c r="T70" s="121"/>
      <c r="U70" s="126"/>
      <c r="V70" s="126"/>
      <c r="W70" s="126"/>
      <c r="X70" s="126"/>
      <c r="Y70" s="126"/>
      <c r="Z70" s="72"/>
      <c r="AA70" s="122"/>
      <c r="AB70" s="122"/>
      <c r="AC70" s="122"/>
      <c r="AD70" s="122"/>
      <c r="AE70" s="121"/>
      <c r="AH70" s="126"/>
      <c r="AI70" s="126"/>
      <c r="AJ70" s="126"/>
      <c r="AK70" s="126"/>
      <c r="AL70" s="126"/>
      <c r="AM70" s="72"/>
      <c r="AN70" s="122"/>
      <c r="AP70" s="122"/>
      <c r="AQ70" s="122"/>
      <c r="AR70" s="122"/>
      <c r="AS70" s="121"/>
      <c r="AU70" s="126"/>
      <c r="AV70" s="126"/>
      <c r="AW70" s="126"/>
      <c r="AY70" s="126"/>
      <c r="AZ70" s="126"/>
      <c r="BA70" s="72"/>
      <c r="BB70" s="122"/>
      <c r="BC70" s="122"/>
      <c r="BD70" s="122"/>
      <c r="BE70" s="122"/>
      <c r="BF70" s="121"/>
    </row>
    <row r="71" spans="2:58" x14ac:dyDescent="0.35">
      <c r="D71" s="72"/>
      <c r="E71" s="72"/>
      <c r="H71" s="126"/>
      <c r="I71" s="126"/>
      <c r="J71" s="126"/>
      <c r="K71" s="126"/>
      <c r="L71" s="126"/>
      <c r="M71" s="72"/>
      <c r="N71" s="122"/>
      <c r="O71" s="122"/>
      <c r="P71" s="122"/>
      <c r="Q71" s="121"/>
      <c r="R71" s="121"/>
      <c r="S71" s="121"/>
      <c r="T71" s="121"/>
      <c r="U71" s="126"/>
      <c r="V71" s="126"/>
      <c r="W71" s="126"/>
      <c r="X71" s="126"/>
      <c r="Y71" s="126"/>
      <c r="Z71" s="72"/>
      <c r="AA71" s="122"/>
      <c r="AB71" s="122"/>
      <c r="AC71" s="122"/>
      <c r="AD71" s="122"/>
      <c r="AE71" s="121"/>
      <c r="AH71" s="126"/>
      <c r="AI71" s="126"/>
      <c r="AJ71" s="126"/>
      <c r="AK71" s="126"/>
      <c r="AL71" s="126"/>
      <c r="AM71" s="72"/>
      <c r="AN71" s="122"/>
      <c r="AP71" s="122"/>
      <c r="AQ71" s="122"/>
      <c r="AR71" s="122"/>
      <c r="AS71" s="121"/>
      <c r="AU71" s="126"/>
      <c r="AV71" s="126"/>
      <c r="AW71" s="126"/>
      <c r="AY71" s="126"/>
      <c r="AZ71" s="126"/>
      <c r="BA71" s="72"/>
      <c r="BB71" s="122"/>
      <c r="BC71" s="122"/>
      <c r="BD71" s="122"/>
      <c r="BE71" s="122"/>
      <c r="BF71" s="121"/>
    </row>
    <row r="72" spans="2:58" x14ac:dyDescent="0.35">
      <c r="D72" s="72"/>
      <c r="E72" s="72"/>
      <c r="H72" s="126"/>
      <c r="I72" s="126"/>
      <c r="J72" s="126"/>
      <c r="K72" s="126"/>
      <c r="L72" s="126"/>
      <c r="M72" s="72"/>
      <c r="N72" s="122"/>
      <c r="O72" s="122"/>
      <c r="P72" s="122"/>
      <c r="Q72" s="121"/>
      <c r="R72" s="121"/>
      <c r="S72" s="121"/>
      <c r="T72" s="121"/>
      <c r="U72" s="126"/>
      <c r="V72" s="126"/>
      <c r="W72" s="126"/>
      <c r="X72" s="126"/>
      <c r="Y72" s="126"/>
      <c r="Z72" s="72"/>
      <c r="AA72" s="122"/>
      <c r="AB72" s="122"/>
      <c r="AC72" s="122"/>
      <c r="AD72" s="122"/>
      <c r="AE72" s="121"/>
      <c r="AH72" s="126"/>
      <c r="AI72" s="126"/>
      <c r="AJ72" s="126"/>
      <c r="AK72" s="126"/>
      <c r="AL72" s="126"/>
      <c r="AM72" s="72"/>
      <c r="AN72" s="122"/>
      <c r="AP72" s="122"/>
      <c r="AQ72" s="122"/>
      <c r="AR72" s="122"/>
      <c r="AS72" s="121"/>
      <c r="AU72" s="126"/>
      <c r="AV72" s="126"/>
      <c r="AW72" s="126"/>
      <c r="AY72" s="126"/>
      <c r="AZ72" s="126"/>
      <c r="BA72" s="72"/>
      <c r="BB72" s="122"/>
      <c r="BC72" s="122"/>
      <c r="BD72" s="122"/>
      <c r="BE72" s="122"/>
      <c r="BF72" s="121"/>
    </row>
    <row r="73" spans="2:58" x14ac:dyDescent="0.35">
      <c r="D73" s="72"/>
      <c r="E73" s="72"/>
      <c r="H73" s="126"/>
      <c r="I73" s="126"/>
      <c r="J73" s="126"/>
      <c r="K73" s="126"/>
      <c r="L73" s="126"/>
      <c r="M73" s="72"/>
      <c r="N73" s="122"/>
      <c r="O73" s="122"/>
      <c r="P73" s="122"/>
      <c r="Q73" s="121"/>
      <c r="R73" s="121"/>
      <c r="S73" s="121"/>
      <c r="T73" s="121"/>
      <c r="U73" s="126"/>
      <c r="V73" s="126"/>
      <c r="W73" s="126"/>
      <c r="X73" s="126"/>
      <c r="Y73" s="126"/>
      <c r="Z73" s="72"/>
      <c r="AA73" s="122"/>
      <c r="AB73" s="122"/>
      <c r="AC73" s="122"/>
      <c r="AD73" s="122"/>
      <c r="AE73" s="121"/>
      <c r="AH73" s="126"/>
      <c r="AI73" s="126"/>
      <c r="AJ73" s="126"/>
      <c r="AK73" s="126"/>
      <c r="AL73" s="126"/>
      <c r="AM73" s="72"/>
      <c r="AN73" s="122"/>
      <c r="AP73" s="122"/>
      <c r="AQ73" s="122"/>
      <c r="AR73" s="122"/>
      <c r="AS73" s="121"/>
      <c r="AU73" s="126"/>
      <c r="AV73" s="126"/>
      <c r="AW73" s="126"/>
      <c r="AY73" s="126"/>
      <c r="AZ73" s="126"/>
      <c r="BA73" s="72"/>
      <c r="BB73" s="122"/>
      <c r="BC73" s="122"/>
      <c r="BD73" s="122"/>
      <c r="BE73" s="122"/>
      <c r="BF73" s="121"/>
    </row>
    <row r="74" spans="2:58" x14ac:dyDescent="0.35">
      <c r="D74" s="72"/>
      <c r="E74" s="72"/>
      <c r="H74" s="126"/>
      <c r="I74" s="126"/>
      <c r="J74" s="126"/>
      <c r="K74" s="126"/>
      <c r="L74" s="126"/>
      <c r="M74" s="72"/>
      <c r="N74" s="122"/>
      <c r="O74" s="122"/>
      <c r="P74" s="122"/>
      <c r="Q74" s="121"/>
      <c r="R74" s="121"/>
      <c r="S74" s="121"/>
      <c r="T74" s="121"/>
      <c r="U74" s="126"/>
      <c r="V74" s="126"/>
      <c r="W74" s="126"/>
      <c r="X74" s="126"/>
      <c r="Y74" s="126"/>
      <c r="Z74" s="72"/>
      <c r="AA74" s="122"/>
      <c r="AB74" s="122"/>
      <c r="AC74" s="122"/>
      <c r="AD74" s="122"/>
      <c r="AE74" s="121"/>
      <c r="AH74" s="126"/>
      <c r="AI74" s="126"/>
      <c r="AJ74" s="126"/>
      <c r="AK74" s="126"/>
      <c r="AL74" s="126"/>
      <c r="AM74" s="72"/>
      <c r="AN74" s="122"/>
      <c r="AP74" s="122"/>
      <c r="AQ74" s="122"/>
      <c r="AR74" s="122"/>
      <c r="AS74" s="121"/>
      <c r="AU74" s="126"/>
      <c r="AV74" s="126"/>
      <c r="AW74" s="126"/>
      <c r="AY74" s="126"/>
      <c r="AZ74" s="126"/>
      <c r="BA74" s="72"/>
      <c r="BB74" s="122"/>
      <c r="BC74" s="122"/>
      <c r="BD74" s="122"/>
      <c r="BE74" s="122"/>
      <c r="BF74" s="121"/>
    </row>
    <row r="75" spans="2:58" x14ac:dyDescent="0.35">
      <c r="D75" s="72"/>
      <c r="E75" s="72"/>
      <c r="H75" s="126"/>
      <c r="I75" s="126"/>
      <c r="J75" s="126"/>
      <c r="K75" s="126"/>
      <c r="L75" s="126"/>
      <c r="M75" s="72"/>
      <c r="N75" s="122"/>
      <c r="O75" s="122"/>
      <c r="P75" s="122"/>
      <c r="Q75" s="121"/>
      <c r="R75" s="121"/>
      <c r="S75" s="121"/>
      <c r="T75" s="121"/>
      <c r="U75" s="126"/>
      <c r="V75" s="126"/>
      <c r="W75" s="126"/>
      <c r="X75" s="126"/>
      <c r="Y75" s="126"/>
      <c r="Z75" s="72"/>
      <c r="AA75" s="122"/>
      <c r="AB75" s="122"/>
      <c r="AC75" s="122"/>
      <c r="AD75" s="122"/>
      <c r="AE75" s="121"/>
      <c r="AH75" s="126"/>
      <c r="AI75" s="126"/>
      <c r="AJ75" s="126"/>
      <c r="AK75" s="126"/>
      <c r="AL75" s="126"/>
      <c r="AM75" s="72"/>
      <c r="AN75" s="122"/>
      <c r="AP75" s="122"/>
      <c r="AQ75" s="122"/>
      <c r="AR75" s="122"/>
      <c r="AS75" s="121"/>
      <c r="AU75" s="126"/>
      <c r="AV75" s="126"/>
      <c r="AW75" s="126"/>
      <c r="AY75" s="126"/>
      <c r="AZ75" s="126"/>
      <c r="BA75" s="72"/>
      <c r="BB75" s="122"/>
      <c r="BC75" s="122"/>
      <c r="BD75" s="122"/>
      <c r="BE75" s="122"/>
      <c r="BF75" s="121"/>
    </row>
    <row r="76" spans="2:58" x14ac:dyDescent="0.35">
      <c r="C76" s="118"/>
      <c r="D76" s="72"/>
      <c r="E76" s="121"/>
      <c r="H76" s="126"/>
      <c r="I76" s="126"/>
      <c r="J76" s="126"/>
      <c r="K76" s="126"/>
      <c r="L76" s="126"/>
      <c r="M76" s="72"/>
      <c r="N76" s="122"/>
      <c r="O76" s="122"/>
      <c r="P76" s="122"/>
      <c r="Q76" s="121"/>
      <c r="R76" s="72"/>
      <c r="S76" s="72"/>
      <c r="T76" s="122"/>
      <c r="U76" s="122"/>
      <c r="V76" s="122"/>
      <c r="W76" s="122"/>
      <c r="X76" s="121"/>
      <c r="Z76" s="126"/>
      <c r="AA76" s="126"/>
      <c r="AB76" s="126"/>
      <c r="AC76" s="126"/>
      <c r="AD76" s="126"/>
      <c r="AE76" s="72"/>
      <c r="AG76" s="122"/>
      <c r="AH76" s="122"/>
      <c r="AI76" s="122"/>
      <c r="AJ76" s="122"/>
      <c r="AK76" s="121"/>
    </row>
    <row r="80" spans="2:58" x14ac:dyDescent="0.35">
      <c r="T80" s="118"/>
    </row>
    <row r="81" spans="20:27" x14ac:dyDescent="0.35">
      <c r="T81" s="118"/>
    </row>
    <row r="82" spans="20:27" x14ac:dyDescent="0.35">
      <c r="T82" s="118"/>
    </row>
    <row r="83" spans="20:27" x14ac:dyDescent="0.35">
      <c r="T83" s="118"/>
    </row>
    <row r="84" spans="20:27" x14ac:dyDescent="0.35">
      <c r="T84" s="118"/>
    </row>
    <row r="85" spans="20:27" x14ac:dyDescent="0.35">
      <c r="T85" s="118"/>
    </row>
    <row r="86" spans="20:27" x14ac:dyDescent="0.35">
      <c r="T86" s="118"/>
    </row>
    <row r="87" spans="20:27" x14ac:dyDescent="0.35">
      <c r="T87" s="118"/>
    </row>
    <row r="88" spans="20:27" x14ac:dyDescent="0.35">
      <c r="T88" s="118"/>
      <c r="AA88" t="s">
        <v>741</v>
      </c>
    </row>
    <row r="89" spans="20:27" x14ac:dyDescent="0.35">
      <c r="T89" s="118"/>
    </row>
    <row r="90" spans="20:27" x14ac:dyDescent="0.35">
      <c r="T90" s="118"/>
    </row>
    <row r="91" spans="20:27" x14ac:dyDescent="0.35">
      <c r="T91" s="118"/>
    </row>
    <row r="92" spans="20:27" x14ac:dyDescent="0.35">
      <c r="T92" s="118"/>
    </row>
    <row r="93" spans="20:27" x14ac:dyDescent="0.35">
      <c r="T93" s="118"/>
    </row>
    <row r="94" spans="20:27" x14ac:dyDescent="0.35">
      <c r="T94" s="118"/>
    </row>
    <row r="95" spans="20:27" x14ac:dyDescent="0.35">
      <c r="T95" s="118"/>
    </row>
    <row r="96" spans="20:27" x14ac:dyDescent="0.35">
      <c r="T96" s="118"/>
    </row>
    <row r="97" spans="20:20" x14ac:dyDescent="0.35">
      <c r="T97" s="118"/>
    </row>
    <row r="98" spans="20:20" x14ac:dyDescent="0.35">
      <c r="T98" s="118"/>
    </row>
    <row r="99" spans="20:20" x14ac:dyDescent="0.35">
      <c r="T99" s="118"/>
    </row>
    <row r="100" spans="20:20" x14ac:dyDescent="0.35">
      <c r="T100" s="118"/>
    </row>
    <row r="101" spans="20:20" x14ac:dyDescent="0.35">
      <c r="T101" s="118"/>
    </row>
    <row r="102" spans="20:20" x14ac:dyDescent="0.35">
      <c r="T102" s="118"/>
    </row>
    <row r="103" spans="20:20" x14ac:dyDescent="0.35">
      <c r="T103" s="118"/>
    </row>
    <row r="104" spans="20:20" x14ac:dyDescent="0.35">
      <c r="T104" s="118"/>
    </row>
    <row r="105" spans="20:20" x14ac:dyDescent="0.35">
      <c r="T105" s="118"/>
    </row>
    <row r="106" spans="20:20" x14ac:dyDescent="0.35">
      <c r="T106" s="118"/>
    </row>
    <row r="107" spans="20:20" x14ac:dyDescent="0.35">
      <c r="T107" s="118"/>
    </row>
    <row r="108" spans="20:20" x14ac:dyDescent="0.35">
      <c r="T108" s="118"/>
    </row>
    <row r="109" spans="20:20" x14ac:dyDescent="0.35">
      <c r="T109" s="118"/>
    </row>
    <row r="110" spans="20:20" x14ac:dyDescent="0.35">
      <c r="T110" s="118"/>
    </row>
  </sheetData>
  <mergeCells count="23">
    <mergeCell ref="BC36:BF36"/>
    <mergeCell ref="G1:L1"/>
    <mergeCell ref="G36:L36"/>
    <mergeCell ref="AP1:AS1"/>
    <mergeCell ref="AP36:AS36"/>
    <mergeCell ref="AY1:BB1"/>
    <mergeCell ref="AY36:BB36"/>
    <mergeCell ref="Z36:AE36"/>
    <mergeCell ref="M36:R36"/>
    <mergeCell ref="M1:R1"/>
    <mergeCell ref="AT36:AW36"/>
    <mergeCell ref="BC1:BF1"/>
    <mergeCell ref="AK36:AN36"/>
    <mergeCell ref="AG1:AJ1"/>
    <mergeCell ref="T1:Y1"/>
    <mergeCell ref="T36:Y36"/>
    <mergeCell ref="D36:E36"/>
    <mergeCell ref="Z1:AE1"/>
    <mergeCell ref="C36:C37"/>
    <mergeCell ref="AT1:AW1"/>
    <mergeCell ref="AK1:AN1"/>
    <mergeCell ref="AG36:AJ36"/>
    <mergeCell ref="B1:E1"/>
  </mergeCells>
  <conditionalFormatting sqref="B3:B34">
    <cfRule type="colorScale" priority="134">
      <colorScale>
        <cfvo type="num" val="0"/>
        <cfvo type="num" val="1"/>
        <color rgb="FFF8696B"/>
        <color rgb="FF63BE7B"/>
      </colorScale>
    </cfRule>
  </conditionalFormatting>
  <conditionalFormatting sqref="B38:B69">
    <cfRule type="cellIs" dxfId="3777" priority="34" operator="equal">
      <formula>"FRI"</formula>
    </cfRule>
    <cfRule type="cellIs" dxfId="3776" priority="35" operator="equal">
      <formula>"bye"</formula>
    </cfRule>
    <cfRule type="cellIs" dxfId="3775" priority="36" operator="equal">
      <formula>"snf"</formula>
    </cfRule>
    <cfRule type="cellIs" dxfId="3774" priority="37" operator="equal">
      <formula>"mnf"</formula>
    </cfRule>
    <cfRule type="cellIs" dxfId="3773" priority="38" operator="equal">
      <formula>"pm"</formula>
    </cfRule>
    <cfRule type="cellIs" dxfId="3772" priority="39" operator="equal">
      <formula>"am"</formula>
    </cfRule>
    <cfRule type="cellIs" dxfId="3771" priority="40" operator="equal">
      <formula>"tnf"</formula>
    </cfRule>
    <cfRule type="colorScale" priority="41">
      <colorScale>
        <cfvo type="num" val="0"/>
        <cfvo type="num" val="1"/>
        <color rgb="FFF8696B"/>
        <color rgb="FF63BE7B"/>
      </colorScale>
    </cfRule>
  </conditionalFormatting>
  <conditionalFormatting sqref="C3:C34">
    <cfRule type="cellIs" dxfId="3770" priority="47" operator="equal">
      <formula>"pm"</formula>
    </cfRule>
    <cfRule type="cellIs" dxfId="3769" priority="45" operator="equal">
      <formula>"snf"</formula>
    </cfRule>
    <cfRule type="cellIs" dxfId="3768" priority="48" operator="equal">
      <formula>"am"</formula>
    </cfRule>
    <cfRule type="cellIs" dxfId="3767" priority="43" operator="equal">
      <formula>"FRI"</formula>
    </cfRule>
    <cfRule type="cellIs" dxfId="3766" priority="44" operator="equal">
      <formula>"bye"</formula>
    </cfRule>
    <cfRule type="cellIs" dxfId="3765" priority="46" operator="equal">
      <formula>"mnf"</formula>
    </cfRule>
    <cfRule type="cellIs" dxfId="3764" priority="49" operator="equal">
      <formula>"tnf"</formula>
    </cfRule>
    <cfRule type="colorScale" priority="50">
      <colorScale>
        <cfvo type="num" val="0"/>
        <cfvo type="num" val="1"/>
        <color rgb="FFF8696B"/>
        <color rgb="FF63BE7B"/>
      </colorScale>
    </cfRule>
  </conditionalFormatting>
  <conditionalFormatting sqref="C38:C69 T80:T110 C76">
    <cfRule type="colorScale" priority="80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34">
    <cfRule type="cellIs" dxfId="3763" priority="20" operator="equal">
      <formula>"MIA"</formula>
    </cfRule>
    <cfRule type="cellIs" dxfId="3762" priority="21" operator="equal">
      <formula>"DET"</formula>
    </cfRule>
    <cfRule type="cellIs" dxfId="3761" priority="24" operator="equal">
      <formula>"GB"</formula>
    </cfRule>
    <cfRule type="cellIs" dxfId="3760" priority="25" operator="equal">
      <formula>"DAL"</formula>
    </cfRule>
    <cfRule type="cellIs" dxfId="3759" priority="26" operator="equal">
      <formula>"CIN"</formula>
    </cfRule>
    <cfRule type="cellIs" dxfId="3758" priority="27" operator="equal">
      <formula>"ARI"</formula>
    </cfRule>
    <cfRule type="cellIs" dxfId="3757" priority="7" operator="equal">
      <formula>"CAR"</formula>
    </cfRule>
    <cfRule type="cellIs" dxfId="3756" priority="29" operator="equal">
      <formula>"IND"</formula>
    </cfRule>
    <cfRule type="cellIs" dxfId="3755" priority="30" operator="equal">
      <formula>"KC"</formula>
    </cfRule>
    <cfRule type="cellIs" dxfId="3754" priority="31" operator="equal">
      <formula>"BAL"</formula>
    </cfRule>
    <cfRule type="cellIs" dxfId="3753" priority="32" operator="equal">
      <formula>"PHI"</formula>
    </cfRule>
    <cfRule type="cellIs" dxfId="3752" priority="33" operator="equal">
      <formula>"BUF"</formula>
    </cfRule>
    <cfRule type="cellIs" dxfId="3751" priority="28" operator="equal">
      <formula>"HOU"</formula>
    </cfRule>
    <cfRule type="cellIs" dxfId="3750" priority="2" operator="equal">
      <formula>"LV"</formula>
    </cfRule>
    <cfRule type="cellIs" dxfId="3749" priority="3" operator="equal">
      <formula>"NE"</formula>
    </cfRule>
    <cfRule type="cellIs" dxfId="3748" priority="4" operator="equal">
      <formula>"MIN"</formula>
    </cfRule>
    <cfRule type="cellIs" dxfId="3747" priority="5" operator="equal">
      <formula>"PIT"</formula>
    </cfRule>
    <cfRule type="cellIs" dxfId="3746" priority="6" operator="equal">
      <formula>"DEN"</formula>
    </cfRule>
    <cfRule type="cellIs" dxfId="3745" priority="8" operator="equal">
      <formula>"NYG"</formula>
    </cfRule>
    <cfRule type="cellIs" dxfId="3744" priority="9" operator="equal">
      <formula>"NO"</formula>
    </cfRule>
    <cfRule type="cellIs" dxfId="3743" priority="10" operator="equal">
      <formula>"TEN"</formula>
    </cfRule>
    <cfRule type="cellIs" dxfId="3742" priority="11" operator="equal">
      <formula>"TB"</formula>
    </cfRule>
    <cfRule type="cellIs" dxfId="3741" priority="12" operator="equal">
      <formula>"CLE"</formula>
    </cfRule>
    <cfRule type="cellIs" dxfId="3740" priority="23" operator="equal">
      <formula>"WAS"</formula>
    </cfRule>
    <cfRule type="cellIs" dxfId="3739" priority="13" operator="equal">
      <formula>"NYJ"</formula>
    </cfRule>
    <cfRule type="cellIs" dxfId="3738" priority="1" operator="equal">
      <formula>"BYE"</formula>
    </cfRule>
    <cfRule type="cellIs" dxfId="3737" priority="22" operator="equal">
      <formula>"SF"</formula>
    </cfRule>
    <cfRule type="cellIs" dxfId="3736" priority="14" operator="equal">
      <formula>"SEA"</formula>
    </cfRule>
    <cfRule type="cellIs" dxfId="3735" priority="15" operator="equal">
      <formula>"LAC"</formula>
    </cfRule>
    <cfRule type="cellIs" dxfId="3734" priority="16" operator="equal">
      <formula>"LAR"</formula>
    </cfRule>
    <cfRule type="cellIs" dxfId="3733" priority="17" operator="equal">
      <formula>"ATL"</formula>
    </cfRule>
    <cfRule type="cellIs" dxfId="3732" priority="18" operator="equal">
      <formula>"JAX"</formula>
    </cfRule>
    <cfRule type="cellIs" dxfId="3731" priority="19" operator="equal">
      <formula>"CHI"</formula>
    </cfRule>
  </conditionalFormatting>
  <conditionalFormatting sqref="E35 E37:E75">
    <cfRule type="cellIs" dxfId="3730" priority="393" operator="equal">
      <formula>"CAR"</formula>
    </cfRule>
    <cfRule type="cellIs" dxfId="3729" priority="399" operator="equal">
      <formula>"NYJ"</formula>
    </cfRule>
    <cfRule type="cellIs" dxfId="3728" priority="398" operator="equal">
      <formula>"CLE"</formula>
    </cfRule>
    <cfRule type="cellIs" dxfId="3727" priority="397" operator="equal">
      <formula>"TB"</formula>
    </cfRule>
    <cfRule type="cellIs" dxfId="3726" priority="396" operator="equal">
      <formula>"TEN"</formula>
    </cfRule>
    <cfRule type="cellIs" dxfId="3725" priority="395" operator="equal">
      <formula>"NO"</formula>
    </cfRule>
    <cfRule type="cellIs" dxfId="3724" priority="394" operator="equal">
      <formula>"NYG"</formula>
    </cfRule>
    <cfRule type="cellIs" dxfId="3723" priority="392" operator="equal">
      <formula>"DEN"</formula>
    </cfRule>
    <cfRule type="cellIs" dxfId="3722" priority="391" operator="equal">
      <formula>"PIT"</formula>
    </cfRule>
    <cfRule type="cellIs" dxfId="3721" priority="390" operator="equal">
      <formula>"MIN"</formula>
    </cfRule>
    <cfRule type="cellIs" dxfId="3720" priority="389" operator="equal">
      <formula>"NE"</formula>
    </cfRule>
    <cfRule type="cellIs" dxfId="3719" priority="388" operator="equal">
      <formula>"LV"</formula>
    </cfRule>
    <cfRule type="cellIs" dxfId="3718" priority="387" operator="equal">
      <formula>"BYE"</formula>
    </cfRule>
    <cfRule type="cellIs" dxfId="3717" priority="403" operator="equal">
      <formula>"ATL"</formula>
    </cfRule>
    <cfRule type="cellIs" dxfId="3716" priority="419" operator="equal">
      <formula>"BUF"</formula>
    </cfRule>
    <cfRule type="cellIs" dxfId="3715" priority="418" operator="equal">
      <formula>"PHI"</formula>
    </cfRule>
    <cfRule type="cellIs" dxfId="3714" priority="417" operator="equal">
      <formula>"BAL"</formula>
    </cfRule>
    <cfRule type="cellIs" dxfId="3713" priority="416" operator="equal">
      <formula>"KC"</formula>
    </cfRule>
    <cfRule type="cellIs" dxfId="3712" priority="415" operator="equal">
      <formula>"IND"</formula>
    </cfRule>
    <cfRule type="cellIs" dxfId="3711" priority="414" operator="equal">
      <formula>"HOU"</formula>
    </cfRule>
    <cfRule type="cellIs" dxfId="3710" priority="413" operator="equal">
      <formula>"ARI"</formula>
    </cfRule>
    <cfRule type="cellIs" dxfId="3709" priority="412" operator="equal">
      <formula>"CIN"</formula>
    </cfRule>
    <cfRule type="cellIs" dxfId="3708" priority="411" operator="equal">
      <formula>"DAL"</formula>
    </cfRule>
    <cfRule type="cellIs" dxfId="3707" priority="410" operator="equal">
      <formula>"GB"</formula>
    </cfRule>
    <cfRule type="cellIs" dxfId="3706" priority="409" operator="equal">
      <formula>"WAS"</formula>
    </cfRule>
    <cfRule type="cellIs" dxfId="3705" priority="408" operator="equal">
      <formula>"SF"</formula>
    </cfRule>
    <cfRule type="cellIs" dxfId="3704" priority="407" operator="equal">
      <formula>"DET"</formula>
    </cfRule>
    <cfRule type="cellIs" dxfId="3703" priority="406" operator="equal">
      <formula>"MIA"</formula>
    </cfRule>
    <cfRule type="cellIs" dxfId="3702" priority="405" operator="equal">
      <formula>"CHI"</formula>
    </cfRule>
    <cfRule type="cellIs" dxfId="3701" priority="404" operator="equal">
      <formula>"JAX"</formula>
    </cfRule>
    <cfRule type="cellIs" dxfId="3700" priority="402" operator="equal">
      <formula>"LAR"</formula>
    </cfRule>
    <cfRule type="cellIs" dxfId="3699" priority="401" operator="equal">
      <formula>"LAC"</formula>
    </cfRule>
    <cfRule type="cellIs" dxfId="3698" priority="400" operator="equal">
      <formula>"SEA"</formula>
    </cfRule>
  </conditionalFormatting>
  <conditionalFormatting sqref="E38:E69 E76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:G6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L35 H70:L76">
    <cfRule type="colorScale" priority="19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:M76">
    <cfRule type="cellIs" dxfId="3697" priority="894" operator="equal">
      <formula>"TEN"</formula>
    </cfRule>
    <cfRule type="cellIs" dxfId="3696" priority="895" operator="equal">
      <formula>"TB"</formula>
    </cfRule>
    <cfRule type="cellIs" dxfId="3695" priority="896" operator="equal">
      <formula>"CLE"</formula>
    </cfRule>
    <cfRule type="cellIs" dxfId="3694" priority="897" operator="equal">
      <formula>"NYJ"</formula>
    </cfRule>
    <cfRule type="cellIs" dxfId="3693" priority="898" operator="equal">
      <formula>"SEA"</formula>
    </cfRule>
    <cfRule type="cellIs" dxfId="3692" priority="899" operator="equal">
      <formula>"LAC"</formula>
    </cfRule>
    <cfRule type="cellIs" dxfId="3691" priority="902" operator="equal">
      <formula>"JAX"</formula>
    </cfRule>
    <cfRule type="cellIs" dxfId="3690" priority="890" operator="equal">
      <formula>"DEN"</formula>
    </cfRule>
    <cfRule type="cellIs" dxfId="3689" priority="900" operator="equal">
      <formula>"LAR"</formula>
    </cfRule>
    <cfRule type="cellIs" dxfId="3688" priority="901" operator="equal">
      <formula>"ATL"</formula>
    </cfRule>
    <cfRule type="cellIs" dxfId="3687" priority="889" operator="equal">
      <formula>"PIT"</formula>
    </cfRule>
    <cfRule type="cellIs" dxfId="3686" priority="888" operator="equal">
      <formula>"MIN"</formula>
    </cfRule>
    <cfRule type="cellIs" dxfId="3685" priority="907" operator="equal">
      <formula>"WAS"</formula>
    </cfRule>
    <cfRule type="cellIs" dxfId="3684" priority="887" operator="equal">
      <formula>"NE"</formula>
    </cfRule>
    <cfRule type="cellIs" dxfId="3683" priority="917" operator="equal">
      <formula>"BUF"</formula>
    </cfRule>
    <cfRule type="cellIs" dxfId="3682" priority="916" operator="equal">
      <formula>"PHI"</formula>
    </cfRule>
    <cfRule type="cellIs" dxfId="3681" priority="904" operator="equal">
      <formula>"MIA"</formula>
    </cfRule>
    <cfRule type="cellIs" dxfId="3680" priority="905" operator="equal">
      <formula>"DET"</formula>
    </cfRule>
    <cfRule type="cellIs" dxfId="3679" priority="906" operator="equal">
      <formula>"SF"</formula>
    </cfRule>
    <cfRule type="cellIs" dxfId="3678" priority="886" operator="equal">
      <formula>"LV"</formula>
    </cfRule>
    <cfRule type="cellIs" dxfId="3677" priority="912" operator="equal">
      <formula>"HOU"</formula>
    </cfRule>
    <cfRule type="cellIs" dxfId="3676" priority="915" operator="equal">
      <formula>"BAL"</formula>
    </cfRule>
    <cfRule type="cellIs" dxfId="3675" priority="914" operator="equal">
      <formula>"KC"</formula>
    </cfRule>
    <cfRule type="cellIs" dxfId="3674" priority="913" operator="equal">
      <formula>"IND"</formula>
    </cfRule>
    <cfRule type="cellIs" dxfId="3673" priority="903" operator="equal">
      <formula>"CHI"</formula>
    </cfRule>
    <cfRule type="cellIs" dxfId="3672" priority="911" operator="equal">
      <formula>"ARI"</formula>
    </cfRule>
    <cfRule type="cellIs" dxfId="3671" priority="910" operator="equal">
      <formula>"CIN"</formula>
    </cfRule>
    <cfRule type="cellIs" dxfId="3670" priority="909" operator="equal">
      <formula>"DAL"</formula>
    </cfRule>
    <cfRule type="cellIs" dxfId="3669" priority="908" operator="equal">
      <formula>"GB"</formula>
    </cfRule>
    <cfRule type="cellIs" dxfId="3668" priority="893" operator="equal">
      <formula>"NO"</formula>
    </cfRule>
    <cfRule type="cellIs" dxfId="3667" priority="892" operator="equal">
      <formula>"NYG"</formula>
    </cfRule>
    <cfRule type="cellIs" dxfId="3666" priority="891" operator="equal">
      <formula>"CAR"</formula>
    </cfRule>
  </conditionalFormatting>
  <conditionalFormatting sqref="N3:N35 N70:N76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8:N69 AA35 AA70:AA75 T76"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35 O70:O76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8:O69 AB35 AB70:AB75 U76"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35 P70:P76"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8:P69 AC35 AC70:AC75 V76"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35 Q70:Q76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8:Q69 AD35 AD70:AD75 W76"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8:S69 AE35 AE70:AE75 X76">
    <cfRule type="colorScale" priority="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:T35 R70:T75 R3:S34">
    <cfRule type="colorScale" priority="8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:T6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5:Y35 H38:L69 U70:Y75">
    <cfRule type="colorScale" priority="80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G3:AG3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:AG69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:AJ34">
    <cfRule type="colorScale" priority="1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38:AJ69">
    <cfRule type="colorScale" priority="19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35:AL35 AH70:AL75 Z76:AD76 U38:Y69">
    <cfRule type="colorScale" priority="19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K38:AK69">
    <cfRule type="cellIs" dxfId="3665" priority="311" operator="equal">
      <formula>"BUF"</formula>
    </cfRule>
    <cfRule type="cellIs" dxfId="3664" priority="309" operator="equal">
      <formula>"BAL"</formula>
    </cfRule>
    <cfRule type="cellIs" dxfId="3663" priority="308" operator="equal">
      <formula>"KC"</formula>
    </cfRule>
    <cfRule type="cellIs" dxfId="3662" priority="307" operator="equal">
      <formula>"IND"</formula>
    </cfRule>
    <cfRule type="cellIs" dxfId="3661" priority="310" operator="equal">
      <formula>"PHI"</formula>
    </cfRule>
    <cfRule type="cellIs" dxfId="3660" priority="306" operator="equal">
      <formula>"HOU"</formula>
    </cfRule>
    <cfRule type="cellIs" dxfId="3659" priority="305" operator="equal">
      <formula>"ARI"</formula>
    </cfRule>
    <cfRule type="cellIs" dxfId="3658" priority="304" operator="equal">
      <formula>"CIN"</formula>
    </cfRule>
    <cfRule type="cellIs" dxfId="3657" priority="303" operator="equal">
      <formula>"DAL"</formula>
    </cfRule>
    <cfRule type="cellIs" dxfId="3656" priority="300" operator="equal">
      <formula>"SF"</formula>
    </cfRule>
    <cfRule type="cellIs" dxfId="3655" priority="301" operator="equal">
      <formula>"WAS"</formula>
    </cfRule>
    <cfRule type="cellIs" dxfId="3654" priority="302" operator="equal">
      <formula>"GB"</formula>
    </cfRule>
    <cfRule type="cellIs" dxfId="3653" priority="280" operator="equal">
      <formula>"LV"</formula>
    </cfRule>
    <cfRule type="cellIs" dxfId="3652" priority="281" operator="equal">
      <formula>"NE"</formula>
    </cfRule>
    <cfRule type="cellIs" dxfId="3651" priority="282" operator="equal">
      <formula>"MIN"</formula>
    </cfRule>
    <cfRule type="cellIs" dxfId="3650" priority="283" operator="equal">
      <formula>"PIT"</formula>
    </cfRule>
    <cfRule type="cellIs" dxfId="3649" priority="284" operator="equal">
      <formula>"DEN"</formula>
    </cfRule>
    <cfRule type="cellIs" dxfId="3648" priority="285" operator="equal">
      <formula>"CAR"</formula>
    </cfRule>
    <cfRule type="cellIs" dxfId="3647" priority="286" operator="equal">
      <formula>"NYG"</formula>
    </cfRule>
    <cfRule type="cellIs" dxfId="3646" priority="287" operator="equal">
      <formula>"NO"</formula>
    </cfRule>
    <cfRule type="cellIs" dxfId="3645" priority="288" operator="equal">
      <formula>"TEN"</formula>
    </cfRule>
    <cfRule type="cellIs" dxfId="3644" priority="289" operator="equal">
      <formula>"TB"</formula>
    </cfRule>
    <cfRule type="cellIs" dxfId="3643" priority="290" operator="equal">
      <formula>"CLE"</formula>
    </cfRule>
    <cfRule type="cellIs" dxfId="3642" priority="291" operator="equal">
      <formula>"NYJ"</formula>
    </cfRule>
    <cfRule type="cellIs" dxfId="3641" priority="292" operator="equal">
      <formula>"SEA"</formula>
    </cfRule>
    <cfRule type="cellIs" dxfId="3640" priority="293" operator="equal">
      <formula>"LAC"</formula>
    </cfRule>
    <cfRule type="cellIs" dxfId="3639" priority="294" operator="equal">
      <formula>"LAR"</formula>
    </cfRule>
    <cfRule type="cellIs" dxfId="3638" priority="295" operator="equal">
      <formula>"ATL"</formula>
    </cfRule>
    <cfRule type="cellIs" dxfId="3637" priority="296" operator="equal">
      <formula>"JAX"</formula>
    </cfRule>
    <cfRule type="cellIs" dxfId="3636" priority="297" operator="equal">
      <formula>"CHI"</formula>
    </cfRule>
    <cfRule type="cellIs" dxfId="3635" priority="298" operator="equal">
      <formula>"MIA"</formula>
    </cfRule>
    <cfRule type="cellIs" dxfId="3634" priority="299" operator="equal">
      <formula>"DET"</formula>
    </cfRule>
  </conditionalFormatting>
  <conditionalFormatting sqref="AL3:AL34"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38:AL69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3:AM34"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35:AM75 BA37:BA75 AK3:AK34 Z3:Z75 D3:D76 BA35 M38:M69 R76:S76 AE76">
    <cfRule type="cellIs" dxfId="3633" priority="807" operator="equal">
      <formula>"DAL"</formula>
    </cfRule>
    <cfRule type="cellIs" dxfId="3632" priority="808" operator="equal">
      <formula>"CIN"</formula>
    </cfRule>
    <cfRule type="cellIs" dxfId="3631" priority="809" operator="equal">
      <formula>"ARI"</formula>
    </cfRule>
    <cfRule type="cellIs" dxfId="3630" priority="810" operator="equal">
      <formula>"HOU"</formula>
    </cfRule>
    <cfRule type="cellIs" dxfId="3629" priority="811" operator="equal">
      <formula>"IND"</formula>
    </cfRule>
    <cfRule type="cellIs" dxfId="3628" priority="812" operator="equal">
      <formula>"KC"</formula>
    </cfRule>
    <cfRule type="cellIs" dxfId="3627" priority="813" operator="equal">
      <formula>"BAL"</formula>
    </cfRule>
    <cfRule type="cellIs" dxfId="3626" priority="814" operator="equal">
      <formula>"PHI"</formula>
    </cfRule>
    <cfRule type="cellIs" dxfId="3625" priority="815" operator="equal">
      <formula>"BUF"</formula>
    </cfRule>
    <cfRule type="cellIs" dxfId="3624" priority="791" operator="equal">
      <formula>"NO"</formula>
    </cfRule>
    <cfRule type="cellIs" dxfId="3623" priority="784" operator="equal">
      <formula>"LV"</formula>
    </cfRule>
    <cfRule type="cellIs" dxfId="3622" priority="785" operator="equal">
      <formula>"NE"</formula>
    </cfRule>
    <cfRule type="cellIs" dxfId="3621" priority="786" operator="equal">
      <formula>"MIN"</formula>
    </cfRule>
    <cfRule type="cellIs" dxfId="3620" priority="787" operator="equal">
      <formula>"PIT"</formula>
    </cfRule>
    <cfRule type="cellIs" dxfId="3619" priority="788" operator="equal">
      <formula>"DEN"</formula>
    </cfRule>
    <cfRule type="cellIs" dxfId="3618" priority="789" operator="equal">
      <formula>"CAR"</formula>
    </cfRule>
    <cfRule type="cellIs" dxfId="3617" priority="790" operator="equal">
      <formula>"NYG"</formula>
    </cfRule>
    <cfRule type="cellIs" dxfId="3616" priority="792" operator="equal">
      <formula>"TEN"</formula>
    </cfRule>
    <cfRule type="cellIs" dxfId="3615" priority="793" operator="equal">
      <formula>"TB"</formula>
    </cfRule>
    <cfRule type="cellIs" dxfId="3614" priority="794" operator="equal">
      <formula>"CLE"</formula>
    </cfRule>
    <cfRule type="cellIs" dxfId="3613" priority="795" operator="equal">
      <formula>"NYJ"</formula>
    </cfRule>
    <cfRule type="cellIs" dxfId="3612" priority="796" operator="equal">
      <formula>"SEA"</formula>
    </cfRule>
    <cfRule type="cellIs" dxfId="3611" priority="797" operator="equal">
      <formula>"LAC"</formula>
    </cfRule>
    <cfRule type="cellIs" dxfId="3610" priority="798" operator="equal">
      <formula>"LAR"</formula>
    </cfRule>
    <cfRule type="cellIs" dxfId="3609" priority="799" operator="equal">
      <formula>"ATL"</formula>
    </cfRule>
    <cfRule type="cellIs" dxfId="3608" priority="800" operator="equal">
      <formula>"JAX"</formula>
    </cfRule>
    <cfRule type="cellIs" dxfId="3607" priority="801" operator="equal">
      <formula>"CHI"</formula>
    </cfRule>
    <cfRule type="cellIs" dxfId="3606" priority="802" operator="equal">
      <formula>"MIA"</formula>
    </cfRule>
    <cfRule type="cellIs" dxfId="3605" priority="803" operator="equal">
      <formula>"DET"</formula>
    </cfRule>
    <cfRule type="cellIs" dxfId="3604" priority="804" operator="equal">
      <formula>"SF"</formula>
    </cfRule>
    <cfRule type="cellIs" dxfId="3603" priority="805" operator="equal">
      <formula>"WAS"</formula>
    </cfRule>
    <cfRule type="cellIs" dxfId="3602" priority="806" operator="equal">
      <formula>"GB"</formula>
    </cfRule>
  </conditionalFormatting>
  <conditionalFormatting sqref="AM38:AM69"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3:AN34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:AN69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70:AN75 AG76 AN35 AA38:AA69"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3:AP3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8:AP69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0:AP75 AH76 AP35 AB38:AB69"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70:AQ75 AI76 AQ35 AC38:AC69"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3:AS34">
    <cfRule type="colorScale" priority="18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Q38:AS69">
    <cfRule type="colorScale" priority="18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R70:AR75 AJ76 AR35 AD38:AD69"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70:AS75 AK76 AS35 AE38:AE69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:AT34">
    <cfRule type="cellIs" dxfId="3601" priority="342" operator="equal">
      <formula>"HOU"</formula>
    </cfRule>
    <cfRule type="cellIs" dxfId="3600" priority="341" operator="equal">
      <formula>"ARI"</formula>
    </cfRule>
    <cfRule type="cellIs" dxfId="3599" priority="340" operator="equal">
      <formula>"CIN"</formula>
    </cfRule>
    <cfRule type="cellIs" dxfId="3598" priority="337" operator="equal">
      <formula>"WAS"</formula>
    </cfRule>
    <cfRule type="cellIs" dxfId="3597" priority="345" operator="equal">
      <formula>"BAL"</formula>
    </cfRule>
    <cfRule type="cellIs" dxfId="3596" priority="346" operator="equal">
      <formula>"PHI"</formula>
    </cfRule>
    <cfRule type="cellIs" dxfId="3595" priority="327" operator="equal">
      <formula>"NYJ"</formula>
    </cfRule>
    <cfRule type="cellIs" dxfId="3594" priority="338" operator="equal">
      <formula>"GB"</formula>
    </cfRule>
    <cfRule type="cellIs" dxfId="3593" priority="339" operator="equal">
      <formula>"DAL"</formula>
    </cfRule>
    <cfRule type="cellIs" dxfId="3592" priority="336" operator="equal">
      <formula>"SF"</formula>
    </cfRule>
    <cfRule type="cellIs" dxfId="3591" priority="335" operator="equal">
      <formula>"DET"</formula>
    </cfRule>
    <cfRule type="cellIs" dxfId="3590" priority="334" operator="equal">
      <formula>"MIA"</formula>
    </cfRule>
    <cfRule type="cellIs" dxfId="3589" priority="332" operator="equal">
      <formula>"JAX"</formula>
    </cfRule>
    <cfRule type="cellIs" dxfId="3588" priority="316" operator="equal">
      <formula>"LV"</formula>
    </cfRule>
    <cfRule type="cellIs" dxfId="3587" priority="317" operator="equal">
      <formula>"NE"</formula>
    </cfRule>
    <cfRule type="cellIs" dxfId="3586" priority="318" operator="equal">
      <formula>"MIN"</formula>
    </cfRule>
    <cfRule type="cellIs" dxfId="3585" priority="319" operator="equal">
      <formula>"PIT"</formula>
    </cfRule>
    <cfRule type="cellIs" dxfId="3584" priority="320" operator="equal">
      <formula>"DEN"</formula>
    </cfRule>
    <cfRule type="cellIs" dxfId="3583" priority="333" operator="equal">
      <formula>"CHI"</formula>
    </cfRule>
    <cfRule type="cellIs" dxfId="3582" priority="321" operator="equal">
      <formula>"CAR"</formula>
    </cfRule>
    <cfRule type="cellIs" dxfId="3581" priority="322" operator="equal">
      <formula>"NYG"</formula>
    </cfRule>
    <cfRule type="cellIs" dxfId="3580" priority="347" operator="equal">
      <formula>"BUF"</formula>
    </cfRule>
    <cfRule type="cellIs" dxfId="3579" priority="324" operator="equal">
      <formula>"TEN"</formula>
    </cfRule>
    <cfRule type="cellIs" dxfId="3578" priority="325" operator="equal">
      <formula>"TB"</formula>
    </cfRule>
    <cfRule type="cellIs" dxfId="3577" priority="326" operator="equal">
      <formula>"CLE"</formula>
    </cfRule>
    <cfRule type="cellIs" dxfId="3576" priority="328" operator="equal">
      <formula>"SEA"</formula>
    </cfRule>
    <cfRule type="cellIs" dxfId="3575" priority="323" operator="equal">
      <formula>"NO"</formula>
    </cfRule>
    <cfRule type="cellIs" dxfId="3574" priority="330" operator="equal">
      <formula>"LAR"</formula>
    </cfRule>
    <cfRule type="cellIs" dxfId="3573" priority="331" operator="equal">
      <formula>"ATL"</formula>
    </cfRule>
    <cfRule type="cellIs" dxfId="3572" priority="344" operator="equal">
      <formula>"KC"</formula>
    </cfRule>
    <cfRule type="cellIs" dxfId="3571" priority="343" operator="equal">
      <formula>"IND"</formula>
    </cfRule>
    <cfRule type="cellIs" dxfId="3570" priority="329" operator="equal">
      <formula>"LAC"</formula>
    </cfRule>
  </conditionalFormatting>
  <conditionalFormatting sqref="AT38:AT69">
    <cfRule type="cellIs" dxfId="3569" priority="274" operator="equal">
      <formula>"PHI"</formula>
    </cfRule>
    <cfRule type="cellIs" dxfId="3568" priority="249" operator="equal">
      <formula>"CAR"</formula>
    </cfRule>
    <cfRule type="cellIs" dxfId="3567" priority="248" operator="equal">
      <formula>"DEN"</formula>
    </cfRule>
    <cfRule type="cellIs" dxfId="3566" priority="247" operator="equal">
      <formula>"PIT"</formula>
    </cfRule>
    <cfRule type="cellIs" dxfId="3565" priority="246" operator="equal">
      <formula>"MIN"</formula>
    </cfRule>
    <cfRule type="cellIs" dxfId="3564" priority="245" operator="equal">
      <formula>"NE"</formula>
    </cfRule>
    <cfRule type="cellIs" dxfId="3563" priority="244" operator="equal">
      <formula>"LV"</formula>
    </cfRule>
    <cfRule type="cellIs" dxfId="3562" priority="275" operator="equal">
      <formula>"BUF"</formula>
    </cfRule>
    <cfRule type="cellIs" dxfId="3561" priority="254" operator="equal">
      <formula>"CLE"</formula>
    </cfRule>
    <cfRule type="cellIs" dxfId="3560" priority="273" operator="equal">
      <formula>"BAL"</formula>
    </cfRule>
    <cfRule type="cellIs" dxfId="3559" priority="272" operator="equal">
      <formula>"KC"</formula>
    </cfRule>
    <cfRule type="cellIs" dxfId="3558" priority="271" operator="equal">
      <formula>"IND"</formula>
    </cfRule>
    <cfRule type="cellIs" dxfId="3557" priority="270" operator="equal">
      <formula>"HOU"</formula>
    </cfRule>
    <cfRule type="cellIs" dxfId="3556" priority="269" operator="equal">
      <formula>"ARI"</formula>
    </cfRule>
    <cfRule type="cellIs" dxfId="3555" priority="268" operator="equal">
      <formula>"CIN"</formula>
    </cfRule>
    <cfRule type="cellIs" dxfId="3554" priority="267" operator="equal">
      <formula>"DAL"</formula>
    </cfRule>
    <cfRule type="cellIs" dxfId="3553" priority="266" operator="equal">
      <formula>"GB"</formula>
    </cfRule>
    <cfRule type="cellIs" dxfId="3552" priority="264" operator="equal">
      <formula>"SF"</formula>
    </cfRule>
    <cfRule type="cellIs" dxfId="3551" priority="263" operator="equal">
      <formula>"DET"</formula>
    </cfRule>
    <cfRule type="cellIs" dxfId="3550" priority="262" operator="equal">
      <formula>"MIA"</formula>
    </cfRule>
    <cfRule type="cellIs" dxfId="3549" priority="261" operator="equal">
      <formula>"CHI"</formula>
    </cfRule>
    <cfRule type="cellIs" dxfId="3548" priority="260" operator="equal">
      <formula>"JAX"</formula>
    </cfRule>
    <cfRule type="cellIs" dxfId="3547" priority="259" operator="equal">
      <formula>"ATL"</formula>
    </cfRule>
    <cfRule type="cellIs" dxfId="3546" priority="250" operator="equal">
      <formula>"NYG"</formula>
    </cfRule>
    <cfRule type="cellIs" dxfId="3545" priority="258" operator="equal">
      <formula>"LAR"</formula>
    </cfRule>
    <cfRule type="cellIs" dxfId="3544" priority="257" operator="equal">
      <formula>"LAC"</formula>
    </cfRule>
    <cfRule type="cellIs" dxfId="3543" priority="256" operator="equal">
      <formula>"SEA"</formula>
    </cfRule>
    <cfRule type="cellIs" dxfId="3542" priority="255" operator="equal">
      <formula>"NYJ"</formula>
    </cfRule>
    <cfRule type="cellIs" dxfId="3541" priority="253" operator="equal">
      <formula>"TB"</formula>
    </cfRule>
    <cfRule type="cellIs" dxfId="3540" priority="265" operator="equal">
      <formula>"WAS"</formula>
    </cfRule>
    <cfRule type="cellIs" dxfId="3539" priority="252" operator="equal">
      <formula>"TEN"</formula>
    </cfRule>
    <cfRule type="cellIs" dxfId="3538" priority="251" operator="equal">
      <formula>"NO"</formula>
    </cfRule>
  </conditionalFormatting>
  <conditionalFormatting sqref="AU3:AU34"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38:AU69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35:AW35 AU70:AW75 U3:Y34 AY70:AZ75 AY35:AZ35">
    <cfRule type="colorScale" priority="79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V3:AV34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38:AV6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3:AW34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8:AW69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34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8:AY69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:BB34">
    <cfRule type="colorScale" priority="1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Z38:BB69">
    <cfRule type="colorScale" priority="1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B70:BB75 BB35 AA3:AA34"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3:BC34">
    <cfRule type="cellIs" dxfId="3537" priority="853" operator="equal">
      <formula>"CAR"</formula>
    </cfRule>
    <cfRule type="cellIs" dxfId="3536" priority="854" operator="equal">
      <formula>"NYG"</formula>
    </cfRule>
    <cfRule type="cellIs" dxfId="3535" priority="856" operator="equal">
      <formula>"TEN"</formula>
    </cfRule>
    <cfRule type="cellIs" dxfId="3534" priority="857" operator="equal">
      <formula>"TB"</formula>
    </cfRule>
    <cfRule type="cellIs" dxfId="3533" priority="858" operator="equal">
      <formula>"CLE"</formula>
    </cfRule>
    <cfRule type="cellIs" dxfId="3532" priority="859" operator="equal">
      <formula>"NYJ"</formula>
    </cfRule>
    <cfRule type="cellIs" dxfId="3531" priority="860" operator="equal">
      <formula>"SEA"</formula>
    </cfRule>
    <cfRule type="cellIs" dxfId="3530" priority="861" operator="equal">
      <formula>"LAC"</formula>
    </cfRule>
    <cfRule type="cellIs" dxfId="3529" priority="862" operator="equal">
      <formula>"LAR"</formula>
    </cfRule>
    <cfRule type="cellIs" dxfId="3528" priority="863" operator="equal">
      <formula>"ATL"</formula>
    </cfRule>
    <cfRule type="cellIs" dxfId="3527" priority="864" operator="equal">
      <formula>"JAX"</formula>
    </cfRule>
    <cfRule type="cellIs" dxfId="3526" priority="865" operator="equal">
      <formula>"CHI"</formula>
    </cfRule>
    <cfRule type="cellIs" dxfId="3525" priority="866" operator="equal">
      <formula>"MIA"</formula>
    </cfRule>
    <cfRule type="cellIs" dxfId="3524" priority="867" operator="equal">
      <formula>"DET"</formula>
    </cfRule>
    <cfRule type="cellIs" dxfId="3523" priority="868" operator="equal">
      <formula>"SF"</formula>
    </cfRule>
    <cfRule type="cellIs" dxfId="3522" priority="855" operator="equal">
      <formula>"NO"</formula>
    </cfRule>
    <cfRule type="cellIs" dxfId="3521" priority="870" operator="equal">
      <formula>"GB"</formula>
    </cfRule>
    <cfRule type="cellIs" dxfId="3520" priority="871" operator="equal">
      <formula>"DAL"</formula>
    </cfRule>
    <cfRule type="cellIs" dxfId="3519" priority="872" operator="equal">
      <formula>"CIN"</formula>
    </cfRule>
    <cfRule type="cellIs" dxfId="3518" priority="873" operator="equal">
      <formula>"ARI"</formula>
    </cfRule>
    <cfRule type="cellIs" dxfId="3517" priority="874" operator="equal">
      <formula>"HOU"</formula>
    </cfRule>
    <cfRule type="cellIs" dxfId="3516" priority="875" operator="equal">
      <formula>"IND"</formula>
    </cfRule>
    <cfRule type="cellIs" dxfId="3515" priority="876" operator="equal">
      <formula>"KC"</formula>
    </cfRule>
    <cfRule type="cellIs" dxfId="3514" priority="877" operator="equal">
      <formula>"BAL"</formula>
    </cfRule>
    <cfRule type="cellIs" dxfId="3513" priority="878" operator="equal">
      <formula>"PHI"</formula>
    </cfRule>
    <cfRule type="cellIs" dxfId="3512" priority="879" operator="equal">
      <formula>"BUF"</formula>
    </cfRule>
    <cfRule type="cellIs" dxfId="3511" priority="869" operator="equal">
      <formula>"WAS"</formula>
    </cfRule>
    <cfRule type="cellIs" dxfId="3510" priority="848" operator="equal">
      <formula>"LV"</formula>
    </cfRule>
    <cfRule type="cellIs" dxfId="3509" priority="849" operator="equal">
      <formula>"NE"</formula>
    </cfRule>
    <cfRule type="cellIs" dxfId="3508" priority="850" operator="equal">
      <formula>"MIN"</formula>
    </cfRule>
    <cfRule type="cellIs" dxfId="3507" priority="851" operator="equal">
      <formula>"PIT"</formula>
    </cfRule>
    <cfRule type="cellIs" dxfId="3506" priority="852" operator="equal">
      <formula>"DEN"</formula>
    </cfRule>
  </conditionalFormatting>
  <conditionalFormatting sqref="BC38:BC69">
    <cfRule type="cellIs" dxfId="3505" priority="239" operator="equal">
      <formula>"BUF"</formula>
    </cfRule>
    <cfRule type="cellIs" dxfId="3504" priority="219" operator="equal">
      <formula>"NYJ"</formula>
    </cfRule>
    <cfRule type="cellIs" dxfId="3503" priority="235" operator="equal">
      <formula>"IND"</formula>
    </cfRule>
    <cfRule type="cellIs" dxfId="3502" priority="237" operator="equal">
      <formula>"BAL"</formula>
    </cfRule>
    <cfRule type="cellIs" dxfId="3501" priority="238" operator="equal">
      <formula>"PHI"</formula>
    </cfRule>
    <cfRule type="cellIs" dxfId="3500" priority="236" operator="equal">
      <formula>"KC"</formula>
    </cfRule>
    <cfRule type="cellIs" dxfId="3499" priority="234" operator="equal">
      <formula>"HOU"</formula>
    </cfRule>
    <cfRule type="cellIs" dxfId="3498" priority="233" operator="equal">
      <formula>"ARI"</formula>
    </cfRule>
    <cfRule type="cellIs" dxfId="3497" priority="232" operator="equal">
      <formula>"CIN"</formula>
    </cfRule>
    <cfRule type="cellIs" dxfId="3496" priority="231" operator="equal">
      <formula>"DAL"</formula>
    </cfRule>
    <cfRule type="cellIs" dxfId="3495" priority="230" operator="equal">
      <formula>"GB"</formula>
    </cfRule>
    <cfRule type="cellIs" dxfId="3494" priority="229" operator="equal">
      <formula>"WAS"</formula>
    </cfRule>
    <cfRule type="cellIs" dxfId="3493" priority="228" operator="equal">
      <formula>"SF"</formula>
    </cfRule>
    <cfRule type="cellIs" dxfId="3492" priority="227" operator="equal">
      <formula>"DET"</formula>
    </cfRule>
    <cfRule type="cellIs" dxfId="3491" priority="226" operator="equal">
      <formula>"MIA"</formula>
    </cfRule>
    <cfRule type="cellIs" dxfId="3490" priority="225" operator="equal">
      <formula>"CHI"</formula>
    </cfRule>
    <cfRule type="cellIs" dxfId="3489" priority="224" operator="equal">
      <formula>"JAX"</formula>
    </cfRule>
    <cfRule type="cellIs" dxfId="3488" priority="223" operator="equal">
      <formula>"ATL"</formula>
    </cfRule>
    <cfRule type="cellIs" dxfId="3487" priority="222" operator="equal">
      <formula>"LAR"</formula>
    </cfRule>
    <cfRule type="cellIs" dxfId="3486" priority="221" operator="equal">
      <formula>"LAC"</formula>
    </cfRule>
    <cfRule type="cellIs" dxfId="3485" priority="220" operator="equal">
      <formula>"SEA"</formula>
    </cfRule>
    <cfRule type="cellIs" dxfId="3484" priority="214" operator="equal">
      <formula>"NYG"</formula>
    </cfRule>
    <cfRule type="cellIs" dxfId="3483" priority="218" operator="equal">
      <formula>"CLE"</formula>
    </cfRule>
    <cfRule type="cellIs" dxfId="3482" priority="217" operator="equal">
      <formula>"TB"</formula>
    </cfRule>
    <cfRule type="cellIs" dxfId="3481" priority="216" operator="equal">
      <formula>"TEN"</formula>
    </cfRule>
    <cfRule type="cellIs" dxfId="3480" priority="215" operator="equal">
      <formula>"NO"</formula>
    </cfRule>
    <cfRule type="cellIs" dxfId="3479" priority="213" operator="equal">
      <formula>"CAR"</formula>
    </cfRule>
    <cfRule type="cellIs" dxfId="3478" priority="212" operator="equal">
      <formula>"DEN"</formula>
    </cfRule>
    <cfRule type="cellIs" dxfId="3477" priority="211" operator="equal">
      <formula>"PIT"</formula>
    </cfRule>
    <cfRule type="cellIs" dxfId="3476" priority="210" operator="equal">
      <formula>"MIN"</formula>
    </cfRule>
    <cfRule type="cellIs" dxfId="3475" priority="209" operator="equal">
      <formula>"NE"</formula>
    </cfRule>
    <cfRule type="cellIs" dxfId="3474" priority="208" operator="equal">
      <formula>"LV"</formula>
    </cfRule>
  </conditionalFormatting>
  <conditionalFormatting sqref="BC70:BC75 BC35 AB3:AB34"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3:BD34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38:BD69"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70:BD75 BD35 AC3:AC34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3:BE34"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38:BE69"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70:BE75 BE35 AD3:AD34"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3:BF34"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8:BF69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70:BF75 BF35 AE3:AE34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" right="0" top="0.25" bottom="0.25" header="0.05" footer="0.05"/>
  <pageSetup paperSize="3" scale="59" orientation="landscape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5" id="{C4647F68-BE02-4590-8EA9-D4191109B1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B3:B34</xm:sqref>
        </x14:conditionalFormatting>
        <x14:conditionalFormatting xmlns:xm="http://schemas.microsoft.com/office/excel/2006/main">
          <x14:cfRule type="iconSet" priority="42" id="{68A2DBB6-F621-4C97-9D54-CFFDD172D1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B38:B69</xm:sqref>
        </x14:conditionalFormatting>
        <x14:conditionalFormatting xmlns:xm="http://schemas.microsoft.com/office/excel/2006/main">
          <x14:cfRule type="iconSet" priority="51" id="{661CE4DD-2BF2-4217-ADD2-C6B9DD34E4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C3:C34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C67B-4C65-4B1B-AE86-851BE768D790}">
  <sheetPr>
    <tabColor theme="5" tint="0.79998168889431442"/>
  </sheetPr>
  <dimension ref="E1:Z68"/>
  <sheetViews>
    <sheetView zoomScale="115" zoomScaleNormal="115" workbookViewId="0">
      <selection activeCell="R5" sqref="R5"/>
    </sheetView>
  </sheetViews>
  <sheetFormatPr defaultRowHeight="14.5" x14ac:dyDescent="0.35"/>
  <cols>
    <col min="1" max="4" width="8.7265625" customWidth="1"/>
    <col min="5" max="6" width="2.90625" style="70" bestFit="1" customWidth="1"/>
    <col min="7" max="7" width="4.1796875" style="70" bestFit="1" customWidth="1"/>
    <col min="8" max="8" width="4.453125" style="70" bestFit="1" customWidth="1"/>
    <col min="9" max="9" width="3" style="70" bestFit="1" customWidth="1"/>
    <col min="10" max="10" width="8.36328125" bestFit="1" customWidth="1"/>
    <col min="11" max="11" width="8.81640625" bestFit="1" customWidth="1"/>
    <col min="12" max="12" width="6.54296875" bestFit="1" customWidth="1"/>
    <col min="13" max="13" width="8.6328125" bestFit="1" customWidth="1"/>
    <col min="14" max="14" width="9" bestFit="1" customWidth="1"/>
    <col min="15" max="15" width="8.81640625" bestFit="1" customWidth="1"/>
    <col min="16" max="16" width="8.36328125" bestFit="1" customWidth="1"/>
    <col min="17" max="17" width="7.54296875" bestFit="1" customWidth="1"/>
    <col min="18" max="18" width="8.81640625" bestFit="1" customWidth="1"/>
    <col min="19" max="19" width="7.54296875" bestFit="1" customWidth="1"/>
    <col min="20" max="20" width="9.453125" bestFit="1" customWidth="1"/>
    <col min="21" max="21" width="9.36328125" bestFit="1" customWidth="1"/>
    <col min="22" max="23" width="4.1796875" style="70" bestFit="1" customWidth="1"/>
    <col min="24" max="24" width="3" style="70" bestFit="1" customWidth="1"/>
    <col min="25" max="25" width="4" style="70" bestFit="1" customWidth="1"/>
    <col min="26" max="26" width="3" style="70" bestFit="1" customWidth="1"/>
  </cols>
  <sheetData>
    <row r="1" spans="5:26" ht="17.5" customHeight="1" x14ac:dyDescent="0.4">
      <c r="J1" s="222" t="s">
        <v>102</v>
      </c>
      <c r="K1" s="222"/>
      <c r="L1" s="222"/>
      <c r="M1" s="222"/>
      <c r="N1" s="222"/>
      <c r="O1" s="222"/>
      <c r="P1" s="223" t="s">
        <v>103</v>
      </c>
      <c r="Q1" s="223"/>
      <c r="R1" s="223"/>
      <c r="S1" s="223"/>
      <c r="T1" s="223"/>
      <c r="U1" s="223"/>
    </row>
    <row r="2" spans="5:26" ht="14.5" customHeight="1" x14ac:dyDescent="0.35">
      <c r="E2" s="106" t="s">
        <v>73</v>
      </c>
      <c r="F2" s="106" t="s">
        <v>74</v>
      </c>
      <c r="G2" s="106" t="s">
        <v>96</v>
      </c>
      <c r="H2" s="106" t="s">
        <v>19</v>
      </c>
      <c r="I2" s="106" t="s">
        <v>72</v>
      </c>
      <c r="J2" s="103" t="s">
        <v>105</v>
      </c>
      <c r="K2" s="63" t="s">
        <v>73</v>
      </c>
      <c r="L2" s="63" t="s">
        <v>74</v>
      </c>
      <c r="M2" s="63" t="s">
        <v>96</v>
      </c>
      <c r="N2" s="63" t="s">
        <v>19</v>
      </c>
      <c r="O2" s="63" t="s">
        <v>72</v>
      </c>
      <c r="P2" s="61" t="s">
        <v>105</v>
      </c>
      <c r="Q2" s="64" t="s">
        <v>74</v>
      </c>
      <c r="R2" s="64" t="s">
        <v>98</v>
      </c>
      <c r="S2" s="64" t="s">
        <v>104</v>
      </c>
      <c r="T2" s="64" t="s">
        <v>95</v>
      </c>
      <c r="U2" s="99" t="s">
        <v>72</v>
      </c>
      <c r="V2" s="106" t="s">
        <v>74</v>
      </c>
      <c r="W2" s="106" t="s">
        <v>98</v>
      </c>
      <c r="X2" s="106" t="s">
        <v>104</v>
      </c>
      <c r="Y2" s="106" t="s">
        <v>95</v>
      </c>
      <c r="Z2" s="106" t="s">
        <v>72</v>
      </c>
    </row>
    <row r="3" spans="5:26" ht="14.5" customHeight="1" x14ac:dyDescent="0.35">
      <c r="E3" s="89">
        <f>_xlfn.RANK.AVG(Table14[[#This Row],[P]],Table14[P])</f>
        <v>20.5</v>
      </c>
      <c r="F3" s="89">
        <f>_xlfn.RANK.AVG(Table14[[#This Row],[R]],Table14[R])</f>
        <v>21</v>
      </c>
      <c r="G3" s="89">
        <f>_xlfn.RANK.AVG(Table14[[#This Row],[P+R]],Table14[P+R])</f>
        <v>20</v>
      </c>
      <c r="H3" s="89">
        <f>_xlfn.RANK.AVG(Table14[[#This Row],[P TD]],Table14[P TD])</f>
        <v>28</v>
      </c>
      <c r="I3" s="89">
        <f>_xlfn.RANK.AVG(Table14[[#This Row],[TD]],Table14[TD])</f>
        <v>4.5</v>
      </c>
      <c r="J3" s="104" t="s">
        <v>0</v>
      </c>
      <c r="K3" s="22">
        <v>231.1764705882353</v>
      </c>
      <c r="L3" s="22">
        <v>17.823529411764707</v>
      </c>
      <c r="M3" s="22">
        <v>249</v>
      </c>
      <c r="N3" s="22">
        <v>1.1764705882352942</v>
      </c>
      <c r="O3" s="22">
        <v>0.35294117647058826</v>
      </c>
      <c r="P3" s="21" t="s">
        <v>0</v>
      </c>
      <c r="Q3" s="22">
        <v>105.64705882352941</v>
      </c>
      <c r="R3" s="22">
        <v>4.7647058823529411</v>
      </c>
      <c r="S3" s="22">
        <v>34.823529411764703</v>
      </c>
      <c r="T3" s="22">
        <v>140.47058823529412</v>
      </c>
      <c r="U3" s="100">
        <v>0.94117647058823528</v>
      </c>
      <c r="V3" s="89">
        <f>_xlfn.RANK.AVG(Table46[[#This Row],[R]],Table46[R])</f>
        <v>9</v>
      </c>
      <c r="W3" s="89">
        <f>_xlfn.RANK.AVG(Table46[[#This Row],[REC]],Table46[REC])</f>
        <v>9</v>
      </c>
      <c r="X3" s="89">
        <f>_xlfn.RANK.AVG(Table46[[#This Row],[Y]],Table46[Y])</f>
        <v>12.5</v>
      </c>
      <c r="Y3" s="89">
        <f>_xlfn.RANK.AVG(Table46[[#This Row],[R+R]],Table46[R+R])</f>
        <v>6</v>
      </c>
      <c r="Z3" s="89">
        <f>_xlfn.RANK.AVG(Table46[[#This Row],[TD]],Table46[TD])</f>
        <v>13</v>
      </c>
    </row>
    <row r="4" spans="5:26" ht="14.5" customHeight="1" x14ac:dyDescent="0.35">
      <c r="E4" s="89">
        <f>_xlfn.RANK.AVG(Table14[[#This Row],[P]],Table14[P])</f>
        <v>15</v>
      </c>
      <c r="F4" s="89">
        <f>_xlfn.RANK.AVG(Table14[[#This Row],[R]],Table14[R])</f>
        <v>3</v>
      </c>
      <c r="G4" s="89">
        <f>_xlfn.RANK.AVG(Table14[[#This Row],[P+R]],Table14[P+R])</f>
        <v>9</v>
      </c>
      <c r="H4" s="89">
        <f>_xlfn.RANK.AVG(Table14[[#This Row],[P TD]],Table14[P TD])</f>
        <v>3</v>
      </c>
      <c r="I4" s="89">
        <f>_xlfn.RANK.AVG(Table14[[#This Row],[TD]],Table14[TD])</f>
        <v>8</v>
      </c>
      <c r="J4" s="105" t="s">
        <v>15</v>
      </c>
      <c r="K4" s="22">
        <v>235.52941176470588</v>
      </c>
      <c r="L4" s="22">
        <v>31.352941176470587</v>
      </c>
      <c r="M4" s="22">
        <v>266.88235294117646</v>
      </c>
      <c r="N4" s="22">
        <v>2</v>
      </c>
      <c r="O4" s="22">
        <v>0.29411764705882354</v>
      </c>
      <c r="P4" s="23" t="s">
        <v>15</v>
      </c>
      <c r="Q4" s="22">
        <v>85.117647058823536</v>
      </c>
      <c r="R4" s="22">
        <v>5.7058823529411766</v>
      </c>
      <c r="S4" s="22">
        <v>34.588235294117645</v>
      </c>
      <c r="T4" s="22">
        <v>119.70588235294117</v>
      </c>
      <c r="U4" s="100">
        <v>0.6470588235294118</v>
      </c>
      <c r="V4" s="89">
        <f>_xlfn.RANK.AVG(Table46[[#This Row],[R]],Table46[R])</f>
        <v>24</v>
      </c>
      <c r="W4" s="89">
        <f>_xlfn.RANK.AVG(Table46[[#This Row],[REC]],Table46[REC])</f>
        <v>1</v>
      </c>
      <c r="X4" s="89">
        <f>_xlfn.RANK.AVG(Table46[[#This Row],[Y]],Table46[Y])</f>
        <v>14.5</v>
      </c>
      <c r="Y4" s="89">
        <f>_xlfn.RANK.AVG(Table46[[#This Row],[R+R]],Table46[R+R])</f>
        <v>22</v>
      </c>
      <c r="Z4" s="89">
        <f>_xlfn.RANK.AVG(Table46[[#This Row],[TD]],Table46[TD])</f>
        <v>25.5</v>
      </c>
    </row>
    <row r="5" spans="5:26" ht="14.5" customHeight="1" x14ac:dyDescent="0.35">
      <c r="E5" s="89">
        <f>_xlfn.RANK.AVG(Table14[[#This Row],[P]],Table14[P])</f>
        <v>2</v>
      </c>
      <c r="F5" s="89">
        <f>_xlfn.RANK.AVG(Table14[[#This Row],[R]],Table14[R])</f>
        <v>27</v>
      </c>
      <c r="G5" s="89">
        <f>_xlfn.RANK.AVG(Table14[[#This Row],[P+R]],Table14[P+R])</f>
        <v>5</v>
      </c>
      <c r="H5" s="89">
        <f>_xlfn.RANK.AVG(Table14[[#This Row],[P TD]],Table14[P TD])</f>
        <v>12.5</v>
      </c>
      <c r="I5" s="89">
        <f>_xlfn.RANK.AVG(Table14[[#This Row],[TD]],Table14[TD])</f>
        <v>12</v>
      </c>
      <c r="J5" s="104" t="s">
        <v>16</v>
      </c>
      <c r="K5" s="22">
        <v>262.8235294117647</v>
      </c>
      <c r="L5" s="22">
        <v>13.705882352941176</v>
      </c>
      <c r="M5" s="22">
        <v>276.52941176470586</v>
      </c>
      <c r="N5" s="22">
        <v>1.588235294117647</v>
      </c>
      <c r="O5" s="22">
        <v>0.23529411764705882</v>
      </c>
      <c r="P5" s="21" t="s">
        <v>16</v>
      </c>
      <c r="Q5" s="22">
        <v>63.82352941176471</v>
      </c>
      <c r="R5" s="22">
        <v>4.5294117647058822</v>
      </c>
      <c r="S5" s="22">
        <v>39.647058823529413</v>
      </c>
      <c r="T5" s="22">
        <v>103.47058823529412</v>
      </c>
      <c r="U5" s="100">
        <v>0.70588235294117652</v>
      </c>
      <c r="V5" s="89">
        <f>_xlfn.RANK.AVG(Table46[[#This Row],[R]],Table46[R])</f>
        <v>32</v>
      </c>
      <c r="W5" s="89">
        <f>_xlfn.RANK.AVG(Table46[[#This Row],[REC]],Table46[REC])</f>
        <v>13</v>
      </c>
      <c r="X5" s="89">
        <f>_xlfn.RANK.AVG(Table46[[#This Row],[Y]],Table46[Y])</f>
        <v>4</v>
      </c>
      <c r="Y5" s="89">
        <f>_xlfn.RANK.AVG(Table46[[#This Row],[R+R]],Table46[R+R])</f>
        <v>30.5</v>
      </c>
      <c r="Z5" s="89">
        <f>_xlfn.RANK.AVG(Table46[[#This Row],[TD]],Table46[TD])</f>
        <v>23</v>
      </c>
    </row>
    <row r="6" spans="5:26" ht="14.5" customHeight="1" x14ac:dyDescent="0.35">
      <c r="E6" s="89">
        <f>_xlfn.RANK.AVG(Table14[[#This Row],[P]],Table14[P])</f>
        <v>11</v>
      </c>
      <c r="F6" s="89">
        <f>_xlfn.RANK.AVG(Table14[[#This Row],[R]],Table14[R])</f>
        <v>25</v>
      </c>
      <c r="G6" s="89">
        <f>_xlfn.RANK.AVG(Table14[[#This Row],[P+R]],Table14[P+R])</f>
        <v>17</v>
      </c>
      <c r="H6" s="89">
        <f>_xlfn.RANK.AVG(Table14[[#This Row],[P TD]],Table14[P TD])</f>
        <v>9.5</v>
      </c>
      <c r="I6" s="89">
        <f>_xlfn.RANK.AVG(Table14[[#This Row],[TD]],Table14[TD])</f>
        <v>24</v>
      </c>
      <c r="J6" s="105" t="s">
        <v>17</v>
      </c>
      <c r="K6" s="22">
        <v>241.1764705882353</v>
      </c>
      <c r="L6" s="22">
        <v>15.470588235294118</v>
      </c>
      <c r="M6" s="22">
        <v>256.64705882352939</v>
      </c>
      <c r="N6" s="22">
        <v>1.6470588235294117</v>
      </c>
      <c r="O6" s="22">
        <v>0.11764705882352941</v>
      </c>
      <c r="P6" s="23" t="s">
        <v>17</v>
      </c>
      <c r="Q6" s="22">
        <v>95.941176470588232</v>
      </c>
      <c r="R6" s="22">
        <v>5.4117647058823533</v>
      </c>
      <c r="S6" s="22">
        <v>44.117647058823529</v>
      </c>
      <c r="T6" s="22">
        <v>140.05882352941177</v>
      </c>
      <c r="U6" s="100">
        <v>0.94117647058823528</v>
      </c>
      <c r="V6" s="89">
        <f>_xlfn.RANK.AVG(Table46[[#This Row],[R]],Table46[R])</f>
        <v>16</v>
      </c>
      <c r="W6" s="89">
        <f>_xlfn.RANK.AVG(Table46[[#This Row],[REC]],Table46[REC])</f>
        <v>2</v>
      </c>
      <c r="X6" s="89">
        <f>_xlfn.RANK.AVG(Table46[[#This Row],[Y]],Table46[Y])</f>
        <v>1</v>
      </c>
      <c r="Y6" s="89">
        <f>_xlfn.RANK.AVG(Table46[[#This Row],[R+R]],Table46[R+R])</f>
        <v>7</v>
      </c>
      <c r="Z6" s="89">
        <f>_xlfn.RANK.AVG(Table46[[#This Row],[TD]],Table46[TD])</f>
        <v>13</v>
      </c>
    </row>
    <row r="7" spans="5:26" ht="14.5" customHeight="1" x14ac:dyDescent="0.35">
      <c r="E7" s="89">
        <f>_xlfn.RANK.AVG(Table14[[#This Row],[P]],Table14[P])</f>
        <v>13</v>
      </c>
      <c r="F7" s="89">
        <f>_xlfn.RANK.AVG(Table14[[#This Row],[R]],Table14[R])</f>
        <v>6</v>
      </c>
      <c r="G7" s="89">
        <f>_xlfn.RANK.AVG(Table14[[#This Row],[P+R]],Table14[P+R])</f>
        <v>10</v>
      </c>
      <c r="H7" s="89">
        <f>_xlfn.RANK.AVG(Table14[[#This Row],[P TD]],Table14[P TD])</f>
        <v>2</v>
      </c>
      <c r="I7" s="89">
        <f>_xlfn.RANK.AVG(Table14[[#This Row],[TD]],Table14[TD])</f>
        <v>8</v>
      </c>
      <c r="J7" s="104" t="s">
        <v>29</v>
      </c>
      <c r="K7" s="22">
        <v>237.8235294117647</v>
      </c>
      <c r="L7" s="22">
        <v>26.352941176470587</v>
      </c>
      <c r="M7" s="22">
        <v>264.1764705882353</v>
      </c>
      <c r="N7" s="22">
        <v>2.0588235294117645</v>
      </c>
      <c r="O7" s="22">
        <v>0.29411764705882354</v>
      </c>
      <c r="P7" s="21" t="s">
        <v>29</v>
      </c>
      <c r="Q7" s="22">
        <v>148.23529411764704</v>
      </c>
      <c r="R7" s="22">
        <v>4.3529411764705879</v>
      </c>
      <c r="S7" s="22">
        <v>35.647058823529413</v>
      </c>
      <c r="T7" s="22">
        <v>183.88235294117646</v>
      </c>
      <c r="U7" s="100">
        <v>1.2352941176470589</v>
      </c>
      <c r="V7" s="89">
        <f>_xlfn.RANK.AVG(Table46[[#This Row],[R]],Table46[R])</f>
        <v>1</v>
      </c>
      <c r="W7" s="89">
        <f>_xlfn.RANK.AVG(Table46[[#This Row],[REC]],Table46[REC])</f>
        <v>15</v>
      </c>
      <c r="X7" s="89">
        <f>_xlfn.RANK.AVG(Table46[[#This Row],[Y]],Table46[Y])</f>
        <v>11</v>
      </c>
      <c r="Y7" s="89">
        <f>_xlfn.RANK.AVG(Table46[[#This Row],[R+R]],Table46[R+R])</f>
        <v>1</v>
      </c>
      <c r="Z7" s="89">
        <f>_xlfn.RANK.AVG(Table46[[#This Row],[TD]],Table46[TD])</f>
        <v>2.5</v>
      </c>
    </row>
    <row r="8" spans="5:26" ht="14.5" customHeight="1" x14ac:dyDescent="0.35">
      <c r="E8" s="89">
        <f>_xlfn.RANK.AVG(Table14[[#This Row],[P]],Table14[P])</f>
        <v>18.5</v>
      </c>
      <c r="F8" s="89">
        <f>_xlfn.RANK.AVG(Table14[[#This Row],[R]],Table14[R])</f>
        <v>30</v>
      </c>
      <c r="G8" s="89">
        <f>_xlfn.RANK.AVG(Table14[[#This Row],[P+R]],Table14[P+R])</f>
        <v>23</v>
      </c>
      <c r="H8" s="89">
        <f>_xlfn.RANK.AVG(Table14[[#This Row],[P TD]],Table14[P TD])</f>
        <v>32</v>
      </c>
      <c r="I8" s="89">
        <f>_xlfn.RANK.AVG(Table14[[#This Row],[TD]],Table14[TD])</f>
        <v>29</v>
      </c>
      <c r="J8" s="105" t="s">
        <v>30</v>
      </c>
      <c r="K8" s="22">
        <v>232.88235294117646</v>
      </c>
      <c r="L8" s="22">
        <v>12.823529411764707</v>
      </c>
      <c r="M8" s="22">
        <v>245.70588235294119</v>
      </c>
      <c r="N8" s="22">
        <v>1</v>
      </c>
      <c r="O8" s="22">
        <v>5.8823529411764705E-2</v>
      </c>
      <c r="P8" s="23" t="s">
        <v>30</v>
      </c>
      <c r="Q8" s="22">
        <v>119.82352941176471</v>
      </c>
      <c r="R8" s="22">
        <v>4.117647058823529</v>
      </c>
      <c r="S8" s="22">
        <v>32.176470588235297</v>
      </c>
      <c r="T8" s="22">
        <v>152</v>
      </c>
      <c r="U8" s="100">
        <v>1.0588235294117647</v>
      </c>
      <c r="V8" s="89">
        <f>_xlfn.RANK.AVG(Table46[[#This Row],[R]],Table46[R])</f>
        <v>2</v>
      </c>
      <c r="W8" s="89">
        <f>_xlfn.RANK.AVG(Table46[[#This Row],[REC]],Table46[REC])</f>
        <v>21.5</v>
      </c>
      <c r="X8" s="89">
        <f>_xlfn.RANK.AVG(Table46[[#This Row],[Y]],Table46[Y])</f>
        <v>19</v>
      </c>
      <c r="Y8" s="89">
        <f>_xlfn.RANK.AVG(Table46[[#This Row],[R+R]],Table46[R+R])</f>
        <v>2</v>
      </c>
      <c r="Z8" s="89">
        <f>_xlfn.RANK.AVG(Table46[[#This Row],[TD]],Table46[TD])</f>
        <v>7</v>
      </c>
    </row>
    <row r="9" spans="5:26" ht="14.5" customHeight="1" x14ac:dyDescent="0.35">
      <c r="E9" s="89">
        <f>_xlfn.RANK.AVG(Table14[[#This Row],[P]],Table14[P])</f>
        <v>14</v>
      </c>
      <c r="F9" s="89">
        <f>_xlfn.RANK.AVG(Table14[[#This Row],[R]],Table14[R])</f>
        <v>4</v>
      </c>
      <c r="G9" s="89">
        <f>_xlfn.RANK.AVG(Table14[[#This Row],[P+R]],Table14[P+R])</f>
        <v>8</v>
      </c>
      <c r="H9" s="89">
        <f>_xlfn.RANK.AVG(Table14[[#This Row],[P TD]],Table14[P TD])</f>
        <v>5</v>
      </c>
      <c r="I9" s="89">
        <f>_xlfn.RANK.AVG(Table14[[#This Row],[TD]],Table14[TD])</f>
        <v>12</v>
      </c>
      <c r="J9" s="104" t="s">
        <v>31</v>
      </c>
      <c r="K9" s="22">
        <v>236.23529411764707</v>
      </c>
      <c r="L9" s="22">
        <v>30.941176470588236</v>
      </c>
      <c r="M9" s="22">
        <v>267.1764705882353</v>
      </c>
      <c r="N9" s="22">
        <v>1.7647058823529411</v>
      </c>
      <c r="O9" s="22">
        <v>0.23529411764705882</v>
      </c>
      <c r="P9" s="21" t="s">
        <v>31</v>
      </c>
      <c r="Q9" s="22">
        <v>89.941176470588246</v>
      </c>
      <c r="R9" s="22">
        <v>4.4117647058823533</v>
      </c>
      <c r="S9" s="22">
        <v>31.176470588235293</v>
      </c>
      <c r="T9" s="22">
        <v>121.11764705882354</v>
      </c>
      <c r="U9" s="100">
        <v>1</v>
      </c>
      <c r="V9" s="89">
        <f>_xlfn.RANK.AVG(Table46[[#This Row],[R]],Table46[R])</f>
        <v>19</v>
      </c>
      <c r="W9" s="89">
        <f>_xlfn.RANK.AVG(Table46[[#This Row],[REC]],Table46[REC])</f>
        <v>14</v>
      </c>
      <c r="X9" s="89">
        <f>_xlfn.RANK.AVG(Table46[[#This Row],[Y]],Table46[Y])</f>
        <v>20</v>
      </c>
      <c r="Y9" s="89">
        <f>_xlfn.RANK.AVG(Table46[[#This Row],[R+R]],Table46[R+R])</f>
        <v>19</v>
      </c>
      <c r="Z9" s="89">
        <f>_xlfn.RANK.AVG(Table46[[#This Row],[TD]],Table46[TD])</f>
        <v>9</v>
      </c>
    </row>
    <row r="10" spans="5:26" ht="14.5" customHeight="1" x14ac:dyDescent="0.35">
      <c r="E10" s="89">
        <f>_xlfn.RANK.AVG(Table14[[#This Row],[P]],Table14[P])</f>
        <v>22</v>
      </c>
      <c r="F10" s="89">
        <f>_xlfn.RANK.AVG(Table14[[#This Row],[R]],Table14[R])</f>
        <v>1</v>
      </c>
      <c r="G10" s="89">
        <f>_xlfn.RANK.AVG(Table14[[#This Row],[P+R]],Table14[P+R])</f>
        <v>13</v>
      </c>
      <c r="H10" s="89">
        <f>_xlfn.RANK.AVG(Table14[[#This Row],[P TD]],Table14[P TD])</f>
        <v>15.5</v>
      </c>
      <c r="I10" s="89">
        <f>_xlfn.RANK.AVG(Table14[[#This Row],[TD]],Table14[TD])</f>
        <v>24</v>
      </c>
      <c r="J10" s="105" t="s">
        <v>32</v>
      </c>
      <c r="K10" s="22">
        <v>228.11764705882354</v>
      </c>
      <c r="L10" s="22">
        <v>33.823529411764703</v>
      </c>
      <c r="M10" s="22">
        <v>261.94117647058823</v>
      </c>
      <c r="N10" s="22">
        <v>1.5294117647058822</v>
      </c>
      <c r="O10" s="22">
        <v>0.11764705882352941</v>
      </c>
      <c r="P10" s="23" t="s">
        <v>32</v>
      </c>
      <c r="Q10" s="22">
        <v>86.941176470588232</v>
      </c>
      <c r="R10" s="22">
        <v>3.1764705882352939</v>
      </c>
      <c r="S10" s="22">
        <v>24.823529411764707</v>
      </c>
      <c r="T10" s="22">
        <v>111.76470588235294</v>
      </c>
      <c r="U10" s="100">
        <v>0.88235294117647056</v>
      </c>
      <c r="V10" s="89">
        <f>_xlfn.RANK.AVG(Table46[[#This Row],[R]],Table46[R])</f>
        <v>21</v>
      </c>
      <c r="W10" s="89">
        <f>_xlfn.RANK.AVG(Table46[[#This Row],[REC]],Table46[REC])</f>
        <v>31</v>
      </c>
      <c r="X10" s="89">
        <f>_xlfn.RANK.AVG(Table46[[#This Row],[Y]],Table46[Y])</f>
        <v>28</v>
      </c>
      <c r="Y10" s="89">
        <f>_xlfn.RANK.AVG(Table46[[#This Row],[R+R]],Table46[R+R])</f>
        <v>26</v>
      </c>
      <c r="Z10" s="89">
        <f>_xlfn.RANK.AVG(Table46[[#This Row],[TD]],Table46[TD])</f>
        <v>17</v>
      </c>
    </row>
    <row r="11" spans="5:26" ht="14.5" customHeight="1" x14ac:dyDescent="0.35">
      <c r="E11" s="89">
        <f>_xlfn.RANK.AVG(Table14[[#This Row],[P]],Table14[P])</f>
        <v>12</v>
      </c>
      <c r="F11" s="89">
        <f>_xlfn.RANK.AVG(Table14[[#This Row],[R]],Table14[R])</f>
        <v>2</v>
      </c>
      <c r="G11" s="89">
        <f>_xlfn.RANK.AVG(Table14[[#This Row],[P+R]],Table14[P+R])</f>
        <v>7</v>
      </c>
      <c r="H11" s="89">
        <f>_xlfn.RANK.AVG(Table14[[#This Row],[P TD]],Table14[P TD])</f>
        <v>9.5</v>
      </c>
      <c r="I11" s="89">
        <f>_xlfn.RANK.AVG(Table14[[#This Row],[TD]],Table14[TD])</f>
        <v>1</v>
      </c>
      <c r="J11" s="104" t="s">
        <v>33</v>
      </c>
      <c r="K11" s="22">
        <v>237.94117647058823</v>
      </c>
      <c r="L11" s="22">
        <v>33.588235294117645</v>
      </c>
      <c r="M11" s="22">
        <v>271.52941176470586</v>
      </c>
      <c r="N11" s="22">
        <v>1.6470588235294117</v>
      </c>
      <c r="O11" s="22">
        <v>0.58823529411764708</v>
      </c>
      <c r="P11" s="21" t="s">
        <v>33</v>
      </c>
      <c r="Q11" s="22">
        <v>94.647058823529406</v>
      </c>
      <c r="R11" s="22">
        <v>4.0588235294117645</v>
      </c>
      <c r="S11" s="22">
        <v>38.235294117647058</v>
      </c>
      <c r="T11" s="22">
        <v>132.88235294117646</v>
      </c>
      <c r="U11" s="100">
        <v>1</v>
      </c>
      <c r="V11" s="89">
        <f>_xlfn.RANK.AVG(Table46[[#This Row],[R]],Table46[R])</f>
        <v>17</v>
      </c>
      <c r="W11" s="89">
        <f>_xlfn.RANK.AVG(Table46[[#This Row],[REC]],Table46[REC])</f>
        <v>23</v>
      </c>
      <c r="X11" s="89">
        <f>_xlfn.RANK.AVG(Table46[[#This Row],[Y]],Table46[Y])</f>
        <v>7</v>
      </c>
      <c r="Y11" s="89">
        <f>_xlfn.RANK.AVG(Table46[[#This Row],[R+R]],Table46[R+R])</f>
        <v>14</v>
      </c>
      <c r="Z11" s="89">
        <f>_xlfn.RANK.AVG(Table46[[#This Row],[TD]],Table46[TD])</f>
        <v>9</v>
      </c>
    </row>
    <row r="12" spans="5:26" ht="14.5" customHeight="1" x14ac:dyDescent="0.35">
      <c r="E12" s="89">
        <f>_xlfn.RANK.AVG(Table14[[#This Row],[P]],Table14[P])</f>
        <v>9</v>
      </c>
      <c r="F12" s="89">
        <f>_xlfn.RANK.AVG(Table14[[#This Row],[R]],Table14[R])</f>
        <v>19</v>
      </c>
      <c r="G12" s="89">
        <f>_xlfn.RANK.AVG(Table14[[#This Row],[P+R]],Table14[P+R])</f>
        <v>14</v>
      </c>
      <c r="H12" s="89">
        <f>_xlfn.RANK.AVG(Table14[[#This Row],[P TD]],Table14[P TD])</f>
        <v>26</v>
      </c>
      <c r="I12" s="89">
        <f>_xlfn.RANK.AVG(Table14[[#This Row],[TD]],Table14[TD])</f>
        <v>18</v>
      </c>
      <c r="J12" s="105" t="s">
        <v>34</v>
      </c>
      <c r="K12" s="22">
        <v>241.88235294117646</v>
      </c>
      <c r="L12" s="22">
        <v>19</v>
      </c>
      <c r="M12" s="22">
        <v>260.88235294117646</v>
      </c>
      <c r="N12" s="22">
        <v>1.2941176470588236</v>
      </c>
      <c r="O12" s="22">
        <v>0.17647058823529413</v>
      </c>
      <c r="P12" s="23" t="s">
        <v>34</v>
      </c>
      <c r="Q12" s="22">
        <v>76.17647058823529</v>
      </c>
      <c r="R12" s="22">
        <v>5</v>
      </c>
      <c r="S12" s="22">
        <v>38.294117647058826</v>
      </c>
      <c r="T12" s="22">
        <v>114.47058823529412</v>
      </c>
      <c r="U12" s="100">
        <v>0.76470588235294112</v>
      </c>
      <c r="V12" s="89">
        <f>_xlfn.RANK.AVG(Table46[[#This Row],[R]],Table46[R])</f>
        <v>28</v>
      </c>
      <c r="W12" s="89">
        <f>_xlfn.RANK.AVG(Table46[[#This Row],[REC]],Table46[REC])</f>
        <v>6.5</v>
      </c>
      <c r="X12" s="89">
        <f>_xlfn.RANK.AVG(Table46[[#This Row],[Y]],Table46[Y])</f>
        <v>6</v>
      </c>
      <c r="Y12" s="89">
        <f>_xlfn.RANK.AVG(Table46[[#This Row],[R+R]],Table46[R+R])</f>
        <v>24.5</v>
      </c>
      <c r="Z12" s="89">
        <f>_xlfn.RANK.AVG(Table46[[#This Row],[TD]],Table46[TD])</f>
        <v>21.5</v>
      </c>
    </row>
    <row r="13" spans="5:26" ht="14.5" customHeight="1" x14ac:dyDescent="0.35">
      <c r="E13" s="89">
        <f>_xlfn.RANK.AVG(Table14[[#This Row],[P]],Table14[P])</f>
        <v>5</v>
      </c>
      <c r="F13" s="89">
        <f>_xlfn.RANK.AVG(Table14[[#This Row],[R]],Table14[R])</f>
        <v>5</v>
      </c>
      <c r="G13" s="89">
        <f>_xlfn.RANK.AVG(Table14[[#This Row],[P+R]],Table14[P+R])</f>
        <v>3</v>
      </c>
      <c r="H13" s="89">
        <f>_xlfn.RANK.AVG(Table14[[#This Row],[P TD]],Table14[P TD])</f>
        <v>30.5</v>
      </c>
      <c r="I13" s="89">
        <f>_xlfn.RANK.AVG(Table14[[#This Row],[TD]],Table14[TD])</f>
        <v>4.5</v>
      </c>
      <c r="J13" s="104" t="s">
        <v>35</v>
      </c>
      <c r="K13" s="22">
        <v>259.05882352941177</v>
      </c>
      <c r="L13" s="22">
        <v>26.705882352941178</v>
      </c>
      <c r="M13" s="22">
        <v>285.76470588235293</v>
      </c>
      <c r="N13" s="22">
        <v>1.0588235294117647</v>
      </c>
      <c r="O13" s="22">
        <v>0.35294117647058826</v>
      </c>
      <c r="P13" s="21" t="s">
        <v>35</v>
      </c>
      <c r="Q13" s="22">
        <v>68.647058823529406</v>
      </c>
      <c r="R13" s="22">
        <v>3.5882352941176472</v>
      </c>
      <c r="S13" s="22">
        <v>34.823529411764703</v>
      </c>
      <c r="T13" s="22">
        <v>103.47058823529412</v>
      </c>
      <c r="U13" s="100">
        <v>0.82352941176470584</v>
      </c>
      <c r="V13" s="89">
        <f>_xlfn.RANK.AVG(Table46[[#This Row],[R]],Table46[R])</f>
        <v>30</v>
      </c>
      <c r="W13" s="89">
        <f>_xlfn.RANK.AVG(Table46[[#This Row],[REC]],Table46[REC])</f>
        <v>28</v>
      </c>
      <c r="X13" s="89">
        <f>_xlfn.RANK.AVG(Table46[[#This Row],[Y]],Table46[Y])</f>
        <v>12.5</v>
      </c>
      <c r="Y13" s="89">
        <f>_xlfn.RANK.AVG(Table46[[#This Row],[R+R]],Table46[R+R])</f>
        <v>30.5</v>
      </c>
      <c r="Z13" s="89">
        <f>_xlfn.RANK.AVG(Table46[[#This Row],[TD]],Table46[TD])</f>
        <v>19.5</v>
      </c>
    </row>
    <row r="14" spans="5:26" ht="14.5" customHeight="1" x14ac:dyDescent="0.35">
      <c r="E14" s="89">
        <f>_xlfn.RANK.AVG(Table14[[#This Row],[P]],Table14[P])</f>
        <v>18.5</v>
      </c>
      <c r="F14" s="89">
        <f>_xlfn.RANK.AVG(Table14[[#This Row],[R]],Table14[R])</f>
        <v>24</v>
      </c>
      <c r="G14" s="89">
        <f>_xlfn.RANK.AVG(Table14[[#This Row],[P+R]],Table14[P+R])</f>
        <v>21</v>
      </c>
      <c r="H14" s="89">
        <f>_xlfn.RANK.AVG(Table14[[#This Row],[P TD]],Table14[P TD])</f>
        <v>23</v>
      </c>
      <c r="I14" s="89">
        <f>_xlfn.RANK.AVG(Table14[[#This Row],[TD]],Table14[TD])</f>
        <v>29</v>
      </c>
      <c r="J14" s="105" t="s">
        <v>36</v>
      </c>
      <c r="K14" s="22">
        <v>232.88235294117646</v>
      </c>
      <c r="L14" s="22">
        <v>15.764705882352942</v>
      </c>
      <c r="M14" s="22">
        <v>248.64705882352942</v>
      </c>
      <c r="N14" s="22">
        <v>1.3529411764705883</v>
      </c>
      <c r="O14" s="22">
        <v>5.8823529411764705E-2</v>
      </c>
      <c r="P14" s="23" t="s">
        <v>36</v>
      </c>
      <c r="Q14" s="22">
        <v>88.176470588235304</v>
      </c>
      <c r="R14" s="22">
        <v>5.3529411764705879</v>
      </c>
      <c r="S14" s="22">
        <v>40.352941176470587</v>
      </c>
      <c r="T14" s="22">
        <v>128.52941176470588</v>
      </c>
      <c r="U14" s="100">
        <v>0.88235294117647056</v>
      </c>
      <c r="V14" s="89">
        <f>_xlfn.RANK.AVG(Table46[[#This Row],[R]],Table46[R])</f>
        <v>20</v>
      </c>
      <c r="W14" s="89">
        <f>_xlfn.RANK.AVG(Table46[[#This Row],[REC]],Table46[REC])</f>
        <v>3</v>
      </c>
      <c r="X14" s="89">
        <f>_xlfn.RANK.AVG(Table46[[#This Row],[Y]],Table46[Y])</f>
        <v>3</v>
      </c>
      <c r="Y14" s="89">
        <f>_xlfn.RANK.AVG(Table46[[#This Row],[R+R]],Table46[R+R])</f>
        <v>15</v>
      </c>
      <c r="Z14" s="89">
        <f>_xlfn.RANK.AVG(Table46[[#This Row],[TD]],Table46[TD])</f>
        <v>17</v>
      </c>
    </row>
    <row r="15" spans="5:26" ht="14.5" customHeight="1" x14ac:dyDescent="0.35">
      <c r="E15" s="89">
        <f>_xlfn.RANK.AVG(Table14[[#This Row],[P]],Table14[P])</f>
        <v>26</v>
      </c>
      <c r="F15" s="89">
        <f>_xlfn.RANK.AVG(Table14[[#This Row],[R]],Table14[R])</f>
        <v>14</v>
      </c>
      <c r="G15" s="89">
        <f>_xlfn.RANK.AVG(Table14[[#This Row],[P+R]],Table14[P+R])</f>
        <v>25</v>
      </c>
      <c r="H15" s="89">
        <f>_xlfn.RANK.AVG(Table14[[#This Row],[P TD]],Table14[P TD])</f>
        <v>4</v>
      </c>
      <c r="I15" s="89">
        <f>_xlfn.RANK.AVG(Table14[[#This Row],[TD]],Table14[TD])</f>
        <v>18</v>
      </c>
      <c r="J15" s="104" t="s">
        <v>37</v>
      </c>
      <c r="K15" s="22">
        <v>221.05882352941177</v>
      </c>
      <c r="L15" s="22">
        <v>23.529411764705884</v>
      </c>
      <c r="M15" s="22">
        <v>244.58823529411765</v>
      </c>
      <c r="N15" s="22">
        <v>1.8235294117647058</v>
      </c>
      <c r="O15" s="22">
        <v>0.17647058823529413</v>
      </c>
      <c r="P15" s="21" t="s">
        <v>37</v>
      </c>
      <c r="Q15" s="22">
        <v>86.235294117647072</v>
      </c>
      <c r="R15" s="22">
        <v>3.8235294117647061</v>
      </c>
      <c r="S15" s="22">
        <v>28.235294117647058</v>
      </c>
      <c r="T15" s="22">
        <v>114.47058823529412</v>
      </c>
      <c r="U15" s="100">
        <v>0.58823529411764708</v>
      </c>
      <c r="V15" s="89">
        <f>_xlfn.RANK.AVG(Table46[[#This Row],[R]],Table46[R])</f>
        <v>23</v>
      </c>
      <c r="W15" s="89">
        <f>_xlfn.RANK.AVG(Table46[[#This Row],[REC]],Table46[REC])</f>
        <v>25</v>
      </c>
      <c r="X15" s="89">
        <f>_xlfn.RANK.AVG(Table46[[#This Row],[Y]],Table46[Y])</f>
        <v>23</v>
      </c>
      <c r="Y15" s="89">
        <f>_xlfn.RANK.AVG(Table46[[#This Row],[R+R]],Table46[R+R])</f>
        <v>24.5</v>
      </c>
      <c r="Z15" s="89">
        <f>_xlfn.RANK.AVG(Table46[[#This Row],[TD]],Table46[TD])</f>
        <v>28.5</v>
      </c>
    </row>
    <row r="16" spans="5:26" ht="14.5" customHeight="1" x14ac:dyDescent="0.35">
      <c r="E16" s="89">
        <f>_xlfn.RANK.AVG(Table14[[#This Row],[P]],Table14[P])</f>
        <v>8</v>
      </c>
      <c r="F16" s="89">
        <f>_xlfn.RANK.AVG(Table14[[#This Row],[R]],Table14[R])</f>
        <v>20</v>
      </c>
      <c r="G16" s="89">
        <f>_xlfn.RANK.AVG(Table14[[#This Row],[P+R]],Table14[P+R])</f>
        <v>12</v>
      </c>
      <c r="H16" s="89">
        <f>_xlfn.RANK.AVG(Table14[[#This Row],[P TD]],Table14[P TD])</f>
        <v>12.5</v>
      </c>
      <c r="I16" s="89">
        <f>_xlfn.RANK.AVG(Table14[[#This Row],[TD]],Table14[TD])</f>
        <v>12</v>
      </c>
      <c r="J16" s="105" t="s">
        <v>38</v>
      </c>
      <c r="K16" s="22">
        <v>243.64705882352942</v>
      </c>
      <c r="L16" s="22">
        <v>18.941176470588236</v>
      </c>
      <c r="M16" s="22">
        <v>262.58823529411762</v>
      </c>
      <c r="N16" s="22">
        <v>1.588235294117647</v>
      </c>
      <c r="O16" s="22">
        <v>0.23529411764705882</v>
      </c>
      <c r="P16" s="23" t="s">
        <v>38</v>
      </c>
      <c r="Q16" s="22">
        <v>107.11764705882354</v>
      </c>
      <c r="R16" s="22">
        <v>4.7058823529411766</v>
      </c>
      <c r="S16" s="22">
        <v>34.588235294117645</v>
      </c>
      <c r="T16" s="22">
        <v>141.70588235294119</v>
      </c>
      <c r="U16" s="100">
        <v>0.94117647058823528</v>
      </c>
      <c r="V16" s="89">
        <f>_xlfn.RANK.AVG(Table46[[#This Row],[R]],Table46[R])</f>
        <v>7</v>
      </c>
      <c r="W16" s="89">
        <f>_xlfn.RANK.AVG(Table46[[#This Row],[REC]],Table46[REC])</f>
        <v>11</v>
      </c>
      <c r="X16" s="89">
        <f>_xlfn.RANK.AVG(Table46[[#This Row],[Y]],Table46[Y])</f>
        <v>14.5</v>
      </c>
      <c r="Y16" s="89">
        <f>_xlfn.RANK.AVG(Table46[[#This Row],[R+R]],Table46[R+R])</f>
        <v>5</v>
      </c>
      <c r="Z16" s="89">
        <f>_xlfn.RANK.AVG(Table46[[#This Row],[TD]],Table46[TD])</f>
        <v>13</v>
      </c>
    </row>
    <row r="17" spans="5:26" ht="14.5" customHeight="1" x14ac:dyDescent="0.35">
      <c r="E17" s="89">
        <f>_xlfn.RANK.AVG(Table14[[#This Row],[P]],Table14[P])</f>
        <v>1</v>
      </c>
      <c r="F17" s="89">
        <f>_xlfn.RANK.AVG(Table14[[#This Row],[R]],Table14[R])</f>
        <v>11</v>
      </c>
      <c r="G17" s="89">
        <f>_xlfn.RANK.AVG(Table14[[#This Row],[P+R]],Table14[P+R])</f>
        <v>1</v>
      </c>
      <c r="H17" s="89">
        <f>_xlfn.RANK.AVG(Table14[[#This Row],[P TD]],Table14[P TD])</f>
        <v>7</v>
      </c>
      <c r="I17" s="89">
        <f>_xlfn.RANK.AVG(Table14[[#This Row],[TD]],Table14[TD])</f>
        <v>24</v>
      </c>
      <c r="J17" s="104" t="s">
        <v>39</v>
      </c>
      <c r="K17" s="22">
        <v>270.88235294117646</v>
      </c>
      <c r="L17" s="22">
        <v>24.647058823529413</v>
      </c>
      <c r="M17" s="22">
        <v>295.52941176470586</v>
      </c>
      <c r="N17" s="22">
        <v>1.7058823529411764</v>
      </c>
      <c r="O17" s="22">
        <v>0.11764705882352941</v>
      </c>
      <c r="P17" s="21" t="s">
        <v>39</v>
      </c>
      <c r="Q17" s="22">
        <v>105.88235294117646</v>
      </c>
      <c r="R17" s="22">
        <v>5.1764705882352944</v>
      </c>
      <c r="S17" s="22">
        <v>41.176470588235297</v>
      </c>
      <c r="T17" s="22">
        <v>147.05882352941177</v>
      </c>
      <c r="U17" s="100">
        <v>1.1764705882352942</v>
      </c>
      <c r="V17" s="89">
        <f>_xlfn.RANK.AVG(Table46[[#This Row],[R]],Table46[R])</f>
        <v>8</v>
      </c>
      <c r="W17" s="89">
        <f>_xlfn.RANK.AVG(Table46[[#This Row],[REC]],Table46[REC])</f>
        <v>4</v>
      </c>
      <c r="X17" s="89">
        <f>_xlfn.RANK.AVG(Table46[[#This Row],[Y]],Table46[Y])</f>
        <v>2</v>
      </c>
      <c r="Y17" s="89">
        <f>_xlfn.RANK.AVG(Table46[[#This Row],[R+R]],Table46[R+R])</f>
        <v>4</v>
      </c>
      <c r="Z17" s="89">
        <f>_xlfn.RANK.AVG(Table46[[#This Row],[TD]],Table46[TD])</f>
        <v>4.5</v>
      </c>
    </row>
    <row r="18" spans="5:26" ht="14.5" customHeight="1" x14ac:dyDescent="0.35">
      <c r="E18" s="89">
        <f>_xlfn.RANK.AVG(Table14[[#This Row],[P]],Table14[P])</f>
        <v>17</v>
      </c>
      <c r="F18" s="89">
        <f>_xlfn.RANK.AVG(Table14[[#This Row],[R]],Table14[R])</f>
        <v>8.5</v>
      </c>
      <c r="G18" s="89">
        <f>_xlfn.RANK.AVG(Table14[[#This Row],[P+R]],Table14[P+R])</f>
        <v>15</v>
      </c>
      <c r="H18" s="89">
        <f>_xlfn.RANK.AVG(Table14[[#This Row],[P TD]],Table14[P TD])</f>
        <v>20</v>
      </c>
      <c r="I18" s="89">
        <f>_xlfn.RANK.AVG(Table14[[#This Row],[TD]],Table14[TD])</f>
        <v>12</v>
      </c>
      <c r="J18" s="105" t="s">
        <v>40</v>
      </c>
      <c r="K18" s="22">
        <v>233.52941176470588</v>
      </c>
      <c r="L18" s="22">
        <v>25.529411764705884</v>
      </c>
      <c r="M18" s="22">
        <v>259.05882352941177</v>
      </c>
      <c r="N18" s="22">
        <v>1.411764705882353</v>
      </c>
      <c r="O18" s="22">
        <v>0.23529411764705882</v>
      </c>
      <c r="P18" s="23" t="s">
        <v>40</v>
      </c>
      <c r="Q18" s="22">
        <v>70.411764705882348</v>
      </c>
      <c r="R18" s="22">
        <v>3.6470588235294117</v>
      </c>
      <c r="S18" s="22">
        <v>24.705882352941178</v>
      </c>
      <c r="T18" s="22">
        <v>95.117647058823536</v>
      </c>
      <c r="U18" s="100">
        <v>0.52941176470588236</v>
      </c>
      <c r="V18" s="89">
        <f>_xlfn.RANK.AVG(Table46[[#This Row],[R]],Table46[R])</f>
        <v>29</v>
      </c>
      <c r="W18" s="89">
        <f>_xlfn.RANK.AVG(Table46[[#This Row],[REC]],Table46[REC])</f>
        <v>26.5</v>
      </c>
      <c r="X18" s="89">
        <f>_xlfn.RANK.AVG(Table46[[#This Row],[Y]],Table46[Y])</f>
        <v>29</v>
      </c>
      <c r="Y18" s="89">
        <f>_xlfn.RANK.AVG(Table46[[#This Row],[R+R]],Table46[R+R])</f>
        <v>32</v>
      </c>
      <c r="Z18" s="89">
        <f>_xlfn.RANK.AVG(Table46[[#This Row],[TD]],Table46[TD])</f>
        <v>30.5</v>
      </c>
    </row>
    <row r="19" spans="5:26" ht="14.5" customHeight="1" x14ac:dyDescent="0.35">
      <c r="E19" s="89">
        <f>_xlfn.RANK.AVG(Table14[[#This Row],[P]],Table14[P])</f>
        <v>25</v>
      </c>
      <c r="F19" s="89">
        <f>_xlfn.RANK.AVG(Table14[[#This Row],[R]],Table14[R])</f>
        <v>12</v>
      </c>
      <c r="G19" s="89">
        <f>_xlfn.RANK.AVG(Table14[[#This Row],[P+R]],Table14[P+R])</f>
        <v>24</v>
      </c>
      <c r="H19" s="89">
        <f>_xlfn.RANK.AVG(Table14[[#This Row],[P TD]],Table14[P TD])</f>
        <v>20</v>
      </c>
      <c r="I19" s="89">
        <f>_xlfn.RANK.AVG(Table14[[#This Row],[TD]],Table14[TD])</f>
        <v>18</v>
      </c>
      <c r="J19" s="104" t="s">
        <v>41</v>
      </c>
      <c r="K19" s="22">
        <v>221.29411764705881</v>
      </c>
      <c r="L19" s="22">
        <v>24.235294117647058</v>
      </c>
      <c r="M19" s="22">
        <v>245.52941176470588</v>
      </c>
      <c r="N19" s="22">
        <v>1.411764705882353</v>
      </c>
      <c r="O19" s="22">
        <v>0.17647058823529413</v>
      </c>
      <c r="P19" s="21" t="s">
        <v>41</v>
      </c>
      <c r="Q19" s="22">
        <v>92.705882352941174</v>
      </c>
      <c r="R19" s="22">
        <v>5</v>
      </c>
      <c r="S19" s="22">
        <v>28.294117647058822</v>
      </c>
      <c r="T19" s="22">
        <v>121</v>
      </c>
      <c r="U19" s="100">
        <v>0.52941176470588236</v>
      </c>
      <c r="V19" s="89">
        <f>_xlfn.RANK.AVG(Table46[[#This Row],[R]],Table46[R])</f>
        <v>18</v>
      </c>
      <c r="W19" s="89">
        <f>_xlfn.RANK.AVG(Table46[[#This Row],[REC]],Table46[REC])</f>
        <v>6.5</v>
      </c>
      <c r="X19" s="89">
        <f>_xlfn.RANK.AVG(Table46[[#This Row],[Y]],Table46[Y])</f>
        <v>22</v>
      </c>
      <c r="Y19" s="89">
        <f>_xlfn.RANK.AVG(Table46[[#This Row],[R+R]],Table46[R+R])</f>
        <v>20</v>
      </c>
      <c r="Z19" s="89">
        <f>_xlfn.RANK.AVG(Table46[[#This Row],[TD]],Table46[TD])</f>
        <v>30.5</v>
      </c>
    </row>
    <row r="20" spans="5:26" ht="14.5" customHeight="1" x14ac:dyDescent="0.35">
      <c r="E20" s="89">
        <f>_xlfn.RANK.AVG(Table14[[#This Row],[P]],Table14[P])</f>
        <v>10</v>
      </c>
      <c r="F20" s="89">
        <f>_xlfn.RANK.AVG(Table14[[#This Row],[R]],Table14[R])</f>
        <v>15</v>
      </c>
      <c r="G20" s="89">
        <f>_xlfn.RANK.AVG(Table14[[#This Row],[P+R]],Table14[P+R])</f>
        <v>11</v>
      </c>
      <c r="H20" s="89">
        <f>_xlfn.RANK.AVG(Table14[[#This Row],[P TD]],Table14[P TD])</f>
        <v>7</v>
      </c>
      <c r="I20" s="89">
        <f>_xlfn.RANK.AVG(Table14[[#This Row],[TD]],Table14[TD])</f>
        <v>18</v>
      </c>
      <c r="J20" s="105" t="s">
        <v>42</v>
      </c>
      <c r="K20" s="22">
        <v>241.23529411764707</v>
      </c>
      <c r="L20" s="22">
        <v>21.705882352941178</v>
      </c>
      <c r="M20" s="22">
        <v>262.94117647058823</v>
      </c>
      <c r="N20" s="22">
        <v>1.7058823529411764</v>
      </c>
      <c r="O20" s="22">
        <v>0.17647058823529413</v>
      </c>
      <c r="P20" s="23" t="s">
        <v>42</v>
      </c>
      <c r="Q20" s="22">
        <v>101.76470588235294</v>
      </c>
      <c r="R20" s="22">
        <v>4.1764705882352944</v>
      </c>
      <c r="S20" s="22">
        <v>34.235294117647058</v>
      </c>
      <c r="T20" s="22">
        <v>136</v>
      </c>
      <c r="U20" s="100">
        <v>0.58823529411764708</v>
      </c>
      <c r="V20" s="89">
        <f>_xlfn.RANK.AVG(Table46[[#This Row],[R]],Table46[R])</f>
        <v>12</v>
      </c>
      <c r="W20" s="89">
        <f>_xlfn.RANK.AVG(Table46[[#This Row],[REC]],Table46[REC])</f>
        <v>20</v>
      </c>
      <c r="X20" s="89">
        <f>_xlfn.RANK.AVG(Table46[[#This Row],[Y]],Table46[Y])</f>
        <v>16</v>
      </c>
      <c r="Y20" s="89">
        <f>_xlfn.RANK.AVG(Table46[[#This Row],[R+R]],Table46[R+R])</f>
        <v>13</v>
      </c>
      <c r="Z20" s="89">
        <f>_xlfn.RANK.AVG(Table46[[#This Row],[TD]],Table46[TD])</f>
        <v>28.5</v>
      </c>
    </row>
    <row r="21" spans="5:26" ht="14.5" customHeight="1" x14ac:dyDescent="0.35">
      <c r="E21" s="89">
        <f>_xlfn.RANK.AVG(Table14[[#This Row],[P]],Table14[P])</f>
        <v>16</v>
      </c>
      <c r="F21" s="89">
        <f>_xlfn.RANK.AVG(Table14[[#This Row],[R]],Table14[R])</f>
        <v>22</v>
      </c>
      <c r="G21" s="89">
        <f>_xlfn.RANK.AVG(Table14[[#This Row],[P+R]],Table14[P+R])</f>
        <v>18.5</v>
      </c>
      <c r="H21" s="89">
        <f>_xlfn.RANK.AVG(Table14[[#This Row],[P TD]],Table14[P TD])</f>
        <v>7</v>
      </c>
      <c r="I21" s="89">
        <f>_xlfn.RANK.AVG(Table14[[#This Row],[TD]],Table14[TD])</f>
        <v>18</v>
      </c>
      <c r="J21" s="104" t="s">
        <v>43</v>
      </c>
      <c r="K21" s="22">
        <v>234.64705882352942</v>
      </c>
      <c r="L21" s="22">
        <v>16.647058823529413</v>
      </c>
      <c r="M21" s="22">
        <v>251.29411764705881</v>
      </c>
      <c r="N21" s="22">
        <v>1.7058823529411764</v>
      </c>
      <c r="O21" s="22">
        <v>0.17647058823529413</v>
      </c>
      <c r="P21" s="21" t="s">
        <v>43</v>
      </c>
      <c r="Q21" s="22">
        <v>96.588235294117652</v>
      </c>
      <c r="R21" s="22">
        <v>4.2352941176470589</v>
      </c>
      <c r="S21" s="22">
        <v>28.117647058823529</v>
      </c>
      <c r="T21" s="22">
        <v>124.70588235294117</v>
      </c>
      <c r="U21" s="100">
        <v>0.88235294117647056</v>
      </c>
      <c r="V21" s="89">
        <f>_xlfn.RANK.AVG(Table46[[#This Row],[R]],Table46[R])</f>
        <v>15</v>
      </c>
      <c r="W21" s="89">
        <f>_xlfn.RANK.AVG(Table46[[#This Row],[REC]],Table46[REC])</f>
        <v>19</v>
      </c>
      <c r="X21" s="89">
        <f>_xlfn.RANK.AVG(Table46[[#This Row],[Y]],Table46[Y])</f>
        <v>24</v>
      </c>
      <c r="Y21" s="89">
        <f>_xlfn.RANK.AVG(Table46[[#This Row],[R+R]],Table46[R+R])</f>
        <v>18</v>
      </c>
      <c r="Z21" s="89">
        <f>_xlfn.RANK.AVG(Table46[[#This Row],[TD]],Table46[TD])</f>
        <v>17</v>
      </c>
    </row>
    <row r="22" spans="5:26" ht="14.5" customHeight="1" x14ac:dyDescent="0.35">
      <c r="E22" s="89">
        <f>_xlfn.RANK.AVG(Table14[[#This Row],[P]],Table14[P])</f>
        <v>24</v>
      </c>
      <c r="F22" s="89">
        <f>_xlfn.RANK.AVG(Table14[[#This Row],[R]],Table14[R])</f>
        <v>31</v>
      </c>
      <c r="G22" s="89">
        <f>_xlfn.RANK.AVG(Table14[[#This Row],[P+R]],Table14[P+R])</f>
        <v>26</v>
      </c>
      <c r="H22" s="89">
        <f>_xlfn.RANK.AVG(Table14[[#This Row],[P TD]],Table14[P TD])</f>
        <v>26</v>
      </c>
      <c r="I22" s="89">
        <f>_xlfn.RANK.AVG(Table14[[#This Row],[TD]],Table14[TD])</f>
        <v>32</v>
      </c>
      <c r="J22" s="105" t="s">
        <v>44</v>
      </c>
      <c r="K22" s="22">
        <v>225.23529411764707</v>
      </c>
      <c r="L22" s="22">
        <v>10.352941176470589</v>
      </c>
      <c r="M22" s="22">
        <v>235.58823529411765</v>
      </c>
      <c r="N22" s="22">
        <v>1.2941176470588236</v>
      </c>
      <c r="O22" s="22">
        <v>0</v>
      </c>
      <c r="P22" s="23" t="s">
        <v>44</v>
      </c>
      <c r="Q22" s="22">
        <v>86.294117647058826</v>
      </c>
      <c r="R22" s="22">
        <v>4.117647058823529</v>
      </c>
      <c r="S22" s="22">
        <v>33.529411764705884</v>
      </c>
      <c r="T22" s="22">
        <v>119.82352941176471</v>
      </c>
      <c r="U22" s="100">
        <v>0.94117647058823528</v>
      </c>
      <c r="V22" s="89">
        <f>_xlfn.RANK.AVG(Table46[[#This Row],[R]],Table46[R])</f>
        <v>22</v>
      </c>
      <c r="W22" s="89">
        <f>_xlfn.RANK.AVG(Table46[[#This Row],[REC]],Table46[REC])</f>
        <v>21.5</v>
      </c>
      <c r="X22" s="89">
        <f>_xlfn.RANK.AVG(Table46[[#This Row],[Y]],Table46[Y])</f>
        <v>17</v>
      </c>
      <c r="Y22" s="89">
        <f>_xlfn.RANK.AVG(Table46[[#This Row],[R+R]],Table46[R+R])</f>
        <v>21</v>
      </c>
      <c r="Z22" s="89">
        <f>_xlfn.RANK.AVG(Table46[[#This Row],[TD]],Table46[TD])</f>
        <v>13</v>
      </c>
    </row>
    <row r="23" spans="5:26" ht="14.5" customHeight="1" x14ac:dyDescent="0.35">
      <c r="E23" s="89">
        <f>_xlfn.RANK.AVG(Table14[[#This Row],[P]],Table14[P])</f>
        <v>4</v>
      </c>
      <c r="F23" s="89">
        <f>_xlfn.RANK.AVG(Table14[[#This Row],[R]],Table14[R])</f>
        <v>32</v>
      </c>
      <c r="G23" s="89">
        <f>_xlfn.RANK.AVG(Table14[[#This Row],[P+R]],Table14[P+R])</f>
        <v>6</v>
      </c>
      <c r="H23" s="89">
        <f>_xlfn.RANK.AVG(Table14[[#This Row],[P TD]],Table14[P TD])</f>
        <v>20</v>
      </c>
      <c r="I23" s="89">
        <f>_xlfn.RANK.AVG(Table14[[#This Row],[TD]],Table14[TD])</f>
        <v>29</v>
      </c>
      <c r="J23" s="104" t="s">
        <v>45</v>
      </c>
      <c r="K23" s="22">
        <v>262.29411764705884</v>
      </c>
      <c r="L23" s="22">
        <v>9.4117647058823533</v>
      </c>
      <c r="M23" s="22">
        <v>271.70588235294116</v>
      </c>
      <c r="N23" s="22">
        <v>1.411764705882353</v>
      </c>
      <c r="O23" s="22">
        <v>5.8823529411764705E-2</v>
      </c>
      <c r="P23" s="21" t="s">
        <v>45</v>
      </c>
      <c r="Q23" s="22">
        <v>79.35294117647058</v>
      </c>
      <c r="R23" s="22">
        <v>4.2941176470588234</v>
      </c>
      <c r="S23" s="22">
        <v>27.294117647058822</v>
      </c>
      <c r="T23" s="22">
        <v>106.64705882352941</v>
      </c>
      <c r="U23" s="100">
        <v>0.82352941176470584</v>
      </c>
      <c r="V23" s="89">
        <f>_xlfn.RANK.AVG(Table46[[#This Row],[R]],Table46[R])</f>
        <v>27</v>
      </c>
      <c r="W23" s="89">
        <f>_xlfn.RANK.AVG(Table46[[#This Row],[REC]],Table46[REC])</f>
        <v>17</v>
      </c>
      <c r="X23" s="89">
        <f>_xlfn.RANK.AVG(Table46[[#This Row],[Y]],Table46[Y])</f>
        <v>27</v>
      </c>
      <c r="Y23" s="89">
        <f>_xlfn.RANK.AVG(Table46[[#This Row],[R+R]],Table46[R+R])</f>
        <v>29</v>
      </c>
      <c r="Z23" s="89">
        <f>_xlfn.RANK.AVG(Table46[[#This Row],[TD]],Table46[TD])</f>
        <v>19.5</v>
      </c>
    </row>
    <row r="24" spans="5:26" ht="14.5" customHeight="1" x14ac:dyDescent="0.35">
      <c r="E24" s="89">
        <f>_xlfn.RANK.AVG(Table14[[#This Row],[P]],Table14[P])</f>
        <v>27</v>
      </c>
      <c r="F24" s="89">
        <f>_xlfn.RANK.AVG(Table14[[#This Row],[R]],Table14[R])</f>
        <v>28</v>
      </c>
      <c r="G24" s="89">
        <f>_xlfn.RANK.AVG(Table14[[#This Row],[P+R]],Table14[P+R])</f>
        <v>27</v>
      </c>
      <c r="H24" s="89">
        <f>_xlfn.RANK.AVG(Table14[[#This Row],[P TD]],Table14[P TD])</f>
        <v>12.5</v>
      </c>
      <c r="I24" s="89">
        <f>_xlfn.RANK.AVG(Table14[[#This Row],[TD]],Table14[TD])</f>
        <v>29</v>
      </c>
      <c r="J24" s="105" t="s">
        <v>46</v>
      </c>
      <c r="K24" s="22">
        <v>220.52941176470588</v>
      </c>
      <c r="L24" s="22">
        <v>13.588235294117647</v>
      </c>
      <c r="M24" s="22">
        <v>234.11764705882354</v>
      </c>
      <c r="N24" s="22">
        <v>1.588235294117647</v>
      </c>
      <c r="O24" s="22">
        <v>5.8823529411764705E-2</v>
      </c>
      <c r="P24" s="23" t="s">
        <v>46</v>
      </c>
      <c r="Q24" s="22">
        <v>116</v>
      </c>
      <c r="R24" s="22">
        <v>3.2352941176470589</v>
      </c>
      <c r="S24" s="22">
        <v>23.588235294117649</v>
      </c>
      <c r="T24" s="22">
        <v>139.58823529411765</v>
      </c>
      <c r="U24" s="100">
        <v>1.2352941176470589</v>
      </c>
      <c r="V24" s="89">
        <f>_xlfn.RANK.AVG(Table46[[#This Row],[R]],Table46[R])</f>
        <v>3</v>
      </c>
      <c r="W24" s="89">
        <f>_xlfn.RANK.AVG(Table46[[#This Row],[REC]],Table46[REC])</f>
        <v>30</v>
      </c>
      <c r="X24" s="89">
        <f>_xlfn.RANK.AVG(Table46[[#This Row],[Y]],Table46[Y])</f>
        <v>30.5</v>
      </c>
      <c r="Y24" s="89">
        <f>_xlfn.RANK.AVG(Table46[[#This Row],[R+R]],Table46[R+R])</f>
        <v>8</v>
      </c>
      <c r="Z24" s="89">
        <f>_xlfn.RANK.AVG(Table46[[#This Row],[TD]],Table46[TD])</f>
        <v>2.5</v>
      </c>
    </row>
    <row r="25" spans="5:26" ht="14.5" customHeight="1" x14ac:dyDescent="0.35">
      <c r="E25" s="89">
        <f>_xlfn.RANK.AVG(Table14[[#This Row],[P]],Table14[P])</f>
        <v>6</v>
      </c>
      <c r="F25" s="89">
        <f>_xlfn.RANK.AVG(Table14[[#This Row],[R]],Table14[R])</f>
        <v>8.5</v>
      </c>
      <c r="G25" s="89">
        <f>_xlfn.RANK.AVG(Table14[[#This Row],[P+R]],Table14[P+R])</f>
        <v>4</v>
      </c>
      <c r="H25" s="89">
        <f>_xlfn.RANK.AVG(Table14[[#This Row],[P TD]],Table14[P TD])</f>
        <v>29</v>
      </c>
      <c r="I25" s="89">
        <f>_xlfn.RANK.AVG(Table14[[#This Row],[TD]],Table14[TD])</f>
        <v>29</v>
      </c>
      <c r="J25" s="104" t="s">
        <v>47</v>
      </c>
      <c r="K25" s="22">
        <v>252.64705882352942</v>
      </c>
      <c r="L25" s="22">
        <v>25.529411764705884</v>
      </c>
      <c r="M25" s="22">
        <v>278.1764705882353</v>
      </c>
      <c r="N25" s="22">
        <v>1.1176470588235294</v>
      </c>
      <c r="O25" s="22">
        <v>5.8823529411764705E-2</v>
      </c>
      <c r="P25" s="21" t="s">
        <v>47</v>
      </c>
      <c r="Q25" s="22">
        <v>110</v>
      </c>
      <c r="R25" s="22">
        <v>3.9411764705882355</v>
      </c>
      <c r="S25" s="22">
        <v>29.294117647058822</v>
      </c>
      <c r="T25" s="22">
        <v>139.29411764705881</v>
      </c>
      <c r="U25" s="100">
        <v>1.1176470588235294</v>
      </c>
      <c r="V25" s="89">
        <f>_xlfn.RANK.AVG(Table46[[#This Row],[R]],Table46[R])</f>
        <v>6</v>
      </c>
      <c r="W25" s="89">
        <f>_xlfn.RANK.AVG(Table46[[#This Row],[REC]],Table46[REC])</f>
        <v>24</v>
      </c>
      <c r="X25" s="89">
        <f>_xlfn.RANK.AVG(Table46[[#This Row],[Y]],Table46[Y])</f>
        <v>21</v>
      </c>
      <c r="Y25" s="89">
        <f>_xlfn.RANK.AVG(Table46[[#This Row],[R+R]],Table46[R+R])</f>
        <v>10</v>
      </c>
      <c r="Z25" s="89">
        <f>_xlfn.RANK.AVG(Table46[[#This Row],[TD]],Table46[TD])</f>
        <v>6</v>
      </c>
    </row>
    <row r="26" spans="5:26" ht="14.5" customHeight="1" x14ac:dyDescent="0.35">
      <c r="E26" s="89">
        <f>_xlfn.RANK.AVG(Table14[[#This Row],[P]],Table14[P])</f>
        <v>23</v>
      </c>
      <c r="F26" s="89">
        <f>_xlfn.RANK.AVG(Table14[[#This Row],[R]],Table14[R])</f>
        <v>13</v>
      </c>
      <c r="G26" s="89">
        <f>_xlfn.RANK.AVG(Table14[[#This Row],[P+R]],Table14[P+R])</f>
        <v>18.5</v>
      </c>
      <c r="H26" s="89">
        <f>_xlfn.RANK.AVG(Table14[[#This Row],[P TD]],Table14[P TD])</f>
        <v>23</v>
      </c>
      <c r="I26" s="89">
        <f>_xlfn.RANK.AVG(Table14[[#This Row],[TD]],Table14[TD])</f>
        <v>12</v>
      </c>
      <c r="J26" s="105" t="s">
        <v>48</v>
      </c>
      <c r="K26" s="22">
        <v>227.58823529411765</v>
      </c>
      <c r="L26" s="22">
        <v>23.705882352941178</v>
      </c>
      <c r="M26" s="22">
        <v>251.29411764705881</v>
      </c>
      <c r="N26" s="22">
        <v>1.3529411764705883</v>
      </c>
      <c r="O26" s="22">
        <v>0.23529411764705882</v>
      </c>
      <c r="P26" s="23" t="s">
        <v>48</v>
      </c>
      <c r="Q26" s="22">
        <v>111.1764705882353</v>
      </c>
      <c r="R26" s="22">
        <v>4.7647058823529411</v>
      </c>
      <c r="S26" s="22">
        <v>38.058823529411768</v>
      </c>
      <c r="T26" s="22">
        <v>149.23529411764707</v>
      </c>
      <c r="U26" s="100">
        <v>0.94117647058823528</v>
      </c>
      <c r="V26" s="89">
        <f>_xlfn.RANK.AVG(Table46[[#This Row],[R]],Table46[R])</f>
        <v>5</v>
      </c>
      <c r="W26" s="89">
        <f>_xlfn.RANK.AVG(Table46[[#This Row],[REC]],Table46[REC])</f>
        <v>9</v>
      </c>
      <c r="X26" s="89">
        <f>_xlfn.RANK.AVG(Table46[[#This Row],[Y]],Table46[Y])</f>
        <v>8</v>
      </c>
      <c r="Y26" s="89">
        <f>_xlfn.RANK.AVG(Table46[[#This Row],[R+R]],Table46[R+R])</f>
        <v>3</v>
      </c>
      <c r="Z26" s="89">
        <f>_xlfn.RANK.AVG(Table46[[#This Row],[TD]],Table46[TD])</f>
        <v>13</v>
      </c>
    </row>
    <row r="27" spans="5:26" ht="14.5" customHeight="1" x14ac:dyDescent="0.35">
      <c r="E27" s="89">
        <f>_xlfn.RANK.AVG(Table14[[#This Row],[P]],Table14[P])</f>
        <v>28</v>
      </c>
      <c r="F27" s="89">
        <f>_xlfn.RANK.AVG(Table14[[#This Row],[R]],Table14[R])</f>
        <v>18</v>
      </c>
      <c r="G27" s="89">
        <f>_xlfn.RANK.AVG(Table14[[#This Row],[P+R]],Table14[P+R])</f>
        <v>28</v>
      </c>
      <c r="H27" s="89">
        <f>_xlfn.RANK.AVG(Table14[[#This Row],[P TD]],Table14[P TD])</f>
        <v>30.5</v>
      </c>
      <c r="I27" s="89">
        <f>_xlfn.RANK.AVG(Table14[[#This Row],[TD]],Table14[TD])</f>
        <v>2</v>
      </c>
      <c r="J27" s="104" t="s">
        <v>49</v>
      </c>
      <c r="K27" s="22">
        <v>211.05882352941177</v>
      </c>
      <c r="L27" s="22">
        <v>19.117647058823529</v>
      </c>
      <c r="M27" s="22">
        <v>230.1764705882353</v>
      </c>
      <c r="N27" s="22">
        <v>1.0588235294117647</v>
      </c>
      <c r="O27" s="22">
        <v>0.47058823529411764</v>
      </c>
      <c r="P27" s="21" t="s">
        <v>49</v>
      </c>
      <c r="Q27" s="22">
        <v>98.352941176470594</v>
      </c>
      <c r="R27" s="22">
        <v>3.6470588235294117</v>
      </c>
      <c r="S27" s="22">
        <v>28.058823529411764</v>
      </c>
      <c r="T27" s="22">
        <v>126.41176470588235</v>
      </c>
      <c r="U27" s="100">
        <v>0.6470588235294118</v>
      </c>
      <c r="V27" s="89">
        <f>_xlfn.RANK.AVG(Table46[[#This Row],[R]],Table46[R])</f>
        <v>14</v>
      </c>
      <c r="W27" s="89">
        <f>_xlfn.RANK.AVG(Table46[[#This Row],[REC]],Table46[REC])</f>
        <v>26.5</v>
      </c>
      <c r="X27" s="89">
        <f>_xlfn.RANK.AVG(Table46[[#This Row],[Y]],Table46[Y])</f>
        <v>25</v>
      </c>
      <c r="Y27" s="89">
        <f>_xlfn.RANK.AVG(Table46[[#This Row],[R+R]],Table46[R+R])</f>
        <v>17</v>
      </c>
      <c r="Z27" s="89">
        <f>_xlfn.RANK.AVG(Table46[[#This Row],[TD]],Table46[TD])</f>
        <v>25.5</v>
      </c>
    </row>
    <row r="28" spans="5:26" ht="14.5" customHeight="1" x14ac:dyDescent="0.35">
      <c r="E28" s="89">
        <f>_xlfn.RANK.AVG(Table14[[#This Row],[P]],Table14[P])</f>
        <v>31</v>
      </c>
      <c r="F28" s="89">
        <f>_xlfn.RANK.AVG(Table14[[#This Row],[R]],Table14[R])</f>
        <v>16</v>
      </c>
      <c r="G28" s="89">
        <f>_xlfn.RANK.AVG(Table14[[#This Row],[P+R]],Table14[P+R])</f>
        <v>32</v>
      </c>
      <c r="H28" s="89">
        <f>_xlfn.RANK.AVG(Table14[[#This Row],[P TD]],Table14[P TD])</f>
        <v>26</v>
      </c>
      <c r="I28" s="89">
        <f>_xlfn.RANK.AVG(Table14[[#This Row],[TD]],Table14[TD])</f>
        <v>18</v>
      </c>
      <c r="J28" s="105" t="s">
        <v>50</v>
      </c>
      <c r="K28" s="22">
        <v>192.11764705882354</v>
      </c>
      <c r="L28" s="22">
        <v>20.764705882352942</v>
      </c>
      <c r="M28" s="22">
        <v>212.88235294117646</v>
      </c>
      <c r="N28" s="22">
        <v>1.2941176470588236</v>
      </c>
      <c r="O28" s="22">
        <v>0.17647058823529413</v>
      </c>
      <c r="P28" s="23" t="s">
        <v>50</v>
      </c>
      <c r="Q28" s="22">
        <v>80.411764705882348</v>
      </c>
      <c r="R28" s="22">
        <v>4.2941176470588234</v>
      </c>
      <c r="S28" s="22">
        <v>27.823529411764707</v>
      </c>
      <c r="T28" s="22">
        <v>108.23529411764706</v>
      </c>
      <c r="U28" s="100">
        <v>0.29411764705882354</v>
      </c>
      <c r="V28" s="89">
        <f>_xlfn.RANK.AVG(Table46[[#This Row],[R]],Table46[R])</f>
        <v>26</v>
      </c>
      <c r="W28" s="89">
        <f>_xlfn.RANK.AVG(Table46[[#This Row],[REC]],Table46[REC])</f>
        <v>17</v>
      </c>
      <c r="X28" s="89">
        <f>_xlfn.RANK.AVG(Table46[[#This Row],[Y]],Table46[Y])</f>
        <v>26</v>
      </c>
      <c r="Y28" s="89">
        <f>_xlfn.RANK.AVG(Table46[[#This Row],[R+R]],Table46[R+R])</f>
        <v>27</v>
      </c>
      <c r="Z28" s="89">
        <f>_xlfn.RANK.AVG(Table46[[#This Row],[TD]],Table46[TD])</f>
        <v>32</v>
      </c>
    </row>
    <row r="29" spans="5:26" ht="14.5" customHeight="1" x14ac:dyDescent="0.35">
      <c r="E29" s="89">
        <f>_xlfn.RANK.AVG(Table14[[#This Row],[P]],Table14[P])</f>
        <v>7</v>
      </c>
      <c r="F29" s="89">
        <f>_xlfn.RANK.AVG(Table14[[#This Row],[R]],Table14[R])</f>
        <v>29</v>
      </c>
      <c r="G29" s="89">
        <f>_xlfn.RANK.AVG(Table14[[#This Row],[P+R]],Table14[P+R])</f>
        <v>16</v>
      </c>
      <c r="H29" s="89">
        <f>_xlfn.RANK.AVG(Table14[[#This Row],[P TD]],Table14[P TD])</f>
        <v>23</v>
      </c>
      <c r="I29" s="89">
        <f>_xlfn.RANK.AVG(Table14[[#This Row],[TD]],Table14[TD])</f>
        <v>24</v>
      </c>
      <c r="J29" s="104" t="s">
        <v>51</v>
      </c>
      <c r="K29" s="22">
        <v>244.1764705882353</v>
      </c>
      <c r="L29" s="22">
        <v>13.470588235294118</v>
      </c>
      <c r="M29" s="22">
        <v>257.64705882352939</v>
      </c>
      <c r="N29" s="22">
        <v>1.3529411764705883</v>
      </c>
      <c r="O29" s="22">
        <v>0.11764705882352941</v>
      </c>
      <c r="P29" s="21" t="s">
        <v>51</v>
      </c>
      <c r="Q29" s="22">
        <v>83.529411764705884</v>
      </c>
      <c r="R29" s="22">
        <v>4.2941176470588234</v>
      </c>
      <c r="S29" s="22">
        <v>32.764705882352942</v>
      </c>
      <c r="T29" s="22">
        <v>116.29411764705883</v>
      </c>
      <c r="U29" s="100">
        <v>0.76470588235294112</v>
      </c>
      <c r="V29" s="89">
        <f>_xlfn.RANK.AVG(Table46[[#This Row],[R]],Table46[R])</f>
        <v>25</v>
      </c>
      <c r="W29" s="89">
        <f>_xlfn.RANK.AVG(Table46[[#This Row],[REC]],Table46[REC])</f>
        <v>17</v>
      </c>
      <c r="X29" s="89">
        <f>_xlfn.RANK.AVG(Table46[[#This Row],[Y]],Table46[Y])</f>
        <v>18</v>
      </c>
      <c r="Y29" s="89">
        <f>_xlfn.RANK.AVG(Table46[[#This Row],[R+R]],Table46[R+R])</f>
        <v>23</v>
      </c>
      <c r="Z29" s="89">
        <f>_xlfn.RANK.AVG(Table46[[#This Row],[TD]],Table46[TD])</f>
        <v>21.5</v>
      </c>
    </row>
    <row r="30" spans="5:26" ht="14.5" customHeight="1" x14ac:dyDescent="0.35">
      <c r="E30" s="89">
        <f>_xlfn.RANK.AVG(Table14[[#This Row],[P]],Table14[P])</f>
        <v>20.5</v>
      </c>
      <c r="F30" s="89">
        <f>_xlfn.RANK.AVG(Table14[[#This Row],[R]],Table14[R])</f>
        <v>26</v>
      </c>
      <c r="G30" s="89">
        <f>_xlfn.RANK.AVG(Table14[[#This Row],[P+R]],Table14[P+R])</f>
        <v>22</v>
      </c>
      <c r="H30" s="89">
        <f>_xlfn.RANK.AVG(Table14[[#This Row],[P TD]],Table14[P TD])</f>
        <v>15.5</v>
      </c>
      <c r="I30" s="89">
        <f>_xlfn.RANK.AVG(Table14[[#This Row],[TD]],Table14[TD])</f>
        <v>18</v>
      </c>
      <c r="J30" s="105" t="s">
        <v>52</v>
      </c>
      <c r="K30" s="22">
        <v>231.1764705882353</v>
      </c>
      <c r="L30" s="22">
        <v>14.764705882352942</v>
      </c>
      <c r="M30" s="22">
        <v>245.94117647058823</v>
      </c>
      <c r="N30" s="22">
        <v>1.5294117647058822</v>
      </c>
      <c r="O30" s="22">
        <v>0.17647058823529413</v>
      </c>
      <c r="P30" s="23" t="s">
        <v>52</v>
      </c>
      <c r="Q30" s="22">
        <v>101.23529411764706</v>
      </c>
      <c r="R30" s="22">
        <v>4.5882352941176467</v>
      </c>
      <c r="S30" s="22">
        <v>36.705882352941174</v>
      </c>
      <c r="T30" s="22">
        <v>137.94117647058823</v>
      </c>
      <c r="U30" s="100">
        <v>0.6470588235294118</v>
      </c>
      <c r="V30" s="89">
        <f>_xlfn.RANK.AVG(Table46[[#This Row],[R]],Table46[R])</f>
        <v>13</v>
      </c>
      <c r="W30" s="89">
        <f>_xlfn.RANK.AVG(Table46[[#This Row],[REC]],Table46[REC])</f>
        <v>12</v>
      </c>
      <c r="X30" s="89">
        <f>_xlfn.RANK.AVG(Table46[[#This Row],[Y]],Table46[Y])</f>
        <v>9.5</v>
      </c>
      <c r="Y30" s="89">
        <f>_xlfn.RANK.AVG(Table46[[#This Row],[R+R]],Table46[R+R])</f>
        <v>11</v>
      </c>
      <c r="Z30" s="89">
        <f>_xlfn.RANK.AVG(Table46[[#This Row],[TD]],Table46[TD])</f>
        <v>25.5</v>
      </c>
    </row>
    <row r="31" spans="5:26" x14ac:dyDescent="0.35">
      <c r="E31" s="89">
        <f>_xlfn.RANK.AVG(Table14[[#This Row],[P]],Table14[P])</f>
        <v>30</v>
      </c>
      <c r="F31" s="89">
        <f>_xlfn.RANK.AVG(Table14[[#This Row],[R]],Table14[R])</f>
        <v>23</v>
      </c>
      <c r="G31" s="89">
        <f>_xlfn.RANK.AVG(Table14[[#This Row],[P+R]],Table14[P+R])</f>
        <v>30</v>
      </c>
      <c r="H31" s="89">
        <f>_xlfn.RANK.AVG(Table14[[#This Row],[P TD]],Table14[P TD])</f>
        <v>17.5</v>
      </c>
      <c r="I31" s="89">
        <f>_xlfn.RANK.AVG(Table14[[#This Row],[TD]],Table14[TD])</f>
        <v>8</v>
      </c>
      <c r="J31" s="104" t="s">
        <v>53</v>
      </c>
      <c r="K31" s="22">
        <v>204.47058823529412</v>
      </c>
      <c r="L31" s="22">
        <v>16.235294117647058</v>
      </c>
      <c r="M31" s="22">
        <v>220.70588235294119</v>
      </c>
      <c r="N31" s="22">
        <v>1.4705882352941178</v>
      </c>
      <c r="O31" s="22">
        <v>0.29411764705882354</v>
      </c>
      <c r="P31" s="21" t="s">
        <v>53</v>
      </c>
      <c r="Q31" s="22">
        <v>102.64705882352942</v>
      </c>
      <c r="R31" s="22">
        <v>4.7647058823529411</v>
      </c>
      <c r="S31" s="22">
        <v>36.705882352941174</v>
      </c>
      <c r="T31" s="22">
        <v>139.35294117647058</v>
      </c>
      <c r="U31" s="100">
        <v>1.1764705882352942</v>
      </c>
      <c r="V31" s="89">
        <f>_xlfn.RANK.AVG(Table46[[#This Row],[R]],Table46[R])</f>
        <v>11</v>
      </c>
      <c r="W31" s="89">
        <f>_xlfn.RANK.AVG(Table46[[#This Row],[REC]],Table46[REC])</f>
        <v>9</v>
      </c>
      <c r="X31" s="89">
        <f>_xlfn.RANK.AVG(Table46[[#This Row],[Y]],Table46[Y])</f>
        <v>9.5</v>
      </c>
      <c r="Y31" s="89">
        <f>_xlfn.RANK.AVG(Table46[[#This Row],[R+R]],Table46[R+R])</f>
        <v>9</v>
      </c>
      <c r="Z31" s="89">
        <f>_xlfn.RANK.AVG(Table46[[#This Row],[TD]],Table46[TD])</f>
        <v>4.5</v>
      </c>
    </row>
    <row r="32" spans="5:26" x14ac:dyDescent="0.35">
      <c r="E32" s="89">
        <f>_xlfn.RANK.AVG(Table14[[#This Row],[P]],Table14[P])</f>
        <v>3</v>
      </c>
      <c r="F32" s="89">
        <f>_xlfn.RANK.AVG(Table14[[#This Row],[R]],Table14[R])</f>
        <v>10</v>
      </c>
      <c r="G32" s="89">
        <f>_xlfn.RANK.AVG(Table14[[#This Row],[P+R]],Table14[P+R])</f>
        <v>2</v>
      </c>
      <c r="H32" s="89">
        <f>_xlfn.RANK.AVG(Table14[[#This Row],[P TD]],Table14[P TD])</f>
        <v>1</v>
      </c>
      <c r="I32" s="89">
        <f>_xlfn.RANK.AVG(Table14[[#This Row],[TD]],Table14[TD])</f>
        <v>4.5</v>
      </c>
      <c r="J32" s="105" t="s">
        <v>54</v>
      </c>
      <c r="K32" s="22">
        <v>262.58823529411762</v>
      </c>
      <c r="L32" s="22">
        <v>24.882352941176471</v>
      </c>
      <c r="M32" s="22">
        <v>287.47058823529414</v>
      </c>
      <c r="N32" s="22">
        <v>2.1176470588235294</v>
      </c>
      <c r="O32" s="22">
        <v>0.35294117647058826</v>
      </c>
      <c r="P32" s="23" t="s">
        <v>54</v>
      </c>
      <c r="Q32" s="22">
        <v>68.411764705882348</v>
      </c>
      <c r="R32" s="22">
        <v>5.0588235294117645</v>
      </c>
      <c r="S32" s="22">
        <v>38.882352941176471</v>
      </c>
      <c r="T32" s="22">
        <v>107.29411764705883</v>
      </c>
      <c r="U32" s="100">
        <v>0.6470588235294118</v>
      </c>
      <c r="V32" s="89">
        <f>_xlfn.RANK.AVG(Table46[[#This Row],[R]],Table46[R])</f>
        <v>31</v>
      </c>
      <c r="W32" s="89">
        <f>_xlfn.RANK.AVG(Table46[[#This Row],[REC]],Table46[REC])</f>
        <v>5</v>
      </c>
      <c r="X32" s="89">
        <f>_xlfn.RANK.AVG(Table46[[#This Row],[Y]],Table46[Y])</f>
        <v>5</v>
      </c>
      <c r="Y32" s="89">
        <f>_xlfn.RANK.AVG(Table46[[#This Row],[R+R]],Table46[R+R])</f>
        <v>28</v>
      </c>
      <c r="Z32" s="89">
        <f>_xlfn.RANK.AVG(Table46[[#This Row],[TD]],Table46[TD])</f>
        <v>25.5</v>
      </c>
    </row>
    <row r="33" spans="5:26" x14ac:dyDescent="0.35">
      <c r="E33" s="89">
        <f>_xlfn.RANK.AVG(Table14[[#This Row],[P]],Table14[P])</f>
        <v>32</v>
      </c>
      <c r="F33" s="89">
        <f>_xlfn.RANK.AVG(Table14[[#This Row],[R]],Table14[R])</f>
        <v>7</v>
      </c>
      <c r="G33" s="89">
        <f>_xlfn.RANK.AVG(Table14[[#This Row],[P+R]],Table14[P+R])</f>
        <v>31</v>
      </c>
      <c r="H33" s="89">
        <f>_xlfn.RANK.AVG(Table14[[#This Row],[P TD]],Table14[P TD])</f>
        <v>12.5</v>
      </c>
      <c r="I33" s="89">
        <f>_xlfn.RANK.AVG(Table14[[#This Row],[TD]],Table14[TD])</f>
        <v>4.5</v>
      </c>
      <c r="J33" s="104" t="s">
        <v>55</v>
      </c>
      <c r="K33" s="22">
        <v>189.1764705882353</v>
      </c>
      <c r="L33" s="22">
        <v>25.588235294117649</v>
      </c>
      <c r="M33" s="22">
        <v>214.76470588235293</v>
      </c>
      <c r="N33" s="22">
        <v>1.588235294117647</v>
      </c>
      <c r="O33" s="22">
        <v>0.35294117647058826</v>
      </c>
      <c r="P33" s="21" t="s">
        <v>55</v>
      </c>
      <c r="Q33" s="22">
        <v>103.29411764705883</v>
      </c>
      <c r="R33" s="22">
        <v>3.2941176470588234</v>
      </c>
      <c r="S33" s="22">
        <v>23.588235294117649</v>
      </c>
      <c r="T33" s="22">
        <v>126.88235294117646</v>
      </c>
      <c r="U33" s="100">
        <v>1.2941176470588236</v>
      </c>
      <c r="V33" s="89">
        <f>_xlfn.RANK.AVG(Table46[[#This Row],[R]],Table46[R])</f>
        <v>10</v>
      </c>
      <c r="W33" s="89">
        <f>_xlfn.RANK.AVG(Table46[[#This Row],[REC]],Table46[REC])</f>
        <v>29</v>
      </c>
      <c r="X33" s="89">
        <f>_xlfn.RANK.AVG(Table46[[#This Row],[Y]],Table46[Y])</f>
        <v>30.5</v>
      </c>
      <c r="Y33" s="89">
        <f>_xlfn.RANK.AVG(Table46[[#This Row],[R+R]],Table46[R+R])</f>
        <v>16</v>
      </c>
      <c r="Z33" s="89">
        <f>_xlfn.RANK.AVG(Table46[[#This Row],[TD]],Table46[TD])</f>
        <v>1</v>
      </c>
    </row>
    <row r="34" spans="5:26" ht="15" thickBot="1" x14ac:dyDescent="0.4">
      <c r="E34" s="89">
        <f>_xlfn.RANK.AVG(Table14[[#This Row],[P]],Table14[P])</f>
        <v>29</v>
      </c>
      <c r="F34" s="89">
        <f>_xlfn.RANK.AVG(Table14[[#This Row],[R]],Table14[R])</f>
        <v>17</v>
      </c>
      <c r="G34" s="89">
        <f>_xlfn.RANK.AVG(Table14[[#This Row],[P+R]],Table14[P+R])</f>
        <v>29</v>
      </c>
      <c r="H34" s="89">
        <f>_xlfn.RANK.AVG(Table14[[#This Row],[P TD]],Table14[P TD])</f>
        <v>17.5</v>
      </c>
      <c r="I34" s="89">
        <f>_xlfn.RANK.AVG(Table14[[#This Row],[TD]],Table14[TD])</f>
        <v>24</v>
      </c>
      <c r="J34" s="105" t="s">
        <v>56</v>
      </c>
      <c r="K34" s="22">
        <v>205.41176470588235</v>
      </c>
      <c r="L34" s="22">
        <v>19.647058823529413</v>
      </c>
      <c r="M34" s="22">
        <v>225.05882352941177</v>
      </c>
      <c r="N34" s="22">
        <v>1.4705882352941178</v>
      </c>
      <c r="O34" s="22">
        <v>0.11764705882352941</v>
      </c>
      <c r="P34" s="23" t="s">
        <v>56</v>
      </c>
      <c r="Q34" s="22">
        <v>113.8235294117647</v>
      </c>
      <c r="R34" s="22">
        <v>2.8235294117647061</v>
      </c>
      <c r="S34" s="22">
        <v>22.764705882352942</v>
      </c>
      <c r="T34" s="67">
        <v>136.58823529411765</v>
      </c>
      <c r="U34" s="101">
        <v>1</v>
      </c>
      <c r="V34" s="89">
        <f>_xlfn.RANK.AVG(Table46[[#This Row],[R]],Table46[R])</f>
        <v>4</v>
      </c>
      <c r="W34" s="89">
        <f>_xlfn.RANK.AVG(Table46[[#This Row],[REC]],Table46[REC])</f>
        <v>32</v>
      </c>
      <c r="X34" s="89">
        <f>_xlfn.RANK.AVG(Table46[[#This Row],[Y]],Table46[Y])</f>
        <v>32</v>
      </c>
      <c r="Y34" s="89">
        <f>_xlfn.RANK.AVG(Table46[[#This Row],[R+R]],Table46[R+R])</f>
        <v>12</v>
      </c>
      <c r="Z34" s="89">
        <f>_xlfn.RANK.AVG(Table46[[#This Row],[TD]],Table46[TD])</f>
        <v>9</v>
      </c>
    </row>
    <row r="35" spans="5:26" ht="17" thickTop="1" thickBot="1" x14ac:dyDescent="0.45">
      <c r="J35" s="224" t="s">
        <v>99</v>
      </c>
      <c r="K35" s="224"/>
      <c r="L35" s="224"/>
      <c r="M35" s="224"/>
      <c r="N35" s="225" t="s">
        <v>100</v>
      </c>
      <c r="O35" s="225"/>
      <c r="P35" s="225"/>
      <c r="Q35" s="225"/>
      <c r="R35" s="226" t="s">
        <v>101</v>
      </c>
      <c r="S35" s="227"/>
      <c r="T35" s="228" t="s">
        <v>651</v>
      </c>
      <c r="U35" s="229"/>
    </row>
    <row r="36" spans="5:26" ht="15" thickTop="1" x14ac:dyDescent="0.35">
      <c r="G36" s="106" t="s">
        <v>98</v>
      </c>
      <c r="H36" s="106" t="s">
        <v>104</v>
      </c>
      <c r="I36" s="106" t="s">
        <v>72</v>
      </c>
      <c r="J36" s="103" t="s">
        <v>105</v>
      </c>
      <c r="K36" s="62" t="s">
        <v>98</v>
      </c>
      <c r="L36" s="62" t="s">
        <v>104</v>
      </c>
      <c r="M36" s="62" t="s">
        <v>72</v>
      </c>
      <c r="N36" s="61" t="s">
        <v>105</v>
      </c>
      <c r="O36" s="65" t="s">
        <v>98</v>
      </c>
      <c r="P36" s="65" t="s">
        <v>104</v>
      </c>
      <c r="Q36" s="65" t="s">
        <v>72</v>
      </c>
      <c r="R36" s="61" t="s">
        <v>105</v>
      </c>
      <c r="S36" s="66" t="s">
        <v>72</v>
      </c>
      <c r="T36" s="68" t="s">
        <v>58</v>
      </c>
      <c r="U36" s="102" t="s">
        <v>106</v>
      </c>
      <c r="V36" s="106" t="s">
        <v>98</v>
      </c>
      <c r="W36" s="106" t="s">
        <v>104</v>
      </c>
      <c r="X36" s="106" t="s">
        <v>72</v>
      </c>
    </row>
    <row r="37" spans="5:26" x14ac:dyDescent="0.35">
      <c r="G37" s="89">
        <f>_xlfn.RANK.AVG(Table77[[#This Row],[REC]],Table77[REC])</f>
        <v>11</v>
      </c>
      <c r="H37" s="89">
        <f>_xlfn.RANK.AVG(Table77[[#This Row],[Y]],Table77[Y])</f>
        <v>14</v>
      </c>
      <c r="I37" s="89">
        <f>_xlfn.RANK.AVG(Table77[[#This Row],[TD]],Table77[TD])</f>
        <v>28</v>
      </c>
      <c r="J37" s="104" t="s">
        <v>0</v>
      </c>
      <c r="K37" s="22">
        <v>12.352941176470587</v>
      </c>
      <c r="L37" s="22">
        <v>149.82352941176472</v>
      </c>
      <c r="M37" s="22">
        <v>0.82352941176470584</v>
      </c>
      <c r="N37" s="21" t="s">
        <v>0</v>
      </c>
      <c r="O37" s="22">
        <v>4.7058823529411766</v>
      </c>
      <c r="P37" s="22">
        <v>42.294117647058826</v>
      </c>
      <c r="Q37" s="22">
        <v>0.11764705882352941</v>
      </c>
      <c r="R37" s="21" t="s">
        <v>0</v>
      </c>
      <c r="S37" s="22">
        <v>0.11764705882352941</v>
      </c>
      <c r="T37" s="21" t="s">
        <v>0</v>
      </c>
      <c r="U37" s="23" t="s">
        <v>55</v>
      </c>
      <c r="V37" s="89">
        <f>_xlfn.RANK.AVG(Table845[[#This Row],[REC]],Table845[REC])</f>
        <v>23</v>
      </c>
      <c r="W37" s="89">
        <f>_xlfn.RANK.AVG(Table845[[#This Row],[Y]],Table845[Y])</f>
        <v>25</v>
      </c>
      <c r="X37" s="89">
        <f>_xlfn.RANK.AVG(Table845[[#This Row],[TD]],Table845[TD])</f>
        <v>31</v>
      </c>
    </row>
    <row r="38" spans="5:26" x14ac:dyDescent="0.35">
      <c r="G38" s="89">
        <f>_xlfn.RANK.AVG(Table77[[#This Row],[REC]],Table77[REC])</f>
        <v>3</v>
      </c>
      <c r="H38" s="89">
        <f>_xlfn.RANK.AVG(Table77[[#This Row],[Y]],Table77[Y])</f>
        <v>11</v>
      </c>
      <c r="I38" s="89">
        <f>_xlfn.RANK.AVG(Table77[[#This Row],[TD]],Table77[TD])</f>
        <v>1</v>
      </c>
      <c r="J38" s="105" t="s">
        <v>15</v>
      </c>
      <c r="K38" s="22">
        <v>13.52941176470588</v>
      </c>
      <c r="L38" s="22">
        <v>152.23529411764704</v>
      </c>
      <c r="M38" s="22">
        <v>1.3529411764705883</v>
      </c>
      <c r="N38" s="23" t="s">
        <v>15</v>
      </c>
      <c r="O38" s="22">
        <v>4.5882352941176467</v>
      </c>
      <c r="P38" s="22">
        <v>48.705882352941174</v>
      </c>
      <c r="Q38" s="22">
        <v>0.35294117647058826</v>
      </c>
      <c r="R38" s="23" t="s">
        <v>15</v>
      </c>
      <c r="S38" s="22">
        <v>0.11764705882352941</v>
      </c>
      <c r="T38" s="23" t="s">
        <v>15</v>
      </c>
      <c r="U38" s="23" t="s">
        <v>650</v>
      </c>
      <c r="V38" s="89">
        <f>_xlfn.RANK.AVG(Table845[[#This Row],[REC]],Table845[REC])</f>
        <v>24</v>
      </c>
      <c r="W38" s="89">
        <f>_xlfn.RANK.AVG(Table845[[#This Row],[Y]],Table845[Y])</f>
        <v>21</v>
      </c>
      <c r="X38" s="89">
        <f>_xlfn.RANK.AVG(Table845[[#This Row],[TD]],Table845[TD])</f>
        <v>12.5</v>
      </c>
    </row>
    <row r="39" spans="5:26" x14ac:dyDescent="0.35">
      <c r="G39" s="89">
        <f>_xlfn.RANK.AVG(Table77[[#This Row],[REC]],Table77[REC])</f>
        <v>5</v>
      </c>
      <c r="H39" s="89">
        <f>_xlfn.RANK.AVG(Table77[[#This Row],[Y]],Table77[Y])</f>
        <v>4</v>
      </c>
      <c r="I39" s="89">
        <f>_xlfn.RANK.AVG(Table77[[#This Row],[TD]],Table77[TD])</f>
        <v>12</v>
      </c>
      <c r="J39" s="104" t="s">
        <v>16</v>
      </c>
      <c r="K39" s="22">
        <v>13</v>
      </c>
      <c r="L39" s="22">
        <v>166.29411764705884</v>
      </c>
      <c r="M39" s="22">
        <v>1.0588235294117647</v>
      </c>
      <c r="N39" s="21" t="s">
        <v>16</v>
      </c>
      <c r="O39" s="22">
        <v>5.5882352941176467</v>
      </c>
      <c r="P39" s="22">
        <v>56.764705882352942</v>
      </c>
      <c r="Q39" s="22">
        <v>0.29411764705882354</v>
      </c>
      <c r="R39" s="21" t="s">
        <v>16</v>
      </c>
      <c r="S39" s="22">
        <v>0</v>
      </c>
      <c r="T39" s="21" t="s">
        <v>16</v>
      </c>
      <c r="U39" s="23" t="s">
        <v>37</v>
      </c>
      <c r="V39" s="89">
        <f>_xlfn.RANK.AVG(Table845[[#This Row],[REC]],Table845[REC])</f>
        <v>10</v>
      </c>
      <c r="W39" s="89">
        <f>_xlfn.RANK.AVG(Table845[[#This Row],[Y]],Table845[Y])</f>
        <v>10</v>
      </c>
      <c r="X39" s="89">
        <f>_xlfn.RANK.AVG(Table845[[#This Row],[TD]],Table845[TD])</f>
        <v>19</v>
      </c>
    </row>
    <row r="40" spans="5:26" x14ac:dyDescent="0.35">
      <c r="G40" s="89">
        <f>_xlfn.RANK.AVG(Table77[[#This Row],[REC]],Table77[REC])</f>
        <v>10</v>
      </c>
      <c r="H40" s="89">
        <f>_xlfn.RANK.AVG(Table77[[#This Row],[Y]],Table77[Y])</f>
        <v>16</v>
      </c>
      <c r="I40" s="89">
        <f>_xlfn.RANK.AVG(Table77[[#This Row],[TD]],Table77[TD])</f>
        <v>17</v>
      </c>
      <c r="J40" s="105" t="s">
        <v>17</v>
      </c>
      <c r="K40" s="22">
        <v>12.352941176470589</v>
      </c>
      <c r="L40" s="22">
        <v>148.17647058823528</v>
      </c>
      <c r="M40" s="22">
        <v>1</v>
      </c>
      <c r="N40" s="23" t="s">
        <v>17</v>
      </c>
      <c r="O40" s="22">
        <v>5.5294117647058822</v>
      </c>
      <c r="P40" s="22">
        <v>48.882352941176471</v>
      </c>
      <c r="Q40" s="22">
        <v>0.35294117647058826</v>
      </c>
      <c r="R40" s="23" t="s">
        <v>17</v>
      </c>
      <c r="S40" s="22">
        <v>5.8823529411764705E-2</v>
      </c>
      <c r="T40" s="23" t="s">
        <v>17</v>
      </c>
      <c r="U40" s="23" t="s">
        <v>46</v>
      </c>
      <c r="V40" s="89">
        <f>_xlfn.RANK.AVG(Table845[[#This Row],[REC]],Table845[REC])</f>
        <v>11</v>
      </c>
      <c r="W40" s="89">
        <f>_xlfn.RANK.AVG(Table845[[#This Row],[Y]],Table845[Y])</f>
        <v>19.5</v>
      </c>
      <c r="X40" s="89">
        <f>_xlfn.RANK.AVG(Table845[[#This Row],[TD]],Table845[TD])</f>
        <v>12.5</v>
      </c>
    </row>
    <row r="41" spans="5:26" x14ac:dyDescent="0.35">
      <c r="G41" s="89">
        <f>_xlfn.RANK.AVG(Table77[[#This Row],[REC]],Table77[REC])</f>
        <v>16</v>
      </c>
      <c r="H41" s="89">
        <f>_xlfn.RANK.AVG(Table77[[#This Row],[Y]],Table77[Y])</f>
        <v>17</v>
      </c>
      <c r="I41" s="89">
        <f>_xlfn.RANK.AVG(Table77[[#This Row],[TD]],Table77[TD])</f>
        <v>4</v>
      </c>
      <c r="J41" s="104" t="s">
        <v>29</v>
      </c>
      <c r="K41" s="22">
        <v>11.941176470588234</v>
      </c>
      <c r="L41" s="22">
        <v>148.0588235294118</v>
      </c>
      <c r="M41" s="22">
        <v>1.2352941176470589</v>
      </c>
      <c r="N41" s="21" t="s">
        <v>29</v>
      </c>
      <c r="O41" s="22">
        <v>4.882352941176471</v>
      </c>
      <c r="P41" s="22">
        <v>54.117647058823529</v>
      </c>
      <c r="Q41" s="22">
        <v>0.70588235294117652</v>
      </c>
      <c r="R41" s="21" t="s">
        <v>29</v>
      </c>
      <c r="S41" s="22">
        <v>0.11764705882352941</v>
      </c>
      <c r="T41" s="21" t="s">
        <v>29</v>
      </c>
      <c r="U41" s="23" t="s">
        <v>44</v>
      </c>
      <c r="V41" s="89">
        <f>_xlfn.RANK.AVG(Table845[[#This Row],[REC]],Table845[REC])</f>
        <v>19.5</v>
      </c>
      <c r="W41" s="89">
        <f>_xlfn.RANK.AVG(Table845[[#This Row],[Y]],Table845[Y])</f>
        <v>14</v>
      </c>
      <c r="X41" s="89">
        <f>_xlfn.RANK.AVG(Table845[[#This Row],[TD]],Table845[TD])</f>
        <v>1.5</v>
      </c>
    </row>
    <row r="42" spans="5:26" x14ac:dyDescent="0.35">
      <c r="G42" s="89">
        <f>_xlfn.RANK.AVG(Table77[[#This Row],[REC]],Table77[REC])</f>
        <v>32</v>
      </c>
      <c r="H42" s="89">
        <f>_xlfn.RANK.AVG(Table77[[#This Row],[Y]],Table77[Y])</f>
        <v>24</v>
      </c>
      <c r="I42" s="89">
        <f>_xlfn.RANK.AVG(Table77[[#This Row],[TD]],Table77[TD])</f>
        <v>31</v>
      </c>
      <c r="J42" s="105" t="s">
        <v>30</v>
      </c>
      <c r="K42" s="22">
        <v>10.117647058823529</v>
      </c>
      <c r="L42" s="22">
        <v>141.23529411764704</v>
      </c>
      <c r="M42" s="22">
        <v>0.76470588235294112</v>
      </c>
      <c r="N42" s="23" t="s">
        <v>30</v>
      </c>
      <c r="O42" s="22">
        <v>4.882352941176471</v>
      </c>
      <c r="P42" s="22">
        <v>59.470588235294116</v>
      </c>
      <c r="Q42" s="22">
        <v>0.29411764705882354</v>
      </c>
      <c r="R42" s="23" t="s">
        <v>30</v>
      </c>
      <c r="S42" s="22">
        <v>0</v>
      </c>
      <c r="T42" s="23" t="s">
        <v>30</v>
      </c>
      <c r="U42" s="23" t="s">
        <v>650</v>
      </c>
      <c r="V42" s="89">
        <f>_xlfn.RANK.AVG(Table845[[#This Row],[REC]],Table845[REC])</f>
        <v>19.5</v>
      </c>
      <c r="W42" s="89">
        <f>_xlfn.RANK.AVG(Table845[[#This Row],[Y]],Table845[Y])</f>
        <v>6</v>
      </c>
      <c r="X42" s="89">
        <f>_xlfn.RANK.AVG(Table845[[#This Row],[TD]],Table845[TD])</f>
        <v>19</v>
      </c>
    </row>
    <row r="43" spans="5:26" x14ac:dyDescent="0.35">
      <c r="G43" s="89">
        <f>_xlfn.RANK.AVG(Table77[[#This Row],[REC]],Table77[REC])</f>
        <v>27</v>
      </c>
      <c r="H43" s="89">
        <f>_xlfn.RANK.AVG(Table77[[#This Row],[Y]],Table77[Y])</f>
        <v>26</v>
      </c>
      <c r="I43" s="89">
        <f>_xlfn.RANK.AVG(Table77[[#This Row],[TD]],Table77[TD])</f>
        <v>17</v>
      </c>
      <c r="J43" s="104" t="s">
        <v>31</v>
      </c>
      <c r="K43" s="22">
        <v>10.823529411764707</v>
      </c>
      <c r="L43" s="22">
        <v>139.41176470588235</v>
      </c>
      <c r="M43" s="22">
        <v>1</v>
      </c>
      <c r="N43" s="21" t="s">
        <v>31</v>
      </c>
      <c r="O43" s="22">
        <v>6.6470588235294121</v>
      </c>
      <c r="P43" s="22">
        <v>65.647058823529406</v>
      </c>
      <c r="Q43" s="22">
        <v>0.70588235294117652</v>
      </c>
      <c r="R43" s="21" t="s">
        <v>31</v>
      </c>
      <c r="S43" s="22">
        <v>0.17647058823529413</v>
      </c>
      <c r="T43" s="21" t="s">
        <v>31</v>
      </c>
      <c r="U43" s="23" t="s">
        <v>35</v>
      </c>
      <c r="V43" s="89">
        <f>_xlfn.RANK.AVG(Table845[[#This Row],[REC]],Table845[REC])</f>
        <v>1</v>
      </c>
      <c r="W43" s="89">
        <f>_xlfn.RANK.AVG(Table845[[#This Row],[Y]],Table845[Y])</f>
        <v>3</v>
      </c>
      <c r="X43" s="89">
        <f>_xlfn.RANK.AVG(Table845[[#This Row],[TD]],Table845[TD])</f>
        <v>1.5</v>
      </c>
    </row>
    <row r="44" spans="5:26" x14ac:dyDescent="0.35">
      <c r="G44" s="89">
        <f>_xlfn.RANK.AVG(Table77[[#This Row],[REC]],Table77[REC])</f>
        <v>30</v>
      </c>
      <c r="H44" s="89">
        <f>_xlfn.RANK.AVG(Table77[[#This Row],[Y]],Table77[Y])</f>
        <v>10</v>
      </c>
      <c r="I44" s="89">
        <f>_xlfn.RANK.AVG(Table77[[#This Row],[TD]],Table77[TD])</f>
        <v>2</v>
      </c>
      <c r="J44" s="105" t="s">
        <v>32</v>
      </c>
      <c r="K44" s="22">
        <v>10.470588235294118</v>
      </c>
      <c r="L44" s="22">
        <v>154.41176470588235</v>
      </c>
      <c r="M44" s="22">
        <v>1.3529411764705881</v>
      </c>
      <c r="N44" s="23" t="s">
        <v>32</v>
      </c>
      <c r="O44" s="22">
        <v>4.9411764705882355</v>
      </c>
      <c r="P44" s="22">
        <v>48.882352941176471</v>
      </c>
      <c r="Q44" s="22">
        <v>0.47058823529411764</v>
      </c>
      <c r="R44" s="23" t="s">
        <v>32</v>
      </c>
      <c r="S44" s="22">
        <v>0.29411764705882354</v>
      </c>
      <c r="T44" s="23" t="s">
        <v>32</v>
      </c>
      <c r="U44" s="23" t="s">
        <v>45</v>
      </c>
      <c r="V44" s="89">
        <f>_xlfn.RANK.AVG(Table845[[#This Row],[REC]],Table845[REC])</f>
        <v>18</v>
      </c>
      <c r="W44" s="89">
        <f>_xlfn.RANK.AVG(Table845[[#This Row],[Y]],Table845[Y])</f>
        <v>19.5</v>
      </c>
      <c r="X44" s="89">
        <f>_xlfn.RANK.AVG(Table845[[#This Row],[TD]],Table845[TD])</f>
        <v>7</v>
      </c>
    </row>
    <row r="45" spans="5:26" x14ac:dyDescent="0.35">
      <c r="G45" s="89">
        <f>_xlfn.RANK.AVG(Table77[[#This Row],[REC]],Table77[REC])</f>
        <v>7</v>
      </c>
      <c r="H45" s="89">
        <f>_xlfn.RANK.AVG(Table77[[#This Row],[Y]],Table77[Y])</f>
        <v>6</v>
      </c>
      <c r="I45" s="89">
        <f>_xlfn.RANK.AVG(Table77[[#This Row],[TD]],Table77[TD])</f>
        <v>7.5</v>
      </c>
      <c r="J45" s="104" t="s">
        <v>33</v>
      </c>
      <c r="K45" s="22">
        <v>12.647058823529411</v>
      </c>
      <c r="L45" s="22">
        <v>158</v>
      </c>
      <c r="M45" s="22">
        <v>1.1176470588235294</v>
      </c>
      <c r="N45" s="21" t="s">
        <v>33</v>
      </c>
      <c r="O45" s="22">
        <v>3.8235294117647061</v>
      </c>
      <c r="P45" s="22">
        <v>41.705882352941174</v>
      </c>
      <c r="Q45" s="22">
        <v>0.41176470588235292</v>
      </c>
      <c r="R45" s="21" t="s">
        <v>33</v>
      </c>
      <c r="S45" s="22">
        <v>0.11764705882352941</v>
      </c>
      <c r="T45" s="21" t="s">
        <v>33</v>
      </c>
      <c r="U45" s="23" t="s">
        <v>49</v>
      </c>
      <c r="V45" s="89">
        <f>_xlfn.RANK.AVG(Table845[[#This Row],[REC]],Table845[REC])</f>
        <v>31</v>
      </c>
      <c r="W45" s="89">
        <f>_xlfn.RANK.AVG(Table845[[#This Row],[Y]],Table845[Y])</f>
        <v>26</v>
      </c>
      <c r="X45" s="89">
        <f>_xlfn.RANK.AVG(Table845[[#This Row],[TD]],Table845[TD])</f>
        <v>10.5</v>
      </c>
    </row>
    <row r="46" spans="5:26" x14ac:dyDescent="0.35">
      <c r="G46" s="89">
        <f>_xlfn.RANK.AVG(Table77[[#This Row],[REC]],Table77[REC])</f>
        <v>9</v>
      </c>
      <c r="H46" s="89">
        <f>_xlfn.RANK.AVG(Table77[[#This Row],[Y]],Table77[Y])</f>
        <v>9</v>
      </c>
      <c r="I46" s="89">
        <f>_xlfn.RANK.AVG(Table77[[#This Row],[TD]],Table77[TD])</f>
        <v>32</v>
      </c>
      <c r="J46" s="105" t="s">
        <v>34</v>
      </c>
      <c r="K46" s="22">
        <v>12.411764705882353</v>
      </c>
      <c r="L46" s="22">
        <v>154.64705882352942</v>
      </c>
      <c r="M46" s="22">
        <v>0.6470588235294118</v>
      </c>
      <c r="N46" s="23" t="s">
        <v>34</v>
      </c>
      <c r="O46" s="22">
        <v>5.7058823529411766</v>
      </c>
      <c r="P46" s="22">
        <v>48.941176470588232</v>
      </c>
      <c r="Q46" s="22">
        <v>0.29411764705882354</v>
      </c>
      <c r="R46" s="23" t="s">
        <v>34</v>
      </c>
      <c r="S46" s="22">
        <v>0</v>
      </c>
      <c r="T46" s="23" t="s">
        <v>34</v>
      </c>
      <c r="U46" s="23" t="s">
        <v>50</v>
      </c>
      <c r="V46" s="89">
        <f>_xlfn.RANK.AVG(Table845[[#This Row],[REC]],Table845[REC])</f>
        <v>8</v>
      </c>
      <c r="W46" s="89">
        <f>_xlfn.RANK.AVG(Table845[[#This Row],[Y]],Table845[Y])</f>
        <v>18</v>
      </c>
      <c r="X46" s="89">
        <f>_xlfn.RANK.AVG(Table845[[#This Row],[TD]],Table845[TD])</f>
        <v>19</v>
      </c>
    </row>
    <row r="47" spans="5:26" x14ac:dyDescent="0.35">
      <c r="G47" s="89">
        <f>_xlfn.RANK.AVG(Table77[[#This Row],[REC]],Table77[REC])</f>
        <v>2</v>
      </c>
      <c r="H47" s="89">
        <f>_xlfn.RANK.AVG(Table77[[#This Row],[Y]],Table77[Y])</f>
        <v>1</v>
      </c>
      <c r="I47" s="89">
        <f>_xlfn.RANK.AVG(Table77[[#This Row],[TD]],Table77[TD])</f>
        <v>29.5</v>
      </c>
      <c r="J47" s="104" t="s">
        <v>35</v>
      </c>
      <c r="K47" s="22">
        <v>14.411764705882353</v>
      </c>
      <c r="L47" s="22">
        <v>185.76470588235296</v>
      </c>
      <c r="M47" s="22">
        <v>0.76470588235294124</v>
      </c>
      <c r="N47" s="21" t="s">
        <v>35</v>
      </c>
      <c r="O47" s="22">
        <v>3.9411764705882355</v>
      </c>
      <c r="P47" s="22">
        <v>38.470588235294116</v>
      </c>
      <c r="Q47" s="22">
        <v>0.17647058823529413</v>
      </c>
      <c r="R47" s="21" t="s">
        <v>35</v>
      </c>
      <c r="S47" s="22">
        <v>5.8823529411764705E-2</v>
      </c>
      <c r="T47" s="21" t="s">
        <v>35</v>
      </c>
      <c r="U47" s="23" t="s">
        <v>31</v>
      </c>
      <c r="V47" s="89">
        <f>_xlfn.RANK.AVG(Table845[[#This Row],[REC]],Table845[REC])</f>
        <v>30</v>
      </c>
      <c r="W47" s="89">
        <f>_xlfn.RANK.AVG(Table845[[#This Row],[Y]],Table845[Y])</f>
        <v>30</v>
      </c>
      <c r="X47" s="89">
        <f>_xlfn.RANK.AVG(Table845[[#This Row],[TD]],Table845[TD])</f>
        <v>28.5</v>
      </c>
    </row>
    <row r="48" spans="5:26" x14ac:dyDescent="0.35">
      <c r="G48" s="89">
        <f>_xlfn.RANK.AVG(Table77[[#This Row],[REC]],Table77[REC])</f>
        <v>19</v>
      </c>
      <c r="H48" s="89">
        <f>_xlfn.RANK.AVG(Table77[[#This Row],[Y]],Table77[Y])</f>
        <v>29</v>
      </c>
      <c r="I48" s="89">
        <f>_xlfn.RANK.AVG(Table77[[#This Row],[TD]],Table77[TD])</f>
        <v>23</v>
      </c>
      <c r="J48" s="105" t="s">
        <v>36</v>
      </c>
      <c r="K48" s="22">
        <v>11.588235294117647</v>
      </c>
      <c r="L48" s="22">
        <v>135.47058823529412</v>
      </c>
      <c r="M48" s="22">
        <v>0.94117647058823528</v>
      </c>
      <c r="N48" s="23" t="s">
        <v>36</v>
      </c>
      <c r="O48" s="22">
        <v>5.4705882352941178</v>
      </c>
      <c r="P48" s="22">
        <v>57.058823529411768</v>
      </c>
      <c r="Q48" s="22">
        <v>0.23529411764705882</v>
      </c>
      <c r="R48" s="23" t="s">
        <v>36</v>
      </c>
      <c r="S48" s="22">
        <v>0.17647058823529413</v>
      </c>
      <c r="T48" s="23" t="s">
        <v>36</v>
      </c>
      <c r="U48" s="23" t="s">
        <v>650</v>
      </c>
      <c r="V48" s="89">
        <f>_xlfn.RANK.AVG(Table845[[#This Row],[REC]],Table845[REC])</f>
        <v>12</v>
      </c>
      <c r="W48" s="89">
        <f>_xlfn.RANK.AVG(Table845[[#This Row],[Y]],Table845[Y])</f>
        <v>9</v>
      </c>
      <c r="X48" s="89">
        <f>_xlfn.RANK.AVG(Table845[[#This Row],[TD]],Table845[TD])</f>
        <v>26</v>
      </c>
    </row>
    <row r="49" spans="7:24" x14ac:dyDescent="0.35">
      <c r="G49" s="89">
        <f>_xlfn.RANK.AVG(Table77[[#This Row],[REC]],Table77[REC])</f>
        <v>26</v>
      </c>
      <c r="H49" s="89">
        <f>_xlfn.RANK.AVG(Table77[[#This Row],[Y]],Table77[Y])</f>
        <v>13</v>
      </c>
      <c r="I49" s="89">
        <f>_xlfn.RANK.AVG(Table77[[#This Row],[TD]],Table77[TD])</f>
        <v>4</v>
      </c>
      <c r="J49" s="104" t="s">
        <v>37</v>
      </c>
      <c r="K49" s="22">
        <v>10.999999999999998</v>
      </c>
      <c r="L49" s="22">
        <v>150.23529411764704</v>
      </c>
      <c r="M49" s="22">
        <v>1.2352941176470589</v>
      </c>
      <c r="N49" s="21" t="s">
        <v>37</v>
      </c>
      <c r="O49" s="22">
        <v>4.3529411764705879</v>
      </c>
      <c r="P49" s="22">
        <v>42.588235294117645</v>
      </c>
      <c r="Q49" s="22">
        <v>0.47058823529411764</v>
      </c>
      <c r="R49" s="21" t="s">
        <v>37</v>
      </c>
      <c r="S49" s="22">
        <v>0</v>
      </c>
      <c r="T49" s="21" t="s">
        <v>37</v>
      </c>
      <c r="U49" s="23" t="s">
        <v>16</v>
      </c>
      <c r="V49" s="89">
        <f>_xlfn.RANK.AVG(Table845[[#This Row],[REC]],Table845[REC])</f>
        <v>26</v>
      </c>
      <c r="W49" s="89">
        <f>_xlfn.RANK.AVG(Table845[[#This Row],[Y]],Table845[Y])</f>
        <v>24</v>
      </c>
      <c r="X49" s="89">
        <f>_xlfn.RANK.AVG(Table845[[#This Row],[TD]],Table845[TD])</f>
        <v>7</v>
      </c>
    </row>
    <row r="50" spans="7:24" x14ac:dyDescent="0.35">
      <c r="G50" s="89">
        <f>_xlfn.RANK.AVG(Table77[[#This Row],[REC]],Table77[REC])</f>
        <v>19</v>
      </c>
      <c r="H50" s="89">
        <f>_xlfn.RANK.AVG(Table77[[#This Row],[Y]],Table77[Y])</f>
        <v>12</v>
      </c>
      <c r="I50" s="89">
        <f>_xlfn.RANK.AVG(Table77[[#This Row],[TD]],Table77[TD])</f>
        <v>23</v>
      </c>
      <c r="J50" s="105" t="s">
        <v>38</v>
      </c>
      <c r="K50" s="22">
        <v>11.588235294117647</v>
      </c>
      <c r="L50" s="22">
        <v>150.99999999999997</v>
      </c>
      <c r="M50" s="22">
        <v>0.94117647058823528</v>
      </c>
      <c r="N50" s="23" t="s">
        <v>38</v>
      </c>
      <c r="O50" s="22">
        <v>5.9411764705882355</v>
      </c>
      <c r="P50" s="22">
        <v>58.058823529411768</v>
      </c>
      <c r="Q50" s="22">
        <v>0.52941176470588236</v>
      </c>
      <c r="R50" s="23" t="s">
        <v>38</v>
      </c>
      <c r="S50" s="22">
        <v>0.11764705882352941</v>
      </c>
      <c r="T50" s="23" t="s">
        <v>38</v>
      </c>
      <c r="U50" s="23" t="s">
        <v>43</v>
      </c>
      <c r="V50" s="89">
        <f>_xlfn.RANK.AVG(Table845[[#This Row],[REC]],Table845[REC])</f>
        <v>7</v>
      </c>
      <c r="W50" s="89">
        <f>_xlfn.RANK.AVG(Table845[[#This Row],[Y]],Table845[Y])</f>
        <v>7</v>
      </c>
      <c r="X50" s="89">
        <f>_xlfn.RANK.AVG(Table845[[#This Row],[TD]],Table845[TD])</f>
        <v>3.5</v>
      </c>
    </row>
    <row r="51" spans="7:24" x14ac:dyDescent="0.35">
      <c r="G51" s="89">
        <f>_xlfn.RANK.AVG(Table77[[#This Row],[REC]],Table77[REC])</f>
        <v>8</v>
      </c>
      <c r="H51" s="89">
        <f>_xlfn.RANK.AVG(Table77[[#This Row],[Y]],Table77[Y])</f>
        <v>3</v>
      </c>
      <c r="I51" s="89">
        <f>_xlfn.RANK.AVG(Table77[[#This Row],[TD]],Table77[TD])</f>
        <v>12</v>
      </c>
      <c r="J51" s="104" t="s">
        <v>39</v>
      </c>
      <c r="K51" s="22">
        <v>12.529411764705884</v>
      </c>
      <c r="L51" s="22">
        <v>174.82352941176472</v>
      </c>
      <c r="M51" s="22">
        <v>1.0588235294117647</v>
      </c>
      <c r="N51" s="21" t="s">
        <v>39</v>
      </c>
      <c r="O51" s="22">
        <v>5.2352941176470589</v>
      </c>
      <c r="P51" s="22">
        <v>54.882352941176471</v>
      </c>
      <c r="Q51" s="22">
        <v>0.47058823529411764</v>
      </c>
      <c r="R51" s="21" t="s">
        <v>39</v>
      </c>
      <c r="S51" s="22">
        <v>0</v>
      </c>
      <c r="T51" s="21" t="s">
        <v>39</v>
      </c>
      <c r="U51" s="23" t="s">
        <v>40</v>
      </c>
      <c r="V51" s="89">
        <f>_xlfn.RANK.AVG(Table845[[#This Row],[REC]],Table845[REC])</f>
        <v>14</v>
      </c>
      <c r="W51" s="89">
        <f>_xlfn.RANK.AVG(Table845[[#This Row],[Y]],Table845[Y])</f>
        <v>13</v>
      </c>
      <c r="X51" s="89">
        <f>_xlfn.RANK.AVG(Table845[[#This Row],[TD]],Table845[TD])</f>
        <v>7</v>
      </c>
    </row>
    <row r="52" spans="7:24" x14ac:dyDescent="0.35">
      <c r="G52" s="89">
        <f>_xlfn.RANK.AVG(Table77[[#This Row],[REC]],Table77[REC])</f>
        <v>12.5</v>
      </c>
      <c r="H52" s="89">
        <f>_xlfn.RANK.AVG(Table77[[#This Row],[Y]],Table77[Y])</f>
        <v>27</v>
      </c>
      <c r="I52" s="89">
        <f>_xlfn.RANK.AVG(Table77[[#This Row],[TD]],Table77[TD])</f>
        <v>7.5</v>
      </c>
      <c r="J52" s="105" t="s">
        <v>40</v>
      </c>
      <c r="K52" s="22">
        <v>12.176470588235293</v>
      </c>
      <c r="L52" s="22">
        <v>138.76470588235296</v>
      </c>
      <c r="M52" s="22">
        <v>1.1176470588235294</v>
      </c>
      <c r="N52" s="23" t="s">
        <v>40</v>
      </c>
      <c r="O52" s="22">
        <v>6.2941176470588234</v>
      </c>
      <c r="P52" s="22">
        <v>70.058823529411768</v>
      </c>
      <c r="Q52" s="22">
        <v>0.29411764705882354</v>
      </c>
      <c r="R52" s="23" t="s">
        <v>40</v>
      </c>
      <c r="S52" s="22">
        <v>0</v>
      </c>
      <c r="T52" s="23" t="s">
        <v>40</v>
      </c>
      <c r="U52" s="23" t="s">
        <v>39</v>
      </c>
      <c r="V52" s="89">
        <f>_xlfn.RANK.AVG(Table845[[#This Row],[REC]],Table845[REC])</f>
        <v>2.5</v>
      </c>
      <c r="W52" s="89">
        <f>_xlfn.RANK.AVG(Table845[[#This Row],[Y]],Table845[Y])</f>
        <v>1</v>
      </c>
      <c r="X52" s="89">
        <f>_xlfn.RANK.AVG(Table845[[#This Row],[TD]],Table845[TD])</f>
        <v>19</v>
      </c>
    </row>
    <row r="53" spans="7:24" x14ac:dyDescent="0.35">
      <c r="G53" s="89">
        <f>_xlfn.RANK.AVG(Table77[[#This Row],[REC]],Table77[REC])</f>
        <v>23</v>
      </c>
      <c r="H53" s="89">
        <f>_xlfn.RANK.AVG(Table77[[#This Row],[Y]],Table77[Y])</f>
        <v>18</v>
      </c>
      <c r="I53" s="89">
        <f>_xlfn.RANK.AVG(Table77[[#This Row],[TD]],Table77[TD])</f>
        <v>17</v>
      </c>
      <c r="J53" s="104" t="s">
        <v>41</v>
      </c>
      <c r="K53" s="22">
        <v>11.23529411764706</v>
      </c>
      <c r="L53" s="22">
        <v>147.41176470588235</v>
      </c>
      <c r="M53" s="22">
        <v>1</v>
      </c>
      <c r="N53" s="21" t="s">
        <v>41</v>
      </c>
      <c r="O53" s="22">
        <v>5.3529411764705879</v>
      </c>
      <c r="P53" s="22">
        <v>45.588235294117645</v>
      </c>
      <c r="Q53" s="22">
        <v>0.11764705882352941</v>
      </c>
      <c r="R53" s="21" t="s">
        <v>41</v>
      </c>
      <c r="S53" s="22">
        <v>0</v>
      </c>
      <c r="T53" s="21" t="s">
        <v>41</v>
      </c>
      <c r="U53" s="23" t="s">
        <v>56</v>
      </c>
      <c r="V53" s="89">
        <f>_xlfn.RANK.AVG(Table845[[#This Row],[REC]],Table845[REC])</f>
        <v>13</v>
      </c>
      <c r="W53" s="89">
        <f>_xlfn.RANK.AVG(Table845[[#This Row],[Y]],Table845[Y])</f>
        <v>22</v>
      </c>
      <c r="X53" s="89">
        <f>_xlfn.RANK.AVG(Table845[[#This Row],[TD]],Table845[TD])</f>
        <v>31</v>
      </c>
    </row>
    <row r="54" spans="7:24" x14ac:dyDescent="0.35">
      <c r="G54" s="89">
        <f>_xlfn.RANK.AVG(Table77[[#This Row],[REC]],Table77[REC])</f>
        <v>31</v>
      </c>
      <c r="H54" s="89">
        <f>_xlfn.RANK.AVG(Table77[[#This Row],[Y]],Table77[Y])</f>
        <v>22</v>
      </c>
      <c r="I54" s="89">
        <f>_xlfn.RANK.AVG(Table77[[#This Row],[TD]],Table77[TD])</f>
        <v>4</v>
      </c>
      <c r="J54" s="105" t="s">
        <v>42</v>
      </c>
      <c r="K54" s="22">
        <v>10.470588235294116</v>
      </c>
      <c r="L54" s="22">
        <v>142.05882352941177</v>
      </c>
      <c r="M54" s="22">
        <v>1.2352941176470589</v>
      </c>
      <c r="N54" s="23" t="s">
        <v>42</v>
      </c>
      <c r="O54" s="22">
        <v>6.2941176470588234</v>
      </c>
      <c r="P54" s="22">
        <v>65</v>
      </c>
      <c r="Q54" s="22">
        <v>0.47058823529411764</v>
      </c>
      <c r="R54" s="23" t="s">
        <v>42</v>
      </c>
      <c r="S54" s="22">
        <v>0</v>
      </c>
      <c r="T54" s="23" t="s">
        <v>42</v>
      </c>
      <c r="U54" s="23" t="s">
        <v>53</v>
      </c>
      <c r="V54" s="89">
        <f>_xlfn.RANK.AVG(Table845[[#This Row],[REC]],Table845[REC])</f>
        <v>2.5</v>
      </c>
      <c r="W54" s="89">
        <f>_xlfn.RANK.AVG(Table845[[#This Row],[Y]],Table845[Y])</f>
        <v>4</v>
      </c>
      <c r="X54" s="89">
        <f>_xlfn.RANK.AVG(Table845[[#This Row],[TD]],Table845[TD])</f>
        <v>7</v>
      </c>
    </row>
    <row r="55" spans="7:24" x14ac:dyDescent="0.35">
      <c r="G55" s="89">
        <f>_xlfn.RANK.AVG(Table77[[#This Row],[REC]],Table77[REC])</f>
        <v>21</v>
      </c>
      <c r="H55" s="89">
        <f>_xlfn.RANK.AVG(Table77[[#This Row],[Y]],Table77[Y])</f>
        <v>23</v>
      </c>
      <c r="I55" s="89">
        <f>_xlfn.RANK.AVG(Table77[[#This Row],[TD]],Table77[TD])</f>
        <v>23</v>
      </c>
      <c r="J55" s="104" t="s">
        <v>43</v>
      </c>
      <c r="K55" s="22">
        <v>11.529411764705884</v>
      </c>
      <c r="L55" s="22">
        <v>142</v>
      </c>
      <c r="M55" s="22">
        <v>0.94117647058823528</v>
      </c>
      <c r="N55" s="21" t="s">
        <v>43</v>
      </c>
      <c r="O55" s="22">
        <v>6</v>
      </c>
      <c r="P55" s="22">
        <v>64.529411764705884</v>
      </c>
      <c r="Q55" s="22">
        <v>0.52941176470588236</v>
      </c>
      <c r="R55" s="21" t="s">
        <v>43</v>
      </c>
      <c r="S55" s="22">
        <v>0.17647058823529413</v>
      </c>
      <c r="T55" s="21" t="s">
        <v>43</v>
      </c>
      <c r="U55" s="23" t="s">
        <v>38</v>
      </c>
      <c r="V55" s="89">
        <f>_xlfn.RANK.AVG(Table845[[#This Row],[REC]],Table845[REC])</f>
        <v>6</v>
      </c>
      <c r="W55" s="89">
        <f>_xlfn.RANK.AVG(Table845[[#This Row],[Y]],Table845[Y])</f>
        <v>5</v>
      </c>
      <c r="X55" s="89">
        <f>_xlfn.RANK.AVG(Table845[[#This Row],[TD]],Table845[TD])</f>
        <v>3.5</v>
      </c>
    </row>
    <row r="56" spans="7:24" x14ac:dyDescent="0.35">
      <c r="G56" s="89">
        <f>_xlfn.RANK.AVG(Table77[[#This Row],[REC]],Table77[REC])</f>
        <v>19</v>
      </c>
      <c r="H56" s="89">
        <f>_xlfn.RANK.AVG(Table77[[#This Row],[Y]],Table77[Y])</f>
        <v>28</v>
      </c>
      <c r="I56" s="89">
        <f>_xlfn.RANK.AVG(Table77[[#This Row],[TD]],Table77[TD])</f>
        <v>29.5</v>
      </c>
      <c r="J56" s="105" t="s">
        <v>44</v>
      </c>
      <c r="K56" s="22">
        <v>11.588235294117647</v>
      </c>
      <c r="L56" s="22">
        <v>135.8235294117647</v>
      </c>
      <c r="M56" s="22">
        <v>0.76470588235294124</v>
      </c>
      <c r="N56" s="23" t="s">
        <v>44</v>
      </c>
      <c r="O56" s="22">
        <v>5.6470588235294121</v>
      </c>
      <c r="P56" s="22">
        <v>55.882352941176471</v>
      </c>
      <c r="Q56" s="22">
        <v>0.29411764705882354</v>
      </c>
      <c r="R56" s="23" t="s">
        <v>44</v>
      </c>
      <c r="S56" s="22">
        <v>0.11764705882352941</v>
      </c>
      <c r="T56" s="23" t="s">
        <v>44</v>
      </c>
      <c r="U56" s="23" t="s">
        <v>29</v>
      </c>
      <c r="V56" s="89">
        <f>_xlfn.RANK.AVG(Table845[[#This Row],[REC]],Table845[REC])</f>
        <v>9</v>
      </c>
      <c r="W56" s="89">
        <f>_xlfn.RANK.AVG(Table845[[#This Row],[Y]],Table845[Y])</f>
        <v>12</v>
      </c>
      <c r="X56" s="89">
        <f>_xlfn.RANK.AVG(Table845[[#This Row],[TD]],Table845[TD])</f>
        <v>19</v>
      </c>
    </row>
    <row r="57" spans="7:24" x14ac:dyDescent="0.35">
      <c r="G57" s="89">
        <f>_xlfn.RANK.AVG(Table77[[#This Row],[REC]],Table77[REC])</f>
        <v>1</v>
      </c>
      <c r="H57" s="89">
        <f>_xlfn.RANK.AVG(Table77[[#This Row],[Y]],Table77[Y])</f>
        <v>2</v>
      </c>
      <c r="I57" s="89">
        <f>_xlfn.RANK.AVG(Table77[[#This Row],[TD]],Table77[TD])</f>
        <v>12</v>
      </c>
      <c r="J57" s="104" t="s">
        <v>45</v>
      </c>
      <c r="K57" s="22">
        <v>14.882352941176471</v>
      </c>
      <c r="L57" s="22">
        <v>183.23529411764704</v>
      </c>
      <c r="M57" s="22">
        <v>1.0588235294117647</v>
      </c>
      <c r="N57" s="21" t="s">
        <v>45</v>
      </c>
      <c r="O57" s="22">
        <v>5.1764705882352944</v>
      </c>
      <c r="P57" s="22">
        <v>51.764705882352942</v>
      </c>
      <c r="Q57" s="22">
        <v>0.17647058823529413</v>
      </c>
      <c r="R57" s="21" t="s">
        <v>45</v>
      </c>
      <c r="S57" s="22">
        <v>5.8823529411764705E-2</v>
      </c>
      <c r="T57" s="21" t="s">
        <v>45</v>
      </c>
      <c r="U57" s="23" t="s">
        <v>32</v>
      </c>
      <c r="V57" s="89">
        <f>_xlfn.RANK.AVG(Table845[[#This Row],[REC]],Table845[REC])</f>
        <v>15</v>
      </c>
      <c r="W57" s="89">
        <f>_xlfn.RANK.AVG(Table845[[#This Row],[Y]],Table845[Y])</f>
        <v>16</v>
      </c>
      <c r="X57" s="89">
        <f>_xlfn.RANK.AVG(Table845[[#This Row],[TD]],Table845[TD])</f>
        <v>28.5</v>
      </c>
    </row>
    <row r="58" spans="7:24" x14ac:dyDescent="0.35">
      <c r="G58" s="89">
        <f>_xlfn.RANK.AVG(Table77[[#This Row],[REC]],Table77[REC])</f>
        <v>14</v>
      </c>
      <c r="H58" s="89">
        <f>_xlfn.RANK.AVG(Table77[[#This Row],[Y]],Table77[Y])</f>
        <v>19</v>
      </c>
      <c r="I58" s="89">
        <f>_xlfn.RANK.AVG(Table77[[#This Row],[TD]],Table77[TD])</f>
        <v>23</v>
      </c>
      <c r="J58" s="105" t="s">
        <v>46</v>
      </c>
      <c r="K58" s="22">
        <v>12</v>
      </c>
      <c r="L58" s="22">
        <v>146.70588235294116</v>
      </c>
      <c r="M58" s="22">
        <v>0.94117647058823528</v>
      </c>
      <c r="N58" s="23" t="s">
        <v>46</v>
      </c>
      <c r="O58" s="22">
        <v>5.117647058823529</v>
      </c>
      <c r="P58" s="22">
        <v>50.235294117647058</v>
      </c>
      <c r="Q58" s="22">
        <v>0.29411764705882354</v>
      </c>
      <c r="R58" s="23" t="s">
        <v>46</v>
      </c>
      <c r="S58" s="22">
        <v>0.23529411764705882</v>
      </c>
      <c r="T58" s="23" t="s">
        <v>46</v>
      </c>
      <c r="U58" s="23" t="s">
        <v>17</v>
      </c>
      <c r="V58" s="89">
        <f>_xlfn.RANK.AVG(Table845[[#This Row],[REC]],Table845[REC])</f>
        <v>16</v>
      </c>
      <c r="W58" s="89">
        <f>_xlfn.RANK.AVG(Table845[[#This Row],[Y]],Table845[Y])</f>
        <v>17</v>
      </c>
      <c r="X58" s="89">
        <f>_xlfn.RANK.AVG(Table845[[#This Row],[TD]],Table845[TD])</f>
        <v>19</v>
      </c>
    </row>
    <row r="59" spans="7:24" x14ac:dyDescent="0.35">
      <c r="G59" s="89">
        <f>_xlfn.RANK.AVG(Table77[[#This Row],[REC]],Table77[REC])</f>
        <v>6</v>
      </c>
      <c r="H59" s="89">
        <f>_xlfn.RANK.AVG(Table77[[#This Row],[Y]],Table77[Y])</f>
        <v>5</v>
      </c>
      <c r="I59" s="89">
        <f>_xlfn.RANK.AVG(Table77[[#This Row],[TD]],Table77[TD])</f>
        <v>17</v>
      </c>
      <c r="J59" s="104" t="s">
        <v>47</v>
      </c>
      <c r="K59" s="22">
        <v>12.882352941176471</v>
      </c>
      <c r="L59" s="22">
        <v>166.23529411764707</v>
      </c>
      <c r="M59" s="22">
        <v>1</v>
      </c>
      <c r="N59" s="21" t="s">
        <v>47</v>
      </c>
      <c r="O59" s="22">
        <v>4.7647058823529411</v>
      </c>
      <c r="P59" s="22">
        <v>57.117647058823529</v>
      </c>
      <c r="Q59" s="22">
        <v>0.11764705882352941</v>
      </c>
      <c r="R59" s="21" t="s">
        <v>47</v>
      </c>
      <c r="S59" s="22">
        <v>0.23529411764705882</v>
      </c>
      <c r="T59" s="21" t="s">
        <v>47</v>
      </c>
      <c r="U59" s="23" t="s">
        <v>48</v>
      </c>
      <c r="V59" s="89">
        <f>_xlfn.RANK.AVG(Table845[[#This Row],[REC]],Table845[REC])</f>
        <v>22</v>
      </c>
      <c r="W59" s="89">
        <f>_xlfn.RANK.AVG(Table845[[#This Row],[Y]],Table845[Y])</f>
        <v>8</v>
      </c>
      <c r="X59" s="89">
        <f>_xlfn.RANK.AVG(Table845[[#This Row],[TD]],Table845[TD])</f>
        <v>31</v>
      </c>
    </row>
    <row r="60" spans="7:24" x14ac:dyDescent="0.35">
      <c r="G60" s="89">
        <f>_xlfn.RANK.AVG(Table77[[#This Row],[REC]],Table77[REC])</f>
        <v>17</v>
      </c>
      <c r="H60" s="89">
        <f>_xlfn.RANK.AVG(Table77[[#This Row],[Y]],Table77[Y])</f>
        <v>15</v>
      </c>
      <c r="I60" s="89">
        <f>_xlfn.RANK.AVG(Table77[[#This Row],[TD]],Table77[TD])</f>
        <v>17</v>
      </c>
      <c r="J60" s="105" t="s">
        <v>48</v>
      </c>
      <c r="K60" s="22">
        <v>11.882352941176471</v>
      </c>
      <c r="L60" s="22">
        <v>149.8235294117647</v>
      </c>
      <c r="M60" s="22">
        <v>1</v>
      </c>
      <c r="N60" s="23" t="s">
        <v>48</v>
      </c>
      <c r="O60" s="22">
        <v>3.7647058823529411</v>
      </c>
      <c r="P60" s="22">
        <v>39.705882352941174</v>
      </c>
      <c r="Q60" s="22">
        <v>0.23529411764705882</v>
      </c>
      <c r="R60" s="23" t="s">
        <v>48</v>
      </c>
      <c r="S60" s="22">
        <v>0.35294117647058826</v>
      </c>
      <c r="T60" s="23" t="s">
        <v>48</v>
      </c>
      <c r="U60" s="23" t="s">
        <v>47</v>
      </c>
      <c r="V60" s="89">
        <f>_xlfn.RANK.AVG(Table845[[#This Row],[REC]],Table845[REC])</f>
        <v>32</v>
      </c>
      <c r="W60" s="89">
        <f>_xlfn.RANK.AVG(Table845[[#This Row],[Y]],Table845[Y])</f>
        <v>29</v>
      </c>
      <c r="X60" s="89">
        <f>_xlfn.RANK.AVG(Table845[[#This Row],[TD]],Table845[TD])</f>
        <v>26</v>
      </c>
    </row>
    <row r="61" spans="7:24" x14ac:dyDescent="0.35">
      <c r="G61" s="89">
        <f>_xlfn.RANK.AVG(Table77[[#This Row],[REC]],Table77[REC])</f>
        <v>28</v>
      </c>
      <c r="H61" s="89">
        <f>_xlfn.RANK.AVG(Table77[[#This Row],[Y]],Table77[Y])</f>
        <v>25</v>
      </c>
      <c r="I61" s="89">
        <f>_xlfn.RANK.AVG(Table77[[#This Row],[TD]],Table77[TD])</f>
        <v>20</v>
      </c>
      <c r="J61" s="104" t="s">
        <v>49</v>
      </c>
      <c r="K61" s="22">
        <v>10.76470588235294</v>
      </c>
      <c r="L61" s="22">
        <v>139.58823529411765</v>
      </c>
      <c r="M61" s="22">
        <v>0.94117647058823539</v>
      </c>
      <c r="N61" s="21" t="s">
        <v>49</v>
      </c>
      <c r="O61" s="22">
        <v>4.8235294117647056</v>
      </c>
      <c r="P61" s="22">
        <v>43.411764705882355</v>
      </c>
      <c r="Q61" s="22">
        <v>0.29411764705882354</v>
      </c>
      <c r="R61" s="21" t="s">
        <v>49</v>
      </c>
      <c r="S61" s="22">
        <v>0.11764705882352941</v>
      </c>
      <c r="T61" s="21" t="s">
        <v>49</v>
      </c>
      <c r="U61" s="23" t="s">
        <v>33</v>
      </c>
      <c r="V61" s="89">
        <f>_xlfn.RANK.AVG(Table845[[#This Row],[REC]],Table845[REC])</f>
        <v>21</v>
      </c>
      <c r="W61" s="89">
        <f>_xlfn.RANK.AVG(Table845[[#This Row],[Y]],Table845[Y])</f>
        <v>23</v>
      </c>
      <c r="X61" s="89">
        <f>_xlfn.RANK.AVG(Table845[[#This Row],[TD]],Table845[TD])</f>
        <v>19</v>
      </c>
    </row>
    <row r="62" spans="7:24" x14ac:dyDescent="0.35">
      <c r="G62" s="89">
        <f>_xlfn.RANK.AVG(Table77[[#This Row],[REC]],Table77[REC])</f>
        <v>22</v>
      </c>
      <c r="H62" s="89">
        <f>_xlfn.RANK.AVG(Table77[[#This Row],[Y]],Table77[Y])</f>
        <v>32</v>
      </c>
      <c r="I62" s="89">
        <f>_xlfn.RANK.AVG(Table77[[#This Row],[TD]],Table77[TD])</f>
        <v>12</v>
      </c>
      <c r="J62" s="105" t="s">
        <v>50</v>
      </c>
      <c r="K62" s="22">
        <v>11.352941176470587</v>
      </c>
      <c r="L62" s="22">
        <v>126.1764705882353</v>
      </c>
      <c r="M62" s="22">
        <v>1.0588235294117647</v>
      </c>
      <c r="N62" s="23" t="s">
        <v>50</v>
      </c>
      <c r="O62" s="22">
        <v>4.1764705882352944</v>
      </c>
      <c r="P62" s="22">
        <v>38.117647058823529</v>
      </c>
      <c r="Q62" s="22">
        <v>0.29411764705882354</v>
      </c>
      <c r="R62" s="23" t="s">
        <v>50</v>
      </c>
      <c r="S62" s="22">
        <v>0.11764705882352941</v>
      </c>
      <c r="T62" s="23" t="s">
        <v>50</v>
      </c>
      <c r="U62" s="23" t="s">
        <v>34</v>
      </c>
      <c r="V62" s="89">
        <f>_xlfn.RANK.AVG(Table845[[#This Row],[REC]],Table845[REC])</f>
        <v>27.5</v>
      </c>
      <c r="W62" s="89">
        <f>_xlfn.RANK.AVG(Table845[[#This Row],[Y]],Table845[Y])</f>
        <v>31</v>
      </c>
      <c r="X62" s="89">
        <f>_xlfn.RANK.AVG(Table845[[#This Row],[TD]],Table845[TD])</f>
        <v>19</v>
      </c>
    </row>
    <row r="63" spans="7:24" x14ac:dyDescent="0.35">
      <c r="G63" s="89">
        <f>_xlfn.RANK.AVG(Table77[[#This Row],[REC]],Table77[REC])</f>
        <v>15</v>
      </c>
      <c r="H63" s="89">
        <f>_xlfn.RANK.AVG(Table77[[#This Row],[Y]],Table77[Y])</f>
        <v>8</v>
      </c>
      <c r="I63" s="89">
        <f>_xlfn.RANK.AVG(Table77[[#This Row],[TD]],Table77[TD])</f>
        <v>26</v>
      </c>
      <c r="J63" s="104" t="s">
        <v>51</v>
      </c>
      <c r="K63" s="22">
        <v>11.941176470588236</v>
      </c>
      <c r="L63" s="22">
        <v>155.00000000000003</v>
      </c>
      <c r="M63" s="22">
        <v>0.88235294117647067</v>
      </c>
      <c r="N63" s="21" t="s">
        <v>51</v>
      </c>
      <c r="O63" s="22">
        <v>6.1764705882352944</v>
      </c>
      <c r="P63" s="22">
        <v>56.411764705882355</v>
      </c>
      <c r="Q63" s="22">
        <v>0.41176470588235292</v>
      </c>
      <c r="R63" s="21" t="s">
        <v>51</v>
      </c>
      <c r="S63" s="22">
        <v>0.11764705882352941</v>
      </c>
      <c r="T63" s="21" t="s">
        <v>51</v>
      </c>
      <c r="U63" s="23" t="s">
        <v>650</v>
      </c>
      <c r="V63" s="89">
        <f>_xlfn.RANK.AVG(Table845[[#This Row],[REC]],Table845[REC])</f>
        <v>4</v>
      </c>
      <c r="W63" s="89">
        <f>_xlfn.RANK.AVG(Table845[[#This Row],[Y]],Table845[Y])</f>
        <v>11</v>
      </c>
      <c r="X63" s="89">
        <f>_xlfn.RANK.AVG(Table845[[#This Row],[TD]],Table845[TD])</f>
        <v>10.5</v>
      </c>
    </row>
    <row r="64" spans="7:24" x14ac:dyDescent="0.35">
      <c r="G64" s="89">
        <f>_xlfn.RANK.AVG(Table77[[#This Row],[REC]],Table77[REC])</f>
        <v>12.5</v>
      </c>
      <c r="H64" s="89">
        <f>_xlfn.RANK.AVG(Table77[[#This Row],[Y]],Table77[Y])</f>
        <v>21</v>
      </c>
      <c r="I64" s="89">
        <f>_xlfn.RANK.AVG(Table77[[#This Row],[TD]],Table77[TD])</f>
        <v>7.5</v>
      </c>
      <c r="J64" s="105" t="s">
        <v>52</v>
      </c>
      <c r="K64" s="22">
        <v>12.176470588235293</v>
      </c>
      <c r="L64" s="22">
        <v>142.11764705882354</v>
      </c>
      <c r="M64" s="22">
        <v>1.1176470588235294</v>
      </c>
      <c r="N64" s="23" t="s">
        <v>52</v>
      </c>
      <c r="O64" s="22">
        <v>5.0588235294117645</v>
      </c>
      <c r="P64" s="22">
        <v>52.352941176470587</v>
      </c>
      <c r="Q64" s="22">
        <v>0.23529411764705882</v>
      </c>
      <c r="R64" s="23" t="s">
        <v>52</v>
      </c>
      <c r="S64" s="22">
        <v>0.17647058823529413</v>
      </c>
      <c r="T64" s="23" t="s">
        <v>52</v>
      </c>
      <c r="U64" s="23" t="s">
        <v>54</v>
      </c>
      <c r="V64" s="89">
        <f>_xlfn.RANK.AVG(Table845[[#This Row],[REC]],Table845[REC])</f>
        <v>17</v>
      </c>
      <c r="W64" s="89">
        <f>_xlfn.RANK.AVG(Table845[[#This Row],[Y]],Table845[Y])</f>
        <v>15</v>
      </c>
      <c r="X64" s="89">
        <f>_xlfn.RANK.AVG(Table845[[#This Row],[TD]],Table845[TD])</f>
        <v>26</v>
      </c>
    </row>
    <row r="65" spans="7:24" x14ac:dyDescent="0.35">
      <c r="G65" s="89">
        <f>_xlfn.RANK.AVG(Table77[[#This Row],[REC]],Table77[REC])</f>
        <v>29</v>
      </c>
      <c r="H65" s="89">
        <f>_xlfn.RANK.AVG(Table77[[#This Row],[Y]],Table77[Y])</f>
        <v>31</v>
      </c>
      <c r="I65" s="89">
        <f>_xlfn.RANK.AVG(Table77[[#This Row],[TD]],Table77[TD])</f>
        <v>7.5</v>
      </c>
      <c r="J65" s="104" t="s">
        <v>53</v>
      </c>
      <c r="K65" s="22">
        <v>10.647058823529409</v>
      </c>
      <c r="L65" s="22">
        <v>126.94117647058823</v>
      </c>
      <c r="M65" s="22">
        <v>1.1176470588235294</v>
      </c>
      <c r="N65" s="21" t="s">
        <v>53</v>
      </c>
      <c r="O65" s="22">
        <v>4.5294117647058822</v>
      </c>
      <c r="P65" s="22">
        <v>40.823529411764703</v>
      </c>
      <c r="Q65" s="22">
        <v>0.29411764705882354</v>
      </c>
      <c r="R65" s="21" t="s">
        <v>53</v>
      </c>
      <c r="S65" s="22">
        <v>5.8823529411764705E-2</v>
      </c>
      <c r="T65" s="21" t="s">
        <v>53</v>
      </c>
      <c r="U65" s="23" t="s">
        <v>42</v>
      </c>
      <c r="V65" s="89">
        <f>_xlfn.RANK.AVG(Table845[[#This Row],[REC]],Table845[REC])</f>
        <v>25</v>
      </c>
      <c r="W65" s="89">
        <f>_xlfn.RANK.AVG(Table845[[#This Row],[Y]],Table845[Y])</f>
        <v>27</v>
      </c>
      <c r="X65" s="89">
        <f>_xlfn.RANK.AVG(Table845[[#This Row],[TD]],Table845[TD])</f>
        <v>19</v>
      </c>
    </row>
    <row r="66" spans="7:24" x14ac:dyDescent="0.35">
      <c r="G66" s="89">
        <f>_xlfn.RANK.AVG(Table77[[#This Row],[REC]],Table77[REC])</f>
        <v>4</v>
      </c>
      <c r="H66" s="89">
        <f>_xlfn.RANK.AVG(Table77[[#This Row],[Y]],Table77[Y])</f>
        <v>7</v>
      </c>
      <c r="I66" s="89">
        <f>_xlfn.RANK.AVG(Table77[[#This Row],[TD]],Table77[TD])</f>
        <v>12</v>
      </c>
      <c r="J66" s="105" t="s">
        <v>54</v>
      </c>
      <c r="K66" s="22">
        <v>13.470588235294118</v>
      </c>
      <c r="L66" s="22">
        <v>155.58823529411762</v>
      </c>
      <c r="M66" s="22">
        <v>1.0588235294117647</v>
      </c>
      <c r="N66" s="23" t="s">
        <v>54</v>
      </c>
      <c r="O66" s="22">
        <v>6.117647058823529</v>
      </c>
      <c r="P66" s="22">
        <v>68.117647058823536</v>
      </c>
      <c r="Q66" s="22">
        <v>0.29411764705882354</v>
      </c>
      <c r="R66" s="23" t="s">
        <v>54</v>
      </c>
      <c r="S66" s="22">
        <v>5.8823529411764705E-2</v>
      </c>
      <c r="T66" s="23" t="s">
        <v>54</v>
      </c>
      <c r="U66" s="23" t="s">
        <v>52</v>
      </c>
      <c r="V66" s="89">
        <f>_xlfn.RANK.AVG(Table845[[#This Row],[REC]],Table845[REC])</f>
        <v>5</v>
      </c>
      <c r="W66" s="89">
        <f>_xlfn.RANK.AVG(Table845[[#This Row],[Y]],Table845[Y])</f>
        <v>2</v>
      </c>
      <c r="X66" s="89">
        <f>_xlfn.RANK.AVG(Table845[[#This Row],[TD]],Table845[TD])</f>
        <v>19</v>
      </c>
    </row>
    <row r="67" spans="7:24" x14ac:dyDescent="0.35">
      <c r="G67" s="89">
        <f>_xlfn.RANK.AVG(Table77[[#This Row],[REC]],Table77[REC])</f>
        <v>25</v>
      </c>
      <c r="H67" s="89">
        <f>_xlfn.RANK.AVG(Table77[[#This Row],[Y]],Table77[Y])</f>
        <v>30</v>
      </c>
      <c r="I67" s="89">
        <f>_xlfn.RANK.AVG(Table77[[#This Row],[TD]],Table77[TD])</f>
        <v>27</v>
      </c>
      <c r="J67" s="104" t="s">
        <v>55</v>
      </c>
      <c r="K67" s="22">
        <v>11</v>
      </c>
      <c r="L67" s="22">
        <v>128.05882352941177</v>
      </c>
      <c r="M67" s="22">
        <v>0.88235294117647056</v>
      </c>
      <c r="N67" s="21" t="s">
        <v>55</v>
      </c>
      <c r="O67" s="22">
        <v>4.1764705882352944</v>
      </c>
      <c r="P67" s="22">
        <v>37.529411764705884</v>
      </c>
      <c r="Q67" s="22">
        <v>0.29411764705882354</v>
      </c>
      <c r="R67" s="21" t="s">
        <v>55</v>
      </c>
      <c r="S67" s="22">
        <v>0.41176470588235292</v>
      </c>
      <c r="T67" s="21" t="s">
        <v>55</v>
      </c>
      <c r="U67" s="23" t="s">
        <v>0</v>
      </c>
      <c r="V67" s="89">
        <f>_xlfn.RANK.AVG(Table845[[#This Row],[REC]],Table845[REC])</f>
        <v>27.5</v>
      </c>
      <c r="W67" s="89">
        <f>_xlfn.RANK.AVG(Table845[[#This Row],[Y]],Table845[Y])</f>
        <v>32</v>
      </c>
      <c r="X67" s="89">
        <f>_xlfn.RANK.AVG(Table845[[#This Row],[TD]],Table845[TD])</f>
        <v>19</v>
      </c>
    </row>
    <row r="68" spans="7:24" x14ac:dyDescent="0.35">
      <c r="G68" s="89">
        <f>_xlfn.RANK.AVG(Table77[[#This Row],[REC]],Table77[REC])</f>
        <v>24</v>
      </c>
      <c r="H68" s="89">
        <f>_xlfn.RANK.AVG(Table77[[#This Row],[Y]],Table77[Y])</f>
        <v>20</v>
      </c>
      <c r="I68" s="89">
        <f>_xlfn.RANK.AVG(Table77[[#This Row],[TD]],Table77[TD])</f>
        <v>23</v>
      </c>
      <c r="J68" s="105" t="s">
        <v>56</v>
      </c>
      <c r="K68" s="22">
        <v>11.176470588235293</v>
      </c>
      <c r="L68" s="22">
        <v>142.76470588235296</v>
      </c>
      <c r="M68" s="22">
        <v>0.94117647058823528</v>
      </c>
      <c r="N68" s="23" t="s">
        <v>56</v>
      </c>
      <c r="O68" s="22">
        <v>4.0588235294117645</v>
      </c>
      <c r="P68" s="22">
        <v>39.882352941176471</v>
      </c>
      <c r="Q68" s="22">
        <v>0.47058823529411764</v>
      </c>
      <c r="R68" s="23" t="s">
        <v>56</v>
      </c>
      <c r="S68" s="22">
        <v>5.8823529411764705E-2</v>
      </c>
      <c r="T68" s="23" t="s">
        <v>56</v>
      </c>
      <c r="U68" s="123" t="s">
        <v>41</v>
      </c>
      <c r="V68" s="89">
        <f>_xlfn.RANK.AVG(Table845[[#This Row],[REC]],Table845[REC])</f>
        <v>29</v>
      </c>
      <c r="W68" s="89">
        <f>_xlfn.RANK.AVG(Table845[[#This Row],[Y]],Table845[Y])</f>
        <v>28</v>
      </c>
      <c r="X68" s="89">
        <f>_xlfn.RANK.AVG(Table845[[#This Row],[TD]],Table845[TD])</f>
        <v>7</v>
      </c>
    </row>
  </sheetData>
  <mergeCells count="6">
    <mergeCell ref="J1:O1"/>
    <mergeCell ref="P1:U1"/>
    <mergeCell ref="J35:M35"/>
    <mergeCell ref="N35:Q35"/>
    <mergeCell ref="R35:S35"/>
    <mergeCell ref="T35:U35"/>
  </mergeCells>
  <phoneticPr fontId="5" type="noConversion"/>
  <conditionalFormatting sqref="E3:I34">
    <cfRule type="colorScale" priority="3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7:I68">
    <cfRule type="colorScale" priority="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3:J34">
    <cfRule type="cellIs" dxfId="3473" priority="263" operator="equal">
      <formula>"ATL"</formula>
    </cfRule>
    <cfRule type="cellIs" dxfId="3472" priority="262" operator="equal">
      <formula>"LAR"</formula>
    </cfRule>
    <cfRule type="cellIs" dxfId="3471" priority="261" operator="equal">
      <formula>"LAC"</formula>
    </cfRule>
    <cfRule type="cellIs" dxfId="3470" priority="260" operator="equal">
      <formula>"SEA"</formula>
    </cfRule>
    <cfRule type="cellIs" dxfId="3469" priority="259" operator="equal">
      <formula>"NYJ"</formula>
    </cfRule>
    <cfRule type="cellIs" dxfId="3468" priority="258" operator="equal">
      <formula>"CLE"</formula>
    </cfRule>
    <cfRule type="cellIs" dxfId="3467" priority="257" operator="equal">
      <formula>"TB"</formula>
    </cfRule>
    <cfRule type="cellIs" dxfId="3466" priority="256" operator="equal">
      <formula>"TEN"</formula>
    </cfRule>
    <cfRule type="cellIs" dxfId="3465" priority="255" operator="equal">
      <formula>"NO"</formula>
    </cfRule>
    <cfRule type="cellIs" dxfId="3464" priority="254" operator="equal">
      <formula>"NYG"</formula>
    </cfRule>
    <cfRule type="cellIs" dxfId="3463" priority="253" operator="equal">
      <formula>"CAR"</formula>
    </cfRule>
    <cfRule type="cellIs" dxfId="3462" priority="252" operator="equal">
      <formula>"DEN"</formula>
    </cfRule>
    <cfRule type="cellIs" dxfId="3461" priority="251" operator="equal">
      <formula>"PIT"</formula>
    </cfRule>
    <cfRule type="cellIs" dxfId="3460" priority="250" operator="equal">
      <formula>"MIN"</formula>
    </cfRule>
    <cfRule type="cellIs" dxfId="3459" priority="248" operator="equal">
      <formula>"LV"</formula>
    </cfRule>
    <cfRule type="cellIs" dxfId="3458" priority="249" operator="equal">
      <formula>"NE"</formula>
    </cfRule>
    <cfRule type="cellIs" dxfId="3457" priority="264" operator="equal">
      <formula>"JAX"</formula>
    </cfRule>
    <cfRule type="cellIs" dxfId="3456" priority="278" operator="equal">
      <formula>"PHI"</formula>
    </cfRule>
    <cfRule type="cellIs" dxfId="3455" priority="277" operator="equal">
      <formula>"BAL"</formula>
    </cfRule>
    <cfRule type="cellIs" dxfId="3454" priority="276" operator="equal">
      <formula>"KC"</formula>
    </cfRule>
    <cfRule type="cellIs" dxfId="3453" priority="266" operator="equal">
      <formula>"MIA"</formula>
    </cfRule>
    <cfRule type="cellIs" dxfId="3452" priority="275" operator="equal">
      <formula>"IND"</formula>
    </cfRule>
    <cfRule type="cellIs" dxfId="3451" priority="274" operator="equal">
      <formula>"HOU"</formula>
    </cfRule>
    <cfRule type="cellIs" dxfId="3450" priority="273" operator="equal">
      <formula>"ARI"</formula>
    </cfRule>
    <cfRule type="cellIs" dxfId="3449" priority="272" operator="equal">
      <formula>"CIN"</formula>
    </cfRule>
    <cfRule type="cellIs" dxfId="3448" priority="271" operator="equal">
      <formula>"DAL"</formula>
    </cfRule>
    <cfRule type="cellIs" dxfId="3447" priority="270" operator="equal">
      <formula>"GB"</formula>
    </cfRule>
    <cfRule type="cellIs" dxfId="3446" priority="269" operator="equal">
      <formula>"WAS"</formula>
    </cfRule>
    <cfRule type="cellIs" dxfId="3445" priority="279" operator="equal">
      <formula>"BUF"</formula>
    </cfRule>
    <cfRule type="cellIs" dxfId="3444" priority="268" operator="equal">
      <formula>"SF"</formula>
    </cfRule>
    <cfRule type="cellIs" dxfId="3443" priority="267" operator="equal">
      <formula>"DET"</formula>
    </cfRule>
    <cfRule type="cellIs" dxfId="3442" priority="265" operator="equal">
      <formula>"CHI"</formula>
    </cfRule>
  </conditionalFormatting>
  <conditionalFormatting sqref="J37:J68">
    <cfRule type="cellIs" dxfId="3441" priority="170" operator="equal">
      <formula>"MIA"</formula>
    </cfRule>
    <cfRule type="cellIs" dxfId="3440" priority="169" operator="equal">
      <formula>"CHI"</formula>
    </cfRule>
    <cfRule type="cellIs" dxfId="3439" priority="168" operator="equal">
      <formula>"JAX"</formula>
    </cfRule>
    <cfRule type="cellIs" dxfId="3438" priority="167" operator="equal">
      <formula>"ATL"</formula>
    </cfRule>
    <cfRule type="cellIs" dxfId="3437" priority="166" operator="equal">
      <formula>"LAR"</formula>
    </cfRule>
    <cfRule type="cellIs" dxfId="3436" priority="165" operator="equal">
      <formula>"LAC"</formula>
    </cfRule>
    <cfRule type="cellIs" dxfId="3435" priority="164" operator="equal">
      <formula>"SEA"</formula>
    </cfRule>
    <cfRule type="cellIs" dxfId="3434" priority="163" operator="equal">
      <formula>"NYJ"</formula>
    </cfRule>
    <cfRule type="cellIs" dxfId="3433" priority="162" operator="equal">
      <formula>"CLE"</formula>
    </cfRule>
    <cfRule type="cellIs" dxfId="3432" priority="161" operator="equal">
      <formula>"TB"</formula>
    </cfRule>
    <cfRule type="cellIs" dxfId="3431" priority="160" operator="equal">
      <formula>"TEN"</formula>
    </cfRule>
    <cfRule type="cellIs" dxfId="3430" priority="159" operator="equal">
      <formula>"NO"</formula>
    </cfRule>
    <cfRule type="cellIs" dxfId="3429" priority="152" operator="equal">
      <formula>"LV"</formula>
    </cfRule>
    <cfRule type="cellIs" dxfId="3428" priority="157" operator="equal">
      <formula>"CAR"</formula>
    </cfRule>
    <cfRule type="cellIs" dxfId="3427" priority="153" operator="equal">
      <formula>"NE"</formula>
    </cfRule>
    <cfRule type="cellIs" dxfId="3426" priority="154" operator="equal">
      <formula>"MIN"</formula>
    </cfRule>
    <cfRule type="cellIs" dxfId="3425" priority="155" operator="equal">
      <formula>"PIT"</formula>
    </cfRule>
    <cfRule type="cellIs" dxfId="3424" priority="156" operator="equal">
      <formula>"DEN"</formula>
    </cfRule>
    <cfRule type="cellIs" dxfId="3423" priority="172" operator="equal">
      <formula>"SF"</formula>
    </cfRule>
    <cfRule type="cellIs" dxfId="3422" priority="158" operator="equal">
      <formula>"NYG"</formula>
    </cfRule>
    <cfRule type="cellIs" dxfId="3421" priority="183" operator="equal">
      <formula>"BUF"</formula>
    </cfRule>
    <cfRule type="cellIs" dxfId="3420" priority="182" operator="equal">
      <formula>"PHI"</formula>
    </cfRule>
    <cfRule type="cellIs" dxfId="3419" priority="181" operator="equal">
      <formula>"BAL"</formula>
    </cfRule>
    <cfRule type="cellIs" dxfId="3418" priority="180" operator="equal">
      <formula>"KC"</formula>
    </cfRule>
    <cfRule type="cellIs" dxfId="3417" priority="179" operator="equal">
      <formula>"IND"</formula>
    </cfRule>
    <cfRule type="cellIs" dxfId="3416" priority="178" operator="equal">
      <formula>"HOU"</formula>
    </cfRule>
    <cfRule type="cellIs" dxfId="3415" priority="177" operator="equal">
      <formula>"ARI"</formula>
    </cfRule>
    <cfRule type="cellIs" dxfId="3414" priority="176" operator="equal">
      <formula>"CIN"</formula>
    </cfRule>
    <cfRule type="cellIs" dxfId="3413" priority="175" operator="equal">
      <formula>"DAL"</formula>
    </cfRule>
    <cfRule type="cellIs" dxfId="3412" priority="174" operator="equal">
      <formula>"GB"</formula>
    </cfRule>
    <cfRule type="cellIs" dxfId="3411" priority="173" operator="equal">
      <formula>"WAS"</formula>
    </cfRule>
    <cfRule type="cellIs" dxfId="3410" priority="171" operator="equal">
      <formula>"DET"</formula>
    </cfRule>
  </conditionalFormatting>
  <conditionalFormatting sqref="K3:K34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7:K6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34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7:L6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3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7:M6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4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7:N68">
    <cfRule type="cellIs" dxfId="3409" priority="242" operator="equal">
      <formula>"HOU"</formula>
    </cfRule>
    <cfRule type="cellIs" dxfId="3408" priority="241" operator="equal">
      <formula>"ARI"</formula>
    </cfRule>
    <cfRule type="cellIs" dxfId="3407" priority="240" operator="equal">
      <formula>"CIN"</formula>
    </cfRule>
    <cfRule type="cellIs" dxfId="3406" priority="239" operator="equal">
      <formula>"DAL"</formula>
    </cfRule>
    <cfRule type="cellIs" dxfId="3405" priority="238" operator="equal">
      <formula>"GB"</formula>
    </cfRule>
    <cfRule type="cellIs" dxfId="3404" priority="237" operator="equal">
      <formula>"WAS"</formula>
    </cfRule>
    <cfRule type="cellIs" dxfId="3403" priority="236" operator="equal">
      <formula>"SF"</formula>
    </cfRule>
    <cfRule type="cellIs" dxfId="3402" priority="235" operator="equal">
      <formula>"DET"</formula>
    </cfRule>
    <cfRule type="cellIs" dxfId="3401" priority="234" operator="equal">
      <formula>"MIA"</formula>
    </cfRule>
    <cfRule type="cellIs" dxfId="3400" priority="233" operator="equal">
      <formula>"CHI"</formula>
    </cfRule>
    <cfRule type="cellIs" dxfId="3399" priority="232" operator="equal">
      <formula>"JAX"</formula>
    </cfRule>
    <cfRule type="cellIs" dxfId="3398" priority="231" operator="equal">
      <formula>"ATL"</formula>
    </cfRule>
    <cfRule type="cellIs" dxfId="3397" priority="230" operator="equal">
      <formula>"LAR"</formula>
    </cfRule>
    <cfRule type="cellIs" dxfId="3396" priority="219" operator="equal">
      <formula>"PIT"</formula>
    </cfRule>
    <cfRule type="cellIs" dxfId="3395" priority="216" operator="equal">
      <formula>"LV"</formula>
    </cfRule>
    <cfRule type="cellIs" dxfId="3394" priority="218" operator="equal">
      <formula>"MIN"</formula>
    </cfRule>
    <cfRule type="cellIs" dxfId="3393" priority="247" operator="equal">
      <formula>"BUF"</formula>
    </cfRule>
    <cfRule type="cellIs" dxfId="3392" priority="246" operator="equal">
      <formula>"PHI"</formula>
    </cfRule>
    <cfRule type="cellIs" dxfId="3391" priority="220" operator="equal">
      <formula>"DEN"</formula>
    </cfRule>
    <cfRule type="cellIs" dxfId="3390" priority="217" operator="equal">
      <formula>"NE"</formula>
    </cfRule>
    <cfRule type="cellIs" dxfId="3389" priority="221" operator="equal">
      <formula>"CAR"</formula>
    </cfRule>
    <cfRule type="cellIs" dxfId="3388" priority="222" operator="equal">
      <formula>"NYG"</formula>
    </cfRule>
    <cfRule type="cellIs" dxfId="3387" priority="223" operator="equal">
      <formula>"NO"</formula>
    </cfRule>
    <cfRule type="cellIs" dxfId="3386" priority="224" operator="equal">
      <formula>"TEN"</formula>
    </cfRule>
    <cfRule type="cellIs" dxfId="3385" priority="225" operator="equal">
      <formula>"TB"</formula>
    </cfRule>
    <cfRule type="cellIs" dxfId="3384" priority="226" operator="equal">
      <formula>"CLE"</formula>
    </cfRule>
    <cfRule type="cellIs" dxfId="3383" priority="245" operator="equal">
      <formula>"BAL"</formula>
    </cfRule>
    <cfRule type="cellIs" dxfId="3382" priority="244" operator="equal">
      <formula>"KC"</formula>
    </cfRule>
    <cfRule type="cellIs" dxfId="3381" priority="243" operator="equal">
      <formula>"IND"</formula>
    </cfRule>
    <cfRule type="cellIs" dxfId="3380" priority="227" operator="equal">
      <formula>"NYJ"</formula>
    </cfRule>
    <cfRule type="cellIs" dxfId="3379" priority="228" operator="equal">
      <formula>"SEA"</formula>
    </cfRule>
    <cfRule type="cellIs" dxfId="3378" priority="229" operator="equal">
      <formula>"LAC"</formula>
    </cfRule>
  </conditionalFormatting>
  <conditionalFormatting sqref="O3:O3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7:O6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34">
    <cfRule type="cellIs" dxfId="3377" priority="136" operator="equal">
      <formula>"JAX"</formula>
    </cfRule>
    <cfRule type="cellIs" dxfId="3376" priority="137" operator="equal">
      <formula>"CHI"</formula>
    </cfRule>
    <cfRule type="cellIs" dxfId="3375" priority="138" operator="equal">
      <formula>"MIA"</formula>
    </cfRule>
    <cfRule type="cellIs" dxfId="3374" priority="139" operator="equal">
      <formula>"DET"</formula>
    </cfRule>
    <cfRule type="cellIs" dxfId="3373" priority="140" operator="equal">
      <formula>"SF"</formula>
    </cfRule>
    <cfRule type="cellIs" dxfId="3372" priority="141" operator="equal">
      <formula>"WAS"</formula>
    </cfRule>
    <cfRule type="cellIs" dxfId="3371" priority="142" operator="equal">
      <formula>"GB"</formula>
    </cfRule>
    <cfRule type="cellIs" dxfId="3370" priority="143" operator="equal">
      <formula>"DAL"</formula>
    </cfRule>
    <cfRule type="cellIs" dxfId="3369" priority="144" operator="equal">
      <formula>"CIN"</formula>
    </cfRule>
    <cfRule type="cellIs" dxfId="3368" priority="145" operator="equal">
      <formula>"ARI"</formula>
    </cfRule>
    <cfRule type="cellIs" dxfId="3367" priority="146" operator="equal">
      <formula>"HOU"</formula>
    </cfRule>
    <cfRule type="cellIs" dxfId="3366" priority="147" operator="equal">
      <formula>"IND"</formula>
    </cfRule>
    <cfRule type="cellIs" dxfId="3365" priority="148" operator="equal">
      <formula>"KC"</formula>
    </cfRule>
    <cfRule type="cellIs" dxfId="3364" priority="149" operator="equal">
      <formula>"BAL"</formula>
    </cfRule>
    <cfRule type="cellIs" dxfId="3363" priority="150" operator="equal">
      <formula>"PHI"</formula>
    </cfRule>
    <cfRule type="cellIs" dxfId="3362" priority="151" operator="equal">
      <formula>"BUF"</formula>
    </cfRule>
    <cfRule type="cellIs" dxfId="3361" priority="127" operator="equal">
      <formula>"NO"</formula>
    </cfRule>
    <cfRule type="cellIs" dxfId="3360" priority="120" operator="equal">
      <formula>"LV"</formula>
    </cfRule>
    <cfRule type="cellIs" dxfId="3359" priority="121" operator="equal">
      <formula>"NE"</formula>
    </cfRule>
    <cfRule type="cellIs" dxfId="3358" priority="122" operator="equal">
      <formula>"MIN"</formula>
    </cfRule>
    <cfRule type="cellIs" dxfId="3357" priority="123" operator="equal">
      <formula>"PIT"</formula>
    </cfRule>
    <cfRule type="cellIs" dxfId="3356" priority="124" operator="equal">
      <formula>"DEN"</formula>
    </cfRule>
    <cfRule type="cellIs" dxfId="3355" priority="125" operator="equal">
      <formula>"CAR"</formula>
    </cfRule>
    <cfRule type="cellIs" dxfId="3354" priority="126" operator="equal">
      <formula>"NYG"</formula>
    </cfRule>
    <cfRule type="cellIs" dxfId="3353" priority="128" operator="equal">
      <formula>"TEN"</formula>
    </cfRule>
    <cfRule type="cellIs" dxfId="3352" priority="129" operator="equal">
      <formula>"TB"</formula>
    </cfRule>
    <cfRule type="cellIs" dxfId="3351" priority="130" operator="equal">
      <formula>"CLE"</formula>
    </cfRule>
    <cfRule type="cellIs" dxfId="3350" priority="131" operator="equal">
      <formula>"NYJ"</formula>
    </cfRule>
    <cfRule type="cellIs" dxfId="3349" priority="132" operator="equal">
      <formula>"SEA"</formula>
    </cfRule>
    <cfRule type="cellIs" dxfId="3348" priority="133" operator="equal">
      <formula>"LAC"</formula>
    </cfRule>
    <cfRule type="cellIs" dxfId="3347" priority="134" operator="equal">
      <formula>"LAR"</formula>
    </cfRule>
    <cfRule type="cellIs" dxfId="3346" priority="135" operator="equal">
      <formula>"ATL"</formula>
    </cfRule>
  </conditionalFormatting>
  <conditionalFormatting sqref="P37:P6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7:Q6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34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7:R68">
    <cfRule type="cellIs" dxfId="3345" priority="208" operator="equal">
      <formula>"CIN"</formula>
    </cfRule>
    <cfRule type="cellIs" dxfId="3344" priority="209" operator="equal">
      <formula>"ARI"</formula>
    </cfRule>
    <cfRule type="cellIs" dxfId="3343" priority="210" operator="equal">
      <formula>"HOU"</formula>
    </cfRule>
    <cfRule type="cellIs" dxfId="3342" priority="211" operator="equal">
      <formula>"IND"</formula>
    </cfRule>
    <cfRule type="cellIs" dxfId="3341" priority="212" operator="equal">
      <formula>"KC"</formula>
    </cfRule>
    <cfRule type="cellIs" dxfId="3340" priority="213" operator="equal">
      <formula>"BAL"</formula>
    </cfRule>
    <cfRule type="cellIs" dxfId="3339" priority="214" operator="equal">
      <formula>"PHI"</formula>
    </cfRule>
    <cfRule type="cellIs" dxfId="3338" priority="184" operator="equal">
      <formula>"LV"</formula>
    </cfRule>
    <cfRule type="cellIs" dxfId="3337" priority="185" operator="equal">
      <formula>"NE"</formula>
    </cfRule>
    <cfRule type="cellIs" dxfId="3336" priority="199" operator="equal">
      <formula>"ATL"</formula>
    </cfRule>
    <cfRule type="cellIs" dxfId="3335" priority="187" operator="equal">
      <formula>"PIT"</formula>
    </cfRule>
    <cfRule type="cellIs" dxfId="3334" priority="188" operator="equal">
      <formula>"DEN"</formula>
    </cfRule>
    <cfRule type="cellIs" dxfId="3333" priority="189" operator="equal">
      <formula>"CAR"</formula>
    </cfRule>
    <cfRule type="cellIs" dxfId="3332" priority="190" operator="equal">
      <formula>"NYG"</formula>
    </cfRule>
    <cfRule type="cellIs" dxfId="3331" priority="191" operator="equal">
      <formula>"NO"</formula>
    </cfRule>
    <cfRule type="cellIs" dxfId="3330" priority="192" operator="equal">
      <formula>"TEN"</formula>
    </cfRule>
    <cfRule type="cellIs" dxfId="3329" priority="193" operator="equal">
      <formula>"TB"</formula>
    </cfRule>
    <cfRule type="cellIs" dxfId="3328" priority="194" operator="equal">
      <formula>"CLE"</formula>
    </cfRule>
    <cfRule type="cellIs" dxfId="3327" priority="195" operator="equal">
      <formula>"NYJ"</formula>
    </cfRule>
    <cfRule type="cellIs" dxfId="3326" priority="196" operator="equal">
      <formula>"SEA"</formula>
    </cfRule>
    <cfRule type="cellIs" dxfId="3325" priority="197" operator="equal">
      <formula>"LAC"</formula>
    </cfRule>
    <cfRule type="cellIs" dxfId="3324" priority="198" operator="equal">
      <formula>"LAR"</formula>
    </cfRule>
    <cfRule type="cellIs" dxfId="3323" priority="215" operator="equal">
      <formula>"BUF"</formula>
    </cfRule>
    <cfRule type="cellIs" dxfId="3322" priority="200" operator="equal">
      <formula>"JAX"</formula>
    </cfRule>
    <cfRule type="cellIs" dxfId="3321" priority="201" operator="equal">
      <formula>"CHI"</formula>
    </cfRule>
    <cfRule type="cellIs" dxfId="3320" priority="202" operator="equal">
      <formula>"MIA"</formula>
    </cfRule>
    <cfRule type="cellIs" dxfId="3319" priority="203" operator="equal">
      <formula>"DET"</formula>
    </cfRule>
    <cfRule type="cellIs" dxfId="3318" priority="204" operator="equal">
      <formula>"SF"</formula>
    </cfRule>
    <cfRule type="cellIs" dxfId="3317" priority="205" operator="equal">
      <formula>"WAS"</formula>
    </cfRule>
    <cfRule type="cellIs" dxfId="3316" priority="186" operator="equal">
      <formula>"MIN"</formula>
    </cfRule>
    <cfRule type="cellIs" dxfId="3315" priority="206" operator="equal">
      <formula>"GB"</formula>
    </cfRule>
    <cfRule type="cellIs" dxfId="3314" priority="207" operator="equal">
      <formula>"DAL"</formula>
    </cfRule>
  </conditionalFormatting>
  <conditionalFormatting sqref="S3:S34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7:S6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4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7:T68">
    <cfRule type="cellIs" dxfId="3313" priority="91" operator="equal">
      <formula>"LAC"</formula>
    </cfRule>
    <cfRule type="cellIs" dxfId="3312" priority="90" operator="equal">
      <formula>"SEA"</formula>
    </cfRule>
    <cfRule type="cellIs" dxfId="3311" priority="89" operator="equal">
      <formula>"NYJ"</formula>
    </cfRule>
    <cfRule type="cellIs" dxfId="3310" priority="99" operator="equal">
      <formula>"WAS"</formula>
    </cfRule>
    <cfRule type="cellIs" dxfId="3309" priority="88" operator="equal">
      <formula>"CLE"</formula>
    </cfRule>
    <cfRule type="cellIs" dxfId="3308" priority="87" operator="equal">
      <formula>"TB"</formula>
    </cfRule>
    <cfRule type="cellIs" dxfId="3307" priority="86" operator="equal">
      <formula>"TEN"</formula>
    </cfRule>
    <cfRule type="cellIs" dxfId="3306" priority="85" operator="equal">
      <formula>"NO"</formula>
    </cfRule>
    <cfRule type="cellIs" dxfId="3305" priority="84" operator="equal">
      <formula>"NYG"</formula>
    </cfRule>
    <cfRule type="cellIs" dxfId="3304" priority="83" operator="equal">
      <formula>"CAR"</formula>
    </cfRule>
    <cfRule type="cellIs" dxfId="3303" priority="82" operator="equal">
      <formula>"DEN"</formula>
    </cfRule>
    <cfRule type="cellIs" dxfId="3302" priority="81" operator="equal">
      <formula>"PIT"</formula>
    </cfRule>
    <cfRule type="cellIs" dxfId="3301" priority="80" operator="equal">
      <formula>"MIN"</formula>
    </cfRule>
    <cfRule type="cellIs" dxfId="3300" priority="79" operator="equal">
      <formula>"NE"</formula>
    </cfRule>
    <cfRule type="cellIs" dxfId="3299" priority="78" operator="equal">
      <formula>"LV"</formula>
    </cfRule>
    <cfRule type="cellIs" dxfId="3298" priority="98" operator="equal">
      <formula>"SF"</formula>
    </cfRule>
    <cfRule type="cellIs" dxfId="3297" priority="97" operator="equal">
      <formula>"DET"</formula>
    </cfRule>
    <cfRule type="cellIs" dxfId="3296" priority="96" operator="equal">
      <formula>"MIA"</formula>
    </cfRule>
    <cfRule type="cellIs" dxfId="3295" priority="94" operator="equal">
      <formula>"JAX"</formula>
    </cfRule>
    <cfRule type="cellIs" dxfId="3294" priority="95" operator="equal">
      <formula>"CHI"</formula>
    </cfRule>
    <cfRule type="cellIs" dxfId="3293" priority="100" operator="equal">
      <formula>"GB"</formula>
    </cfRule>
    <cfRule type="cellIs" dxfId="3292" priority="93" operator="equal">
      <formula>"ATL"</formula>
    </cfRule>
    <cfRule type="cellIs" dxfId="3291" priority="92" operator="equal">
      <formula>"LAR"</formula>
    </cfRule>
    <cfRule type="cellIs" dxfId="3290" priority="109" operator="equal">
      <formula>"BUF"</formula>
    </cfRule>
    <cfRule type="cellIs" dxfId="3289" priority="108" operator="equal">
      <formula>"PHI"</formula>
    </cfRule>
    <cfRule type="cellIs" dxfId="3288" priority="107" operator="equal">
      <formula>"BAL"</formula>
    </cfRule>
    <cfRule type="cellIs" dxfId="3287" priority="106" operator="equal">
      <formula>"KC"</formula>
    </cfRule>
    <cfRule type="cellIs" dxfId="3286" priority="105" operator="equal">
      <formula>"IND"</formula>
    </cfRule>
    <cfRule type="cellIs" dxfId="3285" priority="104" operator="equal">
      <formula>"HOU"</formula>
    </cfRule>
    <cfRule type="cellIs" dxfId="3284" priority="103" operator="equal">
      <formula>"ARI"</formula>
    </cfRule>
    <cfRule type="cellIs" dxfId="3283" priority="102" operator="equal">
      <formula>"CIN"</formula>
    </cfRule>
    <cfRule type="cellIs" dxfId="3282" priority="101" operator="equal">
      <formula>"DAL"</formula>
    </cfRule>
  </conditionalFormatting>
  <conditionalFormatting sqref="U3:U3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7:U68">
    <cfRule type="cellIs" dxfId="3281" priority="19" operator="equal">
      <formula>"CHI"</formula>
    </cfRule>
    <cfRule type="cellIs" dxfId="3280" priority="18" operator="equal">
      <formula>"JAX"</formula>
    </cfRule>
    <cfRule type="cellIs" dxfId="3279" priority="17" operator="equal">
      <formula>"ATL"</formula>
    </cfRule>
    <cfRule type="cellIs" dxfId="3278" priority="16" operator="equal">
      <formula>"LAR"</formula>
    </cfRule>
    <cfRule type="cellIs" dxfId="3277" priority="1" operator="equal">
      <formula>"BYE"</formula>
    </cfRule>
    <cfRule type="cellIs" dxfId="3276" priority="15" operator="equal">
      <formula>"LAC"</formula>
    </cfRule>
    <cfRule type="cellIs" dxfId="3275" priority="14" operator="equal">
      <formula>"SEA"</formula>
    </cfRule>
    <cfRule type="cellIs" dxfId="3274" priority="13" operator="equal">
      <formula>"NYJ"</formula>
    </cfRule>
    <cfRule type="cellIs" dxfId="3273" priority="31" operator="equal">
      <formula>"BAL"</formula>
    </cfRule>
    <cfRule type="cellIs" dxfId="3272" priority="11" operator="equal">
      <formula>"TB"</formula>
    </cfRule>
    <cfRule type="cellIs" dxfId="3271" priority="10" operator="equal">
      <formula>"TEN"</formula>
    </cfRule>
    <cfRule type="cellIs" dxfId="3270" priority="9" operator="equal">
      <formula>"NO"</formula>
    </cfRule>
    <cfRule type="cellIs" dxfId="3269" priority="8" operator="equal">
      <formula>"NYG"</formula>
    </cfRule>
    <cfRule type="cellIs" dxfId="3268" priority="7" operator="equal">
      <formula>"CAR"</formula>
    </cfRule>
    <cfRule type="cellIs" dxfId="3267" priority="6" operator="equal">
      <formula>"DEN"</formula>
    </cfRule>
    <cfRule type="cellIs" dxfId="3266" priority="5" operator="equal">
      <formula>"PIT"</formula>
    </cfRule>
    <cfRule type="cellIs" dxfId="3265" priority="4" operator="equal">
      <formula>"MIN"</formula>
    </cfRule>
    <cfRule type="cellIs" dxfId="3264" priority="3" operator="equal">
      <formula>"NE"</formula>
    </cfRule>
    <cfRule type="cellIs" dxfId="3263" priority="2" operator="equal">
      <formula>"LV"</formula>
    </cfRule>
    <cfRule type="cellIs" dxfId="3262" priority="33" operator="equal">
      <formula>"BUF"</formula>
    </cfRule>
    <cfRule type="cellIs" dxfId="3261" priority="32" operator="equal">
      <formula>"PHI"</formula>
    </cfRule>
    <cfRule type="cellIs" dxfId="3260" priority="30" operator="equal">
      <formula>"KC"</formula>
    </cfRule>
    <cfRule type="cellIs" dxfId="3259" priority="20" operator="equal">
      <formula>"MIA"</formula>
    </cfRule>
    <cfRule type="cellIs" dxfId="3258" priority="29" operator="equal">
      <formula>"IND"</formula>
    </cfRule>
    <cfRule type="cellIs" dxfId="3257" priority="28" operator="equal">
      <formula>"HOU"</formula>
    </cfRule>
    <cfRule type="cellIs" dxfId="3256" priority="27" operator="equal">
      <formula>"ARI"</formula>
    </cfRule>
    <cfRule type="cellIs" dxfId="3255" priority="26" operator="equal">
      <formula>"CIN"</formula>
    </cfRule>
    <cfRule type="cellIs" dxfId="3254" priority="25" operator="equal">
      <formula>"DAL"</formula>
    </cfRule>
    <cfRule type="cellIs" dxfId="3253" priority="24" operator="equal">
      <formula>"GB"</formula>
    </cfRule>
    <cfRule type="cellIs" dxfId="3252" priority="23" operator="equal">
      <formula>"WAS"</formula>
    </cfRule>
    <cfRule type="cellIs" dxfId="3251" priority="22" operator="equal">
      <formula>"SF"</formula>
    </cfRule>
    <cfRule type="cellIs" dxfId="3250" priority="21" operator="equal">
      <formula>"DET"</formula>
    </cfRule>
    <cfRule type="cellIs" dxfId="3249" priority="12" operator="equal">
      <formula>"CLE"</formula>
    </cfRule>
  </conditionalFormatting>
  <conditionalFormatting sqref="V37:X68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:Z34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25" right="0.25" top="0.1" bottom="0.1" header="0.3" footer="0.3"/>
  <pageSetup paperSize="8" scale="110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4CA5-BBC9-4B7F-A55A-A46C8B5C96D6}">
  <sheetPr>
    <tabColor theme="7" tint="0.79998168889431442"/>
    <pageSetUpPr fitToPage="1"/>
  </sheetPr>
  <dimension ref="B1:Q86"/>
  <sheetViews>
    <sheetView zoomScale="115" zoomScaleNormal="115" workbookViewId="0">
      <selection activeCell="H92" sqref="H92"/>
    </sheetView>
  </sheetViews>
  <sheetFormatPr defaultRowHeight="14.5" x14ac:dyDescent="0.35"/>
  <cols>
    <col min="1" max="1" width="1.6328125" customWidth="1"/>
    <col min="2" max="2" width="13.179687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8" width="7.453125" bestFit="1" customWidth="1"/>
    <col min="9" max="9" width="9" bestFit="1" customWidth="1"/>
    <col min="10" max="10" width="9.26953125" bestFit="1" customWidth="1"/>
    <col min="11" max="11" width="8.1796875" bestFit="1" customWidth="1"/>
    <col min="12" max="13" width="6" bestFit="1" customWidth="1"/>
    <col min="14" max="14" width="7.54296875" bestFit="1" customWidth="1"/>
    <col min="15" max="15" width="7.81640625" bestFit="1" customWidth="1"/>
    <col min="16" max="16" width="6.7265625" bestFit="1" customWidth="1"/>
    <col min="17" max="17" width="6.90625" bestFit="1" customWidth="1"/>
  </cols>
  <sheetData>
    <row r="1" spans="2:17" ht="15" thickBot="1" x14ac:dyDescent="0.4">
      <c r="B1" s="91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1" t="s">
        <v>659</v>
      </c>
      <c r="H1" s="91" t="s">
        <v>655</v>
      </c>
      <c r="I1" s="91" t="s">
        <v>660</v>
      </c>
      <c r="J1" s="91" t="s">
        <v>661</v>
      </c>
      <c r="K1" s="91" t="s">
        <v>653</v>
      </c>
      <c r="L1" s="107" t="s">
        <v>73</v>
      </c>
      <c r="M1" s="107" t="s">
        <v>74</v>
      </c>
      <c r="N1" s="107" t="s">
        <v>96</v>
      </c>
      <c r="O1" s="107" t="s">
        <v>19</v>
      </c>
      <c r="P1" s="107" t="s">
        <v>72</v>
      </c>
      <c r="Q1" s="107" t="s">
        <v>649</v>
      </c>
    </row>
    <row r="2" spans="2:17" hidden="1" x14ac:dyDescent="0.35">
      <c r="B2" s="6" t="s">
        <v>367</v>
      </c>
      <c r="C2" s="97" t="s">
        <v>54</v>
      </c>
      <c r="D2" s="97" t="s">
        <v>399</v>
      </c>
      <c r="E2" s="23" t="str" cm="1">
        <f t="array" ref="E2">_xlfn.XLOOKUP(Table1178213[[#This Row],[Team]],Table4334[Team],'2425'!$C$3:$C$34)</f>
        <v>n/a</v>
      </c>
      <c r="F2" s="97" t="str">
        <f>'2025'!$E$32</f>
        <v>n/a</v>
      </c>
      <c r="G2" s="94" t="e" cm="1">
        <f t="array" ref="G2">_xlfn.XLOOKUP(Table1178213[[#This Row],[Opp]],Table1[DEF],'2025'!$H$3:$H$34)</f>
        <v>#N/A</v>
      </c>
      <c r="H2" s="94" t="e" cm="1">
        <f t="array" ref="H2">_xlfn.XLOOKUP(Table1178213[[#This Row],[Opp]],Table1[DEF],'2025'!$I$3:$I$34)</f>
        <v>#N/A</v>
      </c>
      <c r="I2" s="94" t="e" cm="1">
        <f t="array" ref="I2">_xlfn.XLOOKUP(Table1178213[[#This Row],[Opp]],Table1[DEF],'2025'!$J$3:$J$34)</f>
        <v>#N/A</v>
      </c>
      <c r="J2" s="94" t="e" cm="1">
        <f t="array" ref="J2">_xlfn.XLOOKUP(Table1178213[[#This Row],[Opp]],Table1[DEF],'2025'!$K$3:$K$34)</f>
        <v>#N/A</v>
      </c>
      <c r="K2" s="94" t="e" cm="1">
        <f t="array" ref="K2">_xlfn.XLOOKUP(Table1178213[[#This Row],[Opp]],Table1[DEF],'2025'!$L$3:$L$34)</f>
        <v>#N/A</v>
      </c>
      <c r="L2" s="95" t="e">
        <f>_xlfn.XLOOKUP(Table1178213[[#This Row],[Opp]],Table1[DEF],Table1[P])</f>
        <v>#N/A</v>
      </c>
      <c r="M2" s="95" t="e">
        <f>_xlfn.XLOOKUP(Table1178213[[#This Row],[Opp]],Table1[DEF],Table1[R])</f>
        <v>#N/A</v>
      </c>
      <c r="N2" s="95" t="e">
        <f>_xlfn.XLOOKUP(Table1178213[[#This Row],[Opp]],Table1[DEF],Table1[P+R])</f>
        <v>#N/A</v>
      </c>
      <c r="O2" s="96" t="e">
        <f>_xlfn.XLOOKUP(Table1178213[[#This Row],[Opp]],Table1[DEF],Table1[P TD])</f>
        <v>#N/A</v>
      </c>
      <c r="P2" s="96" t="e">
        <f>_xlfn.XLOOKUP(Table1178213[[#This Row],[Opp]],Table1[DEF],Table1[TD])</f>
        <v>#N/A</v>
      </c>
      <c r="Q2" s="94" t="e">
        <f>AVERAGE(Table1178213[[#This Row],[*P*]:[*TD*]])</f>
        <v>#N/A</v>
      </c>
    </row>
    <row r="3" spans="2:17" hidden="1" x14ac:dyDescent="0.35">
      <c r="B3" s="6" t="s">
        <v>553</v>
      </c>
      <c r="C3" s="97" t="s">
        <v>0</v>
      </c>
      <c r="D3" s="97" t="s">
        <v>405</v>
      </c>
      <c r="E3" s="23" t="str" cm="1">
        <f t="array" ref="E3">_xlfn.XLOOKUP(Table1178213[[#This Row],[Team]],Table4334[Team],'2425'!$C$3:$C$34)</f>
        <v>n/a</v>
      </c>
      <c r="F3" s="97" t="str">
        <f>'2025'!$E$3</f>
        <v>n/a</v>
      </c>
      <c r="G3" s="94" t="e" cm="1">
        <f t="array" ref="G3">_xlfn.XLOOKUP(Table1178213[[#This Row],[Opp]],Table1[DEF],'2025'!$H$3:$H$34)</f>
        <v>#N/A</v>
      </c>
      <c r="H3" s="94" t="e" cm="1">
        <f t="array" ref="H3">_xlfn.XLOOKUP(Table1178213[[#This Row],[Opp]],Table1[DEF],'2025'!$I$3:$I$34)</f>
        <v>#N/A</v>
      </c>
      <c r="I3" s="94" t="e" cm="1">
        <f t="array" ref="I3">_xlfn.XLOOKUP(Table1178213[[#This Row],[Opp]],Table1[DEF],'2025'!$J$3:$J$34)</f>
        <v>#N/A</v>
      </c>
      <c r="J3" s="94" t="e" cm="1">
        <f t="array" ref="J3">_xlfn.XLOOKUP(Table1178213[[#This Row],[Opp]],Table1[DEF],'2025'!$K$3:$K$34)</f>
        <v>#N/A</v>
      </c>
      <c r="K3" s="94" t="e" cm="1">
        <f t="array" ref="K3">_xlfn.XLOOKUP(Table1178213[[#This Row],[Opp]],Table1[DEF],'2025'!$L$3:$L$34)</f>
        <v>#N/A</v>
      </c>
      <c r="L3" s="95" t="e">
        <f>_xlfn.XLOOKUP(Table1178213[[#This Row],[Opp]],Table1[DEF],Table1[P])</f>
        <v>#N/A</v>
      </c>
      <c r="M3" s="95" t="e">
        <f>_xlfn.XLOOKUP(Table1178213[[#This Row],[Opp]],Table1[DEF],Table1[R])</f>
        <v>#N/A</v>
      </c>
      <c r="N3" s="95" t="e">
        <f>_xlfn.XLOOKUP(Table1178213[[#This Row],[Opp]],Table1[DEF],Table1[P+R])</f>
        <v>#N/A</v>
      </c>
      <c r="O3" s="96" t="e">
        <f>_xlfn.XLOOKUP(Table1178213[[#This Row],[Opp]],Table1[DEF],Table1[P TD])</f>
        <v>#N/A</v>
      </c>
      <c r="P3" s="96" t="e">
        <f>_xlfn.XLOOKUP(Table1178213[[#This Row],[Opp]],Table1[DEF],Table1[TD])</f>
        <v>#N/A</v>
      </c>
      <c r="Q3" s="94" t="e">
        <f>AVERAGE(Table1178213[[#This Row],[*P*]:[*TD*]])</f>
        <v>#N/A</v>
      </c>
    </row>
    <row r="4" spans="2:17" x14ac:dyDescent="0.35">
      <c r="B4" s="6" t="s">
        <v>265</v>
      </c>
      <c r="C4" s="97" t="s">
        <v>42</v>
      </c>
      <c r="D4" s="97" t="s">
        <v>399</v>
      </c>
      <c r="E4" s="23" t="str" cm="1">
        <f t="array" ref="E4">_xlfn.XLOOKUP(Table1178213[[#This Row],[Team]],Table4334[Team],'2425'!$C$3:$C$34)</f>
        <v>n/a</v>
      </c>
      <c r="F4" s="97" t="str">
        <f>'2025'!$E$20</f>
        <v>n/a</v>
      </c>
      <c r="G4" s="94" t="e" cm="1">
        <f t="array" ref="G4">_xlfn.XLOOKUP(Table1178213[[#This Row],[Opp]],Table1[DEF],'2025'!$H$3:$H$34)</f>
        <v>#N/A</v>
      </c>
      <c r="H4" s="94" t="e" cm="1">
        <f t="array" ref="H4">_xlfn.XLOOKUP(Table1178213[[#This Row],[Opp]],Table1[DEF],'2025'!$I$3:$I$34)</f>
        <v>#N/A</v>
      </c>
      <c r="I4" s="94" t="e" cm="1">
        <f t="array" ref="I4">_xlfn.XLOOKUP(Table1178213[[#This Row],[Opp]],Table1[DEF],'2025'!$J$3:$J$34)</f>
        <v>#N/A</v>
      </c>
      <c r="J4" s="94" t="e" cm="1">
        <f t="array" ref="J4">_xlfn.XLOOKUP(Table1178213[[#This Row],[Opp]],Table1[DEF],'2025'!$K$3:$K$34)</f>
        <v>#N/A</v>
      </c>
      <c r="K4" s="94" t="e" cm="1">
        <f t="array" ref="K4">_xlfn.XLOOKUP(Table1178213[[#This Row],[Opp]],Table1[DEF],'2025'!$L$3:$L$34)</f>
        <v>#N/A</v>
      </c>
      <c r="L4" s="95" t="e">
        <f>_xlfn.XLOOKUP(Table1178213[[#This Row],[Opp]],Table1[DEF],Table1[P])</f>
        <v>#N/A</v>
      </c>
      <c r="M4" s="95" t="e">
        <f>_xlfn.XLOOKUP(Table1178213[[#This Row],[Opp]],Table1[DEF],Table1[R])</f>
        <v>#N/A</v>
      </c>
      <c r="N4" s="95" t="e">
        <f>_xlfn.XLOOKUP(Table1178213[[#This Row],[Opp]],Table1[DEF],Table1[P+R])</f>
        <v>#N/A</v>
      </c>
      <c r="O4" s="96" t="e">
        <f>_xlfn.XLOOKUP(Table1178213[[#This Row],[Opp]],Table1[DEF],Table1[P TD])</f>
        <v>#N/A</v>
      </c>
      <c r="P4" s="96" t="e">
        <f>_xlfn.XLOOKUP(Table1178213[[#This Row],[Opp]],Table1[DEF],Table1[TD])</f>
        <v>#N/A</v>
      </c>
      <c r="Q4" s="94" t="e">
        <f>AVERAGE(Table1178213[[#This Row],[*P*]:[*TD*]])</f>
        <v>#N/A</v>
      </c>
    </row>
    <row r="5" spans="2:17" hidden="1" x14ac:dyDescent="0.35">
      <c r="B5" s="6" t="s">
        <v>114</v>
      </c>
      <c r="C5" s="97" t="s">
        <v>15</v>
      </c>
      <c r="D5" s="97" t="s">
        <v>405</v>
      </c>
      <c r="E5" s="23" t="str" cm="1">
        <f t="array" ref="E5">_xlfn.XLOOKUP(Table1178213[[#This Row],[Team]],Table4334[Team],'2425'!$C$3:$C$34)</f>
        <v>n/a</v>
      </c>
      <c r="F5" s="97" t="str">
        <f>'2025'!$E$4</f>
        <v>n/a</v>
      </c>
      <c r="G5" s="94" t="e" cm="1">
        <f t="array" ref="G5">_xlfn.XLOOKUP(Table1178213[[#This Row],[Opp]],Table1[DEF],'2025'!$H$3:$H$34)</f>
        <v>#N/A</v>
      </c>
      <c r="H5" s="94" t="e" cm="1">
        <f t="array" ref="H5">_xlfn.XLOOKUP(Table1178213[[#This Row],[Opp]],Table1[DEF],'2025'!$I$3:$I$34)</f>
        <v>#N/A</v>
      </c>
      <c r="I5" s="94" t="e" cm="1">
        <f t="array" ref="I5">_xlfn.XLOOKUP(Table1178213[[#This Row],[Opp]],Table1[DEF],'2025'!$J$3:$J$34)</f>
        <v>#N/A</v>
      </c>
      <c r="J5" s="94" t="e" cm="1">
        <f t="array" ref="J5">_xlfn.XLOOKUP(Table1178213[[#This Row],[Opp]],Table1[DEF],'2025'!$K$3:$K$34)</f>
        <v>#N/A</v>
      </c>
      <c r="K5" s="94" t="e" cm="1">
        <f t="array" ref="K5">_xlfn.XLOOKUP(Table1178213[[#This Row],[Opp]],Table1[DEF],'2025'!$L$3:$L$34)</f>
        <v>#N/A</v>
      </c>
      <c r="L5" s="95" t="e">
        <f>_xlfn.XLOOKUP(Table1178213[[#This Row],[Opp]],Table1[DEF],Table1[P])</f>
        <v>#N/A</v>
      </c>
      <c r="M5" s="95" t="e">
        <f>_xlfn.XLOOKUP(Table1178213[[#This Row],[Opp]],Table1[DEF],Table1[R])</f>
        <v>#N/A</v>
      </c>
      <c r="N5" s="95" t="e">
        <f>_xlfn.XLOOKUP(Table1178213[[#This Row],[Opp]],Table1[DEF],Table1[P+R])</f>
        <v>#N/A</v>
      </c>
      <c r="O5" s="96" t="e">
        <f>_xlfn.XLOOKUP(Table1178213[[#This Row],[Opp]],Table1[DEF],Table1[P TD])</f>
        <v>#N/A</v>
      </c>
      <c r="P5" s="96" t="e">
        <f>_xlfn.XLOOKUP(Table1178213[[#This Row],[Opp]],Table1[DEF],Table1[TD])</f>
        <v>#N/A</v>
      </c>
      <c r="Q5" s="94" t="e">
        <f>AVERAGE(Table1178213[[#This Row],[*P*]:[*TD*]])</f>
        <v>#N/A</v>
      </c>
    </row>
    <row r="6" spans="2:17" hidden="1" x14ac:dyDescent="0.35">
      <c r="B6" s="6" t="s">
        <v>597</v>
      </c>
      <c r="C6" s="97" t="s">
        <v>15</v>
      </c>
      <c r="D6" s="97" t="s">
        <v>425</v>
      </c>
      <c r="E6" s="23" t="str" cm="1">
        <f t="array" ref="E6">_xlfn.XLOOKUP(Table1178213[[#This Row],[Team]],Table4334[Team],'2425'!$C$3:$C$34)</f>
        <v>n/a</v>
      </c>
      <c r="F6" s="97" t="str">
        <f>'2025'!$E$4</f>
        <v>n/a</v>
      </c>
      <c r="G6" s="94" t="e" cm="1">
        <f t="array" ref="G6">_xlfn.XLOOKUP(Table1178213[[#This Row],[Opp]],Table1[DEF],'2025'!$H$3:$H$34)</f>
        <v>#N/A</v>
      </c>
      <c r="H6" s="94" t="e" cm="1">
        <f t="array" ref="H6">_xlfn.XLOOKUP(Table1178213[[#This Row],[Opp]],Table1[DEF],'2025'!$I$3:$I$34)</f>
        <v>#N/A</v>
      </c>
      <c r="I6" s="94" t="e" cm="1">
        <f t="array" ref="I6">_xlfn.XLOOKUP(Table1178213[[#This Row],[Opp]],Table1[DEF],'2025'!$J$3:$J$34)</f>
        <v>#N/A</v>
      </c>
      <c r="J6" s="94" t="e" cm="1">
        <f t="array" ref="J6">_xlfn.XLOOKUP(Table1178213[[#This Row],[Opp]],Table1[DEF],'2025'!$K$3:$K$34)</f>
        <v>#N/A</v>
      </c>
      <c r="K6" s="94" t="e" cm="1">
        <f t="array" ref="K6">_xlfn.XLOOKUP(Table1178213[[#This Row],[Opp]],Table1[DEF],'2025'!$L$3:$L$34)</f>
        <v>#N/A</v>
      </c>
      <c r="L6" s="95" t="e">
        <f>_xlfn.XLOOKUP(Table1178213[[#This Row],[Opp]],Table1[DEF],Table1[P])</f>
        <v>#N/A</v>
      </c>
      <c r="M6" s="95" t="e">
        <f>_xlfn.XLOOKUP(Table1178213[[#This Row],[Opp]],Table1[DEF],Table1[R])</f>
        <v>#N/A</v>
      </c>
      <c r="N6" s="95" t="e">
        <f>_xlfn.XLOOKUP(Table1178213[[#This Row],[Opp]],Table1[DEF],Table1[P+R])</f>
        <v>#N/A</v>
      </c>
      <c r="O6" s="96" t="e">
        <f>_xlfn.XLOOKUP(Table1178213[[#This Row],[Opp]],Table1[DEF],Table1[P TD])</f>
        <v>#N/A</v>
      </c>
      <c r="P6" s="96" t="e">
        <f>_xlfn.XLOOKUP(Table1178213[[#This Row],[Opp]],Table1[DEF],Table1[TD])</f>
        <v>#N/A</v>
      </c>
      <c r="Q6" s="94" t="e">
        <f>AVERAGE(Table1178213[[#This Row],[*P*]:[*TD*]])</f>
        <v>#N/A</v>
      </c>
    </row>
    <row r="7" spans="2:17" hidden="1" x14ac:dyDescent="0.35">
      <c r="B7" s="6" t="s">
        <v>323</v>
      </c>
      <c r="C7" s="97" t="s">
        <v>48</v>
      </c>
      <c r="D7" s="97" t="s">
        <v>399</v>
      </c>
      <c r="E7" s="23" t="str" cm="1">
        <f t="array" ref="E7">_xlfn.XLOOKUP(Table1178213[[#This Row],[Team]],Table4334[Team],'2425'!$C$3:$C$34)</f>
        <v>n/a</v>
      </c>
      <c r="F7" s="97" t="str">
        <f>'2025'!$E$26</f>
        <v>n/a</v>
      </c>
      <c r="G7" s="94" t="e" cm="1">
        <f t="array" ref="G7">_xlfn.XLOOKUP(Table1178213[[#This Row],[Opp]],Table1[DEF],'2025'!$H$3:$H$34)</f>
        <v>#N/A</v>
      </c>
      <c r="H7" s="94" t="e" cm="1">
        <f t="array" ref="H7">_xlfn.XLOOKUP(Table1178213[[#This Row],[Opp]],Table1[DEF],'2025'!$I$3:$I$34)</f>
        <v>#N/A</v>
      </c>
      <c r="I7" s="94" t="e" cm="1">
        <f t="array" ref="I7">_xlfn.XLOOKUP(Table1178213[[#This Row],[Opp]],Table1[DEF],'2025'!$J$3:$J$34)</f>
        <v>#N/A</v>
      </c>
      <c r="J7" s="94" t="e" cm="1">
        <f t="array" ref="J7">_xlfn.XLOOKUP(Table1178213[[#This Row],[Opp]],Table1[DEF],'2025'!$K$3:$K$34)</f>
        <v>#N/A</v>
      </c>
      <c r="K7" s="94" t="e" cm="1">
        <f t="array" ref="K7">_xlfn.XLOOKUP(Table1178213[[#This Row],[Opp]],Table1[DEF],'2025'!$L$3:$L$34)</f>
        <v>#N/A</v>
      </c>
      <c r="L7" s="95" t="e">
        <f>_xlfn.XLOOKUP(Table1178213[[#This Row],[Opp]],Table1[DEF],Table1[P])</f>
        <v>#N/A</v>
      </c>
      <c r="M7" s="95" t="e">
        <f>_xlfn.XLOOKUP(Table1178213[[#This Row],[Opp]],Table1[DEF],Table1[R])</f>
        <v>#N/A</v>
      </c>
      <c r="N7" s="95" t="e">
        <f>_xlfn.XLOOKUP(Table1178213[[#This Row],[Opp]],Table1[DEF],Table1[P+R])</f>
        <v>#N/A</v>
      </c>
      <c r="O7" s="96" t="e">
        <f>_xlfn.XLOOKUP(Table1178213[[#This Row],[Opp]],Table1[DEF],Table1[P TD])</f>
        <v>#N/A</v>
      </c>
      <c r="P7" s="96" t="e">
        <f>_xlfn.XLOOKUP(Table1178213[[#This Row],[Opp]],Table1[DEF],Table1[TD])</f>
        <v>#N/A</v>
      </c>
      <c r="Q7" s="94" t="e">
        <f>AVERAGE(Table1178213[[#This Row],[*P*]:[*TD*]])</f>
        <v>#N/A</v>
      </c>
    </row>
    <row r="8" spans="2:17" hidden="1" x14ac:dyDescent="0.35">
      <c r="B8" s="6" t="s">
        <v>468</v>
      </c>
      <c r="C8" s="97" t="s">
        <v>16</v>
      </c>
      <c r="D8" s="97" t="s">
        <v>405</v>
      </c>
      <c r="E8" s="23" t="str" cm="1">
        <f t="array" ref="E8">_xlfn.XLOOKUP(Table1178213[[#This Row],[Team]],Table4334[Team],'2425'!$C$3:$C$34)</f>
        <v>n/a</v>
      </c>
      <c r="F8" s="97" t="str">
        <f>'2025'!$E$5</f>
        <v>n/a</v>
      </c>
      <c r="G8" s="94" t="e" cm="1">
        <f t="array" ref="G8">_xlfn.XLOOKUP(Table1178213[[#This Row],[Opp]],Table1[DEF],'2025'!$H$3:$H$34)</f>
        <v>#N/A</v>
      </c>
      <c r="H8" s="94" t="e" cm="1">
        <f t="array" ref="H8">_xlfn.XLOOKUP(Table1178213[[#This Row],[Opp]],Table1[DEF],'2025'!$I$3:$I$34)</f>
        <v>#N/A</v>
      </c>
      <c r="I8" s="94" t="e" cm="1">
        <f t="array" ref="I8">_xlfn.XLOOKUP(Table1178213[[#This Row],[Opp]],Table1[DEF],'2025'!$J$3:$J$34)</f>
        <v>#N/A</v>
      </c>
      <c r="J8" s="94" t="e" cm="1">
        <f t="array" ref="J8">_xlfn.XLOOKUP(Table1178213[[#This Row],[Opp]],Table1[DEF],'2025'!$K$3:$K$34)</f>
        <v>#N/A</v>
      </c>
      <c r="K8" s="94" t="e" cm="1">
        <f t="array" ref="K8">_xlfn.XLOOKUP(Table1178213[[#This Row],[Opp]],Table1[DEF],'2025'!$L$3:$L$34)</f>
        <v>#N/A</v>
      </c>
      <c r="L8" s="95" t="e">
        <f>_xlfn.XLOOKUP(Table1178213[[#This Row],[Opp]],Table1[DEF],Table1[P])</f>
        <v>#N/A</v>
      </c>
      <c r="M8" s="95" t="e">
        <f>_xlfn.XLOOKUP(Table1178213[[#This Row],[Opp]],Table1[DEF],Table1[R])</f>
        <v>#N/A</v>
      </c>
      <c r="N8" s="95" t="e">
        <f>_xlfn.XLOOKUP(Table1178213[[#This Row],[Opp]],Table1[DEF],Table1[P+R])</f>
        <v>#N/A</v>
      </c>
      <c r="O8" s="96" t="e">
        <f>_xlfn.XLOOKUP(Table1178213[[#This Row],[Opp]],Table1[DEF],Table1[P TD])</f>
        <v>#N/A</v>
      </c>
      <c r="P8" s="96" t="e">
        <f>_xlfn.XLOOKUP(Table1178213[[#This Row],[Opp]],Table1[DEF],Table1[TD])</f>
        <v>#N/A</v>
      </c>
      <c r="Q8" s="94" t="e">
        <f>AVERAGE(Table1178213[[#This Row],[*P*]:[*TD*]])</f>
        <v>#N/A</v>
      </c>
    </row>
    <row r="9" spans="2:17" hidden="1" x14ac:dyDescent="0.35">
      <c r="B9" s="6" t="s">
        <v>181</v>
      </c>
      <c r="C9" s="97" t="s">
        <v>33</v>
      </c>
      <c r="D9" s="97" t="s">
        <v>399</v>
      </c>
      <c r="E9" s="23" t="str" cm="1">
        <f t="array" ref="E9">_xlfn.XLOOKUP(Table1178213[[#This Row],[Team]],Table4334[Team],'2425'!$C$3:$C$34)</f>
        <v>n/a</v>
      </c>
      <c r="F9" s="97" t="str">
        <f>'2025'!$E$11</f>
        <v>n/a</v>
      </c>
      <c r="G9" s="94" t="e" cm="1">
        <f t="array" ref="G9">_xlfn.XLOOKUP(Table1178213[[#This Row],[Opp]],Table1[DEF],'2025'!$H$3:$H$34)</f>
        <v>#N/A</v>
      </c>
      <c r="H9" s="94" t="e" cm="1">
        <f t="array" ref="H9">_xlfn.XLOOKUP(Table1178213[[#This Row],[Opp]],Table1[DEF],'2025'!$I$3:$I$34)</f>
        <v>#N/A</v>
      </c>
      <c r="I9" s="94" t="e" cm="1">
        <f t="array" ref="I9">_xlfn.XLOOKUP(Table1178213[[#This Row],[Opp]],Table1[DEF],'2025'!$J$3:$J$34)</f>
        <v>#N/A</v>
      </c>
      <c r="J9" s="94" t="e" cm="1">
        <f t="array" ref="J9">_xlfn.XLOOKUP(Table1178213[[#This Row],[Opp]],Table1[DEF],'2025'!$K$3:$K$34)</f>
        <v>#N/A</v>
      </c>
      <c r="K9" s="94" t="e" cm="1">
        <f t="array" ref="K9">_xlfn.XLOOKUP(Table1178213[[#This Row],[Opp]],Table1[DEF],'2025'!$L$3:$L$34)</f>
        <v>#N/A</v>
      </c>
      <c r="L9" s="95" t="e">
        <f>_xlfn.XLOOKUP(Table1178213[[#This Row],[Opp]],Table1[DEF],Table1[P])</f>
        <v>#N/A</v>
      </c>
      <c r="M9" s="95" t="e">
        <f>_xlfn.XLOOKUP(Table1178213[[#This Row],[Opp]],Table1[DEF],Table1[R])</f>
        <v>#N/A</v>
      </c>
      <c r="N9" s="95" t="e">
        <f>_xlfn.XLOOKUP(Table1178213[[#This Row],[Opp]],Table1[DEF],Table1[P+R])</f>
        <v>#N/A</v>
      </c>
      <c r="O9" s="96" t="e">
        <f>_xlfn.XLOOKUP(Table1178213[[#This Row],[Opp]],Table1[DEF],Table1[P TD])</f>
        <v>#N/A</v>
      </c>
      <c r="P9" s="96" t="e">
        <f>_xlfn.XLOOKUP(Table1178213[[#This Row],[Opp]],Table1[DEF],Table1[TD])</f>
        <v>#N/A</v>
      </c>
      <c r="Q9" s="94" t="e">
        <f>AVERAGE(Table1178213[[#This Row],[*P*]:[*TD*]])</f>
        <v>#N/A</v>
      </c>
    </row>
    <row r="10" spans="2:17" hidden="1" x14ac:dyDescent="0.35">
      <c r="B10" s="6" t="s">
        <v>404</v>
      </c>
      <c r="C10" s="97" t="s">
        <v>17</v>
      </c>
      <c r="D10" s="97" t="s">
        <v>405</v>
      </c>
      <c r="E10" s="23" t="str" cm="1">
        <f t="array" ref="E10">_xlfn.XLOOKUP(Table1178213[[#This Row],[Team]],Table4334[Team],'2425'!$C$3:$C$34)</f>
        <v>n/a</v>
      </c>
      <c r="F10" s="97" t="str">
        <f>'2025'!$E$6</f>
        <v>n/a</v>
      </c>
      <c r="G10" s="94" t="e" cm="1">
        <f t="array" ref="G10">_xlfn.XLOOKUP(Table1178213[[#This Row],[Opp]],Table1[DEF],'2025'!$H$3:$H$34)</f>
        <v>#N/A</v>
      </c>
      <c r="H10" s="94" t="e" cm="1">
        <f t="array" ref="H10">_xlfn.XLOOKUP(Table1178213[[#This Row],[Opp]],Table1[DEF],'2025'!$I$3:$I$34)</f>
        <v>#N/A</v>
      </c>
      <c r="I10" s="94" t="e" cm="1">
        <f t="array" ref="I10">_xlfn.XLOOKUP(Table1178213[[#This Row],[Opp]],Table1[DEF],'2025'!$J$3:$J$34)</f>
        <v>#N/A</v>
      </c>
      <c r="J10" s="94" t="e" cm="1">
        <f t="array" ref="J10">_xlfn.XLOOKUP(Table1178213[[#This Row],[Opp]],Table1[DEF],'2025'!$K$3:$K$34)</f>
        <v>#N/A</v>
      </c>
      <c r="K10" s="94" t="e" cm="1">
        <f t="array" ref="K10">_xlfn.XLOOKUP(Table1178213[[#This Row],[Opp]],Table1[DEF],'2025'!$L$3:$L$34)</f>
        <v>#N/A</v>
      </c>
      <c r="L10" s="95" t="e">
        <f>_xlfn.XLOOKUP(Table1178213[[#This Row],[Opp]],Table1[DEF],Table1[P])</f>
        <v>#N/A</v>
      </c>
      <c r="M10" s="95" t="e">
        <f>_xlfn.XLOOKUP(Table1178213[[#This Row],[Opp]],Table1[DEF],Table1[R])</f>
        <v>#N/A</v>
      </c>
      <c r="N10" s="95" t="e">
        <f>_xlfn.XLOOKUP(Table1178213[[#This Row],[Opp]],Table1[DEF],Table1[P+R])</f>
        <v>#N/A</v>
      </c>
      <c r="O10" s="96" t="e">
        <f>_xlfn.XLOOKUP(Table1178213[[#This Row],[Opp]],Table1[DEF],Table1[P TD])</f>
        <v>#N/A</v>
      </c>
      <c r="P10" s="96" t="e">
        <f>_xlfn.XLOOKUP(Table1178213[[#This Row],[Opp]],Table1[DEF],Table1[TD])</f>
        <v>#N/A</v>
      </c>
      <c r="Q10" s="94" t="e">
        <f>AVERAGE(Table1178213[[#This Row],[*P*]:[*TD*]])</f>
        <v>#N/A</v>
      </c>
    </row>
    <row r="11" spans="2:17" hidden="1" x14ac:dyDescent="0.35">
      <c r="B11" s="6" t="s">
        <v>376</v>
      </c>
      <c r="C11" s="97" t="s">
        <v>55</v>
      </c>
      <c r="D11" s="97" t="s">
        <v>399</v>
      </c>
      <c r="E11" s="23" t="str" cm="1">
        <f t="array" ref="E11">_xlfn.XLOOKUP(Table1178213[[#This Row],[Team]],Table4334[Team],'2425'!$C$3:$C$34)</f>
        <v>n/a</v>
      </c>
      <c r="F11" s="97" t="str">
        <f>'2025'!$E$33</f>
        <v>n/a</v>
      </c>
      <c r="G11" s="94" t="e" cm="1">
        <f t="array" ref="G11">_xlfn.XLOOKUP(Table1178213[[#This Row],[Opp]],Table1[DEF],'2025'!$H$3:$H$34)</f>
        <v>#N/A</v>
      </c>
      <c r="H11" s="94" t="e" cm="1">
        <f t="array" ref="H11">_xlfn.XLOOKUP(Table1178213[[#This Row],[Opp]],Table1[DEF],'2025'!$I$3:$I$34)</f>
        <v>#N/A</v>
      </c>
      <c r="I11" s="94" t="e" cm="1">
        <f t="array" ref="I11">_xlfn.XLOOKUP(Table1178213[[#This Row],[Opp]],Table1[DEF],'2025'!$J$3:$J$34)</f>
        <v>#N/A</v>
      </c>
      <c r="J11" s="94" t="e" cm="1">
        <f t="array" ref="J11">_xlfn.XLOOKUP(Table1178213[[#This Row],[Opp]],Table1[DEF],'2025'!$K$3:$K$34)</f>
        <v>#N/A</v>
      </c>
      <c r="K11" s="94" t="e" cm="1">
        <f t="array" ref="K11">_xlfn.XLOOKUP(Table1178213[[#This Row],[Opp]],Table1[DEF],'2025'!$L$3:$L$34)</f>
        <v>#N/A</v>
      </c>
      <c r="L11" s="95" t="e">
        <f>_xlfn.XLOOKUP(Table1178213[[#This Row],[Opp]],Table1[DEF],Table1[P])</f>
        <v>#N/A</v>
      </c>
      <c r="M11" s="95" t="e">
        <f>_xlfn.XLOOKUP(Table1178213[[#This Row],[Opp]],Table1[DEF],Table1[R])</f>
        <v>#N/A</v>
      </c>
      <c r="N11" s="95" t="e">
        <f>_xlfn.XLOOKUP(Table1178213[[#This Row],[Opp]],Table1[DEF],Table1[P+R])</f>
        <v>#N/A</v>
      </c>
      <c r="O11" s="96" t="e">
        <f>_xlfn.XLOOKUP(Table1178213[[#This Row],[Opp]],Table1[DEF],Table1[P TD])</f>
        <v>#N/A</v>
      </c>
      <c r="P11" s="96" t="e">
        <f>_xlfn.XLOOKUP(Table1178213[[#This Row],[Opp]],Table1[DEF],Table1[TD])</f>
        <v>#N/A</v>
      </c>
      <c r="Q11" s="94" t="e">
        <f>AVERAGE(Table1178213[[#This Row],[*P*]:[*TD*]])</f>
        <v>#N/A</v>
      </c>
    </row>
    <row r="12" spans="2:17" hidden="1" x14ac:dyDescent="0.35">
      <c r="B12" s="6" t="s">
        <v>607</v>
      </c>
      <c r="C12" s="97" t="s">
        <v>29</v>
      </c>
      <c r="D12" s="97" t="s">
        <v>405</v>
      </c>
      <c r="E12" s="23" t="str" cm="1">
        <f t="array" ref="E12">_xlfn.XLOOKUP(Table1178213[[#This Row],[Team]],Table4334[Team],'2425'!$C$3:$C$34)</f>
        <v>n/a</v>
      </c>
      <c r="F12" s="97" t="str">
        <f>'2025'!$E$7</f>
        <v>n/a</v>
      </c>
      <c r="G12" s="94" t="e" cm="1">
        <f t="array" ref="G12">_xlfn.XLOOKUP(Table1178213[[#This Row],[Opp]],Table1[DEF],'2025'!$H$3:$H$34)</f>
        <v>#N/A</v>
      </c>
      <c r="H12" s="94" t="e" cm="1">
        <f t="array" ref="H12">_xlfn.XLOOKUP(Table1178213[[#This Row],[Opp]],Table1[DEF],'2025'!$I$3:$I$34)</f>
        <v>#N/A</v>
      </c>
      <c r="I12" s="94" t="e" cm="1">
        <f t="array" ref="I12">_xlfn.XLOOKUP(Table1178213[[#This Row],[Opp]],Table1[DEF],'2025'!$J$3:$J$34)</f>
        <v>#N/A</v>
      </c>
      <c r="J12" s="94" t="e" cm="1">
        <f t="array" ref="J12">_xlfn.XLOOKUP(Table1178213[[#This Row],[Opp]],Table1[DEF],'2025'!$K$3:$K$34)</f>
        <v>#N/A</v>
      </c>
      <c r="K12" s="94" t="e" cm="1">
        <f t="array" ref="K12">_xlfn.XLOOKUP(Table1178213[[#This Row],[Opp]],Table1[DEF],'2025'!$L$3:$L$34)</f>
        <v>#N/A</v>
      </c>
      <c r="L12" s="95" t="e">
        <f>_xlfn.XLOOKUP(Table1178213[[#This Row],[Opp]],Table1[DEF],Table1[P])</f>
        <v>#N/A</v>
      </c>
      <c r="M12" s="95" t="e">
        <f>_xlfn.XLOOKUP(Table1178213[[#This Row],[Opp]],Table1[DEF],Table1[R])</f>
        <v>#N/A</v>
      </c>
      <c r="N12" s="95" t="e">
        <f>_xlfn.XLOOKUP(Table1178213[[#This Row],[Opp]],Table1[DEF],Table1[P+R])</f>
        <v>#N/A</v>
      </c>
      <c r="O12" s="96" t="e">
        <f>_xlfn.XLOOKUP(Table1178213[[#This Row],[Opp]],Table1[DEF],Table1[P TD])</f>
        <v>#N/A</v>
      </c>
      <c r="P12" s="96" t="e">
        <f>_xlfn.XLOOKUP(Table1178213[[#This Row],[Opp]],Table1[DEF],Table1[TD])</f>
        <v>#N/A</v>
      </c>
      <c r="Q12" s="94" t="e">
        <f>AVERAGE(Table1178213[[#This Row],[*P*]:[*TD*]])</f>
        <v>#N/A</v>
      </c>
    </row>
    <row r="13" spans="2:17" hidden="1" x14ac:dyDescent="0.35">
      <c r="B13" s="6" t="s">
        <v>173</v>
      </c>
      <c r="C13" s="97" t="s">
        <v>32</v>
      </c>
      <c r="D13" s="97" t="s">
        <v>399</v>
      </c>
      <c r="E13" s="23" t="str" cm="1">
        <f t="array" ref="E13">_xlfn.XLOOKUP(Table1178213[[#This Row],[Team]],Table4334[Team],'2425'!$C$3:$C$34)</f>
        <v>n/a</v>
      </c>
      <c r="F13" s="97" t="str">
        <f>'2025'!$E$10</f>
        <v>n/a</v>
      </c>
      <c r="G13" s="94" t="e" cm="1">
        <f t="array" ref="G13">_xlfn.XLOOKUP(Table1178213[[#This Row],[Opp]],Table1[DEF],'2025'!$H$3:$H$34)</f>
        <v>#N/A</v>
      </c>
      <c r="H13" s="94" t="e" cm="1">
        <f t="array" ref="H13">_xlfn.XLOOKUP(Table1178213[[#This Row],[Opp]],Table1[DEF],'2025'!$I$3:$I$34)</f>
        <v>#N/A</v>
      </c>
      <c r="I13" s="94" t="e" cm="1">
        <f t="array" ref="I13">_xlfn.XLOOKUP(Table1178213[[#This Row],[Opp]],Table1[DEF],'2025'!$J$3:$J$34)</f>
        <v>#N/A</v>
      </c>
      <c r="J13" s="94" t="e" cm="1">
        <f t="array" ref="J13">_xlfn.XLOOKUP(Table1178213[[#This Row],[Opp]],Table1[DEF],'2025'!$K$3:$K$34)</f>
        <v>#N/A</v>
      </c>
      <c r="K13" s="94" t="e" cm="1">
        <f t="array" ref="K13">_xlfn.XLOOKUP(Table1178213[[#This Row],[Opp]],Table1[DEF],'2025'!$L$3:$L$34)</f>
        <v>#N/A</v>
      </c>
      <c r="L13" s="95" t="e">
        <f>_xlfn.XLOOKUP(Table1178213[[#This Row],[Opp]],Table1[DEF],Table1[P])</f>
        <v>#N/A</v>
      </c>
      <c r="M13" s="95" t="e">
        <f>_xlfn.XLOOKUP(Table1178213[[#This Row],[Opp]],Table1[DEF],Table1[R])</f>
        <v>#N/A</v>
      </c>
      <c r="N13" s="95" t="e">
        <f>_xlfn.XLOOKUP(Table1178213[[#This Row],[Opp]],Table1[DEF],Table1[P+R])</f>
        <v>#N/A</v>
      </c>
      <c r="O13" s="96" t="e">
        <f>_xlfn.XLOOKUP(Table1178213[[#This Row],[Opp]],Table1[DEF],Table1[P TD])</f>
        <v>#N/A</v>
      </c>
      <c r="P13" s="96" t="e">
        <f>_xlfn.XLOOKUP(Table1178213[[#This Row],[Opp]],Table1[DEF],Table1[TD])</f>
        <v>#N/A</v>
      </c>
      <c r="Q13" s="94" t="e">
        <f>AVERAGE(Table1178213[[#This Row],[*P*]:[*TD*]])</f>
        <v>#N/A</v>
      </c>
    </row>
    <row r="14" spans="2:17" hidden="1" x14ac:dyDescent="0.35">
      <c r="B14" s="6" t="s">
        <v>496</v>
      </c>
      <c r="C14" s="97" t="s">
        <v>30</v>
      </c>
      <c r="D14" s="97" t="s">
        <v>405</v>
      </c>
      <c r="E14" s="23" t="str" cm="1">
        <f t="array" ref="E14">_xlfn.XLOOKUP(Table1178213[[#This Row],[Team]],Table4334[Team],'2425'!$C$3:$C$34)</f>
        <v>n/a</v>
      </c>
      <c r="F14" s="97" t="str">
        <f>'2025'!$E$8</f>
        <v>n/a</v>
      </c>
      <c r="G14" s="94" t="e" cm="1">
        <f t="array" ref="G14">_xlfn.XLOOKUP(Table1178213[[#This Row],[Opp]],Table1[DEF],'2025'!$H$3:$H$34)</f>
        <v>#N/A</v>
      </c>
      <c r="H14" s="94" t="e" cm="1">
        <f t="array" ref="H14">_xlfn.XLOOKUP(Table1178213[[#This Row],[Opp]],Table1[DEF],'2025'!$I$3:$I$34)</f>
        <v>#N/A</v>
      </c>
      <c r="I14" s="94" t="e" cm="1">
        <f t="array" ref="I14">_xlfn.XLOOKUP(Table1178213[[#This Row],[Opp]],Table1[DEF],'2025'!$J$3:$J$34)</f>
        <v>#N/A</v>
      </c>
      <c r="J14" s="94" t="e" cm="1">
        <f t="array" ref="J14">_xlfn.XLOOKUP(Table1178213[[#This Row],[Opp]],Table1[DEF],'2025'!$K$3:$K$34)</f>
        <v>#N/A</v>
      </c>
      <c r="K14" s="94" t="e" cm="1">
        <f t="array" ref="K14">_xlfn.XLOOKUP(Table1178213[[#This Row],[Opp]],Table1[DEF],'2025'!$L$3:$L$34)</f>
        <v>#N/A</v>
      </c>
      <c r="L14" s="95" t="e">
        <f>_xlfn.XLOOKUP(Table1178213[[#This Row],[Opp]],Table1[DEF],Table1[P])</f>
        <v>#N/A</v>
      </c>
      <c r="M14" s="95" t="e">
        <f>_xlfn.XLOOKUP(Table1178213[[#This Row],[Opp]],Table1[DEF],Table1[R])</f>
        <v>#N/A</v>
      </c>
      <c r="N14" s="95" t="e">
        <f>_xlfn.XLOOKUP(Table1178213[[#This Row],[Opp]],Table1[DEF],Table1[P+R])</f>
        <v>#N/A</v>
      </c>
      <c r="O14" s="96" t="e">
        <f>_xlfn.XLOOKUP(Table1178213[[#This Row],[Opp]],Table1[DEF],Table1[P TD])</f>
        <v>#N/A</v>
      </c>
      <c r="P14" s="96" t="e">
        <f>_xlfn.XLOOKUP(Table1178213[[#This Row],[Opp]],Table1[DEF],Table1[TD])</f>
        <v>#N/A</v>
      </c>
      <c r="Q14" s="94" t="e">
        <f>AVERAGE(Table1178213[[#This Row],[*P*]:[*TD*]])</f>
        <v>#N/A</v>
      </c>
    </row>
    <row r="15" spans="2:17" hidden="1" x14ac:dyDescent="0.35">
      <c r="B15" s="6" t="s">
        <v>497</v>
      </c>
      <c r="C15" s="97" t="s">
        <v>30</v>
      </c>
      <c r="D15" s="97" t="s">
        <v>425</v>
      </c>
      <c r="E15" s="23" t="str" cm="1">
        <f t="array" ref="E15">_xlfn.XLOOKUP(Table1178213[[#This Row],[Team]],Table4334[Team],'2425'!$C$3:$C$34)</f>
        <v>n/a</v>
      </c>
      <c r="F15" s="97" t="str">
        <f>'2025'!$E$8</f>
        <v>n/a</v>
      </c>
      <c r="G15" s="94" t="e" cm="1">
        <f t="array" ref="G15">_xlfn.XLOOKUP(Table1178213[[#This Row],[Opp]],Table1[DEF],'2025'!$H$3:$H$34)</f>
        <v>#N/A</v>
      </c>
      <c r="H15" s="94" t="e" cm="1">
        <f t="array" ref="H15">_xlfn.XLOOKUP(Table1178213[[#This Row],[Opp]],Table1[DEF],'2025'!$I$3:$I$34)</f>
        <v>#N/A</v>
      </c>
      <c r="I15" s="94" t="e" cm="1">
        <f t="array" ref="I15">_xlfn.XLOOKUP(Table1178213[[#This Row],[Opp]],Table1[DEF],'2025'!$J$3:$J$34)</f>
        <v>#N/A</v>
      </c>
      <c r="J15" s="94" t="e" cm="1">
        <f t="array" ref="J15">_xlfn.XLOOKUP(Table1178213[[#This Row],[Opp]],Table1[DEF],'2025'!$K$3:$K$34)</f>
        <v>#N/A</v>
      </c>
      <c r="K15" s="94" t="e" cm="1">
        <f t="array" ref="K15">_xlfn.XLOOKUP(Table1178213[[#This Row],[Opp]],Table1[DEF],'2025'!$L$3:$L$34)</f>
        <v>#N/A</v>
      </c>
      <c r="L15" s="95" t="e">
        <f>_xlfn.XLOOKUP(Table1178213[[#This Row],[Opp]],Table1[DEF],Table1[P])</f>
        <v>#N/A</v>
      </c>
      <c r="M15" s="95" t="e">
        <f>_xlfn.XLOOKUP(Table1178213[[#This Row],[Opp]],Table1[DEF],Table1[R])</f>
        <v>#N/A</v>
      </c>
      <c r="N15" s="95" t="e">
        <f>_xlfn.XLOOKUP(Table1178213[[#This Row],[Opp]],Table1[DEF],Table1[P+R])</f>
        <v>#N/A</v>
      </c>
      <c r="O15" s="96" t="e">
        <f>_xlfn.XLOOKUP(Table1178213[[#This Row],[Opp]],Table1[DEF],Table1[P TD])</f>
        <v>#N/A</v>
      </c>
      <c r="P15" s="96" t="e">
        <f>_xlfn.XLOOKUP(Table1178213[[#This Row],[Opp]],Table1[DEF],Table1[TD])</f>
        <v>#N/A</v>
      </c>
      <c r="Q15" s="94" t="e">
        <f>AVERAGE(Table1178213[[#This Row],[*P*]:[*TD*]])</f>
        <v>#N/A</v>
      </c>
    </row>
    <row r="16" spans="2:17" hidden="1" x14ac:dyDescent="0.35">
      <c r="B16" s="6" t="s">
        <v>517</v>
      </c>
      <c r="C16" s="97" t="s">
        <v>45</v>
      </c>
      <c r="D16" s="97" t="s">
        <v>399</v>
      </c>
      <c r="E16" s="23" t="str" cm="1">
        <f t="array" ref="E16">_xlfn.XLOOKUP(Table1178213[[#This Row],[Team]],Table4334[Team],'2425'!$C$3:$C$34)</f>
        <v>n/a</v>
      </c>
      <c r="F16" s="97" t="str">
        <f>'2025'!$E$23</f>
        <v>n/a</v>
      </c>
      <c r="G16" s="94" t="e" cm="1">
        <f t="array" ref="G16">_xlfn.XLOOKUP(Table1178213[[#This Row],[Opp]],Table1[DEF],'2025'!$H$3:$H$34)</f>
        <v>#N/A</v>
      </c>
      <c r="H16" s="94" t="e" cm="1">
        <f t="array" ref="H16">_xlfn.XLOOKUP(Table1178213[[#This Row],[Opp]],Table1[DEF],'2025'!$I$3:$I$34)</f>
        <v>#N/A</v>
      </c>
      <c r="I16" s="94" t="e" cm="1">
        <f t="array" ref="I16">_xlfn.XLOOKUP(Table1178213[[#This Row],[Opp]],Table1[DEF],'2025'!$J$3:$J$34)</f>
        <v>#N/A</v>
      </c>
      <c r="J16" s="94" t="e" cm="1">
        <f t="array" ref="J16">_xlfn.XLOOKUP(Table1178213[[#This Row],[Opp]],Table1[DEF],'2025'!$K$3:$K$34)</f>
        <v>#N/A</v>
      </c>
      <c r="K16" s="94" t="e" cm="1">
        <f t="array" ref="K16">_xlfn.XLOOKUP(Table1178213[[#This Row],[Opp]],Table1[DEF],'2025'!$L$3:$L$34)</f>
        <v>#N/A</v>
      </c>
      <c r="L16" s="95" t="e">
        <f>_xlfn.XLOOKUP(Table1178213[[#This Row],[Opp]],Table1[DEF],Table1[P])</f>
        <v>#N/A</v>
      </c>
      <c r="M16" s="95" t="e">
        <f>_xlfn.XLOOKUP(Table1178213[[#This Row],[Opp]],Table1[DEF],Table1[R])</f>
        <v>#N/A</v>
      </c>
      <c r="N16" s="95" t="e">
        <f>_xlfn.XLOOKUP(Table1178213[[#This Row],[Opp]],Table1[DEF],Table1[P+R])</f>
        <v>#N/A</v>
      </c>
      <c r="O16" s="96" t="e">
        <f>_xlfn.XLOOKUP(Table1178213[[#This Row],[Opp]],Table1[DEF],Table1[P TD])</f>
        <v>#N/A</v>
      </c>
      <c r="P16" s="96" t="e">
        <f>_xlfn.XLOOKUP(Table1178213[[#This Row],[Opp]],Table1[DEF],Table1[TD])</f>
        <v>#N/A</v>
      </c>
      <c r="Q16" s="94" t="e">
        <f>AVERAGE(Table1178213[[#This Row],[*P*]:[*TD*]])</f>
        <v>#N/A</v>
      </c>
    </row>
    <row r="17" spans="2:17" hidden="1" x14ac:dyDescent="0.35">
      <c r="B17" s="6" t="s">
        <v>160</v>
      </c>
      <c r="C17" s="97" t="s">
        <v>31</v>
      </c>
      <c r="D17" s="97" t="s">
        <v>405</v>
      </c>
      <c r="E17" s="23" t="str" cm="1">
        <f t="array" ref="E17">_xlfn.XLOOKUP(Table1178213[[#This Row],[Team]],Table4334[Team],'2425'!$C$3:$C$34)</f>
        <v>n/a</v>
      </c>
      <c r="F17" s="97" t="str">
        <f>'2025'!$E$9</f>
        <v>n/a</v>
      </c>
      <c r="G17" s="94" t="e" cm="1">
        <f t="array" ref="G17">_xlfn.XLOOKUP(Table1178213[[#This Row],[Opp]],Table1[DEF],'2025'!$H$3:$H$34)</f>
        <v>#N/A</v>
      </c>
      <c r="H17" s="94" t="e" cm="1">
        <f t="array" ref="H17">_xlfn.XLOOKUP(Table1178213[[#This Row],[Opp]],Table1[DEF],'2025'!$I$3:$I$34)</f>
        <v>#N/A</v>
      </c>
      <c r="I17" s="94" t="e" cm="1">
        <f t="array" ref="I17">_xlfn.XLOOKUP(Table1178213[[#This Row],[Opp]],Table1[DEF],'2025'!$J$3:$J$34)</f>
        <v>#N/A</v>
      </c>
      <c r="J17" s="94" t="e" cm="1">
        <f t="array" ref="J17">_xlfn.XLOOKUP(Table1178213[[#This Row],[Opp]],Table1[DEF],'2025'!$K$3:$K$34)</f>
        <v>#N/A</v>
      </c>
      <c r="K17" s="94" t="e" cm="1">
        <f t="array" ref="K17">_xlfn.XLOOKUP(Table1178213[[#This Row],[Opp]],Table1[DEF],'2025'!$L$3:$L$34)</f>
        <v>#N/A</v>
      </c>
      <c r="L17" s="95" t="e">
        <f>_xlfn.XLOOKUP(Table1178213[[#This Row],[Opp]],Table1[DEF],Table1[P])</f>
        <v>#N/A</v>
      </c>
      <c r="M17" s="95" t="e">
        <f>_xlfn.XLOOKUP(Table1178213[[#This Row],[Opp]],Table1[DEF],Table1[R])</f>
        <v>#N/A</v>
      </c>
      <c r="N17" s="95" t="e">
        <f>_xlfn.XLOOKUP(Table1178213[[#This Row],[Opp]],Table1[DEF],Table1[P+R])</f>
        <v>#N/A</v>
      </c>
      <c r="O17" s="96" t="e">
        <f>_xlfn.XLOOKUP(Table1178213[[#This Row],[Opp]],Table1[DEF],Table1[P TD])</f>
        <v>#N/A</v>
      </c>
      <c r="P17" s="96" t="e">
        <f>_xlfn.XLOOKUP(Table1178213[[#This Row],[Opp]],Table1[DEF],Table1[TD])</f>
        <v>#N/A</v>
      </c>
      <c r="Q17" s="94" t="e">
        <f>AVERAGE(Table1178213[[#This Row],[*P*]:[*TD*]])</f>
        <v>#N/A</v>
      </c>
    </row>
    <row r="18" spans="2:17" hidden="1" x14ac:dyDescent="0.35">
      <c r="B18" s="6" t="s">
        <v>159</v>
      </c>
      <c r="C18" s="97" t="s">
        <v>31</v>
      </c>
      <c r="D18" s="97" t="s">
        <v>425</v>
      </c>
      <c r="E18" s="23" t="str" cm="1">
        <f t="array" ref="E18">_xlfn.XLOOKUP(Table1178213[[#This Row],[Team]],Table4334[Team],'2425'!$C$3:$C$34)</f>
        <v>n/a</v>
      </c>
      <c r="F18" s="97" t="str">
        <f>'2025'!$E$9</f>
        <v>n/a</v>
      </c>
      <c r="G18" s="94" t="e" cm="1">
        <f t="array" ref="G18">_xlfn.XLOOKUP(Table1178213[[#This Row],[Opp]],Table1[DEF],'2025'!$H$3:$H$34)</f>
        <v>#N/A</v>
      </c>
      <c r="H18" s="94" t="e" cm="1">
        <f t="array" ref="H18">_xlfn.XLOOKUP(Table1178213[[#This Row],[Opp]],Table1[DEF],'2025'!$I$3:$I$34)</f>
        <v>#N/A</v>
      </c>
      <c r="I18" s="94" t="e" cm="1">
        <f t="array" ref="I18">_xlfn.XLOOKUP(Table1178213[[#This Row],[Opp]],Table1[DEF],'2025'!$J$3:$J$34)</f>
        <v>#N/A</v>
      </c>
      <c r="J18" s="94" t="e" cm="1">
        <f t="array" ref="J18">_xlfn.XLOOKUP(Table1178213[[#This Row],[Opp]],Table1[DEF],'2025'!$K$3:$K$34)</f>
        <v>#N/A</v>
      </c>
      <c r="K18" s="94" t="e" cm="1">
        <f t="array" ref="K18">_xlfn.XLOOKUP(Table1178213[[#This Row],[Opp]],Table1[DEF],'2025'!$L$3:$L$34)</f>
        <v>#N/A</v>
      </c>
      <c r="L18" s="95" t="e">
        <f>_xlfn.XLOOKUP(Table1178213[[#This Row],[Opp]],Table1[DEF],Table1[P])</f>
        <v>#N/A</v>
      </c>
      <c r="M18" s="95" t="e">
        <f>_xlfn.XLOOKUP(Table1178213[[#This Row],[Opp]],Table1[DEF],Table1[R])</f>
        <v>#N/A</v>
      </c>
      <c r="N18" s="95" t="e">
        <f>_xlfn.XLOOKUP(Table1178213[[#This Row],[Opp]],Table1[DEF],Table1[P+R])</f>
        <v>#N/A</v>
      </c>
      <c r="O18" s="96" t="e">
        <f>_xlfn.XLOOKUP(Table1178213[[#This Row],[Opp]],Table1[DEF],Table1[P TD])</f>
        <v>#N/A</v>
      </c>
      <c r="P18" s="96" t="e">
        <f>_xlfn.XLOOKUP(Table1178213[[#This Row],[Opp]],Table1[DEF],Table1[TD])</f>
        <v>#N/A</v>
      </c>
      <c r="Q18" s="94" t="e">
        <f>AVERAGE(Table1178213[[#This Row],[*P*]:[*TD*]])</f>
        <v>#N/A</v>
      </c>
    </row>
    <row r="19" spans="2:17" hidden="1" x14ac:dyDescent="0.35">
      <c r="B19" s="6" t="s">
        <v>313</v>
      </c>
      <c r="C19" s="97" t="s">
        <v>47</v>
      </c>
      <c r="D19" s="97" t="s">
        <v>399</v>
      </c>
      <c r="E19" s="23" t="str" cm="1">
        <f t="array" ref="E19">_xlfn.XLOOKUP(Table1178213[[#This Row],[Team]],Table4334[Team],'2425'!$C$3:$C$34)</f>
        <v>n/a</v>
      </c>
      <c r="F19" s="97" t="str">
        <f>'2025'!$E$25</f>
        <v>n/a</v>
      </c>
      <c r="G19" s="94" t="e" cm="1">
        <f t="array" ref="G19">_xlfn.XLOOKUP(Table1178213[[#This Row],[Opp]],Table1[DEF],'2025'!$H$3:$H$34)</f>
        <v>#N/A</v>
      </c>
      <c r="H19" s="94" t="e" cm="1">
        <f t="array" ref="H19">_xlfn.XLOOKUP(Table1178213[[#This Row],[Opp]],Table1[DEF],'2025'!$I$3:$I$34)</f>
        <v>#N/A</v>
      </c>
      <c r="I19" s="94" t="e" cm="1">
        <f t="array" ref="I19">_xlfn.XLOOKUP(Table1178213[[#This Row],[Opp]],Table1[DEF],'2025'!$J$3:$J$34)</f>
        <v>#N/A</v>
      </c>
      <c r="J19" s="94" t="e" cm="1">
        <f t="array" ref="J19">_xlfn.XLOOKUP(Table1178213[[#This Row],[Opp]],Table1[DEF],'2025'!$K$3:$K$34)</f>
        <v>#N/A</v>
      </c>
      <c r="K19" s="94" t="e" cm="1">
        <f t="array" ref="K19">_xlfn.XLOOKUP(Table1178213[[#This Row],[Opp]],Table1[DEF],'2025'!$L$3:$L$34)</f>
        <v>#N/A</v>
      </c>
      <c r="L19" s="95" t="e">
        <f>_xlfn.XLOOKUP(Table1178213[[#This Row],[Opp]],Table1[DEF],Table1[P])</f>
        <v>#N/A</v>
      </c>
      <c r="M19" s="95" t="e">
        <f>_xlfn.XLOOKUP(Table1178213[[#This Row],[Opp]],Table1[DEF],Table1[R])</f>
        <v>#N/A</v>
      </c>
      <c r="N19" s="95" t="e">
        <f>_xlfn.XLOOKUP(Table1178213[[#This Row],[Opp]],Table1[DEF],Table1[P+R])</f>
        <v>#N/A</v>
      </c>
      <c r="O19" s="96" t="e">
        <f>_xlfn.XLOOKUP(Table1178213[[#This Row],[Opp]],Table1[DEF],Table1[P TD])</f>
        <v>#N/A</v>
      </c>
      <c r="P19" s="96" t="e">
        <f>_xlfn.XLOOKUP(Table1178213[[#This Row],[Opp]],Table1[DEF],Table1[TD])</f>
        <v>#N/A</v>
      </c>
      <c r="Q19" s="94" t="e">
        <f>AVERAGE(Table1178213[[#This Row],[*P*]:[*TD*]])</f>
        <v>#N/A</v>
      </c>
    </row>
    <row r="20" spans="2:17" hidden="1" x14ac:dyDescent="0.35">
      <c r="B20" s="6" t="s">
        <v>169</v>
      </c>
      <c r="C20" s="97" t="s">
        <v>32</v>
      </c>
      <c r="D20" s="97" t="s">
        <v>405</v>
      </c>
      <c r="E20" s="23" t="str" cm="1">
        <f t="array" ref="E20">_xlfn.XLOOKUP(Table1178213[[#This Row],[Team]],Table4334[Team],'2425'!$C$3:$C$34)</f>
        <v>n/a</v>
      </c>
      <c r="F20" s="97" t="str">
        <f>'2025'!$E$10</f>
        <v>n/a</v>
      </c>
      <c r="G20" s="94" t="e" cm="1">
        <f t="array" ref="G20">_xlfn.XLOOKUP(Table1178213[[#This Row],[Opp]],Table1[DEF],'2025'!$H$3:$H$34)</f>
        <v>#N/A</v>
      </c>
      <c r="H20" s="94" t="e" cm="1">
        <f t="array" ref="H20">_xlfn.XLOOKUP(Table1178213[[#This Row],[Opp]],Table1[DEF],'2025'!$I$3:$I$34)</f>
        <v>#N/A</v>
      </c>
      <c r="I20" s="94" t="e" cm="1">
        <f t="array" ref="I20">_xlfn.XLOOKUP(Table1178213[[#This Row],[Opp]],Table1[DEF],'2025'!$J$3:$J$34)</f>
        <v>#N/A</v>
      </c>
      <c r="J20" s="94" t="e" cm="1">
        <f t="array" ref="J20">_xlfn.XLOOKUP(Table1178213[[#This Row],[Opp]],Table1[DEF],'2025'!$K$3:$K$34)</f>
        <v>#N/A</v>
      </c>
      <c r="K20" s="94" t="e" cm="1">
        <f t="array" ref="K20">_xlfn.XLOOKUP(Table1178213[[#This Row],[Opp]],Table1[DEF],'2025'!$L$3:$L$34)</f>
        <v>#N/A</v>
      </c>
      <c r="L20" s="95" t="e">
        <f>_xlfn.XLOOKUP(Table1178213[[#This Row],[Opp]],Table1[DEF],Table1[P])</f>
        <v>#N/A</v>
      </c>
      <c r="M20" s="95" t="e">
        <f>_xlfn.XLOOKUP(Table1178213[[#This Row],[Opp]],Table1[DEF],Table1[R])</f>
        <v>#N/A</v>
      </c>
      <c r="N20" s="95" t="e">
        <f>_xlfn.XLOOKUP(Table1178213[[#This Row],[Opp]],Table1[DEF],Table1[P+R])</f>
        <v>#N/A</v>
      </c>
      <c r="O20" s="96" t="e">
        <f>_xlfn.XLOOKUP(Table1178213[[#This Row],[Opp]],Table1[DEF],Table1[P TD])</f>
        <v>#N/A</v>
      </c>
      <c r="P20" s="96" t="e">
        <f>_xlfn.XLOOKUP(Table1178213[[#This Row],[Opp]],Table1[DEF],Table1[TD])</f>
        <v>#N/A</v>
      </c>
      <c r="Q20" s="94" t="e">
        <f>AVERAGE(Table1178213[[#This Row],[*P*]:[*TD*]])</f>
        <v>#N/A</v>
      </c>
    </row>
    <row r="21" spans="2:17" hidden="1" x14ac:dyDescent="0.35">
      <c r="B21" s="6" t="s">
        <v>171</v>
      </c>
      <c r="C21" s="97" t="s">
        <v>32</v>
      </c>
      <c r="D21" s="97" t="s">
        <v>425</v>
      </c>
      <c r="E21" s="23" t="str" cm="1">
        <f t="array" ref="E21">_xlfn.XLOOKUP(Table1178213[[#This Row],[Team]],Table4334[Team],'2425'!$C$3:$C$34)</f>
        <v>n/a</v>
      </c>
      <c r="F21" s="97" t="str">
        <f>'2025'!$E$10</f>
        <v>n/a</v>
      </c>
      <c r="G21" s="94" t="e" cm="1">
        <f t="array" ref="G21">_xlfn.XLOOKUP(Table1178213[[#This Row],[Opp]],Table1[DEF],'2025'!$H$3:$H$34)</f>
        <v>#N/A</v>
      </c>
      <c r="H21" s="94" t="e" cm="1">
        <f t="array" ref="H21">_xlfn.XLOOKUP(Table1178213[[#This Row],[Opp]],Table1[DEF],'2025'!$I$3:$I$34)</f>
        <v>#N/A</v>
      </c>
      <c r="I21" s="94" t="e" cm="1">
        <f t="array" ref="I21">_xlfn.XLOOKUP(Table1178213[[#This Row],[Opp]],Table1[DEF],'2025'!$J$3:$J$34)</f>
        <v>#N/A</v>
      </c>
      <c r="J21" s="94" t="e" cm="1">
        <f t="array" ref="J21">_xlfn.XLOOKUP(Table1178213[[#This Row],[Opp]],Table1[DEF],'2025'!$K$3:$K$34)</f>
        <v>#N/A</v>
      </c>
      <c r="K21" s="94" t="e" cm="1">
        <f t="array" ref="K21">_xlfn.XLOOKUP(Table1178213[[#This Row],[Opp]],Table1[DEF],'2025'!$L$3:$L$34)</f>
        <v>#N/A</v>
      </c>
      <c r="L21" s="95" t="e">
        <f>_xlfn.XLOOKUP(Table1178213[[#This Row],[Opp]],Table1[DEF],Table1[P])</f>
        <v>#N/A</v>
      </c>
      <c r="M21" s="95" t="e">
        <f>_xlfn.XLOOKUP(Table1178213[[#This Row],[Opp]],Table1[DEF],Table1[R])</f>
        <v>#N/A</v>
      </c>
      <c r="N21" s="95" t="e">
        <f>_xlfn.XLOOKUP(Table1178213[[#This Row],[Opp]],Table1[DEF],Table1[P+R])</f>
        <v>#N/A</v>
      </c>
      <c r="O21" s="96" t="e">
        <f>_xlfn.XLOOKUP(Table1178213[[#This Row],[Opp]],Table1[DEF],Table1[P TD])</f>
        <v>#N/A</v>
      </c>
      <c r="P21" s="96" t="e">
        <f>_xlfn.XLOOKUP(Table1178213[[#This Row],[Opp]],Table1[DEF],Table1[TD])</f>
        <v>#N/A</v>
      </c>
      <c r="Q21" s="94" t="e">
        <f>AVERAGE(Table1178213[[#This Row],[*P*]:[*TD*]])</f>
        <v>#N/A</v>
      </c>
    </row>
    <row r="22" spans="2:17" hidden="1" x14ac:dyDescent="0.35">
      <c r="B22" s="6" t="s">
        <v>170</v>
      </c>
      <c r="C22" s="97" t="s">
        <v>31</v>
      </c>
      <c r="D22" s="97" t="s">
        <v>399</v>
      </c>
      <c r="E22" s="23" t="str" cm="1">
        <f t="array" ref="E22">_xlfn.XLOOKUP(Table1178213[[#This Row],[Team]],Table4334[Team],'2425'!$C$3:$C$34)</f>
        <v>n/a</v>
      </c>
      <c r="F22" s="97" t="str">
        <f>'2025'!$E$9</f>
        <v>n/a</v>
      </c>
      <c r="G22" s="94" t="e" cm="1">
        <f t="array" ref="G22">_xlfn.XLOOKUP(Table1178213[[#This Row],[Opp]],Table1[DEF],'2025'!$H$3:$H$34)</f>
        <v>#N/A</v>
      </c>
      <c r="H22" s="94" t="e" cm="1">
        <f t="array" ref="H22">_xlfn.XLOOKUP(Table1178213[[#This Row],[Opp]],Table1[DEF],'2025'!$I$3:$I$34)</f>
        <v>#N/A</v>
      </c>
      <c r="I22" s="94" t="e" cm="1">
        <f t="array" ref="I22">_xlfn.XLOOKUP(Table1178213[[#This Row],[Opp]],Table1[DEF],'2025'!$J$3:$J$34)</f>
        <v>#N/A</v>
      </c>
      <c r="J22" s="94" t="e" cm="1">
        <f t="array" ref="J22">_xlfn.XLOOKUP(Table1178213[[#This Row],[Opp]],Table1[DEF],'2025'!$K$3:$K$34)</f>
        <v>#N/A</v>
      </c>
      <c r="K22" s="94" t="e" cm="1">
        <f t="array" ref="K22">_xlfn.XLOOKUP(Table1178213[[#This Row],[Opp]],Table1[DEF],'2025'!$L$3:$L$34)</f>
        <v>#N/A</v>
      </c>
      <c r="L22" s="95" t="e">
        <f>_xlfn.XLOOKUP(Table1178213[[#This Row],[Opp]],Table1[DEF],Table1[P])</f>
        <v>#N/A</v>
      </c>
      <c r="M22" s="95" t="e">
        <f>_xlfn.XLOOKUP(Table1178213[[#This Row],[Opp]],Table1[DEF],Table1[R])</f>
        <v>#N/A</v>
      </c>
      <c r="N22" s="95" t="e">
        <f>_xlfn.XLOOKUP(Table1178213[[#This Row],[Opp]],Table1[DEF],Table1[P+R])</f>
        <v>#N/A</v>
      </c>
      <c r="O22" s="96" t="e">
        <f>_xlfn.XLOOKUP(Table1178213[[#This Row],[Opp]],Table1[DEF],Table1[P TD])</f>
        <v>#N/A</v>
      </c>
      <c r="P22" s="96" t="e">
        <f>_xlfn.XLOOKUP(Table1178213[[#This Row],[Opp]],Table1[DEF],Table1[TD])</f>
        <v>#N/A</v>
      </c>
      <c r="Q22" s="94" t="e">
        <f>AVERAGE(Table1178213[[#This Row],[*P*]:[*TD*]])</f>
        <v>#N/A</v>
      </c>
    </row>
    <row r="23" spans="2:17" hidden="1" x14ac:dyDescent="0.35">
      <c r="B23" s="6" t="s">
        <v>182</v>
      </c>
      <c r="C23" s="97" t="s">
        <v>33</v>
      </c>
      <c r="D23" s="97" t="s">
        <v>405</v>
      </c>
      <c r="E23" s="23" t="str" cm="1">
        <f t="array" ref="E23">_xlfn.XLOOKUP(Table1178213[[#This Row],[Team]],Table4334[Team],'2425'!$C$3:$C$34)</f>
        <v>n/a</v>
      </c>
      <c r="F23" s="97" t="str">
        <f>'2025'!$E$11</f>
        <v>n/a</v>
      </c>
      <c r="G23" s="94" t="e" cm="1">
        <f t="array" ref="G23">_xlfn.XLOOKUP(Table1178213[[#This Row],[Opp]],Table1[DEF],'2025'!$H$3:$H$34)</f>
        <v>#N/A</v>
      </c>
      <c r="H23" s="94" t="e" cm="1">
        <f t="array" ref="H23">_xlfn.XLOOKUP(Table1178213[[#This Row],[Opp]],Table1[DEF],'2025'!$I$3:$I$34)</f>
        <v>#N/A</v>
      </c>
      <c r="I23" s="94" t="e" cm="1">
        <f t="array" ref="I23">_xlfn.XLOOKUP(Table1178213[[#This Row],[Opp]],Table1[DEF],'2025'!$J$3:$J$34)</f>
        <v>#N/A</v>
      </c>
      <c r="J23" s="94" t="e" cm="1">
        <f t="array" ref="J23">_xlfn.XLOOKUP(Table1178213[[#This Row],[Opp]],Table1[DEF],'2025'!$K$3:$K$34)</f>
        <v>#N/A</v>
      </c>
      <c r="K23" s="94" t="e" cm="1">
        <f t="array" ref="K23">_xlfn.XLOOKUP(Table1178213[[#This Row],[Opp]],Table1[DEF],'2025'!$L$3:$L$34)</f>
        <v>#N/A</v>
      </c>
      <c r="L23" s="95" t="e">
        <f>_xlfn.XLOOKUP(Table1178213[[#This Row],[Opp]],Table1[DEF],Table1[P])</f>
        <v>#N/A</v>
      </c>
      <c r="M23" s="95" t="e">
        <f>_xlfn.XLOOKUP(Table1178213[[#This Row],[Opp]],Table1[DEF],Table1[R])</f>
        <v>#N/A</v>
      </c>
      <c r="N23" s="95" t="e">
        <f>_xlfn.XLOOKUP(Table1178213[[#This Row],[Opp]],Table1[DEF],Table1[P+R])</f>
        <v>#N/A</v>
      </c>
      <c r="O23" s="96" t="e">
        <f>_xlfn.XLOOKUP(Table1178213[[#This Row],[Opp]],Table1[DEF],Table1[P TD])</f>
        <v>#N/A</v>
      </c>
      <c r="P23" s="96" t="e">
        <f>_xlfn.XLOOKUP(Table1178213[[#This Row],[Opp]],Table1[DEF],Table1[TD])</f>
        <v>#N/A</v>
      </c>
      <c r="Q23" s="94" t="e">
        <f>AVERAGE(Table1178213[[#This Row],[*P*]:[*TD*]])</f>
        <v>#N/A</v>
      </c>
    </row>
    <row r="24" spans="2:17" hidden="1" x14ac:dyDescent="0.35">
      <c r="B24" s="6" t="s">
        <v>109</v>
      </c>
      <c r="C24" s="97" t="s">
        <v>15</v>
      </c>
      <c r="D24" s="97" t="s">
        <v>399</v>
      </c>
      <c r="E24" s="23" t="str" cm="1">
        <f t="array" ref="E24">_xlfn.XLOOKUP(Table1178213[[#This Row],[Team]],Table4334[Team],'2425'!$C$3:$C$34)</f>
        <v>n/a</v>
      </c>
      <c r="F24" s="97" t="str">
        <f>'2025'!$E$4</f>
        <v>n/a</v>
      </c>
      <c r="G24" s="94" t="e" cm="1">
        <f t="array" ref="G24">_xlfn.XLOOKUP(Table1178213[[#This Row],[Opp]],Table1[DEF],'2025'!$H$3:$H$34)</f>
        <v>#N/A</v>
      </c>
      <c r="H24" s="94" t="e" cm="1">
        <f t="array" ref="H24">_xlfn.XLOOKUP(Table1178213[[#This Row],[Opp]],Table1[DEF],'2025'!$I$3:$I$34)</f>
        <v>#N/A</v>
      </c>
      <c r="I24" s="94" t="e" cm="1">
        <f t="array" ref="I24">_xlfn.XLOOKUP(Table1178213[[#This Row],[Opp]],Table1[DEF],'2025'!$J$3:$J$34)</f>
        <v>#N/A</v>
      </c>
      <c r="J24" s="94" t="e" cm="1">
        <f t="array" ref="J24">_xlfn.XLOOKUP(Table1178213[[#This Row],[Opp]],Table1[DEF],'2025'!$K$3:$K$34)</f>
        <v>#N/A</v>
      </c>
      <c r="K24" s="94" t="e" cm="1">
        <f t="array" ref="K24">_xlfn.XLOOKUP(Table1178213[[#This Row],[Opp]],Table1[DEF],'2025'!$L$3:$L$34)</f>
        <v>#N/A</v>
      </c>
      <c r="L24" s="95" t="e">
        <f>_xlfn.XLOOKUP(Table1178213[[#This Row],[Opp]],Table1[DEF],Table1[P])</f>
        <v>#N/A</v>
      </c>
      <c r="M24" s="95" t="e">
        <f>_xlfn.XLOOKUP(Table1178213[[#This Row],[Opp]],Table1[DEF],Table1[R])</f>
        <v>#N/A</v>
      </c>
      <c r="N24" s="95" t="e">
        <f>_xlfn.XLOOKUP(Table1178213[[#This Row],[Opp]],Table1[DEF],Table1[P+R])</f>
        <v>#N/A</v>
      </c>
      <c r="O24" s="96" t="e">
        <f>_xlfn.XLOOKUP(Table1178213[[#This Row],[Opp]],Table1[DEF],Table1[P TD])</f>
        <v>#N/A</v>
      </c>
      <c r="P24" s="96" t="e">
        <f>_xlfn.XLOOKUP(Table1178213[[#This Row],[Opp]],Table1[DEF],Table1[TD])</f>
        <v>#N/A</v>
      </c>
      <c r="Q24" s="94" t="e">
        <f>AVERAGE(Table1178213[[#This Row],[*P*]:[*TD*]])</f>
        <v>#N/A</v>
      </c>
    </row>
    <row r="25" spans="2:17" hidden="1" x14ac:dyDescent="0.35">
      <c r="B25" s="6" t="s">
        <v>576</v>
      </c>
      <c r="C25" s="97" t="s">
        <v>34</v>
      </c>
      <c r="D25" s="97" t="s">
        <v>405</v>
      </c>
      <c r="E25" s="23" t="str" cm="1">
        <f t="array" ref="E25">_xlfn.XLOOKUP(Table1178213[[#This Row],[Team]],Table4334[Team],'2425'!$C$3:$C$34)</f>
        <v>n/a</v>
      </c>
      <c r="F25" s="97" t="str">
        <f>'2025'!$E$12</f>
        <v>n/a</v>
      </c>
      <c r="G25" s="94" t="e" cm="1">
        <f t="array" ref="G25">_xlfn.XLOOKUP(Table1178213[[#This Row],[Opp]],Table1[DEF],'2025'!$H$3:$H$34)</f>
        <v>#N/A</v>
      </c>
      <c r="H25" s="94" t="e" cm="1">
        <f t="array" ref="H25">_xlfn.XLOOKUP(Table1178213[[#This Row],[Opp]],Table1[DEF],'2025'!$I$3:$I$34)</f>
        <v>#N/A</v>
      </c>
      <c r="I25" s="94" t="e" cm="1">
        <f t="array" ref="I25">_xlfn.XLOOKUP(Table1178213[[#This Row],[Opp]],Table1[DEF],'2025'!$J$3:$J$34)</f>
        <v>#N/A</v>
      </c>
      <c r="J25" s="94" t="e" cm="1">
        <f t="array" ref="J25">_xlfn.XLOOKUP(Table1178213[[#This Row],[Opp]],Table1[DEF],'2025'!$K$3:$K$34)</f>
        <v>#N/A</v>
      </c>
      <c r="K25" s="94" t="e" cm="1">
        <f t="array" ref="K25">_xlfn.XLOOKUP(Table1178213[[#This Row],[Opp]],Table1[DEF],'2025'!$L$3:$L$34)</f>
        <v>#N/A</v>
      </c>
      <c r="L25" s="95" t="e">
        <f>_xlfn.XLOOKUP(Table1178213[[#This Row],[Opp]],Table1[DEF],Table1[P])</f>
        <v>#N/A</v>
      </c>
      <c r="M25" s="95" t="e">
        <f>_xlfn.XLOOKUP(Table1178213[[#This Row],[Opp]],Table1[DEF],Table1[R])</f>
        <v>#N/A</v>
      </c>
      <c r="N25" s="95" t="e">
        <f>_xlfn.XLOOKUP(Table1178213[[#This Row],[Opp]],Table1[DEF],Table1[P+R])</f>
        <v>#N/A</v>
      </c>
      <c r="O25" s="96" t="e">
        <f>_xlfn.XLOOKUP(Table1178213[[#This Row],[Opp]],Table1[DEF],Table1[P TD])</f>
        <v>#N/A</v>
      </c>
      <c r="P25" s="96" t="e">
        <f>_xlfn.XLOOKUP(Table1178213[[#This Row],[Opp]],Table1[DEF],Table1[TD])</f>
        <v>#N/A</v>
      </c>
      <c r="Q25" s="94" t="e">
        <f>AVERAGE(Table1178213[[#This Row],[*P*]:[*TD*]])</f>
        <v>#N/A</v>
      </c>
    </row>
    <row r="26" spans="2:17" hidden="1" x14ac:dyDescent="0.35">
      <c r="B26" s="6" t="s">
        <v>226</v>
      </c>
      <c r="C26" s="97" t="s">
        <v>38</v>
      </c>
      <c r="D26" s="97" t="s">
        <v>399</v>
      </c>
      <c r="E26" s="23" t="str" cm="1">
        <f t="array" ref="E26">_xlfn.XLOOKUP(Table1178213[[#This Row],[Team]],Table4334[Team],'2425'!$C$3:$C$34)</f>
        <v>n/a</v>
      </c>
      <c r="F26" s="97" t="str">
        <f>'2025'!$E$16</f>
        <v>n/a</v>
      </c>
      <c r="G26" s="94" t="e" cm="1">
        <f t="array" ref="G26">_xlfn.XLOOKUP(Table1178213[[#This Row],[Opp]],Table1[DEF],'2025'!$H$3:$H$34)</f>
        <v>#N/A</v>
      </c>
      <c r="H26" s="94" t="e" cm="1">
        <f t="array" ref="H26">_xlfn.XLOOKUP(Table1178213[[#This Row],[Opp]],Table1[DEF],'2025'!$I$3:$I$34)</f>
        <v>#N/A</v>
      </c>
      <c r="I26" s="94" t="e" cm="1">
        <f t="array" ref="I26">_xlfn.XLOOKUP(Table1178213[[#This Row],[Opp]],Table1[DEF],'2025'!$J$3:$J$34)</f>
        <v>#N/A</v>
      </c>
      <c r="J26" s="94" t="e" cm="1">
        <f t="array" ref="J26">_xlfn.XLOOKUP(Table1178213[[#This Row],[Opp]],Table1[DEF],'2025'!$K$3:$K$34)</f>
        <v>#N/A</v>
      </c>
      <c r="K26" s="94" t="e" cm="1">
        <f t="array" ref="K26">_xlfn.XLOOKUP(Table1178213[[#This Row],[Opp]],Table1[DEF],'2025'!$L$3:$L$34)</f>
        <v>#N/A</v>
      </c>
      <c r="L26" s="95" t="e">
        <f>_xlfn.XLOOKUP(Table1178213[[#This Row],[Opp]],Table1[DEF],Table1[P])</f>
        <v>#N/A</v>
      </c>
      <c r="M26" s="95" t="e">
        <f>_xlfn.XLOOKUP(Table1178213[[#This Row],[Opp]],Table1[DEF],Table1[R])</f>
        <v>#N/A</v>
      </c>
      <c r="N26" s="95" t="e">
        <f>_xlfn.XLOOKUP(Table1178213[[#This Row],[Opp]],Table1[DEF],Table1[P+R])</f>
        <v>#N/A</v>
      </c>
      <c r="O26" s="96" t="e">
        <f>_xlfn.XLOOKUP(Table1178213[[#This Row],[Opp]],Table1[DEF],Table1[P TD])</f>
        <v>#N/A</v>
      </c>
      <c r="P26" s="96" t="e">
        <f>_xlfn.XLOOKUP(Table1178213[[#This Row],[Opp]],Table1[DEF],Table1[TD])</f>
        <v>#N/A</v>
      </c>
      <c r="Q26" s="94" t="e">
        <f>AVERAGE(Table1178213[[#This Row],[*P*]:[*TD*]])</f>
        <v>#N/A</v>
      </c>
    </row>
    <row r="27" spans="2:17" hidden="1" x14ac:dyDescent="0.35">
      <c r="B27" s="6" t="s">
        <v>261</v>
      </c>
      <c r="C27" s="97" t="s">
        <v>35</v>
      </c>
      <c r="D27" s="97" t="s">
        <v>405</v>
      </c>
      <c r="E27" s="23" t="str" cm="1">
        <f t="array" ref="E27">_xlfn.XLOOKUP(Table1178213[[#This Row],[Team]],Table4334[Team],'2425'!$C$3:$C$34)</f>
        <v>n/a</v>
      </c>
      <c r="F27" s="97" t="str">
        <f>'2025'!$E$13</f>
        <v>n/a</v>
      </c>
      <c r="G27" s="94" t="e" cm="1">
        <f t="array" ref="G27">_xlfn.XLOOKUP(Table1178213[[#This Row],[Opp]],Table1[DEF],'2025'!$H$3:$H$34)</f>
        <v>#N/A</v>
      </c>
      <c r="H27" s="94" t="e" cm="1">
        <f t="array" ref="H27">_xlfn.XLOOKUP(Table1178213[[#This Row],[Opp]],Table1[DEF],'2025'!$I$3:$I$34)</f>
        <v>#N/A</v>
      </c>
      <c r="I27" s="94" t="e" cm="1">
        <f t="array" ref="I27">_xlfn.XLOOKUP(Table1178213[[#This Row],[Opp]],Table1[DEF],'2025'!$J$3:$J$34)</f>
        <v>#N/A</v>
      </c>
      <c r="J27" s="94" t="e" cm="1">
        <f t="array" ref="J27">_xlfn.XLOOKUP(Table1178213[[#This Row],[Opp]],Table1[DEF],'2025'!$K$3:$K$34)</f>
        <v>#N/A</v>
      </c>
      <c r="K27" s="94" t="e" cm="1">
        <f t="array" ref="K27">_xlfn.XLOOKUP(Table1178213[[#This Row],[Opp]],Table1[DEF],'2025'!$L$3:$L$34)</f>
        <v>#N/A</v>
      </c>
      <c r="L27" s="95" t="e">
        <f>_xlfn.XLOOKUP(Table1178213[[#This Row],[Opp]],Table1[DEF],Table1[P])</f>
        <v>#N/A</v>
      </c>
      <c r="M27" s="95" t="e">
        <f>_xlfn.XLOOKUP(Table1178213[[#This Row],[Opp]],Table1[DEF],Table1[R])</f>
        <v>#N/A</v>
      </c>
      <c r="N27" s="95" t="e">
        <f>_xlfn.XLOOKUP(Table1178213[[#This Row],[Opp]],Table1[DEF],Table1[P+R])</f>
        <v>#N/A</v>
      </c>
      <c r="O27" s="96" t="e">
        <f>_xlfn.XLOOKUP(Table1178213[[#This Row],[Opp]],Table1[DEF],Table1[P TD])</f>
        <v>#N/A</v>
      </c>
      <c r="P27" s="96" t="e">
        <f>_xlfn.XLOOKUP(Table1178213[[#This Row],[Opp]],Table1[DEF],Table1[TD])</f>
        <v>#N/A</v>
      </c>
      <c r="Q27" s="94" t="e">
        <f>AVERAGE(Table1178213[[#This Row],[*P*]:[*TD*]])</f>
        <v>#N/A</v>
      </c>
    </row>
    <row r="28" spans="2:17" hidden="1" x14ac:dyDescent="0.35">
      <c r="B28" s="6" t="s">
        <v>385</v>
      </c>
      <c r="C28" s="97" t="s">
        <v>56</v>
      </c>
      <c r="D28" s="97" t="s">
        <v>399</v>
      </c>
      <c r="E28" s="23" t="str" cm="1">
        <f t="array" ref="E28">_xlfn.XLOOKUP(Table1178213[[#This Row],[Team]],Table4334[Team],'2425'!$C$3:$C$34)</f>
        <v>n/a</v>
      </c>
      <c r="F28" s="97" t="str">
        <f>'2025'!$E$34</f>
        <v>n/a</v>
      </c>
      <c r="G28" s="94" t="e" cm="1">
        <f t="array" ref="G28">_xlfn.XLOOKUP(Table1178213[[#This Row],[Opp]],Table1[DEF],'2025'!$H$3:$H$34)</f>
        <v>#N/A</v>
      </c>
      <c r="H28" s="94" t="e" cm="1">
        <f t="array" ref="H28">_xlfn.XLOOKUP(Table1178213[[#This Row],[Opp]],Table1[DEF],'2025'!$I$3:$I$34)</f>
        <v>#N/A</v>
      </c>
      <c r="I28" s="94" t="e" cm="1">
        <f t="array" ref="I28">_xlfn.XLOOKUP(Table1178213[[#This Row],[Opp]],Table1[DEF],'2025'!$J$3:$J$34)</f>
        <v>#N/A</v>
      </c>
      <c r="J28" s="94" t="e" cm="1">
        <f t="array" ref="J28">_xlfn.XLOOKUP(Table1178213[[#This Row],[Opp]],Table1[DEF],'2025'!$K$3:$K$34)</f>
        <v>#N/A</v>
      </c>
      <c r="K28" s="94" t="e" cm="1">
        <f t="array" ref="K28">_xlfn.XLOOKUP(Table1178213[[#This Row],[Opp]],Table1[DEF],'2025'!$L$3:$L$34)</f>
        <v>#N/A</v>
      </c>
      <c r="L28" s="95" t="e">
        <f>_xlfn.XLOOKUP(Table1178213[[#This Row],[Opp]],Table1[DEF],Table1[P])</f>
        <v>#N/A</v>
      </c>
      <c r="M28" s="95" t="e">
        <f>_xlfn.XLOOKUP(Table1178213[[#This Row],[Opp]],Table1[DEF],Table1[R])</f>
        <v>#N/A</v>
      </c>
      <c r="N28" s="95" t="e">
        <f>_xlfn.XLOOKUP(Table1178213[[#This Row],[Opp]],Table1[DEF],Table1[P+R])</f>
        <v>#N/A</v>
      </c>
      <c r="O28" s="96" t="e">
        <f>_xlfn.XLOOKUP(Table1178213[[#This Row],[Opp]],Table1[DEF],Table1[P TD])</f>
        <v>#N/A</v>
      </c>
      <c r="P28" s="96" t="e">
        <f>_xlfn.XLOOKUP(Table1178213[[#This Row],[Opp]],Table1[DEF],Table1[TD])</f>
        <v>#N/A</v>
      </c>
      <c r="Q28" s="94" t="e">
        <f>AVERAGE(Table1178213[[#This Row],[*P*]:[*TD*]])</f>
        <v>#N/A</v>
      </c>
    </row>
    <row r="29" spans="2:17" hidden="1" x14ac:dyDescent="0.35">
      <c r="B29" s="6" t="s">
        <v>205</v>
      </c>
      <c r="C29" s="97" t="s">
        <v>36</v>
      </c>
      <c r="D29" s="97" t="s">
        <v>405</v>
      </c>
      <c r="E29" s="23" t="str" cm="1">
        <f t="array" ref="E29">_xlfn.XLOOKUP(Table1178213[[#This Row],[Team]],Table4334[Team],'2425'!$C$3:$C$34)</f>
        <v>n/a</v>
      </c>
      <c r="F29" s="97" t="str">
        <f>'2025'!$E$14</f>
        <v>n/a</v>
      </c>
      <c r="G29" s="94" t="e" cm="1">
        <f t="array" ref="G29">_xlfn.XLOOKUP(Table1178213[[#This Row],[Opp]],Table1[DEF],'2025'!$H$3:$H$34)</f>
        <v>#N/A</v>
      </c>
      <c r="H29" s="94" t="e" cm="1">
        <f t="array" ref="H29">_xlfn.XLOOKUP(Table1178213[[#This Row],[Opp]],Table1[DEF],'2025'!$I$3:$I$34)</f>
        <v>#N/A</v>
      </c>
      <c r="I29" s="94" t="e" cm="1">
        <f t="array" ref="I29">_xlfn.XLOOKUP(Table1178213[[#This Row],[Opp]],Table1[DEF],'2025'!$J$3:$J$34)</f>
        <v>#N/A</v>
      </c>
      <c r="J29" s="94" t="e" cm="1">
        <f t="array" ref="J29">_xlfn.XLOOKUP(Table1178213[[#This Row],[Opp]],Table1[DEF],'2025'!$K$3:$K$34)</f>
        <v>#N/A</v>
      </c>
      <c r="K29" s="94" t="e" cm="1">
        <f t="array" ref="K29">_xlfn.XLOOKUP(Table1178213[[#This Row],[Opp]],Table1[DEF],'2025'!$L$3:$L$34)</f>
        <v>#N/A</v>
      </c>
      <c r="L29" s="95" t="e">
        <f>_xlfn.XLOOKUP(Table1178213[[#This Row],[Opp]],Table1[DEF],Table1[P])</f>
        <v>#N/A</v>
      </c>
      <c r="M29" s="95" t="e">
        <f>_xlfn.XLOOKUP(Table1178213[[#This Row],[Opp]],Table1[DEF],Table1[R])</f>
        <v>#N/A</v>
      </c>
      <c r="N29" s="95" t="e">
        <f>_xlfn.XLOOKUP(Table1178213[[#This Row],[Opp]],Table1[DEF],Table1[P+R])</f>
        <v>#N/A</v>
      </c>
      <c r="O29" s="96" t="e">
        <f>_xlfn.XLOOKUP(Table1178213[[#This Row],[Opp]],Table1[DEF],Table1[P TD])</f>
        <v>#N/A</v>
      </c>
      <c r="P29" s="96" t="e">
        <f>_xlfn.XLOOKUP(Table1178213[[#This Row],[Opp]],Table1[DEF],Table1[TD])</f>
        <v>#N/A</v>
      </c>
      <c r="Q29" s="94" t="e">
        <f>AVERAGE(Table1178213[[#This Row],[*P*]:[*TD*]])</f>
        <v>#N/A</v>
      </c>
    </row>
    <row r="30" spans="2:17" hidden="1" x14ac:dyDescent="0.35">
      <c r="B30" s="6" t="s">
        <v>243</v>
      </c>
      <c r="C30" s="97" t="s">
        <v>40</v>
      </c>
      <c r="D30" s="97" t="s">
        <v>399</v>
      </c>
      <c r="E30" s="23" t="str" cm="1">
        <f t="array" ref="E30">_xlfn.XLOOKUP(Table1178213[[#This Row],[Team]],Table4334[Team],'2425'!$C$3:$C$34)</f>
        <v>n/a</v>
      </c>
      <c r="F30" s="97" t="str">
        <f>'2025'!$E$18</f>
        <v>n/a</v>
      </c>
      <c r="G30" s="94" t="e" cm="1">
        <f t="array" ref="G30">_xlfn.XLOOKUP(Table1178213[[#This Row],[Opp]],Table1[DEF],'2025'!$H$3:$H$34)</f>
        <v>#N/A</v>
      </c>
      <c r="H30" s="94" t="e" cm="1">
        <f t="array" ref="H30">_xlfn.XLOOKUP(Table1178213[[#This Row],[Opp]],Table1[DEF],'2025'!$I$3:$I$34)</f>
        <v>#N/A</v>
      </c>
      <c r="I30" s="94" t="e" cm="1">
        <f t="array" ref="I30">_xlfn.XLOOKUP(Table1178213[[#This Row],[Opp]],Table1[DEF],'2025'!$J$3:$J$34)</f>
        <v>#N/A</v>
      </c>
      <c r="J30" s="94" t="e" cm="1">
        <f t="array" ref="J30">_xlfn.XLOOKUP(Table1178213[[#This Row],[Opp]],Table1[DEF],'2025'!$K$3:$K$34)</f>
        <v>#N/A</v>
      </c>
      <c r="K30" s="94" t="e" cm="1">
        <f t="array" ref="K30">_xlfn.XLOOKUP(Table1178213[[#This Row],[Opp]],Table1[DEF],'2025'!$L$3:$L$34)</f>
        <v>#N/A</v>
      </c>
      <c r="L30" s="95" t="e">
        <f>_xlfn.XLOOKUP(Table1178213[[#This Row],[Opp]],Table1[DEF],Table1[P])</f>
        <v>#N/A</v>
      </c>
      <c r="M30" s="95" t="e">
        <f>_xlfn.XLOOKUP(Table1178213[[#This Row],[Opp]],Table1[DEF],Table1[R])</f>
        <v>#N/A</v>
      </c>
      <c r="N30" s="95" t="e">
        <f>_xlfn.XLOOKUP(Table1178213[[#This Row],[Opp]],Table1[DEF],Table1[P+R])</f>
        <v>#N/A</v>
      </c>
      <c r="O30" s="96" t="e">
        <f>_xlfn.XLOOKUP(Table1178213[[#This Row],[Opp]],Table1[DEF],Table1[P TD])</f>
        <v>#N/A</v>
      </c>
      <c r="P30" s="96" t="e">
        <f>_xlfn.XLOOKUP(Table1178213[[#This Row],[Opp]],Table1[DEF],Table1[TD])</f>
        <v>#N/A</v>
      </c>
      <c r="Q30" s="94" t="e">
        <f>AVERAGE(Table1178213[[#This Row],[*P*]:[*TD*]])</f>
        <v>#N/A</v>
      </c>
    </row>
    <row r="31" spans="2:17" hidden="1" x14ac:dyDescent="0.35">
      <c r="B31" s="6" t="s">
        <v>630</v>
      </c>
      <c r="C31" s="97" t="s">
        <v>37</v>
      </c>
      <c r="D31" s="97" t="s">
        <v>405</v>
      </c>
      <c r="E31" s="23" t="str" cm="1">
        <f t="array" ref="E31">_xlfn.XLOOKUP(Table1178213[[#This Row],[Team]],Table4334[Team],'2425'!$C$3:$C$34)</f>
        <v>n/a</v>
      </c>
      <c r="F31" s="97" t="str">
        <f>'2025'!$E$15</f>
        <v>n/a</v>
      </c>
      <c r="G31" s="94" t="e" cm="1">
        <f t="array" ref="G31">_xlfn.XLOOKUP(Table1178213[[#This Row],[Opp]],Table1[DEF],'2025'!$H$3:$H$34)</f>
        <v>#N/A</v>
      </c>
      <c r="H31" s="94" t="e" cm="1">
        <f t="array" ref="H31">_xlfn.XLOOKUP(Table1178213[[#This Row],[Opp]],Table1[DEF],'2025'!$I$3:$I$34)</f>
        <v>#N/A</v>
      </c>
      <c r="I31" s="94" t="e" cm="1">
        <f t="array" ref="I31">_xlfn.XLOOKUP(Table1178213[[#This Row],[Opp]],Table1[DEF],'2025'!$J$3:$J$34)</f>
        <v>#N/A</v>
      </c>
      <c r="J31" s="94" t="e" cm="1">
        <f t="array" ref="J31">_xlfn.XLOOKUP(Table1178213[[#This Row],[Opp]],Table1[DEF],'2025'!$K$3:$K$34)</f>
        <v>#N/A</v>
      </c>
      <c r="K31" s="94" t="e" cm="1">
        <f t="array" ref="K31">_xlfn.XLOOKUP(Table1178213[[#This Row],[Opp]],Table1[DEF],'2025'!$L$3:$L$34)</f>
        <v>#N/A</v>
      </c>
      <c r="L31" s="95" t="e">
        <f>_xlfn.XLOOKUP(Table1178213[[#This Row],[Opp]],Table1[DEF],Table1[P])</f>
        <v>#N/A</v>
      </c>
      <c r="M31" s="95" t="e">
        <f>_xlfn.XLOOKUP(Table1178213[[#This Row],[Opp]],Table1[DEF],Table1[R])</f>
        <v>#N/A</v>
      </c>
      <c r="N31" s="95" t="e">
        <f>_xlfn.XLOOKUP(Table1178213[[#This Row],[Opp]],Table1[DEF],Table1[P+R])</f>
        <v>#N/A</v>
      </c>
      <c r="O31" s="96" t="e">
        <f>_xlfn.XLOOKUP(Table1178213[[#This Row],[Opp]],Table1[DEF],Table1[P TD])</f>
        <v>#N/A</v>
      </c>
      <c r="P31" s="96" t="e">
        <f>_xlfn.XLOOKUP(Table1178213[[#This Row],[Opp]],Table1[DEF],Table1[TD])</f>
        <v>#N/A</v>
      </c>
      <c r="Q31" s="94" t="e">
        <f>AVERAGE(Table1178213[[#This Row],[*P*]:[*TD*]])</f>
        <v>#N/A</v>
      </c>
    </row>
    <row r="32" spans="2:17" hidden="1" x14ac:dyDescent="0.35">
      <c r="B32" s="6" t="s">
        <v>631</v>
      </c>
      <c r="C32" s="97" t="s">
        <v>37</v>
      </c>
      <c r="D32" s="97" t="s">
        <v>425</v>
      </c>
      <c r="E32" s="23" t="str" cm="1">
        <f t="array" ref="E32">_xlfn.XLOOKUP(Table1178213[[#This Row],[Team]],Table4334[Team],'2425'!$C$3:$C$34)</f>
        <v>n/a</v>
      </c>
      <c r="F32" s="97" t="str">
        <f>'2025'!$E$15</f>
        <v>n/a</v>
      </c>
      <c r="G32" s="94" t="e" cm="1">
        <f t="array" ref="G32">_xlfn.XLOOKUP(Table1178213[[#This Row],[Opp]],Table1[DEF],'2025'!$H$3:$H$34)</f>
        <v>#N/A</v>
      </c>
      <c r="H32" s="94" t="e" cm="1">
        <f t="array" ref="H32">_xlfn.XLOOKUP(Table1178213[[#This Row],[Opp]],Table1[DEF],'2025'!$I$3:$I$34)</f>
        <v>#N/A</v>
      </c>
      <c r="I32" s="94" t="e" cm="1">
        <f t="array" ref="I32">_xlfn.XLOOKUP(Table1178213[[#This Row],[Opp]],Table1[DEF],'2025'!$J$3:$J$34)</f>
        <v>#N/A</v>
      </c>
      <c r="J32" s="94" t="e" cm="1">
        <f t="array" ref="J32">_xlfn.XLOOKUP(Table1178213[[#This Row],[Opp]],Table1[DEF],'2025'!$K$3:$K$34)</f>
        <v>#N/A</v>
      </c>
      <c r="K32" s="94" t="e" cm="1">
        <f t="array" ref="K32">_xlfn.XLOOKUP(Table1178213[[#This Row],[Opp]],Table1[DEF],'2025'!$L$3:$L$34)</f>
        <v>#N/A</v>
      </c>
      <c r="L32" s="95" t="e">
        <f>_xlfn.XLOOKUP(Table1178213[[#This Row],[Opp]],Table1[DEF],Table1[P])</f>
        <v>#N/A</v>
      </c>
      <c r="M32" s="95" t="e">
        <f>_xlfn.XLOOKUP(Table1178213[[#This Row],[Opp]],Table1[DEF],Table1[R])</f>
        <v>#N/A</v>
      </c>
      <c r="N32" s="95" t="e">
        <f>_xlfn.XLOOKUP(Table1178213[[#This Row],[Opp]],Table1[DEF],Table1[P+R])</f>
        <v>#N/A</v>
      </c>
      <c r="O32" s="96" t="e">
        <f>_xlfn.XLOOKUP(Table1178213[[#This Row],[Opp]],Table1[DEF],Table1[P TD])</f>
        <v>#N/A</v>
      </c>
      <c r="P32" s="96" t="e">
        <f>_xlfn.XLOOKUP(Table1178213[[#This Row],[Opp]],Table1[DEF],Table1[TD])</f>
        <v>#N/A</v>
      </c>
      <c r="Q32" s="94" t="e">
        <f>AVERAGE(Table1178213[[#This Row],[*P*]:[*TD*]])</f>
        <v>#N/A</v>
      </c>
    </row>
    <row r="33" spans="2:17" hidden="1" x14ac:dyDescent="0.35">
      <c r="B33" s="6" t="s">
        <v>275</v>
      </c>
      <c r="C33" s="97" t="s">
        <v>43</v>
      </c>
      <c r="D33" s="97" t="s">
        <v>399</v>
      </c>
      <c r="E33" s="23" t="str" cm="1">
        <f t="array" ref="E33">_xlfn.XLOOKUP(Table1178213[[#This Row],[Team]],Table4334[Team],'2425'!$C$3:$C$34)</f>
        <v>n/a</v>
      </c>
      <c r="F33" s="97" t="str">
        <f>'2025'!$E$21</f>
        <v>n/a</v>
      </c>
      <c r="G33" s="94" t="e" cm="1">
        <f t="array" ref="G33">_xlfn.XLOOKUP(Table1178213[[#This Row],[Opp]],Table1[DEF],'2025'!$H$3:$H$34)</f>
        <v>#N/A</v>
      </c>
      <c r="H33" s="94" t="e" cm="1">
        <f t="array" ref="H33">_xlfn.XLOOKUP(Table1178213[[#This Row],[Opp]],Table1[DEF],'2025'!$I$3:$I$34)</f>
        <v>#N/A</v>
      </c>
      <c r="I33" s="94" t="e" cm="1">
        <f t="array" ref="I33">_xlfn.XLOOKUP(Table1178213[[#This Row],[Opp]],Table1[DEF],'2025'!$J$3:$J$34)</f>
        <v>#N/A</v>
      </c>
      <c r="J33" s="94" t="e" cm="1">
        <f t="array" ref="J33">_xlfn.XLOOKUP(Table1178213[[#This Row],[Opp]],Table1[DEF],'2025'!$K$3:$K$34)</f>
        <v>#N/A</v>
      </c>
      <c r="K33" s="94" t="e" cm="1">
        <f t="array" ref="K33">_xlfn.XLOOKUP(Table1178213[[#This Row],[Opp]],Table1[DEF],'2025'!$L$3:$L$34)</f>
        <v>#N/A</v>
      </c>
      <c r="L33" s="95" t="e">
        <f>_xlfn.XLOOKUP(Table1178213[[#This Row],[Opp]],Table1[DEF],Table1[P])</f>
        <v>#N/A</v>
      </c>
      <c r="M33" s="95" t="e">
        <f>_xlfn.XLOOKUP(Table1178213[[#This Row],[Opp]],Table1[DEF],Table1[R])</f>
        <v>#N/A</v>
      </c>
      <c r="N33" s="95" t="e">
        <f>_xlfn.XLOOKUP(Table1178213[[#This Row],[Opp]],Table1[DEF],Table1[P+R])</f>
        <v>#N/A</v>
      </c>
      <c r="O33" s="96" t="e">
        <f>_xlfn.XLOOKUP(Table1178213[[#This Row],[Opp]],Table1[DEF],Table1[P TD])</f>
        <v>#N/A</v>
      </c>
      <c r="P33" s="96" t="e">
        <f>_xlfn.XLOOKUP(Table1178213[[#This Row],[Opp]],Table1[DEF],Table1[TD])</f>
        <v>#N/A</v>
      </c>
      <c r="Q33" s="94" t="e">
        <f>AVERAGE(Table1178213[[#This Row],[*P*]:[*TD*]])</f>
        <v>#N/A</v>
      </c>
    </row>
    <row r="34" spans="2:17" hidden="1" x14ac:dyDescent="0.35">
      <c r="B34" s="6" t="s">
        <v>639</v>
      </c>
      <c r="C34" s="97" t="s">
        <v>38</v>
      </c>
      <c r="D34" s="97" t="s">
        <v>405</v>
      </c>
      <c r="E34" s="23" t="str" cm="1">
        <f t="array" ref="E34">_xlfn.XLOOKUP(Table1178213[[#This Row],[Team]],Table4334[Team],'2425'!$C$3:$C$34)</f>
        <v>n/a</v>
      </c>
      <c r="F34" s="97" t="str">
        <f>'2025'!$E$16</f>
        <v>n/a</v>
      </c>
      <c r="G34" s="94" t="e" cm="1">
        <f t="array" ref="G34">_xlfn.XLOOKUP(Table1178213[[#This Row],[Opp]],Table1[DEF],'2025'!$H$3:$H$34)</f>
        <v>#N/A</v>
      </c>
      <c r="H34" s="94" t="e" cm="1">
        <f t="array" ref="H34">_xlfn.XLOOKUP(Table1178213[[#This Row],[Opp]],Table1[DEF],'2025'!$I$3:$I$34)</f>
        <v>#N/A</v>
      </c>
      <c r="I34" s="94" t="e" cm="1">
        <f t="array" ref="I34">_xlfn.XLOOKUP(Table1178213[[#This Row],[Opp]],Table1[DEF],'2025'!$J$3:$J$34)</f>
        <v>#N/A</v>
      </c>
      <c r="J34" s="94" t="e" cm="1">
        <f t="array" ref="J34">_xlfn.XLOOKUP(Table1178213[[#This Row],[Opp]],Table1[DEF],'2025'!$K$3:$K$34)</f>
        <v>#N/A</v>
      </c>
      <c r="K34" s="94" t="e" cm="1">
        <f t="array" ref="K34">_xlfn.XLOOKUP(Table1178213[[#This Row],[Opp]],Table1[DEF],'2025'!$L$3:$L$34)</f>
        <v>#N/A</v>
      </c>
      <c r="L34" s="95" t="e">
        <f>_xlfn.XLOOKUP(Table1178213[[#This Row],[Opp]],Table1[DEF],Table1[P])</f>
        <v>#N/A</v>
      </c>
      <c r="M34" s="95" t="e">
        <f>_xlfn.XLOOKUP(Table1178213[[#This Row],[Opp]],Table1[DEF],Table1[R])</f>
        <v>#N/A</v>
      </c>
      <c r="N34" s="95" t="e">
        <f>_xlfn.XLOOKUP(Table1178213[[#This Row],[Opp]],Table1[DEF],Table1[P+R])</f>
        <v>#N/A</v>
      </c>
      <c r="O34" s="96" t="e">
        <f>_xlfn.XLOOKUP(Table1178213[[#This Row],[Opp]],Table1[DEF],Table1[P TD])</f>
        <v>#N/A</v>
      </c>
      <c r="P34" s="96" t="e">
        <f>_xlfn.XLOOKUP(Table1178213[[#This Row],[Opp]],Table1[DEF],Table1[TD])</f>
        <v>#N/A</v>
      </c>
      <c r="Q34" s="94" t="e">
        <f>AVERAGE(Table1178213[[#This Row],[*P*]:[*TD*]])</f>
        <v>#N/A</v>
      </c>
    </row>
    <row r="35" spans="2:17" hidden="1" x14ac:dyDescent="0.35">
      <c r="B35" s="6" t="s">
        <v>687</v>
      </c>
      <c r="C35" s="97" t="s">
        <v>38</v>
      </c>
      <c r="D35" s="97" t="s">
        <v>425</v>
      </c>
      <c r="E35" s="23" t="str" cm="1">
        <f t="array" ref="E35">_xlfn.XLOOKUP(Table1178213[[#This Row],[Team]],Table4334[Team],'2425'!$C$3:$C$34)</f>
        <v>n/a</v>
      </c>
      <c r="F35" s="97" t="str">
        <f>'2025'!$E$16</f>
        <v>n/a</v>
      </c>
      <c r="G35" s="94" t="e" cm="1">
        <f t="array" ref="G35">_xlfn.XLOOKUP(Table1178213[[#This Row],[Opp]],Table1[DEF],'2025'!$H$3:$H$34)</f>
        <v>#N/A</v>
      </c>
      <c r="H35" s="94" t="e" cm="1">
        <f t="array" ref="H35">_xlfn.XLOOKUP(Table1178213[[#This Row],[Opp]],Table1[DEF],'2025'!$I$3:$I$34)</f>
        <v>#N/A</v>
      </c>
      <c r="I35" s="94" t="e" cm="1">
        <f t="array" ref="I35">_xlfn.XLOOKUP(Table1178213[[#This Row],[Opp]],Table1[DEF],'2025'!$J$3:$J$34)</f>
        <v>#N/A</v>
      </c>
      <c r="J35" s="94" t="e" cm="1">
        <f t="array" ref="J35">_xlfn.XLOOKUP(Table1178213[[#This Row],[Opp]],Table1[DEF],'2025'!$K$3:$K$34)</f>
        <v>#N/A</v>
      </c>
      <c r="K35" s="94" t="e" cm="1">
        <f t="array" ref="K35">_xlfn.XLOOKUP(Table1178213[[#This Row],[Opp]],Table1[DEF],'2025'!$L$3:$L$34)</f>
        <v>#N/A</v>
      </c>
      <c r="L35" s="95" t="e">
        <f>_xlfn.XLOOKUP(Table1178213[[#This Row],[Opp]],Table1[DEF],Table1[P])</f>
        <v>#N/A</v>
      </c>
      <c r="M35" s="95" t="e">
        <f>_xlfn.XLOOKUP(Table1178213[[#This Row],[Opp]],Table1[DEF],Table1[R])</f>
        <v>#N/A</v>
      </c>
      <c r="N35" s="95" t="e">
        <f>_xlfn.XLOOKUP(Table1178213[[#This Row],[Opp]],Table1[DEF],Table1[P+R])</f>
        <v>#N/A</v>
      </c>
      <c r="O35" s="96" t="e">
        <f>_xlfn.XLOOKUP(Table1178213[[#This Row],[Opp]],Table1[DEF],Table1[P TD])</f>
        <v>#N/A</v>
      </c>
      <c r="P35" s="96" t="e">
        <f>_xlfn.XLOOKUP(Table1178213[[#This Row],[Opp]],Table1[DEF],Table1[TD])</f>
        <v>#N/A</v>
      </c>
      <c r="Q35" s="94" t="e">
        <f>AVERAGE(Table1178213[[#This Row],[*P*]:[*TD*]])</f>
        <v>#N/A</v>
      </c>
    </row>
    <row r="36" spans="2:17" hidden="1" x14ac:dyDescent="0.35">
      <c r="B36" s="6" t="s">
        <v>199</v>
      </c>
      <c r="C36" s="97" t="s">
        <v>35</v>
      </c>
      <c r="D36" s="97" t="s">
        <v>399</v>
      </c>
      <c r="E36" s="23" t="str" cm="1">
        <f t="array" ref="E36">_xlfn.XLOOKUP(Table1178213[[#This Row],[Team]],Table4334[Team],'2425'!$C$3:$C$34)</f>
        <v>n/a</v>
      </c>
      <c r="F36" s="97" t="str">
        <f>'2025'!$E$13</f>
        <v>n/a</v>
      </c>
      <c r="G36" s="94" t="e" cm="1">
        <f t="array" ref="G36">_xlfn.XLOOKUP(Table1178213[[#This Row],[Opp]],Table1[DEF],'2025'!$H$3:$H$34)</f>
        <v>#N/A</v>
      </c>
      <c r="H36" s="94" t="e" cm="1">
        <f t="array" ref="H36">_xlfn.XLOOKUP(Table1178213[[#This Row],[Opp]],Table1[DEF],'2025'!$I$3:$I$34)</f>
        <v>#N/A</v>
      </c>
      <c r="I36" s="94" t="e" cm="1">
        <f t="array" ref="I36">_xlfn.XLOOKUP(Table1178213[[#This Row],[Opp]],Table1[DEF],'2025'!$J$3:$J$34)</f>
        <v>#N/A</v>
      </c>
      <c r="J36" s="94" t="e" cm="1">
        <f t="array" ref="J36">_xlfn.XLOOKUP(Table1178213[[#This Row],[Opp]],Table1[DEF],'2025'!$K$3:$K$34)</f>
        <v>#N/A</v>
      </c>
      <c r="K36" s="94" t="e" cm="1">
        <f t="array" ref="K36">_xlfn.XLOOKUP(Table1178213[[#This Row],[Opp]],Table1[DEF],'2025'!$L$3:$L$34)</f>
        <v>#N/A</v>
      </c>
      <c r="L36" s="95" t="e">
        <f>_xlfn.XLOOKUP(Table1178213[[#This Row],[Opp]],Table1[DEF],Table1[P])</f>
        <v>#N/A</v>
      </c>
      <c r="M36" s="95" t="e">
        <f>_xlfn.XLOOKUP(Table1178213[[#This Row],[Opp]],Table1[DEF],Table1[R])</f>
        <v>#N/A</v>
      </c>
      <c r="N36" s="95" t="e">
        <f>_xlfn.XLOOKUP(Table1178213[[#This Row],[Opp]],Table1[DEF],Table1[P+R])</f>
        <v>#N/A</v>
      </c>
      <c r="O36" s="96" t="e">
        <f>_xlfn.XLOOKUP(Table1178213[[#This Row],[Opp]],Table1[DEF],Table1[P TD])</f>
        <v>#N/A</v>
      </c>
      <c r="P36" s="96" t="e">
        <f>_xlfn.XLOOKUP(Table1178213[[#This Row],[Opp]],Table1[DEF],Table1[TD])</f>
        <v>#N/A</v>
      </c>
      <c r="Q36" s="94" t="e">
        <f>AVERAGE(Table1178213[[#This Row],[*P*]:[*TD*]])</f>
        <v>#N/A</v>
      </c>
    </row>
    <row r="37" spans="2:17" hidden="1" x14ac:dyDescent="0.35">
      <c r="B37" s="6" t="s">
        <v>235</v>
      </c>
      <c r="C37" s="97" t="s">
        <v>39</v>
      </c>
      <c r="D37" s="97" t="s">
        <v>405</v>
      </c>
      <c r="E37" s="23" t="str" cm="1">
        <f t="array" ref="E37">_xlfn.XLOOKUP(Table1178213[[#This Row],[Team]],Table4334[Team],'2425'!$C$3:$C$34)</f>
        <v>n/a</v>
      </c>
      <c r="F37" s="97" t="str">
        <f>'2025'!$E$17</f>
        <v>n/a</v>
      </c>
      <c r="G37" s="94" t="e" cm="1">
        <f t="array" ref="G37">_xlfn.XLOOKUP(Table1178213[[#This Row],[Opp]],Table1[DEF],'2025'!$H$3:$H$34)</f>
        <v>#N/A</v>
      </c>
      <c r="H37" s="94" t="e" cm="1">
        <f t="array" ref="H37">_xlfn.XLOOKUP(Table1178213[[#This Row],[Opp]],Table1[DEF],'2025'!$I$3:$I$34)</f>
        <v>#N/A</v>
      </c>
      <c r="I37" s="94" t="e" cm="1">
        <f t="array" ref="I37">_xlfn.XLOOKUP(Table1178213[[#This Row],[Opp]],Table1[DEF],'2025'!$J$3:$J$34)</f>
        <v>#N/A</v>
      </c>
      <c r="J37" s="94" t="e" cm="1">
        <f t="array" ref="J37">_xlfn.XLOOKUP(Table1178213[[#This Row],[Opp]],Table1[DEF],'2025'!$K$3:$K$34)</f>
        <v>#N/A</v>
      </c>
      <c r="K37" s="94" t="e" cm="1">
        <f t="array" ref="K37">_xlfn.XLOOKUP(Table1178213[[#This Row],[Opp]],Table1[DEF],'2025'!$L$3:$L$34)</f>
        <v>#N/A</v>
      </c>
      <c r="L37" s="95" t="e">
        <f>_xlfn.XLOOKUP(Table1178213[[#This Row],[Opp]],Table1[DEF],Table1[P])</f>
        <v>#N/A</v>
      </c>
      <c r="M37" s="95" t="e">
        <f>_xlfn.XLOOKUP(Table1178213[[#This Row],[Opp]],Table1[DEF],Table1[R])</f>
        <v>#N/A</v>
      </c>
      <c r="N37" s="95" t="e">
        <f>_xlfn.XLOOKUP(Table1178213[[#This Row],[Opp]],Table1[DEF],Table1[P+R])</f>
        <v>#N/A</v>
      </c>
      <c r="O37" s="96" t="e">
        <f>_xlfn.XLOOKUP(Table1178213[[#This Row],[Opp]],Table1[DEF],Table1[P TD])</f>
        <v>#N/A</v>
      </c>
      <c r="P37" s="96" t="e">
        <f>_xlfn.XLOOKUP(Table1178213[[#This Row],[Opp]],Table1[DEF],Table1[TD])</f>
        <v>#N/A</v>
      </c>
      <c r="Q37" s="94" t="e">
        <f>AVERAGE(Table1178213[[#This Row],[*P*]:[*TD*]])</f>
        <v>#N/A</v>
      </c>
    </row>
    <row r="38" spans="2:17" x14ac:dyDescent="0.35">
      <c r="B38" s="6" t="s">
        <v>191</v>
      </c>
      <c r="C38" s="97" t="s">
        <v>34</v>
      </c>
      <c r="D38" s="97" t="s">
        <v>399</v>
      </c>
      <c r="E38" s="23" t="str" cm="1">
        <f t="array" ref="E38">_xlfn.XLOOKUP(Table1178213[[#This Row],[Team]],Table4334[Team],'2425'!$C$3:$C$34)</f>
        <v>n/a</v>
      </c>
      <c r="F38" s="97" t="str">
        <f>'2025'!$E$12</f>
        <v>n/a</v>
      </c>
      <c r="G38" s="94" t="e" cm="1">
        <f t="array" ref="G38">_xlfn.XLOOKUP(Table1178213[[#This Row],[Opp]],Table1[DEF],'2025'!$H$3:$H$34)</f>
        <v>#N/A</v>
      </c>
      <c r="H38" s="94" t="e" cm="1">
        <f t="array" ref="H38">_xlfn.XLOOKUP(Table1178213[[#This Row],[Opp]],Table1[DEF],'2025'!$I$3:$I$34)</f>
        <v>#N/A</v>
      </c>
      <c r="I38" s="94" t="e" cm="1">
        <f t="array" ref="I38">_xlfn.XLOOKUP(Table1178213[[#This Row],[Opp]],Table1[DEF],'2025'!$J$3:$J$34)</f>
        <v>#N/A</v>
      </c>
      <c r="J38" s="94" t="e" cm="1">
        <f t="array" ref="J38">_xlfn.XLOOKUP(Table1178213[[#This Row],[Opp]],Table1[DEF],'2025'!$K$3:$K$34)</f>
        <v>#N/A</v>
      </c>
      <c r="K38" s="94" t="e" cm="1">
        <f t="array" ref="K38">_xlfn.XLOOKUP(Table1178213[[#This Row],[Opp]],Table1[DEF],'2025'!$L$3:$L$34)</f>
        <v>#N/A</v>
      </c>
      <c r="L38" s="95" t="e">
        <f>_xlfn.XLOOKUP(Table1178213[[#This Row],[Opp]],Table1[DEF],Table1[P])</f>
        <v>#N/A</v>
      </c>
      <c r="M38" s="95" t="e">
        <f>_xlfn.XLOOKUP(Table1178213[[#This Row],[Opp]],Table1[DEF],Table1[R])</f>
        <v>#N/A</v>
      </c>
      <c r="N38" s="95" t="e">
        <f>_xlfn.XLOOKUP(Table1178213[[#This Row],[Opp]],Table1[DEF],Table1[P+R])</f>
        <v>#N/A</v>
      </c>
      <c r="O38" s="96" t="e">
        <f>_xlfn.XLOOKUP(Table1178213[[#This Row],[Opp]],Table1[DEF],Table1[P TD])</f>
        <v>#N/A</v>
      </c>
      <c r="P38" s="96" t="e">
        <f>_xlfn.XLOOKUP(Table1178213[[#This Row],[Opp]],Table1[DEF],Table1[TD])</f>
        <v>#N/A</v>
      </c>
      <c r="Q38" s="94" t="e">
        <f>AVERAGE(Table1178213[[#This Row],[*P*]:[*TD*]])</f>
        <v>#N/A</v>
      </c>
    </row>
    <row r="39" spans="2:17" hidden="1" x14ac:dyDescent="0.35">
      <c r="B39" s="6" t="s">
        <v>244</v>
      </c>
      <c r="C39" s="97" t="s">
        <v>40</v>
      </c>
      <c r="D39" s="97" t="s">
        <v>405</v>
      </c>
      <c r="E39" s="23" t="str" cm="1">
        <f t="array" ref="E39">_xlfn.XLOOKUP(Table1178213[[#This Row],[Team]],Table4334[Team],'2425'!$C$3:$C$34)</f>
        <v>n/a</v>
      </c>
      <c r="F39" s="97" t="str">
        <f>'2025'!$E$18</f>
        <v>n/a</v>
      </c>
      <c r="G39" s="94" t="e" cm="1">
        <f t="array" ref="G39">_xlfn.XLOOKUP(Table1178213[[#This Row],[Opp]],Table1[DEF],'2025'!$H$3:$H$34)</f>
        <v>#N/A</v>
      </c>
      <c r="H39" s="94" t="e" cm="1">
        <f t="array" ref="H39">_xlfn.XLOOKUP(Table1178213[[#This Row],[Opp]],Table1[DEF],'2025'!$I$3:$I$34)</f>
        <v>#N/A</v>
      </c>
      <c r="I39" s="94" t="e" cm="1">
        <f t="array" ref="I39">_xlfn.XLOOKUP(Table1178213[[#This Row],[Opp]],Table1[DEF],'2025'!$J$3:$J$34)</f>
        <v>#N/A</v>
      </c>
      <c r="J39" s="94" t="e" cm="1">
        <f t="array" ref="J39">_xlfn.XLOOKUP(Table1178213[[#This Row],[Opp]],Table1[DEF],'2025'!$K$3:$K$34)</f>
        <v>#N/A</v>
      </c>
      <c r="K39" s="94" t="e" cm="1">
        <f t="array" ref="K39">_xlfn.XLOOKUP(Table1178213[[#This Row],[Opp]],Table1[DEF],'2025'!$L$3:$L$34)</f>
        <v>#N/A</v>
      </c>
      <c r="L39" s="95" t="e">
        <f>_xlfn.XLOOKUP(Table1178213[[#This Row],[Opp]],Table1[DEF],Table1[P])</f>
        <v>#N/A</v>
      </c>
      <c r="M39" s="95" t="e">
        <f>_xlfn.XLOOKUP(Table1178213[[#This Row],[Opp]],Table1[DEF],Table1[R])</f>
        <v>#N/A</v>
      </c>
      <c r="N39" s="95" t="e">
        <f>_xlfn.XLOOKUP(Table1178213[[#This Row],[Opp]],Table1[DEF],Table1[P+R])</f>
        <v>#N/A</v>
      </c>
      <c r="O39" s="96" t="e">
        <f>_xlfn.XLOOKUP(Table1178213[[#This Row],[Opp]],Table1[DEF],Table1[P TD])</f>
        <v>#N/A</v>
      </c>
      <c r="P39" s="96" t="e">
        <f>_xlfn.XLOOKUP(Table1178213[[#This Row],[Opp]],Table1[DEF],Table1[TD])</f>
        <v>#N/A</v>
      </c>
      <c r="Q39" s="94" t="e">
        <f>AVERAGE(Table1178213[[#This Row],[*P*]:[*TD*]])</f>
        <v>#N/A</v>
      </c>
    </row>
    <row r="40" spans="2:17" hidden="1" x14ac:dyDescent="0.35">
      <c r="B40" s="6" t="s">
        <v>330</v>
      </c>
      <c r="C40" s="97" t="s">
        <v>49</v>
      </c>
      <c r="D40" s="97" t="s">
        <v>399</v>
      </c>
      <c r="E40" s="23" t="str" cm="1">
        <f t="array" ref="E40">_xlfn.XLOOKUP(Table1178213[[#This Row],[Team]],Table4334[Team],'2425'!$C$3:$C$34)</f>
        <v>n/a</v>
      </c>
      <c r="F40" s="97" t="str">
        <f>'2025'!$E$27</f>
        <v>n/a</v>
      </c>
      <c r="G40" s="94" t="e" cm="1">
        <f t="array" ref="G40">_xlfn.XLOOKUP(Table1178213[[#This Row],[Opp]],Table1[DEF],'2025'!$H$3:$H$34)</f>
        <v>#N/A</v>
      </c>
      <c r="H40" s="94" t="e" cm="1">
        <f t="array" ref="H40">_xlfn.XLOOKUP(Table1178213[[#This Row],[Opp]],Table1[DEF],'2025'!$I$3:$I$34)</f>
        <v>#N/A</v>
      </c>
      <c r="I40" s="94" t="e" cm="1">
        <f t="array" ref="I40">_xlfn.XLOOKUP(Table1178213[[#This Row],[Opp]],Table1[DEF],'2025'!$J$3:$J$34)</f>
        <v>#N/A</v>
      </c>
      <c r="J40" s="94" t="e" cm="1">
        <f t="array" ref="J40">_xlfn.XLOOKUP(Table1178213[[#This Row],[Opp]],Table1[DEF],'2025'!$K$3:$K$34)</f>
        <v>#N/A</v>
      </c>
      <c r="K40" s="94" t="e" cm="1">
        <f t="array" ref="K40">_xlfn.XLOOKUP(Table1178213[[#This Row],[Opp]],Table1[DEF],'2025'!$L$3:$L$34)</f>
        <v>#N/A</v>
      </c>
      <c r="L40" s="95" t="e">
        <f>_xlfn.XLOOKUP(Table1178213[[#This Row],[Opp]],Table1[DEF],Table1[P])</f>
        <v>#N/A</v>
      </c>
      <c r="M40" s="95" t="e">
        <f>_xlfn.XLOOKUP(Table1178213[[#This Row],[Opp]],Table1[DEF],Table1[R])</f>
        <v>#N/A</v>
      </c>
      <c r="N40" s="95" t="e">
        <f>_xlfn.XLOOKUP(Table1178213[[#This Row],[Opp]],Table1[DEF],Table1[P+R])</f>
        <v>#N/A</v>
      </c>
      <c r="O40" s="96" t="e">
        <f>_xlfn.XLOOKUP(Table1178213[[#This Row],[Opp]],Table1[DEF],Table1[P TD])</f>
        <v>#N/A</v>
      </c>
      <c r="P40" s="96" t="e">
        <f>_xlfn.XLOOKUP(Table1178213[[#This Row],[Opp]],Table1[DEF],Table1[TD])</f>
        <v>#N/A</v>
      </c>
      <c r="Q40" s="94" t="e">
        <f>AVERAGE(Table1178213[[#This Row],[*P*]:[*TD*]])</f>
        <v>#N/A</v>
      </c>
    </row>
    <row r="41" spans="2:17" hidden="1" x14ac:dyDescent="0.35">
      <c r="B41" s="6" t="s">
        <v>256</v>
      </c>
      <c r="C41" s="97" t="s">
        <v>41</v>
      </c>
      <c r="D41" s="97" t="s">
        <v>405</v>
      </c>
      <c r="E41" s="23" t="str" cm="1">
        <f t="array" ref="E41">_xlfn.XLOOKUP(Table1178213[[#This Row],[Team]],Table4334[Team],'2425'!$C$3:$C$34)</f>
        <v>n/a</v>
      </c>
      <c r="F41" s="97" t="str">
        <f>'2025'!$E$19</f>
        <v>n/a</v>
      </c>
      <c r="G41" s="94" t="e" cm="1">
        <f t="array" ref="G41">_xlfn.XLOOKUP(Table1178213[[#This Row],[Opp]],Table1[DEF],'2025'!$H$3:$H$34)</f>
        <v>#N/A</v>
      </c>
      <c r="H41" s="94" t="e" cm="1">
        <f t="array" ref="H41">_xlfn.XLOOKUP(Table1178213[[#This Row],[Opp]],Table1[DEF],'2025'!$I$3:$I$34)</f>
        <v>#N/A</v>
      </c>
      <c r="I41" s="94" t="e" cm="1">
        <f t="array" ref="I41">_xlfn.XLOOKUP(Table1178213[[#This Row],[Opp]],Table1[DEF],'2025'!$J$3:$J$34)</f>
        <v>#N/A</v>
      </c>
      <c r="J41" s="94" t="e" cm="1">
        <f t="array" ref="J41">_xlfn.XLOOKUP(Table1178213[[#This Row],[Opp]],Table1[DEF],'2025'!$K$3:$K$34)</f>
        <v>#N/A</v>
      </c>
      <c r="K41" s="94" t="e" cm="1">
        <f t="array" ref="K41">_xlfn.XLOOKUP(Table1178213[[#This Row],[Opp]],Table1[DEF],'2025'!$L$3:$L$34)</f>
        <v>#N/A</v>
      </c>
      <c r="L41" s="95" t="e">
        <f>_xlfn.XLOOKUP(Table1178213[[#This Row],[Opp]],Table1[DEF],Table1[P])</f>
        <v>#N/A</v>
      </c>
      <c r="M41" s="95" t="e">
        <f>_xlfn.XLOOKUP(Table1178213[[#This Row],[Opp]],Table1[DEF],Table1[R])</f>
        <v>#N/A</v>
      </c>
      <c r="N41" s="95" t="e">
        <f>_xlfn.XLOOKUP(Table1178213[[#This Row],[Opp]],Table1[DEF],Table1[P+R])</f>
        <v>#N/A</v>
      </c>
      <c r="O41" s="96" t="e">
        <f>_xlfn.XLOOKUP(Table1178213[[#This Row],[Opp]],Table1[DEF],Table1[P TD])</f>
        <v>#N/A</v>
      </c>
      <c r="P41" s="96" t="e">
        <f>_xlfn.XLOOKUP(Table1178213[[#This Row],[Opp]],Table1[DEF],Table1[TD])</f>
        <v>#N/A</v>
      </c>
      <c r="Q41" s="94" t="e">
        <f>AVERAGE(Table1178213[[#This Row],[*P*]:[*TD*]])</f>
        <v>#N/A</v>
      </c>
    </row>
    <row r="42" spans="2:17" hidden="1" x14ac:dyDescent="0.35">
      <c r="B42" s="6" t="s">
        <v>284</v>
      </c>
      <c r="C42" s="97" t="s">
        <v>44</v>
      </c>
      <c r="D42" s="97" t="s">
        <v>399</v>
      </c>
      <c r="E42" s="23" t="str" cm="1">
        <f t="array" ref="E42">_xlfn.XLOOKUP(Table1178213[[#This Row],[Team]],Table4334[Team],'2425'!$C$3:$C$34)</f>
        <v>n/a</v>
      </c>
      <c r="F42" s="97" t="str">
        <f>'2025'!$E$22</f>
        <v>n/a</v>
      </c>
      <c r="G42" s="94" t="e" cm="1">
        <f t="array" ref="G42">_xlfn.XLOOKUP(Table1178213[[#This Row],[Opp]],Table1[DEF],'2025'!$H$3:$H$34)</f>
        <v>#N/A</v>
      </c>
      <c r="H42" s="94" t="e" cm="1">
        <f t="array" ref="H42">_xlfn.XLOOKUP(Table1178213[[#This Row],[Opp]],Table1[DEF],'2025'!$I$3:$I$34)</f>
        <v>#N/A</v>
      </c>
      <c r="I42" s="94" t="e" cm="1">
        <f t="array" ref="I42">_xlfn.XLOOKUP(Table1178213[[#This Row],[Opp]],Table1[DEF],'2025'!$J$3:$J$34)</f>
        <v>#N/A</v>
      </c>
      <c r="J42" s="94" t="e" cm="1">
        <f t="array" ref="J42">_xlfn.XLOOKUP(Table1178213[[#This Row],[Opp]],Table1[DEF],'2025'!$K$3:$K$34)</f>
        <v>#N/A</v>
      </c>
      <c r="K42" s="94" t="e" cm="1">
        <f t="array" ref="K42">_xlfn.XLOOKUP(Table1178213[[#This Row],[Opp]],Table1[DEF],'2025'!$L$3:$L$34)</f>
        <v>#N/A</v>
      </c>
      <c r="L42" s="95" t="e">
        <f>_xlfn.XLOOKUP(Table1178213[[#This Row],[Opp]],Table1[DEF],Table1[P])</f>
        <v>#N/A</v>
      </c>
      <c r="M42" s="95" t="e">
        <f>_xlfn.XLOOKUP(Table1178213[[#This Row],[Opp]],Table1[DEF],Table1[R])</f>
        <v>#N/A</v>
      </c>
      <c r="N42" s="95" t="e">
        <f>_xlfn.XLOOKUP(Table1178213[[#This Row],[Opp]],Table1[DEF],Table1[P+R])</f>
        <v>#N/A</v>
      </c>
      <c r="O42" s="96" t="e">
        <f>_xlfn.XLOOKUP(Table1178213[[#This Row],[Opp]],Table1[DEF],Table1[P TD])</f>
        <v>#N/A</v>
      </c>
      <c r="P42" s="96" t="e">
        <f>_xlfn.XLOOKUP(Table1178213[[#This Row],[Opp]],Table1[DEF],Table1[TD])</f>
        <v>#N/A</v>
      </c>
      <c r="Q42" s="94" t="e">
        <f>AVERAGE(Table1178213[[#This Row],[*P*]:[*TD*]])</f>
        <v>#N/A</v>
      </c>
    </row>
    <row r="43" spans="2:17" hidden="1" x14ac:dyDescent="0.35">
      <c r="B43" s="6" t="s">
        <v>547</v>
      </c>
      <c r="C43" s="97" t="s">
        <v>42</v>
      </c>
      <c r="D43" s="97" t="s">
        <v>405</v>
      </c>
      <c r="E43" s="23" t="str" cm="1">
        <f t="array" ref="E43">_xlfn.XLOOKUP(Table1178213[[#This Row],[Team]],Table4334[Team],'2425'!$C$3:$C$34)</f>
        <v>n/a</v>
      </c>
      <c r="F43" s="97" t="str">
        <f>'2025'!$E$20</f>
        <v>n/a</v>
      </c>
      <c r="G43" s="94" t="e" cm="1">
        <f t="array" ref="G43">_xlfn.XLOOKUP(Table1178213[[#This Row],[Opp]],Table1[DEF],'2025'!$H$3:$H$34)</f>
        <v>#N/A</v>
      </c>
      <c r="H43" s="94" t="e" cm="1">
        <f t="array" ref="H43">_xlfn.XLOOKUP(Table1178213[[#This Row],[Opp]],Table1[DEF],'2025'!$I$3:$I$34)</f>
        <v>#N/A</v>
      </c>
      <c r="I43" s="94" t="e" cm="1">
        <f t="array" ref="I43">_xlfn.XLOOKUP(Table1178213[[#This Row],[Opp]],Table1[DEF],'2025'!$J$3:$J$34)</f>
        <v>#N/A</v>
      </c>
      <c r="J43" s="94" t="e" cm="1">
        <f t="array" ref="J43">_xlfn.XLOOKUP(Table1178213[[#This Row],[Opp]],Table1[DEF],'2025'!$K$3:$K$34)</f>
        <v>#N/A</v>
      </c>
      <c r="K43" s="94" t="e" cm="1">
        <f t="array" ref="K43">_xlfn.XLOOKUP(Table1178213[[#This Row],[Opp]],Table1[DEF],'2025'!$L$3:$L$34)</f>
        <v>#N/A</v>
      </c>
      <c r="L43" s="95" t="e">
        <f>_xlfn.XLOOKUP(Table1178213[[#This Row],[Opp]],Table1[DEF],Table1[P])</f>
        <v>#N/A</v>
      </c>
      <c r="M43" s="95" t="e">
        <f>_xlfn.XLOOKUP(Table1178213[[#This Row],[Opp]],Table1[DEF],Table1[R])</f>
        <v>#N/A</v>
      </c>
      <c r="N43" s="95" t="e">
        <f>_xlfn.XLOOKUP(Table1178213[[#This Row],[Opp]],Table1[DEF],Table1[P+R])</f>
        <v>#N/A</v>
      </c>
      <c r="O43" s="96" t="e">
        <f>_xlfn.XLOOKUP(Table1178213[[#This Row],[Opp]],Table1[DEF],Table1[P TD])</f>
        <v>#N/A</v>
      </c>
      <c r="P43" s="96" t="e">
        <f>_xlfn.XLOOKUP(Table1178213[[#This Row],[Opp]],Table1[DEF],Table1[TD])</f>
        <v>#N/A</v>
      </c>
      <c r="Q43" s="94" t="e">
        <f>AVERAGE(Table1178213[[#This Row],[*P*]:[*TD*]])</f>
        <v>#N/A</v>
      </c>
    </row>
    <row r="44" spans="2:17" hidden="1" x14ac:dyDescent="0.35">
      <c r="B44" s="6" t="s">
        <v>548</v>
      </c>
      <c r="C44" s="97" t="s">
        <v>42</v>
      </c>
      <c r="D44" s="97" t="s">
        <v>425</v>
      </c>
      <c r="E44" s="23" t="str" cm="1">
        <f t="array" ref="E44">_xlfn.XLOOKUP(Table1178213[[#This Row],[Team]],Table4334[Team],'2425'!$C$3:$C$34)</f>
        <v>n/a</v>
      </c>
      <c r="F44" s="97" t="str">
        <f>'2025'!$E$20</f>
        <v>n/a</v>
      </c>
      <c r="G44" s="94" t="e" cm="1">
        <f t="array" ref="G44">_xlfn.XLOOKUP(Table1178213[[#This Row],[Opp]],Table1[DEF],'2025'!$H$3:$H$34)</f>
        <v>#N/A</v>
      </c>
      <c r="H44" s="94" t="e" cm="1">
        <f t="array" ref="H44">_xlfn.XLOOKUP(Table1178213[[#This Row],[Opp]],Table1[DEF],'2025'!$I$3:$I$34)</f>
        <v>#N/A</v>
      </c>
      <c r="I44" s="94" t="e" cm="1">
        <f t="array" ref="I44">_xlfn.XLOOKUP(Table1178213[[#This Row],[Opp]],Table1[DEF],'2025'!$J$3:$J$34)</f>
        <v>#N/A</v>
      </c>
      <c r="J44" s="94" t="e" cm="1">
        <f t="array" ref="J44">_xlfn.XLOOKUP(Table1178213[[#This Row],[Opp]],Table1[DEF],'2025'!$K$3:$K$34)</f>
        <v>#N/A</v>
      </c>
      <c r="K44" s="94" t="e" cm="1">
        <f t="array" ref="K44">_xlfn.XLOOKUP(Table1178213[[#This Row],[Opp]],Table1[DEF],'2025'!$L$3:$L$34)</f>
        <v>#N/A</v>
      </c>
      <c r="L44" s="95" t="e">
        <f>_xlfn.XLOOKUP(Table1178213[[#This Row],[Opp]],Table1[DEF],Table1[P])</f>
        <v>#N/A</v>
      </c>
      <c r="M44" s="95" t="e">
        <f>_xlfn.XLOOKUP(Table1178213[[#This Row],[Opp]],Table1[DEF],Table1[R])</f>
        <v>#N/A</v>
      </c>
      <c r="N44" s="95" t="e">
        <f>_xlfn.XLOOKUP(Table1178213[[#This Row],[Opp]],Table1[DEF],Table1[P+R])</f>
        <v>#N/A</v>
      </c>
      <c r="O44" s="96" t="e">
        <f>_xlfn.XLOOKUP(Table1178213[[#This Row],[Opp]],Table1[DEF],Table1[P TD])</f>
        <v>#N/A</v>
      </c>
      <c r="P44" s="96" t="e">
        <f>_xlfn.XLOOKUP(Table1178213[[#This Row],[Opp]],Table1[DEF],Table1[TD])</f>
        <v>#N/A</v>
      </c>
      <c r="Q44" s="94" t="e">
        <f>AVERAGE(Table1178213[[#This Row],[*P*]:[*TD*]])</f>
        <v>#N/A</v>
      </c>
    </row>
    <row r="45" spans="2:17" hidden="1" x14ac:dyDescent="0.35">
      <c r="B45" s="6" t="s">
        <v>108</v>
      </c>
      <c r="C45" s="97" t="s">
        <v>0</v>
      </c>
      <c r="D45" s="97" t="s">
        <v>399</v>
      </c>
      <c r="E45" s="23" t="str" cm="1">
        <f t="array" ref="E45">_xlfn.XLOOKUP(Table1178213[[#This Row],[Team]],Table4334[Team],'2425'!$C$3:$C$34)</f>
        <v>n/a</v>
      </c>
      <c r="F45" s="97" t="str">
        <f>'2025'!$E$3</f>
        <v>n/a</v>
      </c>
      <c r="G45" s="94" t="e" cm="1">
        <f t="array" ref="G45">_xlfn.XLOOKUP(Table1178213[[#This Row],[Opp]],Table1[DEF],'2025'!$H$3:$H$34)</f>
        <v>#N/A</v>
      </c>
      <c r="H45" s="94" t="e" cm="1">
        <f t="array" ref="H45">_xlfn.XLOOKUP(Table1178213[[#This Row],[Opp]],Table1[DEF],'2025'!$I$3:$I$34)</f>
        <v>#N/A</v>
      </c>
      <c r="I45" s="94" t="e" cm="1">
        <f t="array" ref="I45">_xlfn.XLOOKUP(Table1178213[[#This Row],[Opp]],Table1[DEF],'2025'!$J$3:$J$34)</f>
        <v>#N/A</v>
      </c>
      <c r="J45" s="94" t="e" cm="1">
        <f t="array" ref="J45">_xlfn.XLOOKUP(Table1178213[[#This Row],[Opp]],Table1[DEF],'2025'!$K$3:$K$34)</f>
        <v>#N/A</v>
      </c>
      <c r="K45" s="94" t="e" cm="1">
        <f t="array" ref="K45">_xlfn.XLOOKUP(Table1178213[[#This Row],[Opp]],Table1[DEF],'2025'!$L$3:$L$34)</f>
        <v>#N/A</v>
      </c>
      <c r="L45" s="95" t="e">
        <f>_xlfn.XLOOKUP(Table1178213[[#This Row],[Opp]],Table1[DEF],Table1[P])</f>
        <v>#N/A</v>
      </c>
      <c r="M45" s="95" t="e">
        <f>_xlfn.XLOOKUP(Table1178213[[#This Row],[Opp]],Table1[DEF],Table1[R])</f>
        <v>#N/A</v>
      </c>
      <c r="N45" s="95" t="e">
        <f>_xlfn.XLOOKUP(Table1178213[[#This Row],[Opp]],Table1[DEF],Table1[P+R])</f>
        <v>#N/A</v>
      </c>
      <c r="O45" s="96" t="e">
        <f>_xlfn.XLOOKUP(Table1178213[[#This Row],[Opp]],Table1[DEF],Table1[P TD])</f>
        <v>#N/A</v>
      </c>
      <c r="P45" s="96" t="e">
        <f>_xlfn.XLOOKUP(Table1178213[[#This Row],[Opp]],Table1[DEF],Table1[TD])</f>
        <v>#N/A</v>
      </c>
      <c r="Q45" s="94" t="e">
        <f>AVERAGE(Table1178213[[#This Row],[*P*]:[*TD*]])</f>
        <v>#N/A</v>
      </c>
    </row>
    <row r="46" spans="2:17" hidden="1" x14ac:dyDescent="0.35">
      <c r="B46" s="6" t="s">
        <v>172</v>
      </c>
      <c r="C46" s="97" t="s">
        <v>43</v>
      </c>
      <c r="D46" s="97" t="s">
        <v>405</v>
      </c>
      <c r="E46" s="23" t="str" cm="1">
        <f t="array" ref="E46">_xlfn.XLOOKUP(Table1178213[[#This Row],[Team]],Table4334[Team],'2425'!$C$3:$C$34)</f>
        <v>n/a</v>
      </c>
      <c r="F46" s="97" t="str">
        <f>'2025'!$E$21</f>
        <v>n/a</v>
      </c>
      <c r="G46" s="94" t="e" cm="1">
        <f t="array" ref="G46">_xlfn.XLOOKUP(Table1178213[[#This Row],[Opp]],Table1[DEF],'2025'!$H$3:$H$34)</f>
        <v>#N/A</v>
      </c>
      <c r="H46" s="94" t="e" cm="1">
        <f t="array" ref="H46">_xlfn.XLOOKUP(Table1178213[[#This Row],[Opp]],Table1[DEF],'2025'!$I$3:$I$34)</f>
        <v>#N/A</v>
      </c>
      <c r="I46" s="94" t="e" cm="1">
        <f t="array" ref="I46">_xlfn.XLOOKUP(Table1178213[[#This Row],[Opp]],Table1[DEF],'2025'!$J$3:$J$34)</f>
        <v>#N/A</v>
      </c>
      <c r="J46" s="94" t="e" cm="1">
        <f t="array" ref="J46">_xlfn.XLOOKUP(Table1178213[[#This Row],[Opp]],Table1[DEF],'2025'!$K$3:$K$34)</f>
        <v>#N/A</v>
      </c>
      <c r="K46" s="94" t="e" cm="1">
        <f t="array" ref="K46">_xlfn.XLOOKUP(Table1178213[[#This Row],[Opp]],Table1[DEF],'2025'!$L$3:$L$34)</f>
        <v>#N/A</v>
      </c>
      <c r="L46" s="95" t="e">
        <f>_xlfn.XLOOKUP(Table1178213[[#This Row],[Opp]],Table1[DEF],Table1[P])</f>
        <v>#N/A</v>
      </c>
      <c r="M46" s="95" t="e">
        <f>_xlfn.XLOOKUP(Table1178213[[#This Row],[Opp]],Table1[DEF],Table1[R])</f>
        <v>#N/A</v>
      </c>
      <c r="N46" s="95" t="e">
        <f>_xlfn.XLOOKUP(Table1178213[[#This Row],[Opp]],Table1[DEF],Table1[P+R])</f>
        <v>#N/A</v>
      </c>
      <c r="O46" s="96" t="e">
        <f>_xlfn.XLOOKUP(Table1178213[[#This Row],[Opp]],Table1[DEF],Table1[P TD])</f>
        <v>#N/A</v>
      </c>
      <c r="P46" s="96" t="e">
        <f>_xlfn.XLOOKUP(Table1178213[[#This Row],[Opp]],Table1[DEF],Table1[TD])</f>
        <v>#N/A</v>
      </c>
      <c r="Q46" s="94" t="e">
        <f>AVERAGE(Table1178213[[#This Row],[*P*]:[*TD*]])</f>
        <v>#N/A</v>
      </c>
    </row>
    <row r="47" spans="2:17" hidden="1" x14ac:dyDescent="0.35">
      <c r="B47" s="6" t="s">
        <v>565</v>
      </c>
      <c r="C47" s="97" t="s">
        <v>43</v>
      </c>
      <c r="D47" s="97" t="s">
        <v>425</v>
      </c>
      <c r="E47" s="23" t="str" cm="1">
        <f t="array" ref="E47">_xlfn.XLOOKUP(Table1178213[[#This Row],[Team]],Table4334[Team],'2425'!$C$3:$C$34)</f>
        <v>n/a</v>
      </c>
      <c r="F47" s="97" t="str">
        <f>'2025'!$E$21</f>
        <v>n/a</v>
      </c>
      <c r="G47" s="94" t="e" cm="1">
        <f t="array" ref="G47">_xlfn.XLOOKUP(Table1178213[[#This Row],[Opp]],Table1[DEF],'2025'!$H$3:$H$34)</f>
        <v>#N/A</v>
      </c>
      <c r="H47" s="94" t="e" cm="1">
        <f t="array" ref="H47">_xlfn.XLOOKUP(Table1178213[[#This Row],[Opp]],Table1[DEF],'2025'!$I$3:$I$34)</f>
        <v>#N/A</v>
      </c>
      <c r="I47" s="94" t="e" cm="1">
        <f t="array" ref="I47">_xlfn.XLOOKUP(Table1178213[[#This Row],[Opp]],Table1[DEF],'2025'!$J$3:$J$34)</f>
        <v>#N/A</v>
      </c>
      <c r="J47" s="94" t="e" cm="1">
        <f t="array" ref="J47">_xlfn.XLOOKUP(Table1178213[[#This Row],[Opp]],Table1[DEF],'2025'!$K$3:$K$34)</f>
        <v>#N/A</v>
      </c>
      <c r="K47" s="94" t="e" cm="1">
        <f t="array" ref="K47">_xlfn.XLOOKUP(Table1178213[[#This Row],[Opp]],Table1[DEF],'2025'!$L$3:$L$34)</f>
        <v>#N/A</v>
      </c>
      <c r="L47" s="95" t="e">
        <f>_xlfn.XLOOKUP(Table1178213[[#This Row],[Opp]],Table1[DEF],Table1[P])</f>
        <v>#N/A</v>
      </c>
      <c r="M47" s="95" t="e">
        <f>_xlfn.XLOOKUP(Table1178213[[#This Row],[Opp]],Table1[DEF],Table1[R])</f>
        <v>#N/A</v>
      </c>
      <c r="N47" s="95" t="e">
        <f>_xlfn.XLOOKUP(Table1178213[[#This Row],[Opp]],Table1[DEF],Table1[P+R])</f>
        <v>#N/A</v>
      </c>
      <c r="O47" s="96" t="e">
        <f>_xlfn.XLOOKUP(Table1178213[[#This Row],[Opp]],Table1[DEF],Table1[P TD])</f>
        <v>#N/A</v>
      </c>
      <c r="P47" s="96" t="e">
        <f>_xlfn.XLOOKUP(Table1178213[[#This Row],[Opp]],Table1[DEF],Table1[TD])</f>
        <v>#N/A</v>
      </c>
      <c r="Q47" s="94" t="e">
        <f>AVERAGE(Table1178213[[#This Row],[*P*]:[*TD*]])</f>
        <v>#N/A</v>
      </c>
    </row>
    <row r="48" spans="2:17" hidden="1" x14ac:dyDescent="0.35">
      <c r="B48" s="6" t="s">
        <v>110</v>
      </c>
      <c r="C48" s="97" t="s">
        <v>16</v>
      </c>
      <c r="D48" s="97" t="s">
        <v>399</v>
      </c>
      <c r="E48" s="23" t="str" cm="1">
        <f t="array" ref="E48">_xlfn.XLOOKUP(Table1178213[[#This Row],[Team]],Table4334[Team],'2425'!$C$3:$C$34)</f>
        <v>n/a</v>
      </c>
      <c r="F48" s="97" t="str">
        <f>'2025'!$E$5</f>
        <v>n/a</v>
      </c>
      <c r="G48" s="94" t="e" cm="1">
        <f t="array" ref="G48">_xlfn.XLOOKUP(Table1178213[[#This Row],[Opp]],Table1[DEF],'2025'!$H$3:$H$34)</f>
        <v>#N/A</v>
      </c>
      <c r="H48" s="94" t="e" cm="1">
        <f t="array" ref="H48">_xlfn.XLOOKUP(Table1178213[[#This Row],[Opp]],Table1[DEF],'2025'!$I$3:$I$34)</f>
        <v>#N/A</v>
      </c>
      <c r="I48" s="94" t="e" cm="1">
        <f t="array" ref="I48">_xlfn.XLOOKUP(Table1178213[[#This Row],[Opp]],Table1[DEF],'2025'!$J$3:$J$34)</f>
        <v>#N/A</v>
      </c>
      <c r="J48" s="94" t="e" cm="1">
        <f t="array" ref="J48">_xlfn.XLOOKUP(Table1178213[[#This Row],[Opp]],Table1[DEF],'2025'!$K$3:$K$34)</f>
        <v>#N/A</v>
      </c>
      <c r="K48" s="94" t="e" cm="1">
        <f t="array" ref="K48">_xlfn.XLOOKUP(Table1178213[[#This Row],[Opp]],Table1[DEF],'2025'!$L$3:$L$34)</f>
        <v>#N/A</v>
      </c>
      <c r="L48" s="95" t="e">
        <f>_xlfn.XLOOKUP(Table1178213[[#This Row],[Opp]],Table1[DEF],Table1[P])</f>
        <v>#N/A</v>
      </c>
      <c r="M48" s="95" t="e">
        <f>_xlfn.XLOOKUP(Table1178213[[#This Row],[Opp]],Table1[DEF],Table1[R])</f>
        <v>#N/A</v>
      </c>
      <c r="N48" s="95" t="e">
        <f>_xlfn.XLOOKUP(Table1178213[[#This Row],[Opp]],Table1[DEF],Table1[P+R])</f>
        <v>#N/A</v>
      </c>
      <c r="O48" s="96" t="e">
        <f>_xlfn.XLOOKUP(Table1178213[[#This Row],[Opp]],Table1[DEF],Table1[P TD])</f>
        <v>#N/A</v>
      </c>
      <c r="P48" s="96" t="e">
        <f>_xlfn.XLOOKUP(Table1178213[[#This Row],[Opp]],Table1[DEF],Table1[TD])</f>
        <v>#N/A</v>
      </c>
      <c r="Q48" s="94" t="e">
        <f>AVERAGE(Table1178213[[#This Row],[*P*]:[*TD*]])</f>
        <v>#N/A</v>
      </c>
    </row>
    <row r="49" spans="2:17" hidden="1" x14ac:dyDescent="0.35">
      <c r="B49" s="6" t="s">
        <v>406</v>
      </c>
      <c r="C49" s="97" t="s">
        <v>44</v>
      </c>
      <c r="D49" s="98" t="s">
        <v>405</v>
      </c>
      <c r="E49" s="23" t="str" cm="1">
        <f t="array" ref="E49">_xlfn.XLOOKUP(Table1178213[[#This Row],[Team]],Table4334[Team],'2425'!$C$3:$C$34)</f>
        <v>n/a</v>
      </c>
      <c r="F49" s="97" t="str">
        <f>'2025'!$E$22</f>
        <v>n/a</v>
      </c>
      <c r="G49" s="94" t="e" cm="1">
        <f t="array" ref="G49">_xlfn.XLOOKUP(Table1178213[[#This Row],[Opp]],Table1[DEF],'2025'!$H$3:$H$34)</f>
        <v>#N/A</v>
      </c>
      <c r="H49" s="94" t="e" cm="1">
        <f t="array" ref="H49">_xlfn.XLOOKUP(Table1178213[[#This Row],[Opp]],Table1[DEF],'2025'!$I$3:$I$34)</f>
        <v>#N/A</v>
      </c>
      <c r="I49" s="94" t="e" cm="1">
        <f t="array" ref="I49">_xlfn.XLOOKUP(Table1178213[[#This Row],[Opp]],Table1[DEF],'2025'!$J$3:$J$34)</f>
        <v>#N/A</v>
      </c>
      <c r="J49" s="94" t="e" cm="1">
        <f t="array" ref="J49">_xlfn.XLOOKUP(Table1178213[[#This Row],[Opp]],Table1[DEF],'2025'!$K$3:$K$34)</f>
        <v>#N/A</v>
      </c>
      <c r="K49" s="94" t="e" cm="1">
        <f t="array" ref="K49">_xlfn.XLOOKUP(Table1178213[[#This Row],[Opp]],Table1[DEF],'2025'!$L$3:$L$34)</f>
        <v>#N/A</v>
      </c>
      <c r="L49" s="95" t="e">
        <f>_xlfn.XLOOKUP(Table1178213[[#This Row],[Opp]],Table1[DEF],Table1[P])</f>
        <v>#N/A</v>
      </c>
      <c r="M49" s="95" t="e">
        <f>_xlfn.XLOOKUP(Table1178213[[#This Row],[Opp]],Table1[DEF],Table1[R])</f>
        <v>#N/A</v>
      </c>
      <c r="N49" s="95" t="e">
        <f>_xlfn.XLOOKUP(Table1178213[[#This Row],[Opp]],Table1[DEF],Table1[P+R])</f>
        <v>#N/A</v>
      </c>
      <c r="O49" s="96" t="e">
        <f>_xlfn.XLOOKUP(Table1178213[[#This Row],[Opp]],Table1[DEF],Table1[P TD])</f>
        <v>#N/A</v>
      </c>
      <c r="P49" s="96" t="e">
        <f>_xlfn.XLOOKUP(Table1178213[[#This Row],[Opp]],Table1[DEF],Table1[TD])</f>
        <v>#N/A</v>
      </c>
      <c r="Q49" s="94" t="e">
        <f>AVERAGE(Table1178213[[#This Row],[*P*]:[*TD*]])</f>
        <v>#N/A</v>
      </c>
    </row>
    <row r="50" spans="2:17" hidden="1" x14ac:dyDescent="0.35">
      <c r="B50" s="6" t="s">
        <v>433</v>
      </c>
      <c r="C50" s="97" t="s">
        <v>44</v>
      </c>
      <c r="D50" s="97" t="s">
        <v>425</v>
      </c>
      <c r="E50" s="23" t="str" cm="1">
        <f t="array" ref="E50">_xlfn.XLOOKUP(Table1178213[[#This Row],[Team]],Table4334[Team],'2425'!$C$3:$C$34)</f>
        <v>n/a</v>
      </c>
      <c r="F50" s="97" t="str">
        <f>'2025'!$E$22</f>
        <v>n/a</v>
      </c>
      <c r="G50" s="94" t="e" cm="1">
        <f t="array" ref="G50">_xlfn.XLOOKUP(Table1178213[[#This Row],[Opp]],Table1[DEF],'2025'!$H$3:$H$34)</f>
        <v>#N/A</v>
      </c>
      <c r="H50" s="94" t="e" cm="1">
        <f t="array" ref="H50">_xlfn.XLOOKUP(Table1178213[[#This Row],[Opp]],Table1[DEF],'2025'!$I$3:$I$34)</f>
        <v>#N/A</v>
      </c>
      <c r="I50" s="94" t="e" cm="1">
        <f t="array" ref="I50">_xlfn.XLOOKUP(Table1178213[[#This Row],[Opp]],Table1[DEF],'2025'!$J$3:$J$34)</f>
        <v>#N/A</v>
      </c>
      <c r="J50" s="94" t="e" cm="1">
        <f t="array" ref="J50">_xlfn.XLOOKUP(Table1178213[[#This Row],[Opp]],Table1[DEF],'2025'!$K$3:$K$34)</f>
        <v>#N/A</v>
      </c>
      <c r="K50" s="94" t="e" cm="1">
        <f t="array" ref="K50">_xlfn.XLOOKUP(Table1178213[[#This Row],[Opp]],Table1[DEF],'2025'!$L$3:$L$34)</f>
        <v>#N/A</v>
      </c>
      <c r="L50" s="95" t="e">
        <f>_xlfn.XLOOKUP(Table1178213[[#This Row],[Opp]],Table1[DEF],Table1[P])</f>
        <v>#N/A</v>
      </c>
      <c r="M50" s="95" t="e">
        <f>_xlfn.XLOOKUP(Table1178213[[#This Row],[Opp]],Table1[DEF],Table1[R])</f>
        <v>#N/A</v>
      </c>
      <c r="N50" s="95" t="e">
        <f>_xlfn.XLOOKUP(Table1178213[[#This Row],[Opp]],Table1[DEF],Table1[P+R])</f>
        <v>#N/A</v>
      </c>
      <c r="O50" s="96" t="e">
        <f>_xlfn.XLOOKUP(Table1178213[[#This Row],[Opp]],Table1[DEF],Table1[P TD])</f>
        <v>#N/A</v>
      </c>
      <c r="P50" s="96" t="e">
        <f>_xlfn.XLOOKUP(Table1178213[[#This Row],[Opp]],Table1[DEF],Table1[TD])</f>
        <v>#N/A</v>
      </c>
      <c r="Q50" s="94" t="e">
        <f>AVERAGE(Table1178213[[#This Row],[*P*]:[*TD*]])</f>
        <v>#N/A</v>
      </c>
    </row>
    <row r="51" spans="2:17" x14ac:dyDescent="0.35">
      <c r="B51" s="6" t="s">
        <v>357</v>
      </c>
      <c r="C51" s="97" t="s">
        <v>53</v>
      </c>
      <c r="D51" s="97" t="s">
        <v>399</v>
      </c>
      <c r="E51" s="23" t="str" cm="1">
        <f t="array" ref="E51">_xlfn.XLOOKUP(Table1178213[[#This Row],[Team]],Table4334[Team],'2425'!$C$3:$C$34)</f>
        <v>n/a</v>
      </c>
      <c r="F51" s="97" t="str">
        <f>'2025'!$E$31</f>
        <v>n/a</v>
      </c>
      <c r="G51" s="94" t="e" cm="1">
        <f t="array" ref="G51">_xlfn.XLOOKUP(Table1178213[[#This Row],[Opp]],Table1[DEF],'2025'!$H$3:$H$34)</f>
        <v>#N/A</v>
      </c>
      <c r="H51" s="94" t="e" cm="1">
        <f t="array" ref="H51">_xlfn.XLOOKUP(Table1178213[[#This Row],[Opp]],Table1[DEF],'2025'!$I$3:$I$34)</f>
        <v>#N/A</v>
      </c>
      <c r="I51" s="94" t="e" cm="1">
        <f t="array" ref="I51">_xlfn.XLOOKUP(Table1178213[[#This Row],[Opp]],Table1[DEF],'2025'!$J$3:$J$34)</f>
        <v>#N/A</v>
      </c>
      <c r="J51" s="94" t="e" cm="1">
        <f t="array" ref="J51">_xlfn.XLOOKUP(Table1178213[[#This Row],[Opp]],Table1[DEF],'2025'!$K$3:$K$34)</f>
        <v>#N/A</v>
      </c>
      <c r="K51" s="94" t="e" cm="1">
        <f t="array" ref="K51">_xlfn.XLOOKUP(Table1178213[[#This Row],[Opp]],Table1[DEF],'2025'!$L$3:$L$34)</f>
        <v>#N/A</v>
      </c>
      <c r="L51" s="95" t="e">
        <f>_xlfn.XLOOKUP(Table1178213[[#This Row],[Opp]],Table1[DEF],Table1[P])</f>
        <v>#N/A</v>
      </c>
      <c r="M51" s="95" t="e">
        <f>_xlfn.XLOOKUP(Table1178213[[#This Row],[Opp]],Table1[DEF],Table1[R])</f>
        <v>#N/A</v>
      </c>
      <c r="N51" s="95" t="e">
        <f>_xlfn.XLOOKUP(Table1178213[[#This Row],[Opp]],Table1[DEF],Table1[P+R])</f>
        <v>#N/A</v>
      </c>
      <c r="O51" s="96" t="e">
        <f>_xlfn.XLOOKUP(Table1178213[[#This Row],[Opp]],Table1[DEF],Table1[P TD])</f>
        <v>#N/A</v>
      </c>
      <c r="P51" s="96" t="e">
        <f>_xlfn.XLOOKUP(Table1178213[[#This Row],[Opp]],Table1[DEF],Table1[TD])</f>
        <v>#N/A</v>
      </c>
      <c r="Q51" s="94" t="e">
        <f>AVERAGE(Table1178213[[#This Row],[*P*]:[*TD*]])</f>
        <v>#N/A</v>
      </c>
    </row>
    <row r="52" spans="2:17" hidden="1" x14ac:dyDescent="0.35">
      <c r="B52" s="6" t="s">
        <v>293</v>
      </c>
      <c r="C52" s="97" t="s">
        <v>45</v>
      </c>
      <c r="D52" s="97" t="s">
        <v>405</v>
      </c>
      <c r="E52" s="23" t="str" cm="1">
        <f t="array" ref="E52">_xlfn.XLOOKUP(Table1178213[[#This Row],[Team]],Table4334[Team],'2425'!$C$3:$C$34)</f>
        <v>n/a</v>
      </c>
      <c r="F52" s="97" t="str">
        <f>'2025'!$E$23</f>
        <v>n/a</v>
      </c>
      <c r="G52" s="94" t="e" cm="1">
        <f t="array" ref="G52">_xlfn.XLOOKUP(Table1178213[[#This Row],[Opp]],Table1[DEF],'2025'!$H$3:$H$34)</f>
        <v>#N/A</v>
      </c>
      <c r="H52" s="94" t="e" cm="1">
        <f t="array" ref="H52">_xlfn.XLOOKUP(Table1178213[[#This Row],[Opp]],Table1[DEF],'2025'!$I$3:$I$34)</f>
        <v>#N/A</v>
      </c>
      <c r="I52" s="94" t="e" cm="1">
        <f t="array" ref="I52">_xlfn.XLOOKUP(Table1178213[[#This Row],[Opp]],Table1[DEF],'2025'!$J$3:$J$34)</f>
        <v>#N/A</v>
      </c>
      <c r="J52" s="94" t="e" cm="1">
        <f t="array" ref="J52">_xlfn.XLOOKUP(Table1178213[[#This Row],[Opp]],Table1[DEF],'2025'!$K$3:$K$34)</f>
        <v>#N/A</v>
      </c>
      <c r="K52" s="94" t="e" cm="1">
        <f t="array" ref="K52">_xlfn.XLOOKUP(Table1178213[[#This Row],[Opp]],Table1[DEF],'2025'!$L$3:$L$34)</f>
        <v>#N/A</v>
      </c>
      <c r="L52" s="95" t="e">
        <f>_xlfn.XLOOKUP(Table1178213[[#This Row],[Opp]],Table1[DEF],Table1[P])</f>
        <v>#N/A</v>
      </c>
      <c r="M52" s="95" t="e">
        <f>_xlfn.XLOOKUP(Table1178213[[#This Row],[Opp]],Table1[DEF],Table1[R])</f>
        <v>#N/A</v>
      </c>
      <c r="N52" s="95" t="e">
        <f>_xlfn.XLOOKUP(Table1178213[[#This Row],[Opp]],Table1[DEF],Table1[P+R])</f>
        <v>#N/A</v>
      </c>
      <c r="O52" s="96" t="e">
        <f>_xlfn.XLOOKUP(Table1178213[[#This Row],[Opp]],Table1[DEF],Table1[P TD])</f>
        <v>#N/A</v>
      </c>
      <c r="P52" s="96" t="e">
        <f>_xlfn.XLOOKUP(Table1178213[[#This Row],[Opp]],Table1[DEF],Table1[TD])</f>
        <v>#N/A</v>
      </c>
      <c r="Q52" s="94" t="e">
        <f>AVERAGE(Table1178213[[#This Row],[*P*]:[*TD*]])</f>
        <v>#N/A</v>
      </c>
    </row>
    <row r="53" spans="2:17" hidden="1" x14ac:dyDescent="0.35">
      <c r="B53" s="6" t="s">
        <v>518</v>
      </c>
      <c r="C53" s="97" t="s">
        <v>45</v>
      </c>
      <c r="D53" s="97" t="s">
        <v>425</v>
      </c>
      <c r="E53" s="23" t="str" cm="1">
        <f t="array" ref="E53">_xlfn.XLOOKUP(Table1178213[[#This Row],[Team]],Table4334[Team],'2425'!$C$3:$C$34)</f>
        <v>n/a</v>
      </c>
      <c r="F53" s="97" t="str">
        <f>'2025'!$E$23</f>
        <v>n/a</v>
      </c>
      <c r="G53" s="94" t="e" cm="1">
        <f t="array" ref="G53">_xlfn.XLOOKUP(Table1178213[[#This Row],[Opp]],Table1[DEF],'2025'!$H$3:$H$34)</f>
        <v>#N/A</v>
      </c>
      <c r="H53" s="94" t="e" cm="1">
        <f t="array" ref="H53">_xlfn.XLOOKUP(Table1178213[[#This Row],[Opp]],Table1[DEF],'2025'!$I$3:$I$34)</f>
        <v>#N/A</v>
      </c>
      <c r="I53" s="94" t="e" cm="1">
        <f t="array" ref="I53">_xlfn.XLOOKUP(Table1178213[[#This Row],[Opp]],Table1[DEF],'2025'!$J$3:$J$34)</f>
        <v>#N/A</v>
      </c>
      <c r="J53" s="94" t="e" cm="1">
        <f t="array" ref="J53">_xlfn.XLOOKUP(Table1178213[[#This Row],[Opp]],Table1[DEF],'2025'!$K$3:$K$34)</f>
        <v>#N/A</v>
      </c>
      <c r="K53" s="94" t="e" cm="1">
        <f t="array" ref="K53">_xlfn.XLOOKUP(Table1178213[[#This Row],[Opp]],Table1[DEF],'2025'!$L$3:$L$34)</f>
        <v>#N/A</v>
      </c>
      <c r="L53" s="95" t="e">
        <f>_xlfn.XLOOKUP(Table1178213[[#This Row],[Opp]],Table1[DEF],Table1[P])</f>
        <v>#N/A</v>
      </c>
      <c r="M53" s="95" t="e">
        <f>_xlfn.XLOOKUP(Table1178213[[#This Row],[Opp]],Table1[DEF],Table1[R])</f>
        <v>#N/A</v>
      </c>
      <c r="N53" s="95" t="e">
        <f>_xlfn.XLOOKUP(Table1178213[[#This Row],[Opp]],Table1[DEF],Table1[P+R])</f>
        <v>#N/A</v>
      </c>
      <c r="O53" s="96" t="e">
        <f>_xlfn.XLOOKUP(Table1178213[[#This Row],[Opp]],Table1[DEF],Table1[P TD])</f>
        <v>#N/A</v>
      </c>
      <c r="P53" s="96" t="e">
        <f>_xlfn.XLOOKUP(Table1178213[[#This Row],[Opp]],Table1[DEF],Table1[TD])</f>
        <v>#N/A</v>
      </c>
      <c r="Q53" s="94" t="e">
        <f>AVERAGE(Table1178213[[#This Row],[*P*]:[*TD*]])</f>
        <v>#N/A</v>
      </c>
    </row>
    <row r="54" spans="2:17" x14ac:dyDescent="0.35">
      <c r="B54" s="6" t="s">
        <v>111</v>
      </c>
      <c r="C54" s="97" t="s">
        <v>17</v>
      </c>
      <c r="D54" s="97" t="s">
        <v>399</v>
      </c>
      <c r="E54" s="23" t="str" cm="1">
        <f t="array" ref="E54">_xlfn.XLOOKUP(Table1178213[[#This Row],[Team]],Table4334[Team],'2425'!$C$3:$C$34)</f>
        <v>n/a</v>
      </c>
      <c r="F54" s="97" t="str">
        <f>'2025'!$E$6</f>
        <v>n/a</v>
      </c>
      <c r="G54" s="94" t="e" cm="1">
        <f t="array" ref="G54">_xlfn.XLOOKUP(Table1178213[[#This Row],[Opp]],Table1[DEF],'2025'!$H$3:$H$34)</f>
        <v>#N/A</v>
      </c>
      <c r="H54" s="94" t="e" cm="1">
        <f t="array" ref="H54">_xlfn.XLOOKUP(Table1178213[[#This Row],[Opp]],Table1[DEF],'2025'!$I$3:$I$34)</f>
        <v>#N/A</v>
      </c>
      <c r="I54" s="94" t="e" cm="1">
        <f t="array" ref="I54">_xlfn.XLOOKUP(Table1178213[[#This Row],[Opp]],Table1[DEF],'2025'!$J$3:$J$34)</f>
        <v>#N/A</v>
      </c>
      <c r="J54" s="94" t="e" cm="1">
        <f t="array" ref="J54">_xlfn.XLOOKUP(Table1178213[[#This Row],[Opp]],Table1[DEF],'2025'!$K$3:$K$34)</f>
        <v>#N/A</v>
      </c>
      <c r="K54" s="94" t="e" cm="1">
        <f t="array" ref="K54">_xlfn.XLOOKUP(Table1178213[[#This Row],[Opp]],Table1[DEF],'2025'!$L$3:$L$34)</f>
        <v>#N/A</v>
      </c>
      <c r="L54" s="95" t="e">
        <f>_xlfn.XLOOKUP(Table1178213[[#This Row],[Opp]],Table1[DEF],Table1[P])</f>
        <v>#N/A</v>
      </c>
      <c r="M54" s="95" t="e">
        <f>_xlfn.XLOOKUP(Table1178213[[#This Row],[Opp]],Table1[DEF],Table1[R])</f>
        <v>#N/A</v>
      </c>
      <c r="N54" s="95" t="e">
        <f>_xlfn.XLOOKUP(Table1178213[[#This Row],[Opp]],Table1[DEF],Table1[P+R])</f>
        <v>#N/A</v>
      </c>
      <c r="O54" s="96" t="e">
        <f>_xlfn.XLOOKUP(Table1178213[[#This Row],[Opp]],Table1[DEF],Table1[P TD])</f>
        <v>#N/A</v>
      </c>
      <c r="P54" s="96" t="e">
        <f>_xlfn.XLOOKUP(Table1178213[[#This Row],[Opp]],Table1[DEF],Table1[TD])</f>
        <v>#N/A</v>
      </c>
      <c r="Q54" s="94" t="e">
        <f>AVERAGE(Table1178213[[#This Row],[*P*]:[*TD*]])</f>
        <v>#N/A</v>
      </c>
    </row>
    <row r="55" spans="2:17" hidden="1" x14ac:dyDescent="0.35">
      <c r="B55" s="6" t="s">
        <v>303</v>
      </c>
      <c r="C55" s="97" t="s">
        <v>46</v>
      </c>
      <c r="D55" s="97" t="s">
        <v>405</v>
      </c>
      <c r="E55" s="23" t="str" cm="1">
        <f t="array" ref="E55">_xlfn.XLOOKUP(Table1178213[[#This Row],[Team]],Table4334[Team],'2425'!$C$3:$C$34)</f>
        <v>SB LX</v>
      </c>
      <c r="F55" s="97" t="str">
        <f>'2025'!$E$24</f>
        <v>SEA</v>
      </c>
      <c r="G55" s="94" cm="1">
        <f t="array" ref="G55">_xlfn.XLOOKUP(Table1178213[[#This Row],[Opp]],Table1[DEF],'2025'!$H$3:$H$34)</f>
        <v>21</v>
      </c>
      <c r="H55" s="94" cm="1">
        <f t="array" ref="H55">_xlfn.XLOOKUP(Table1178213[[#This Row],[Opp]],Table1[DEF],'2025'!$I$3:$I$34)</f>
        <v>18</v>
      </c>
      <c r="I55" s="94" cm="1">
        <f t="array" ref="I55">_xlfn.XLOOKUP(Table1178213[[#This Row],[Opp]],Table1[DEF],'2025'!$J$3:$J$34)</f>
        <v>22</v>
      </c>
      <c r="J55" s="94" cm="1">
        <f t="array" ref="J55">_xlfn.XLOOKUP(Table1178213[[#This Row],[Opp]],Table1[DEF],'2025'!$K$3:$K$34)</f>
        <v>25</v>
      </c>
      <c r="K55" s="94" cm="1">
        <f t="array" ref="K55">_xlfn.XLOOKUP(Table1178213[[#This Row],[Opp]],Table1[DEF],'2025'!$L$3:$L$34)</f>
        <v>18</v>
      </c>
      <c r="L55" s="95">
        <f>_xlfn.XLOOKUP(Table1178213[[#This Row],[Opp]],Table1[DEF],Table1[P])</f>
        <v>212.88235294117646</v>
      </c>
      <c r="M55" s="95">
        <f>_xlfn.XLOOKUP(Table1178213[[#This Row],[Opp]],Table1[DEF],Table1[R])</f>
        <v>16.882352941176471</v>
      </c>
      <c r="N55" s="95">
        <f>_xlfn.XLOOKUP(Table1178213[[#This Row],[Opp]],Table1[DEF],Table1[P+R])</f>
        <v>229.76470588235293</v>
      </c>
      <c r="O55" s="96">
        <f>_xlfn.XLOOKUP(Table1178213[[#This Row],[Opp]],Table1[DEF],Table1[P TD])</f>
        <v>1.1764705882352942</v>
      </c>
      <c r="P55" s="96">
        <f>_xlfn.XLOOKUP(Table1178213[[#This Row],[Opp]],Table1[DEF],Table1[TD])</f>
        <v>0.17647058823529413</v>
      </c>
      <c r="Q55" s="94">
        <f>AVERAGE(Table1178213[[#This Row],[*P*]:[*TD*]])</f>
        <v>20.8</v>
      </c>
    </row>
    <row r="56" spans="2:17" hidden="1" x14ac:dyDescent="0.35">
      <c r="B56" s="6" t="s">
        <v>448</v>
      </c>
      <c r="C56" s="97" t="s">
        <v>46</v>
      </c>
      <c r="D56" s="97" t="s">
        <v>425</v>
      </c>
      <c r="E56" s="23" t="str" cm="1">
        <f t="array" ref="E56">_xlfn.XLOOKUP(Table1178213[[#This Row],[Team]],Table4334[Team],'2425'!$C$3:$C$34)</f>
        <v>SB LX</v>
      </c>
      <c r="F56" s="97" t="str">
        <f>'2025'!$E$24</f>
        <v>SEA</v>
      </c>
      <c r="G56" s="94" cm="1">
        <f t="array" ref="G56">_xlfn.XLOOKUP(Table1178213[[#This Row],[Opp]],Table1[DEF],'2025'!$H$3:$H$34)</f>
        <v>21</v>
      </c>
      <c r="H56" s="94" cm="1">
        <f t="array" ref="H56">_xlfn.XLOOKUP(Table1178213[[#This Row],[Opp]],Table1[DEF],'2025'!$I$3:$I$34)</f>
        <v>18</v>
      </c>
      <c r="I56" s="94" cm="1">
        <f t="array" ref="I56">_xlfn.XLOOKUP(Table1178213[[#This Row],[Opp]],Table1[DEF],'2025'!$J$3:$J$34)</f>
        <v>22</v>
      </c>
      <c r="J56" s="94" cm="1">
        <f t="array" ref="J56">_xlfn.XLOOKUP(Table1178213[[#This Row],[Opp]],Table1[DEF],'2025'!$K$3:$K$34)</f>
        <v>25</v>
      </c>
      <c r="K56" s="94" cm="1">
        <f t="array" ref="K56">_xlfn.XLOOKUP(Table1178213[[#This Row],[Opp]],Table1[DEF],'2025'!$L$3:$L$34)</f>
        <v>18</v>
      </c>
      <c r="L56" s="95">
        <f>_xlfn.XLOOKUP(Table1178213[[#This Row],[Opp]],Table1[DEF],Table1[P])</f>
        <v>212.88235294117646</v>
      </c>
      <c r="M56" s="95">
        <f>_xlfn.XLOOKUP(Table1178213[[#This Row],[Opp]],Table1[DEF],Table1[R])</f>
        <v>16.882352941176471</v>
      </c>
      <c r="N56" s="95">
        <f>_xlfn.XLOOKUP(Table1178213[[#This Row],[Opp]],Table1[DEF],Table1[P+R])</f>
        <v>229.76470588235293</v>
      </c>
      <c r="O56" s="96">
        <f>_xlfn.XLOOKUP(Table1178213[[#This Row],[Opp]],Table1[DEF],Table1[P TD])</f>
        <v>1.1764705882352942</v>
      </c>
      <c r="P56" s="96">
        <f>_xlfn.XLOOKUP(Table1178213[[#This Row],[Opp]],Table1[DEF],Table1[TD])</f>
        <v>0.17647058823529413</v>
      </c>
      <c r="Q56" s="94">
        <f>AVERAGE(Table1178213[[#This Row],[*P*]:[*TD*]])</f>
        <v>20.8</v>
      </c>
    </row>
    <row r="57" spans="2:17" hidden="1" x14ac:dyDescent="0.35">
      <c r="B57" s="6" t="s">
        <v>204</v>
      </c>
      <c r="C57" s="97" t="s">
        <v>36</v>
      </c>
      <c r="D57" s="97" t="s">
        <v>399</v>
      </c>
      <c r="E57" s="23" t="str" cm="1">
        <f t="array" ref="E57">_xlfn.XLOOKUP(Table1178213[[#This Row],[Team]],Table4334[Team],'2425'!$C$3:$C$34)</f>
        <v>n/a</v>
      </c>
      <c r="F57" s="97" t="str">
        <f>'2025'!$E$14</f>
        <v>n/a</v>
      </c>
      <c r="G57" s="94" t="e" cm="1">
        <f t="array" ref="G57">_xlfn.XLOOKUP(Table1178213[[#This Row],[Opp]],Table1[DEF],'2025'!$H$3:$H$34)</f>
        <v>#N/A</v>
      </c>
      <c r="H57" s="94" t="e" cm="1">
        <f t="array" ref="H57">_xlfn.XLOOKUP(Table1178213[[#This Row],[Opp]],Table1[DEF],'2025'!$I$3:$I$34)</f>
        <v>#N/A</v>
      </c>
      <c r="I57" s="94" t="e" cm="1">
        <f t="array" ref="I57">_xlfn.XLOOKUP(Table1178213[[#This Row],[Opp]],Table1[DEF],'2025'!$J$3:$J$34)</f>
        <v>#N/A</v>
      </c>
      <c r="J57" s="94" t="e" cm="1">
        <f t="array" ref="J57">_xlfn.XLOOKUP(Table1178213[[#This Row],[Opp]],Table1[DEF],'2025'!$K$3:$K$34)</f>
        <v>#N/A</v>
      </c>
      <c r="K57" s="94" t="e" cm="1">
        <f t="array" ref="K57">_xlfn.XLOOKUP(Table1178213[[#This Row],[Opp]],Table1[DEF],'2025'!$L$3:$L$34)</f>
        <v>#N/A</v>
      </c>
      <c r="L57" s="95" t="e">
        <f>_xlfn.XLOOKUP(Table1178213[[#This Row],[Opp]],Table1[DEF],Table1[P])</f>
        <v>#N/A</v>
      </c>
      <c r="M57" s="95" t="e">
        <f>_xlfn.XLOOKUP(Table1178213[[#This Row],[Opp]],Table1[DEF],Table1[R])</f>
        <v>#N/A</v>
      </c>
      <c r="N57" s="95" t="e">
        <f>_xlfn.XLOOKUP(Table1178213[[#This Row],[Opp]],Table1[DEF],Table1[P+R])</f>
        <v>#N/A</v>
      </c>
      <c r="O57" s="96" t="e">
        <f>_xlfn.XLOOKUP(Table1178213[[#This Row],[Opp]],Table1[DEF],Table1[P TD])</f>
        <v>#N/A</v>
      </c>
      <c r="P57" s="96" t="e">
        <f>_xlfn.XLOOKUP(Table1178213[[#This Row],[Opp]],Table1[DEF],Table1[TD])</f>
        <v>#N/A</v>
      </c>
      <c r="Q57" s="94" t="e">
        <f>AVERAGE(Table1178213[[#This Row],[*P*]:[*TD*]])</f>
        <v>#N/A</v>
      </c>
    </row>
    <row r="58" spans="2:17" hidden="1" x14ac:dyDescent="0.35">
      <c r="B58" s="6" t="s">
        <v>312</v>
      </c>
      <c r="C58" s="97" t="s">
        <v>47</v>
      </c>
      <c r="D58" s="97" t="s">
        <v>405</v>
      </c>
      <c r="E58" s="23" t="str" cm="1">
        <f t="array" ref="E58">_xlfn.XLOOKUP(Table1178213[[#This Row],[Team]],Table4334[Team],'2425'!$C$3:$C$34)</f>
        <v>n/a</v>
      </c>
      <c r="F58" s="97" t="str">
        <f>'2025'!$E$25</f>
        <v>n/a</v>
      </c>
      <c r="G58" s="94" t="e" cm="1">
        <f t="array" ref="G58">_xlfn.XLOOKUP(Table1178213[[#This Row],[Opp]],Table1[DEF],'2025'!$H$3:$H$34)</f>
        <v>#N/A</v>
      </c>
      <c r="H58" s="94" t="e" cm="1">
        <f t="array" ref="H58">_xlfn.XLOOKUP(Table1178213[[#This Row],[Opp]],Table1[DEF],'2025'!$I$3:$I$34)</f>
        <v>#N/A</v>
      </c>
      <c r="I58" s="94" t="e" cm="1">
        <f t="array" ref="I58">_xlfn.XLOOKUP(Table1178213[[#This Row],[Opp]],Table1[DEF],'2025'!$J$3:$J$34)</f>
        <v>#N/A</v>
      </c>
      <c r="J58" s="94" t="e" cm="1">
        <f t="array" ref="J58">_xlfn.XLOOKUP(Table1178213[[#This Row],[Opp]],Table1[DEF],'2025'!$K$3:$K$34)</f>
        <v>#N/A</v>
      </c>
      <c r="K58" s="94" t="e" cm="1">
        <f t="array" ref="K58">_xlfn.XLOOKUP(Table1178213[[#This Row],[Opp]],Table1[DEF],'2025'!$L$3:$L$34)</f>
        <v>#N/A</v>
      </c>
      <c r="L58" s="95" t="e">
        <f>_xlfn.XLOOKUP(Table1178213[[#This Row],[Opp]],Table1[DEF],Table1[P])</f>
        <v>#N/A</v>
      </c>
      <c r="M58" s="95" t="e">
        <f>_xlfn.XLOOKUP(Table1178213[[#This Row],[Opp]],Table1[DEF],Table1[R])</f>
        <v>#N/A</v>
      </c>
      <c r="N58" s="95" t="e">
        <f>_xlfn.XLOOKUP(Table1178213[[#This Row],[Opp]],Table1[DEF],Table1[P+R])</f>
        <v>#N/A</v>
      </c>
      <c r="O58" s="96" t="e">
        <f>_xlfn.XLOOKUP(Table1178213[[#This Row],[Opp]],Table1[DEF],Table1[P TD])</f>
        <v>#N/A</v>
      </c>
      <c r="P58" s="96" t="e">
        <f>_xlfn.XLOOKUP(Table1178213[[#This Row],[Opp]],Table1[DEF],Table1[TD])</f>
        <v>#N/A</v>
      </c>
      <c r="Q58" s="94" t="e">
        <f>AVERAGE(Table1178213[[#This Row],[*P*]:[*TD*]])</f>
        <v>#N/A</v>
      </c>
    </row>
    <row r="59" spans="2:17" hidden="1" x14ac:dyDescent="0.35">
      <c r="B59" s="6" t="s">
        <v>617</v>
      </c>
      <c r="C59" s="97" t="s">
        <v>47</v>
      </c>
      <c r="D59" s="97" t="s">
        <v>425</v>
      </c>
      <c r="E59" s="23" t="str" cm="1">
        <f t="array" ref="E59">_xlfn.XLOOKUP(Table1178213[[#This Row],[Team]],Table4334[Team],'2425'!$C$3:$C$34)</f>
        <v>n/a</v>
      </c>
      <c r="F59" s="97" t="str">
        <f>'2025'!$E$25</f>
        <v>n/a</v>
      </c>
      <c r="G59" s="94" t="e" cm="1">
        <f t="array" ref="G59">_xlfn.XLOOKUP(Table1178213[[#This Row],[Opp]],Table1[DEF],'2025'!$H$3:$H$34)</f>
        <v>#N/A</v>
      </c>
      <c r="H59" s="94" t="e" cm="1">
        <f t="array" ref="H59">_xlfn.XLOOKUP(Table1178213[[#This Row],[Opp]],Table1[DEF],'2025'!$I$3:$I$34)</f>
        <v>#N/A</v>
      </c>
      <c r="I59" s="94" t="e" cm="1">
        <f t="array" ref="I59">_xlfn.XLOOKUP(Table1178213[[#This Row],[Opp]],Table1[DEF],'2025'!$J$3:$J$34)</f>
        <v>#N/A</v>
      </c>
      <c r="J59" s="94" t="e" cm="1">
        <f t="array" ref="J59">_xlfn.XLOOKUP(Table1178213[[#This Row],[Opp]],Table1[DEF],'2025'!$K$3:$K$34)</f>
        <v>#N/A</v>
      </c>
      <c r="K59" s="94" t="e" cm="1">
        <f t="array" ref="K59">_xlfn.XLOOKUP(Table1178213[[#This Row],[Opp]],Table1[DEF],'2025'!$L$3:$L$34)</f>
        <v>#N/A</v>
      </c>
      <c r="L59" s="95" t="e">
        <f>_xlfn.XLOOKUP(Table1178213[[#This Row],[Opp]],Table1[DEF],Table1[P])</f>
        <v>#N/A</v>
      </c>
      <c r="M59" s="95" t="e">
        <f>_xlfn.XLOOKUP(Table1178213[[#This Row],[Opp]],Table1[DEF],Table1[R])</f>
        <v>#N/A</v>
      </c>
      <c r="N59" s="95" t="e">
        <f>_xlfn.XLOOKUP(Table1178213[[#This Row],[Opp]],Table1[DEF],Table1[P+R])</f>
        <v>#N/A</v>
      </c>
      <c r="O59" s="96" t="e">
        <f>_xlfn.XLOOKUP(Table1178213[[#This Row],[Opp]],Table1[DEF],Table1[P TD])</f>
        <v>#N/A</v>
      </c>
      <c r="P59" s="96" t="e">
        <f>_xlfn.XLOOKUP(Table1178213[[#This Row],[Opp]],Table1[DEF],Table1[TD])</f>
        <v>#N/A</v>
      </c>
      <c r="Q59" s="94" t="e">
        <f>AVERAGE(Table1178213[[#This Row],[*P*]:[*TD*]])</f>
        <v>#N/A</v>
      </c>
    </row>
    <row r="60" spans="2:17" x14ac:dyDescent="0.35">
      <c r="B60" s="6" t="s">
        <v>350</v>
      </c>
      <c r="C60" s="97" t="s">
        <v>52</v>
      </c>
      <c r="D60" s="97" t="s">
        <v>399</v>
      </c>
      <c r="E60" s="23" t="str" cm="1">
        <f t="array" ref="E60">_xlfn.XLOOKUP(Table1178213[[#This Row],[Team]],Table4334[Team],'2425'!$C$3:$C$34)</f>
        <v>SB LX</v>
      </c>
      <c r="F60" s="97" t="str">
        <f>'2025'!$E$30</f>
        <v>NE</v>
      </c>
      <c r="G60" s="94" cm="1">
        <f t="array" ref="G60">_xlfn.XLOOKUP(Table1178213[[#This Row],[Opp]],Table1[DEF],'2025'!$H$3:$H$34)</f>
        <v>24</v>
      </c>
      <c r="H60" s="94" cm="1">
        <f t="array" ref="H60">_xlfn.XLOOKUP(Table1178213[[#This Row],[Opp]],Table1[DEF],'2025'!$I$3:$I$34)</f>
        <v>22</v>
      </c>
      <c r="I60" s="94" cm="1">
        <f t="array" ref="I60">_xlfn.XLOOKUP(Table1178213[[#This Row],[Opp]],Table1[DEF],'2025'!$J$3:$J$34)</f>
        <v>26</v>
      </c>
      <c r="J60" s="94" cm="1">
        <f t="array" ref="J60">_xlfn.XLOOKUP(Table1178213[[#This Row],[Opp]],Table1[DEF],'2025'!$K$3:$K$34)</f>
        <v>17</v>
      </c>
      <c r="K60" s="94" cm="1">
        <f t="array" ref="K60">_xlfn.XLOOKUP(Table1178213[[#This Row],[Opp]],Table1[DEF],'2025'!$L$3:$L$34)</f>
        <v>28.5</v>
      </c>
      <c r="L60" s="95">
        <f>_xlfn.XLOOKUP(Table1178213[[#This Row],[Opp]],Table1[DEF],Table1[P])</f>
        <v>206.58823529411765</v>
      </c>
      <c r="M60" s="95">
        <f>_xlfn.XLOOKUP(Table1178213[[#This Row],[Opp]],Table1[DEF],Table1[R])</f>
        <v>16.294117647058822</v>
      </c>
      <c r="N60" s="95">
        <f>_xlfn.XLOOKUP(Table1178213[[#This Row],[Opp]],Table1[DEF],Table1[P+R])</f>
        <v>222.88235294117646</v>
      </c>
      <c r="O60" s="96">
        <f>_xlfn.XLOOKUP(Table1178213[[#This Row],[Opp]],Table1[DEF],Table1[P TD])</f>
        <v>1.4705882352941178</v>
      </c>
      <c r="P60" s="96">
        <f>_xlfn.XLOOKUP(Table1178213[[#This Row],[Opp]],Table1[DEF],Table1[TD])</f>
        <v>5.8823529411764705E-2</v>
      </c>
      <c r="Q60" s="94">
        <f>AVERAGE(Table1178213[[#This Row],[*P*]:[*TD*]])</f>
        <v>23.5</v>
      </c>
    </row>
    <row r="61" spans="2:17" hidden="1" x14ac:dyDescent="0.35">
      <c r="B61" s="6" t="s">
        <v>321</v>
      </c>
      <c r="C61" s="97" t="s">
        <v>48</v>
      </c>
      <c r="D61" s="97" t="s">
        <v>405</v>
      </c>
      <c r="E61" s="23" t="str" cm="1">
        <f t="array" ref="E61">_xlfn.XLOOKUP(Table1178213[[#This Row],[Team]],Table4334[Team],'2425'!$C$3:$C$34)</f>
        <v>n/a</v>
      </c>
      <c r="F61" s="97" t="str">
        <f>'2025'!$E$26</f>
        <v>n/a</v>
      </c>
      <c r="G61" s="94" t="e" cm="1">
        <f t="array" ref="G61">_xlfn.XLOOKUP(Table1178213[[#This Row],[Opp]],Table1[DEF],'2025'!$H$3:$H$34)</f>
        <v>#N/A</v>
      </c>
      <c r="H61" s="94" t="e" cm="1">
        <f t="array" ref="H61">_xlfn.XLOOKUP(Table1178213[[#This Row],[Opp]],Table1[DEF],'2025'!$I$3:$I$34)</f>
        <v>#N/A</v>
      </c>
      <c r="I61" s="94" t="e" cm="1">
        <f t="array" ref="I61">_xlfn.XLOOKUP(Table1178213[[#This Row],[Opp]],Table1[DEF],'2025'!$J$3:$J$34)</f>
        <v>#N/A</v>
      </c>
      <c r="J61" s="94" t="e" cm="1">
        <f t="array" ref="J61">_xlfn.XLOOKUP(Table1178213[[#This Row],[Opp]],Table1[DEF],'2025'!$K$3:$K$34)</f>
        <v>#N/A</v>
      </c>
      <c r="K61" s="94" t="e" cm="1">
        <f t="array" ref="K61">_xlfn.XLOOKUP(Table1178213[[#This Row],[Opp]],Table1[DEF],'2025'!$L$3:$L$34)</f>
        <v>#N/A</v>
      </c>
      <c r="L61" s="95" t="e">
        <f>_xlfn.XLOOKUP(Table1178213[[#This Row],[Opp]],Table1[DEF],Table1[P])</f>
        <v>#N/A</v>
      </c>
      <c r="M61" s="95" t="e">
        <f>_xlfn.XLOOKUP(Table1178213[[#This Row],[Opp]],Table1[DEF],Table1[R])</f>
        <v>#N/A</v>
      </c>
      <c r="N61" s="95" t="e">
        <f>_xlfn.XLOOKUP(Table1178213[[#This Row],[Opp]],Table1[DEF],Table1[P+R])</f>
        <v>#N/A</v>
      </c>
      <c r="O61" s="96" t="e">
        <f>_xlfn.XLOOKUP(Table1178213[[#This Row],[Opp]],Table1[DEF],Table1[P TD])</f>
        <v>#N/A</v>
      </c>
      <c r="P61" s="96" t="e">
        <f>_xlfn.XLOOKUP(Table1178213[[#This Row],[Opp]],Table1[DEF],Table1[TD])</f>
        <v>#N/A</v>
      </c>
      <c r="Q61" s="94" t="e">
        <f>AVERAGE(Table1178213[[#This Row],[*P*]:[*TD*]])</f>
        <v>#N/A</v>
      </c>
    </row>
    <row r="62" spans="2:17" hidden="1" x14ac:dyDescent="0.35">
      <c r="B62" s="6" t="s">
        <v>322</v>
      </c>
      <c r="C62" s="97" t="s">
        <v>48</v>
      </c>
      <c r="D62" s="97" t="s">
        <v>425</v>
      </c>
      <c r="E62" s="23" t="str" cm="1">
        <f t="array" ref="E62">_xlfn.XLOOKUP(Table1178213[[#This Row],[Team]],Table4334[Team],'2425'!$C$3:$C$34)</f>
        <v>n/a</v>
      </c>
      <c r="F62" s="97" t="str">
        <f>'2025'!$E$26</f>
        <v>n/a</v>
      </c>
      <c r="G62" s="94" t="e" cm="1">
        <f t="array" ref="G62">_xlfn.XLOOKUP(Table1178213[[#This Row],[Opp]],Table1[DEF],'2025'!$H$3:$H$34)</f>
        <v>#N/A</v>
      </c>
      <c r="H62" s="94" t="e" cm="1">
        <f t="array" ref="H62">_xlfn.XLOOKUP(Table1178213[[#This Row],[Opp]],Table1[DEF],'2025'!$I$3:$I$34)</f>
        <v>#N/A</v>
      </c>
      <c r="I62" s="94" t="e" cm="1">
        <f t="array" ref="I62">_xlfn.XLOOKUP(Table1178213[[#This Row],[Opp]],Table1[DEF],'2025'!$J$3:$J$34)</f>
        <v>#N/A</v>
      </c>
      <c r="J62" s="94" t="e" cm="1">
        <f t="array" ref="J62">_xlfn.XLOOKUP(Table1178213[[#This Row],[Opp]],Table1[DEF],'2025'!$K$3:$K$34)</f>
        <v>#N/A</v>
      </c>
      <c r="K62" s="94" t="e" cm="1">
        <f t="array" ref="K62">_xlfn.XLOOKUP(Table1178213[[#This Row],[Opp]],Table1[DEF],'2025'!$L$3:$L$34)</f>
        <v>#N/A</v>
      </c>
      <c r="L62" s="95" t="e">
        <f>_xlfn.XLOOKUP(Table1178213[[#This Row],[Opp]],Table1[DEF],Table1[P])</f>
        <v>#N/A</v>
      </c>
      <c r="M62" s="95" t="e">
        <f>_xlfn.XLOOKUP(Table1178213[[#This Row],[Opp]],Table1[DEF],Table1[R])</f>
        <v>#N/A</v>
      </c>
      <c r="N62" s="95" t="e">
        <f>_xlfn.XLOOKUP(Table1178213[[#This Row],[Opp]],Table1[DEF],Table1[P+R])</f>
        <v>#N/A</v>
      </c>
      <c r="O62" s="96" t="e">
        <f>_xlfn.XLOOKUP(Table1178213[[#This Row],[Opp]],Table1[DEF],Table1[P TD])</f>
        <v>#N/A</v>
      </c>
      <c r="P62" s="96" t="e">
        <f>_xlfn.XLOOKUP(Table1178213[[#This Row],[Opp]],Table1[DEF],Table1[TD])</f>
        <v>#N/A</v>
      </c>
      <c r="Q62" s="94" t="e">
        <f>AVERAGE(Table1178213[[#This Row],[*P*]:[*TD*]])</f>
        <v>#N/A</v>
      </c>
    </row>
    <row r="63" spans="2:17" hidden="1" x14ac:dyDescent="0.35">
      <c r="B63" s="6" t="s">
        <v>234</v>
      </c>
      <c r="C63" s="97" t="s">
        <v>39</v>
      </c>
      <c r="D63" s="97" t="s">
        <v>399</v>
      </c>
      <c r="E63" s="23" t="str" cm="1">
        <f t="array" ref="E63">_xlfn.XLOOKUP(Table1178213[[#This Row],[Team]],Table4334[Team],'2425'!$C$3:$C$34)</f>
        <v>n/a</v>
      </c>
      <c r="F63" s="97" t="str">
        <f>'2025'!$E$17</f>
        <v>n/a</v>
      </c>
      <c r="G63" s="94" t="e" cm="1">
        <f t="array" ref="G63">_xlfn.XLOOKUP(Table1178213[[#This Row],[Opp]],Table1[DEF],'2025'!$H$3:$H$34)</f>
        <v>#N/A</v>
      </c>
      <c r="H63" s="94" t="e" cm="1">
        <f t="array" ref="H63">_xlfn.XLOOKUP(Table1178213[[#This Row],[Opp]],Table1[DEF],'2025'!$I$3:$I$34)</f>
        <v>#N/A</v>
      </c>
      <c r="I63" s="94" t="e" cm="1">
        <f t="array" ref="I63">_xlfn.XLOOKUP(Table1178213[[#This Row],[Opp]],Table1[DEF],'2025'!$J$3:$J$34)</f>
        <v>#N/A</v>
      </c>
      <c r="J63" s="94" t="e" cm="1">
        <f t="array" ref="J63">_xlfn.XLOOKUP(Table1178213[[#This Row],[Opp]],Table1[DEF],'2025'!$K$3:$K$34)</f>
        <v>#N/A</v>
      </c>
      <c r="K63" s="94" t="e" cm="1">
        <f t="array" ref="K63">_xlfn.XLOOKUP(Table1178213[[#This Row],[Opp]],Table1[DEF],'2025'!$L$3:$L$34)</f>
        <v>#N/A</v>
      </c>
      <c r="L63" s="95" t="e">
        <f>_xlfn.XLOOKUP(Table1178213[[#This Row],[Opp]],Table1[DEF],Table1[P])</f>
        <v>#N/A</v>
      </c>
      <c r="M63" s="95" t="e">
        <f>_xlfn.XLOOKUP(Table1178213[[#This Row],[Opp]],Table1[DEF],Table1[R])</f>
        <v>#N/A</v>
      </c>
      <c r="N63" s="95" t="e">
        <f>_xlfn.XLOOKUP(Table1178213[[#This Row],[Opp]],Table1[DEF],Table1[P+R])</f>
        <v>#N/A</v>
      </c>
      <c r="O63" s="96" t="e">
        <f>_xlfn.XLOOKUP(Table1178213[[#This Row],[Opp]],Table1[DEF],Table1[P TD])</f>
        <v>#N/A</v>
      </c>
      <c r="P63" s="96" t="e">
        <f>_xlfn.XLOOKUP(Table1178213[[#This Row],[Opp]],Table1[DEF],Table1[TD])</f>
        <v>#N/A</v>
      </c>
      <c r="Q63" s="94" t="e">
        <f>AVERAGE(Table1178213[[#This Row],[*P*]:[*TD*]])</f>
        <v>#N/A</v>
      </c>
    </row>
    <row r="64" spans="2:17" hidden="1" x14ac:dyDescent="0.35">
      <c r="B64" s="6" t="s">
        <v>414</v>
      </c>
      <c r="C64" s="97" t="s">
        <v>49</v>
      </c>
      <c r="D64" s="97" t="s">
        <v>405</v>
      </c>
      <c r="E64" s="23" t="str" cm="1">
        <f t="array" ref="E64">_xlfn.XLOOKUP(Table1178213[[#This Row],[Team]],Table4334[Team],'2425'!$C$3:$C$34)</f>
        <v>n/a</v>
      </c>
      <c r="F64" s="97" t="str">
        <f>'2025'!$E$27</f>
        <v>n/a</v>
      </c>
      <c r="G64" s="94" t="e" cm="1">
        <f t="array" ref="G64">_xlfn.XLOOKUP(Table1178213[[#This Row],[Opp]],Table1[DEF],'2025'!$H$3:$H$34)</f>
        <v>#N/A</v>
      </c>
      <c r="H64" s="94" t="e" cm="1">
        <f t="array" ref="H64">_xlfn.XLOOKUP(Table1178213[[#This Row],[Opp]],Table1[DEF],'2025'!$I$3:$I$34)</f>
        <v>#N/A</v>
      </c>
      <c r="I64" s="94" t="e" cm="1">
        <f t="array" ref="I64">_xlfn.XLOOKUP(Table1178213[[#This Row],[Opp]],Table1[DEF],'2025'!$J$3:$J$34)</f>
        <v>#N/A</v>
      </c>
      <c r="J64" s="94" t="e" cm="1">
        <f t="array" ref="J64">_xlfn.XLOOKUP(Table1178213[[#This Row],[Opp]],Table1[DEF],'2025'!$K$3:$K$34)</f>
        <v>#N/A</v>
      </c>
      <c r="K64" s="94" t="e" cm="1">
        <f t="array" ref="K64">_xlfn.XLOOKUP(Table1178213[[#This Row],[Opp]],Table1[DEF],'2025'!$L$3:$L$34)</f>
        <v>#N/A</v>
      </c>
      <c r="L64" s="95" t="e">
        <f>_xlfn.XLOOKUP(Table1178213[[#This Row],[Opp]],Table1[DEF],Table1[P])</f>
        <v>#N/A</v>
      </c>
      <c r="M64" s="95" t="e">
        <f>_xlfn.XLOOKUP(Table1178213[[#This Row],[Opp]],Table1[DEF],Table1[R])</f>
        <v>#N/A</v>
      </c>
      <c r="N64" s="95" t="e">
        <f>_xlfn.XLOOKUP(Table1178213[[#This Row],[Opp]],Table1[DEF],Table1[P+R])</f>
        <v>#N/A</v>
      </c>
      <c r="O64" s="96" t="e">
        <f>_xlfn.XLOOKUP(Table1178213[[#This Row],[Opp]],Table1[DEF],Table1[P TD])</f>
        <v>#N/A</v>
      </c>
      <c r="P64" s="96" t="e">
        <f>_xlfn.XLOOKUP(Table1178213[[#This Row],[Opp]],Table1[DEF],Table1[TD])</f>
        <v>#N/A</v>
      </c>
      <c r="Q64" s="94" t="e">
        <f>AVERAGE(Table1178213[[#This Row],[*P*]:[*TD*]])</f>
        <v>#N/A</v>
      </c>
    </row>
    <row r="65" spans="2:17" x14ac:dyDescent="0.35">
      <c r="B65" s="6" t="s">
        <v>215</v>
      </c>
      <c r="C65" s="97" t="s">
        <v>37</v>
      </c>
      <c r="D65" s="97" t="s">
        <v>399</v>
      </c>
      <c r="E65" s="23" t="str" cm="1">
        <f t="array" ref="E65">_xlfn.XLOOKUP(Table1178213[[#This Row],[Team]],Table4334[Team],'2425'!$C$3:$C$34)</f>
        <v>n/a</v>
      </c>
      <c r="F65" s="97" t="str">
        <f>'2025'!$E$15</f>
        <v>n/a</v>
      </c>
      <c r="G65" s="94" t="e" cm="1">
        <f t="array" ref="G65">_xlfn.XLOOKUP(Table1178213[[#This Row],[Opp]],Table1[DEF],'2025'!$H$3:$H$34)</f>
        <v>#N/A</v>
      </c>
      <c r="H65" s="94" t="e" cm="1">
        <f t="array" ref="H65">_xlfn.XLOOKUP(Table1178213[[#This Row],[Opp]],Table1[DEF],'2025'!$I$3:$I$34)</f>
        <v>#N/A</v>
      </c>
      <c r="I65" s="94" t="e" cm="1">
        <f t="array" ref="I65">_xlfn.XLOOKUP(Table1178213[[#This Row],[Opp]],Table1[DEF],'2025'!$J$3:$J$34)</f>
        <v>#N/A</v>
      </c>
      <c r="J65" s="94" t="e" cm="1">
        <f t="array" ref="J65">_xlfn.XLOOKUP(Table1178213[[#This Row],[Opp]],Table1[DEF],'2025'!$K$3:$K$34)</f>
        <v>#N/A</v>
      </c>
      <c r="K65" s="94" t="e" cm="1">
        <f t="array" ref="K65">_xlfn.XLOOKUP(Table1178213[[#This Row],[Opp]],Table1[DEF],'2025'!$L$3:$L$34)</f>
        <v>#N/A</v>
      </c>
      <c r="L65" s="95" t="e">
        <f>_xlfn.XLOOKUP(Table1178213[[#This Row],[Opp]],Table1[DEF],Table1[P])</f>
        <v>#N/A</v>
      </c>
      <c r="M65" s="95" t="e">
        <f>_xlfn.XLOOKUP(Table1178213[[#This Row],[Opp]],Table1[DEF],Table1[R])</f>
        <v>#N/A</v>
      </c>
      <c r="N65" s="95" t="e">
        <f>_xlfn.XLOOKUP(Table1178213[[#This Row],[Opp]],Table1[DEF],Table1[P+R])</f>
        <v>#N/A</v>
      </c>
      <c r="O65" s="96" t="e">
        <f>_xlfn.XLOOKUP(Table1178213[[#This Row],[Opp]],Table1[DEF],Table1[P TD])</f>
        <v>#N/A</v>
      </c>
      <c r="P65" s="96" t="e">
        <f>_xlfn.XLOOKUP(Table1178213[[#This Row],[Opp]],Table1[DEF],Table1[TD])</f>
        <v>#N/A</v>
      </c>
      <c r="Q65" s="94" t="e">
        <f>AVERAGE(Table1178213[[#This Row],[*P*]:[*TD*]])</f>
        <v>#N/A</v>
      </c>
    </row>
    <row r="66" spans="2:17" hidden="1" x14ac:dyDescent="0.35">
      <c r="B66" s="6" t="s">
        <v>451</v>
      </c>
      <c r="C66" s="97" t="s">
        <v>50</v>
      </c>
      <c r="D66" s="97" t="s">
        <v>405</v>
      </c>
      <c r="E66" s="23" t="str" cm="1">
        <f t="array" ref="E66">_xlfn.XLOOKUP(Table1178213[[#This Row],[Team]],Table4334[Team],'2425'!$C$3:$C$34)</f>
        <v>n/a</v>
      </c>
      <c r="F66" s="97" t="str">
        <f>'2025'!$E$28</f>
        <v>n/a</v>
      </c>
      <c r="G66" s="94" t="e" cm="1">
        <f t="array" ref="G66">_xlfn.XLOOKUP(Table1178213[[#This Row],[Opp]],Table1[DEF],'2025'!$H$3:$H$34)</f>
        <v>#N/A</v>
      </c>
      <c r="H66" s="94" t="e" cm="1">
        <f t="array" ref="H66">_xlfn.XLOOKUP(Table1178213[[#This Row],[Opp]],Table1[DEF],'2025'!$I$3:$I$34)</f>
        <v>#N/A</v>
      </c>
      <c r="I66" s="94" t="e" cm="1">
        <f t="array" ref="I66">_xlfn.XLOOKUP(Table1178213[[#This Row],[Opp]],Table1[DEF],'2025'!$J$3:$J$34)</f>
        <v>#N/A</v>
      </c>
      <c r="J66" s="94" t="e" cm="1">
        <f t="array" ref="J66">_xlfn.XLOOKUP(Table1178213[[#This Row],[Opp]],Table1[DEF],'2025'!$K$3:$K$34)</f>
        <v>#N/A</v>
      </c>
      <c r="K66" s="94" t="e" cm="1">
        <f t="array" ref="K66">_xlfn.XLOOKUP(Table1178213[[#This Row],[Opp]],Table1[DEF],'2025'!$L$3:$L$34)</f>
        <v>#N/A</v>
      </c>
      <c r="L66" s="95" t="e">
        <f>_xlfn.XLOOKUP(Table1178213[[#This Row],[Opp]],Table1[DEF],Table1[P])</f>
        <v>#N/A</v>
      </c>
      <c r="M66" s="95" t="e">
        <f>_xlfn.XLOOKUP(Table1178213[[#This Row],[Opp]],Table1[DEF],Table1[R])</f>
        <v>#N/A</v>
      </c>
      <c r="N66" s="95" t="e">
        <f>_xlfn.XLOOKUP(Table1178213[[#This Row],[Opp]],Table1[DEF],Table1[P+R])</f>
        <v>#N/A</v>
      </c>
      <c r="O66" s="96" t="e">
        <f>_xlfn.XLOOKUP(Table1178213[[#This Row],[Opp]],Table1[DEF],Table1[P TD])</f>
        <v>#N/A</v>
      </c>
      <c r="P66" s="96" t="e">
        <f>_xlfn.XLOOKUP(Table1178213[[#This Row],[Opp]],Table1[DEF],Table1[TD])</f>
        <v>#N/A</v>
      </c>
      <c r="Q66" s="94" t="e">
        <f>AVERAGE(Table1178213[[#This Row],[*P*]:[*TD*]])</f>
        <v>#N/A</v>
      </c>
    </row>
    <row r="67" spans="2:17" hidden="1" x14ac:dyDescent="0.35">
      <c r="B67" s="6" t="s">
        <v>452</v>
      </c>
      <c r="C67" s="97" t="s">
        <v>50</v>
      </c>
      <c r="D67" s="97" t="s">
        <v>425</v>
      </c>
      <c r="E67" s="23" t="str" cm="1">
        <f t="array" ref="E67">_xlfn.XLOOKUP(Table1178213[[#This Row],[Team]],Table4334[Team],'2425'!$C$3:$C$34)</f>
        <v>n/a</v>
      </c>
      <c r="F67" s="97" t="str">
        <f>'2025'!$E$28</f>
        <v>n/a</v>
      </c>
      <c r="G67" s="94" t="e" cm="1">
        <f t="array" ref="G67">_xlfn.XLOOKUP(Table1178213[[#This Row],[Opp]],Table1[DEF],'2025'!$H$3:$H$34)</f>
        <v>#N/A</v>
      </c>
      <c r="H67" s="94" t="e" cm="1">
        <f t="array" ref="H67">_xlfn.XLOOKUP(Table1178213[[#This Row],[Opp]],Table1[DEF],'2025'!$I$3:$I$34)</f>
        <v>#N/A</v>
      </c>
      <c r="I67" s="94" t="e" cm="1">
        <f t="array" ref="I67">_xlfn.XLOOKUP(Table1178213[[#This Row],[Opp]],Table1[DEF],'2025'!$J$3:$J$34)</f>
        <v>#N/A</v>
      </c>
      <c r="J67" s="94" t="e" cm="1">
        <f t="array" ref="J67">_xlfn.XLOOKUP(Table1178213[[#This Row],[Opp]],Table1[DEF],'2025'!$K$3:$K$34)</f>
        <v>#N/A</v>
      </c>
      <c r="K67" s="94" t="e" cm="1">
        <f t="array" ref="K67">_xlfn.XLOOKUP(Table1178213[[#This Row],[Opp]],Table1[DEF],'2025'!$L$3:$L$34)</f>
        <v>#N/A</v>
      </c>
      <c r="L67" s="95" t="e">
        <f>_xlfn.XLOOKUP(Table1178213[[#This Row],[Opp]],Table1[DEF],Table1[P])</f>
        <v>#N/A</v>
      </c>
      <c r="M67" s="95" t="e">
        <f>_xlfn.XLOOKUP(Table1178213[[#This Row],[Opp]],Table1[DEF],Table1[R])</f>
        <v>#N/A</v>
      </c>
      <c r="N67" s="95" t="e">
        <f>_xlfn.XLOOKUP(Table1178213[[#This Row],[Opp]],Table1[DEF],Table1[P+R])</f>
        <v>#N/A</v>
      </c>
      <c r="O67" s="96" t="e">
        <f>_xlfn.XLOOKUP(Table1178213[[#This Row],[Opp]],Table1[DEF],Table1[P TD])</f>
        <v>#N/A</v>
      </c>
      <c r="P67" s="96" t="e">
        <f>_xlfn.XLOOKUP(Table1178213[[#This Row],[Opp]],Table1[DEF],Table1[TD])</f>
        <v>#N/A</v>
      </c>
      <c r="Q67" s="94" t="e">
        <f>AVERAGE(Table1178213[[#This Row],[*P*]:[*TD*]])</f>
        <v>#N/A</v>
      </c>
    </row>
    <row r="68" spans="2:17" x14ac:dyDescent="0.35">
      <c r="B68" s="6" t="s">
        <v>302</v>
      </c>
      <c r="C68" s="97" t="s">
        <v>46</v>
      </c>
      <c r="D68" s="97" t="s">
        <v>399</v>
      </c>
      <c r="E68" s="23" t="str" cm="1">
        <f t="array" ref="E68">_xlfn.XLOOKUP(Table1178213[[#This Row],[Team]],Table4334[Team],'2425'!$C$3:$C$34)</f>
        <v>SB LX</v>
      </c>
      <c r="F68" s="97" t="str">
        <f>'2025'!$E$24</f>
        <v>SEA</v>
      </c>
      <c r="G68" s="94" cm="1">
        <f t="array" ref="G68">_xlfn.XLOOKUP(Table1178213[[#This Row],[Opp]],Table1[DEF],'2025'!$H$3:$H$34)</f>
        <v>21</v>
      </c>
      <c r="H68" s="94" cm="1">
        <f t="array" ref="H68">_xlfn.XLOOKUP(Table1178213[[#This Row],[Opp]],Table1[DEF],'2025'!$I$3:$I$34)</f>
        <v>18</v>
      </c>
      <c r="I68" s="94" cm="1">
        <f t="array" ref="I68">_xlfn.XLOOKUP(Table1178213[[#This Row],[Opp]],Table1[DEF],'2025'!$J$3:$J$34)</f>
        <v>22</v>
      </c>
      <c r="J68" s="94" cm="1">
        <f t="array" ref="J68">_xlfn.XLOOKUP(Table1178213[[#This Row],[Opp]],Table1[DEF],'2025'!$K$3:$K$34)</f>
        <v>25</v>
      </c>
      <c r="K68" s="94" cm="1">
        <f t="array" ref="K68">_xlfn.XLOOKUP(Table1178213[[#This Row],[Opp]],Table1[DEF],'2025'!$L$3:$L$34)</f>
        <v>18</v>
      </c>
      <c r="L68" s="95">
        <f>_xlfn.XLOOKUP(Table1178213[[#This Row],[Opp]],Table1[DEF],Table1[P])</f>
        <v>212.88235294117646</v>
      </c>
      <c r="M68" s="95">
        <f>_xlfn.XLOOKUP(Table1178213[[#This Row],[Opp]],Table1[DEF],Table1[R])</f>
        <v>16.882352941176471</v>
      </c>
      <c r="N68" s="95">
        <f>_xlfn.XLOOKUP(Table1178213[[#This Row],[Opp]],Table1[DEF],Table1[P+R])</f>
        <v>229.76470588235293</v>
      </c>
      <c r="O68" s="96">
        <f>_xlfn.XLOOKUP(Table1178213[[#This Row],[Opp]],Table1[DEF],Table1[P TD])</f>
        <v>1.1764705882352942</v>
      </c>
      <c r="P68" s="96">
        <f>_xlfn.XLOOKUP(Table1178213[[#This Row],[Opp]],Table1[DEF],Table1[TD])</f>
        <v>0.17647058823529413</v>
      </c>
      <c r="Q68" s="94">
        <f>AVERAGE(Table1178213[[#This Row],[*P*]:[*TD*]])</f>
        <v>20.8</v>
      </c>
    </row>
    <row r="69" spans="2:17" hidden="1" x14ac:dyDescent="0.35">
      <c r="B69" s="6" t="s">
        <v>489</v>
      </c>
      <c r="C69" s="97" t="s">
        <v>51</v>
      </c>
      <c r="D69" s="98" t="s">
        <v>405</v>
      </c>
      <c r="E69" s="23" t="str" cm="1">
        <f t="array" ref="E69">_xlfn.XLOOKUP(Table1178213[[#This Row],[Team]],Table4334[Team],'2425'!$C$3:$C$34)</f>
        <v>n/a</v>
      </c>
      <c r="F69" s="97" t="str">
        <f>'2025'!$E$29</f>
        <v>n/a</v>
      </c>
      <c r="G69" s="94" t="e" cm="1">
        <f t="array" ref="G69">_xlfn.XLOOKUP(Table1178213[[#This Row],[Opp]],Table1[DEF],'2025'!$H$3:$H$34)</f>
        <v>#N/A</v>
      </c>
      <c r="H69" s="94" t="e" cm="1">
        <f t="array" ref="H69">_xlfn.XLOOKUP(Table1178213[[#This Row],[Opp]],Table1[DEF],'2025'!$I$3:$I$34)</f>
        <v>#N/A</v>
      </c>
      <c r="I69" s="94" t="e" cm="1">
        <f t="array" ref="I69">_xlfn.XLOOKUP(Table1178213[[#This Row],[Opp]],Table1[DEF],'2025'!$J$3:$J$34)</f>
        <v>#N/A</v>
      </c>
      <c r="J69" s="94" t="e" cm="1">
        <f t="array" ref="J69">_xlfn.XLOOKUP(Table1178213[[#This Row],[Opp]],Table1[DEF],'2025'!$K$3:$K$34)</f>
        <v>#N/A</v>
      </c>
      <c r="K69" s="94" t="e" cm="1">
        <f t="array" ref="K69">_xlfn.XLOOKUP(Table1178213[[#This Row],[Opp]],Table1[DEF],'2025'!$L$3:$L$34)</f>
        <v>#N/A</v>
      </c>
      <c r="L69" s="95" t="e">
        <f>_xlfn.XLOOKUP(Table1178213[[#This Row],[Opp]],Table1[DEF],Table1[P])</f>
        <v>#N/A</v>
      </c>
      <c r="M69" s="95" t="e">
        <f>_xlfn.XLOOKUP(Table1178213[[#This Row],[Opp]],Table1[DEF],Table1[R])</f>
        <v>#N/A</v>
      </c>
      <c r="N69" s="95" t="e">
        <f>_xlfn.XLOOKUP(Table1178213[[#This Row],[Opp]],Table1[DEF],Table1[P+R])</f>
        <v>#N/A</v>
      </c>
      <c r="O69" s="96" t="e">
        <f>_xlfn.XLOOKUP(Table1178213[[#This Row],[Opp]],Table1[DEF],Table1[P TD])</f>
        <v>#N/A</v>
      </c>
      <c r="P69" s="96" t="e">
        <f>_xlfn.XLOOKUP(Table1178213[[#This Row],[Opp]],Table1[DEF],Table1[TD])</f>
        <v>#N/A</v>
      </c>
      <c r="Q69" s="94" t="e">
        <f>AVERAGE(Table1178213[[#This Row],[*P*]:[*TD*]])</f>
        <v>#N/A</v>
      </c>
    </row>
    <row r="70" spans="2:17" hidden="1" x14ac:dyDescent="0.35">
      <c r="B70" s="6" t="s">
        <v>490</v>
      </c>
      <c r="C70" s="97" t="s">
        <v>51</v>
      </c>
      <c r="D70" s="97" t="s">
        <v>425</v>
      </c>
      <c r="E70" s="23" t="str" cm="1">
        <f t="array" ref="E70">_xlfn.XLOOKUP(Table1178213[[#This Row],[Team]],Table4334[Team],'2425'!$C$3:$C$34)</f>
        <v>n/a</v>
      </c>
      <c r="F70" s="97" t="str">
        <f>'2025'!$E$29</f>
        <v>n/a</v>
      </c>
      <c r="G70" s="94" t="e" cm="1">
        <f t="array" ref="G70">_xlfn.XLOOKUP(Table1178213[[#This Row],[Opp]],Table1[DEF],'2025'!$H$3:$H$34)</f>
        <v>#N/A</v>
      </c>
      <c r="H70" s="94" t="e" cm="1">
        <f t="array" ref="H70">_xlfn.XLOOKUP(Table1178213[[#This Row],[Opp]],Table1[DEF],'2025'!$I$3:$I$34)</f>
        <v>#N/A</v>
      </c>
      <c r="I70" s="94" t="e" cm="1">
        <f t="array" ref="I70">_xlfn.XLOOKUP(Table1178213[[#This Row],[Opp]],Table1[DEF],'2025'!$J$3:$J$34)</f>
        <v>#N/A</v>
      </c>
      <c r="J70" s="94" t="e" cm="1">
        <f t="array" ref="J70">_xlfn.XLOOKUP(Table1178213[[#This Row],[Opp]],Table1[DEF],'2025'!$K$3:$K$34)</f>
        <v>#N/A</v>
      </c>
      <c r="K70" s="94" t="e" cm="1">
        <f t="array" ref="K70">_xlfn.XLOOKUP(Table1178213[[#This Row],[Opp]],Table1[DEF],'2025'!$L$3:$L$34)</f>
        <v>#N/A</v>
      </c>
      <c r="L70" s="95" t="e">
        <f>_xlfn.XLOOKUP(Table1178213[[#This Row],[Opp]],Table1[DEF],Table1[P])</f>
        <v>#N/A</v>
      </c>
      <c r="M70" s="95" t="e">
        <f>_xlfn.XLOOKUP(Table1178213[[#This Row],[Opp]],Table1[DEF],Table1[R])</f>
        <v>#N/A</v>
      </c>
      <c r="N70" s="95" t="e">
        <f>_xlfn.XLOOKUP(Table1178213[[#This Row],[Opp]],Table1[DEF],Table1[P+R])</f>
        <v>#N/A</v>
      </c>
      <c r="O70" s="96" t="e">
        <f>_xlfn.XLOOKUP(Table1178213[[#This Row],[Opp]],Table1[DEF],Table1[P TD])</f>
        <v>#N/A</v>
      </c>
      <c r="P70" s="96" t="e">
        <f>_xlfn.XLOOKUP(Table1178213[[#This Row],[Opp]],Table1[DEF],Table1[TD])</f>
        <v>#N/A</v>
      </c>
      <c r="Q70" s="94" t="e">
        <f>AVERAGE(Table1178213[[#This Row],[*P*]:[*TD*]])</f>
        <v>#N/A</v>
      </c>
    </row>
    <row r="71" spans="2:17" hidden="1" x14ac:dyDescent="0.35">
      <c r="B71" s="6" t="s">
        <v>491</v>
      </c>
      <c r="C71" s="97" t="s">
        <v>51</v>
      </c>
      <c r="D71" s="97" t="s">
        <v>480</v>
      </c>
      <c r="E71" s="23" t="str" cm="1">
        <f t="array" ref="E71">_xlfn.XLOOKUP(Table1178213[[#This Row],[Team]],Table4334[Team],'2425'!$C$3:$C$34)</f>
        <v>n/a</v>
      </c>
      <c r="F71" s="97" t="str">
        <f>'2025'!$E$29</f>
        <v>n/a</v>
      </c>
      <c r="G71" s="94" t="e" cm="1">
        <f t="array" ref="G71">_xlfn.XLOOKUP(Table1178213[[#This Row],[Opp]],Table1[DEF],'2025'!$H$3:$H$34)</f>
        <v>#N/A</v>
      </c>
      <c r="H71" s="94" t="e" cm="1">
        <f t="array" ref="H71">_xlfn.XLOOKUP(Table1178213[[#This Row],[Opp]],Table1[DEF],'2025'!$I$3:$I$34)</f>
        <v>#N/A</v>
      </c>
      <c r="I71" s="94" t="e" cm="1">
        <f t="array" ref="I71">_xlfn.XLOOKUP(Table1178213[[#This Row],[Opp]],Table1[DEF],'2025'!$J$3:$J$34)</f>
        <v>#N/A</v>
      </c>
      <c r="J71" s="94" t="e" cm="1">
        <f t="array" ref="J71">_xlfn.XLOOKUP(Table1178213[[#This Row],[Opp]],Table1[DEF],'2025'!$K$3:$K$34)</f>
        <v>#N/A</v>
      </c>
      <c r="K71" s="94" t="e" cm="1">
        <f t="array" ref="K71">_xlfn.XLOOKUP(Table1178213[[#This Row],[Opp]],Table1[DEF],'2025'!$L$3:$L$34)</f>
        <v>#N/A</v>
      </c>
      <c r="L71" s="95" t="e">
        <f>_xlfn.XLOOKUP(Table1178213[[#This Row],[Opp]],Table1[DEF],Table1[P])</f>
        <v>#N/A</v>
      </c>
      <c r="M71" s="95" t="e">
        <f>_xlfn.XLOOKUP(Table1178213[[#This Row],[Opp]],Table1[DEF],Table1[R])</f>
        <v>#N/A</v>
      </c>
      <c r="N71" s="95" t="e">
        <f>_xlfn.XLOOKUP(Table1178213[[#This Row],[Opp]],Table1[DEF],Table1[P+R])</f>
        <v>#N/A</v>
      </c>
      <c r="O71" s="96" t="e">
        <f>_xlfn.XLOOKUP(Table1178213[[#This Row],[Opp]],Table1[DEF],Table1[P TD])</f>
        <v>#N/A</v>
      </c>
      <c r="P71" s="96" t="e">
        <f>_xlfn.XLOOKUP(Table1178213[[#This Row],[Opp]],Table1[DEF],Table1[TD])</f>
        <v>#N/A</v>
      </c>
      <c r="Q71" s="94" t="e">
        <f>AVERAGE(Table1178213[[#This Row],[*P*]:[*TD*]])</f>
        <v>#N/A</v>
      </c>
    </row>
    <row r="72" spans="2:17" x14ac:dyDescent="0.35">
      <c r="B72" s="6" t="s">
        <v>150</v>
      </c>
      <c r="C72" s="97" t="s">
        <v>30</v>
      </c>
      <c r="D72" s="97" t="s">
        <v>399</v>
      </c>
      <c r="E72" s="23" t="str" cm="1">
        <f t="array" ref="E72">_xlfn.XLOOKUP(Table1178213[[#This Row],[Team]],Table4334[Team],'2425'!$C$3:$C$34)</f>
        <v>n/a</v>
      </c>
      <c r="F72" s="97" t="str">
        <f>'2025'!$E$8</f>
        <v>n/a</v>
      </c>
      <c r="G72" s="94" t="e" cm="1">
        <f t="array" ref="G72">_xlfn.XLOOKUP(Table1178213[[#This Row],[Opp]],Table1[DEF],'2025'!$H$3:$H$34)</f>
        <v>#N/A</v>
      </c>
      <c r="H72" s="94" t="e" cm="1">
        <f t="array" ref="H72">_xlfn.XLOOKUP(Table1178213[[#This Row],[Opp]],Table1[DEF],'2025'!$I$3:$I$34)</f>
        <v>#N/A</v>
      </c>
      <c r="I72" s="94" t="e" cm="1">
        <f t="array" ref="I72">_xlfn.XLOOKUP(Table1178213[[#This Row],[Opp]],Table1[DEF],'2025'!$J$3:$J$34)</f>
        <v>#N/A</v>
      </c>
      <c r="J72" s="94" t="e" cm="1">
        <f t="array" ref="J72">_xlfn.XLOOKUP(Table1178213[[#This Row],[Opp]],Table1[DEF],'2025'!$K$3:$K$34)</f>
        <v>#N/A</v>
      </c>
      <c r="K72" s="94" t="e" cm="1">
        <f t="array" ref="K72">_xlfn.XLOOKUP(Table1178213[[#This Row],[Opp]],Table1[DEF],'2025'!$L$3:$L$34)</f>
        <v>#N/A</v>
      </c>
      <c r="L72" s="95" t="e">
        <f>_xlfn.XLOOKUP(Table1178213[[#This Row],[Opp]],Table1[DEF],Table1[P])</f>
        <v>#N/A</v>
      </c>
      <c r="M72" s="95" t="e">
        <f>_xlfn.XLOOKUP(Table1178213[[#This Row],[Opp]],Table1[DEF],Table1[R])</f>
        <v>#N/A</v>
      </c>
      <c r="N72" s="95" t="e">
        <f>_xlfn.XLOOKUP(Table1178213[[#This Row],[Opp]],Table1[DEF],Table1[P+R])</f>
        <v>#N/A</v>
      </c>
      <c r="O72" s="96" t="e">
        <f>_xlfn.XLOOKUP(Table1178213[[#This Row],[Opp]],Table1[DEF],Table1[P TD])</f>
        <v>#N/A</v>
      </c>
      <c r="P72" s="96" t="e">
        <f>_xlfn.XLOOKUP(Table1178213[[#This Row],[Opp]],Table1[DEF],Table1[TD])</f>
        <v>#N/A</v>
      </c>
      <c r="Q72" s="94" t="e">
        <f>AVERAGE(Table1178213[[#This Row],[*P*]:[*TD*]])</f>
        <v>#N/A</v>
      </c>
    </row>
    <row r="73" spans="2:17" hidden="1" x14ac:dyDescent="0.35">
      <c r="B73" s="6" t="s">
        <v>524</v>
      </c>
      <c r="C73" s="97" t="s">
        <v>52</v>
      </c>
      <c r="D73" s="97" t="s">
        <v>405</v>
      </c>
      <c r="E73" s="23" t="str" cm="1">
        <f t="array" ref="E73">_xlfn.XLOOKUP(Table1178213[[#This Row],[Team]],Table4334[Team],'2425'!$C$3:$C$34)</f>
        <v>SB LX</v>
      </c>
      <c r="F73" s="97" t="str">
        <f>'2025'!$E$30</f>
        <v>NE</v>
      </c>
      <c r="G73" s="94" cm="1">
        <f t="array" ref="G73">_xlfn.XLOOKUP(Table1178213[[#This Row],[Opp]],Table1[DEF],'2025'!$H$3:$H$34)</f>
        <v>24</v>
      </c>
      <c r="H73" s="94" cm="1">
        <f t="array" ref="H73">_xlfn.XLOOKUP(Table1178213[[#This Row],[Opp]],Table1[DEF],'2025'!$I$3:$I$34)</f>
        <v>22</v>
      </c>
      <c r="I73" s="94" cm="1">
        <f t="array" ref="I73">_xlfn.XLOOKUP(Table1178213[[#This Row],[Opp]],Table1[DEF],'2025'!$J$3:$J$34)</f>
        <v>26</v>
      </c>
      <c r="J73" s="94" cm="1">
        <f t="array" ref="J73">_xlfn.XLOOKUP(Table1178213[[#This Row],[Opp]],Table1[DEF],'2025'!$K$3:$K$34)</f>
        <v>17</v>
      </c>
      <c r="K73" s="94" cm="1">
        <f t="array" ref="K73">_xlfn.XLOOKUP(Table1178213[[#This Row],[Opp]],Table1[DEF],'2025'!$L$3:$L$34)</f>
        <v>28.5</v>
      </c>
      <c r="L73" s="95">
        <f>_xlfn.XLOOKUP(Table1178213[[#This Row],[Opp]],Table1[DEF],Table1[P])</f>
        <v>206.58823529411765</v>
      </c>
      <c r="M73" s="95">
        <f>_xlfn.XLOOKUP(Table1178213[[#This Row],[Opp]],Table1[DEF],Table1[R])</f>
        <v>16.294117647058822</v>
      </c>
      <c r="N73" s="95">
        <f>_xlfn.XLOOKUP(Table1178213[[#This Row],[Opp]],Table1[DEF],Table1[P+R])</f>
        <v>222.88235294117646</v>
      </c>
      <c r="O73" s="96">
        <f>_xlfn.XLOOKUP(Table1178213[[#This Row],[Opp]],Table1[DEF],Table1[P TD])</f>
        <v>1.4705882352941178</v>
      </c>
      <c r="P73" s="96">
        <f>_xlfn.XLOOKUP(Table1178213[[#This Row],[Opp]],Table1[DEF],Table1[TD])</f>
        <v>5.8823529411764705E-2</v>
      </c>
      <c r="Q73" s="94">
        <f>AVERAGE(Table1178213[[#This Row],[*P*]:[*TD*]])</f>
        <v>23.5</v>
      </c>
    </row>
    <row r="74" spans="2:17" hidden="1" x14ac:dyDescent="0.35">
      <c r="B74" s="6" t="s">
        <v>525</v>
      </c>
      <c r="C74" s="97" t="s">
        <v>52</v>
      </c>
      <c r="D74" s="97" t="s">
        <v>425</v>
      </c>
      <c r="E74" s="23" t="str" cm="1">
        <f t="array" ref="E74">_xlfn.XLOOKUP(Table1178213[[#This Row],[Team]],Table4334[Team],'2425'!$C$3:$C$34)</f>
        <v>SB LX</v>
      </c>
      <c r="F74" s="97" t="str">
        <f>'2025'!$E$30</f>
        <v>NE</v>
      </c>
      <c r="G74" s="94" cm="1">
        <f t="array" ref="G74">_xlfn.XLOOKUP(Table1178213[[#This Row],[Opp]],Table1[DEF],'2025'!$H$3:$H$34)</f>
        <v>24</v>
      </c>
      <c r="H74" s="94" cm="1">
        <f t="array" ref="H74">_xlfn.XLOOKUP(Table1178213[[#This Row],[Opp]],Table1[DEF],'2025'!$I$3:$I$34)</f>
        <v>22</v>
      </c>
      <c r="I74" s="94" cm="1">
        <f t="array" ref="I74">_xlfn.XLOOKUP(Table1178213[[#This Row],[Opp]],Table1[DEF],'2025'!$J$3:$J$34)</f>
        <v>26</v>
      </c>
      <c r="J74" s="94" cm="1">
        <f t="array" ref="J74">_xlfn.XLOOKUP(Table1178213[[#This Row],[Opp]],Table1[DEF],'2025'!$K$3:$K$34)</f>
        <v>17</v>
      </c>
      <c r="K74" s="94" cm="1">
        <f t="array" ref="K74">_xlfn.XLOOKUP(Table1178213[[#This Row],[Opp]],Table1[DEF],'2025'!$L$3:$L$34)</f>
        <v>28.5</v>
      </c>
      <c r="L74" s="95">
        <f>_xlfn.XLOOKUP(Table1178213[[#This Row],[Opp]],Table1[DEF],Table1[P])</f>
        <v>206.58823529411765</v>
      </c>
      <c r="M74" s="95">
        <f>_xlfn.XLOOKUP(Table1178213[[#This Row],[Opp]],Table1[DEF],Table1[R])</f>
        <v>16.294117647058822</v>
      </c>
      <c r="N74" s="95">
        <f>_xlfn.XLOOKUP(Table1178213[[#This Row],[Opp]],Table1[DEF],Table1[P+R])</f>
        <v>222.88235294117646</v>
      </c>
      <c r="O74" s="96">
        <f>_xlfn.XLOOKUP(Table1178213[[#This Row],[Opp]],Table1[DEF],Table1[P TD])</f>
        <v>1.4705882352941178</v>
      </c>
      <c r="P74" s="96">
        <f>_xlfn.XLOOKUP(Table1178213[[#This Row],[Opp]],Table1[DEF],Table1[TD])</f>
        <v>5.8823529411764705E-2</v>
      </c>
      <c r="Q74" s="94">
        <f>AVERAGE(Table1178213[[#This Row],[*P*]:[*TD*]])</f>
        <v>23.5</v>
      </c>
    </row>
    <row r="75" spans="2:17" hidden="1" x14ac:dyDescent="0.35">
      <c r="B75" s="6" t="s">
        <v>112</v>
      </c>
      <c r="C75" s="97" t="s">
        <v>29</v>
      </c>
      <c r="D75" s="97" t="s">
        <v>399</v>
      </c>
      <c r="E75" s="23" t="str" cm="1">
        <f t="array" ref="E75">_xlfn.XLOOKUP(Table1178213[[#This Row],[Team]],Table4334[Team],'2425'!$C$3:$C$34)</f>
        <v>n/a</v>
      </c>
      <c r="F75" s="97" t="str">
        <f>'2025'!$E$7</f>
        <v>n/a</v>
      </c>
      <c r="G75" s="94" t="e" cm="1">
        <f t="array" ref="G75">_xlfn.XLOOKUP(Table1178213[[#This Row],[Opp]],Table1[DEF],'2025'!$H$3:$H$34)</f>
        <v>#N/A</v>
      </c>
      <c r="H75" s="94" t="e" cm="1">
        <f t="array" ref="H75">_xlfn.XLOOKUP(Table1178213[[#This Row],[Opp]],Table1[DEF],'2025'!$I$3:$I$34)</f>
        <v>#N/A</v>
      </c>
      <c r="I75" s="94" t="e" cm="1">
        <f t="array" ref="I75">_xlfn.XLOOKUP(Table1178213[[#This Row],[Opp]],Table1[DEF],'2025'!$J$3:$J$34)</f>
        <v>#N/A</v>
      </c>
      <c r="J75" s="94" t="e" cm="1">
        <f t="array" ref="J75">_xlfn.XLOOKUP(Table1178213[[#This Row],[Opp]],Table1[DEF],'2025'!$K$3:$K$34)</f>
        <v>#N/A</v>
      </c>
      <c r="K75" s="94" t="e" cm="1">
        <f t="array" ref="K75">_xlfn.XLOOKUP(Table1178213[[#This Row],[Opp]],Table1[DEF],'2025'!$L$3:$L$34)</f>
        <v>#N/A</v>
      </c>
      <c r="L75" s="95" t="e">
        <f>_xlfn.XLOOKUP(Table1178213[[#This Row],[Opp]],Table1[DEF],Table1[P])</f>
        <v>#N/A</v>
      </c>
      <c r="M75" s="95" t="e">
        <f>_xlfn.XLOOKUP(Table1178213[[#This Row],[Opp]],Table1[DEF],Table1[R])</f>
        <v>#N/A</v>
      </c>
      <c r="N75" s="95" t="e">
        <f>_xlfn.XLOOKUP(Table1178213[[#This Row],[Opp]],Table1[DEF],Table1[P+R])</f>
        <v>#N/A</v>
      </c>
      <c r="O75" s="96" t="e">
        <f>_xlfn.XLOOKUP(Table1178213[[#This Row],[Opp]],Table1[DEF],Table1[P TD])</f>
        <v>#N/A</v>
      </c>
      <c r="P75" s="96" t="e">
        <f>_xlfn.XLOOKUP(Table1178213[[#This Row],[Opp]],Table1[DEF],Table1[TD])</f>
        <v>#N/A</v>
      </c>
      <c r="Q75" s="94" t="e">
        <f>AVERAGE(Table1178213[[#This Row],[*P*]:[*TD*]])</f>
        <v>#N/A</v>
      </c>
    </row>
    <row r="76" spans="2:17" hidden="1" x14ac:dyDescent="0.35">
      <c r="B76" s="6" t="s">
        <v>538</v>
      </c>
      <c r="C76" s="97" t="s">
        <v>53</v>
      </c>
      <c r="D76" s="97" t="s">
        <v>405</v>
      </c>
      <c r="E76" s="23" t="str" cm="1">
        <f t="array" ref="E76">_xlfn.XLOOKUP(Table1178213[[#This Row],[Team]],Table4334[Team],'2425'!$C$3:$C$34)</f>
        <v>n/a</v>
      </c>
      <c r="F76" s="97" t="str">
        <f>'2025'!$E$31</f>
        <v>n/a</v>
      </c>
      <c r="G76" s="94" t="e" cm="1">
        <f t="array" ref="G76">_xlfn.XLOOKUP(Table1178213[[#This Row],[Opp]],Table1[DEF],'2025'!$H$3:$H$34)</f>
        <v>#N/A</v>
      </c>
      <c r="H76" s="94" t="e" cm="1">
        <f t="array" ref="H76">_xlfn.XLOOKUP(Table1178213[[#This Row],[Opp]],Table1[DEF],'2025'!$I$3:$I$34)</f>
        <v>#N/A</v>
      </c>
      <c r="I76" s="94" t="e" cm="1">
        <f t="array" ref="I76">_xlfn.XLOOKUP(Table1178213[[#This Row],[Opp]],Table1[DEF],'2025'!$J$3:$J$34)</f>
        <v>#N/A</v>
      </c>
      <c r="J76" s="94" t="e" cm="1">
        <f t="array" ref="J76">_xlfn.XLOOKUP(Table1178213[[#This Row],[Opp]],Table1[DEF],'2025'!$K$3:$K$34)</f>
        <v>#N/A</v>
      </c>
      <c r="K76" s="94" t="e" cm="1">
        <f t="array" ref="K76">_xlfn.XLOOKUP(Table1178213[[#This Row],[Opp]],Table1[DEF],'2025'!$L$3:$L$34)</f>
        <v>#N/A</v>
      </c>
      <c r="L76" s="95" t="e">
        <f>_xlfn.XLOOKUP(Table1178213[[#This Row],[Opp]],Table1[DEF],Table1[P])</f>
        <v>#N/A</v>
      </c>
      <c r="M76" s="95" t="e">
        <f>_xlfn.XLOOKUP(Table1178213[[#This Row],[Opp]],Table1[DEF],Table1[R])</f>
        <v>#N/A</v>
      </c>
      <c r="N76" s="95" t="e">
        <f>_xlfn.XLOOKUP(Table1178213[[#This Row],[Opp]],Table1[DEF],Table1[P+R])</f>
        <v>#N/A</v>
      </c>
      <c r="O76" s="96" t="e">
        <f>_xlfn.XLOOKUP(Table1178213[[#This Row],[Opp]],Table1[DEF],Table1[P TD])</f>
        <v>#N/A</v>
      </c>
      <c r="P76" s="96" t="e">
        <f>_xlfn.XLOOKUP(Table1178213[[#This Row],[Opp]],Table1[DEF],Table1[TD])</f>
        <v>#N/A</v>
      </c>
      <c r="Q76" s="94" t="e">
        <f>AVERAGE(Table1178213[[#This Row],[*P*]:[*TD*]])</f>
        <v>#N/A</v>
      </c>
    </row>
    <row r="77" spans="2:17" hidden="1" x14ac:dyDescent="0.35">
      <c r="B77" s="6" t="s">
        <v>358</v>
      </c>
      <c r="C77" s="97" t="s">
        <v>53</v>
      </c>
      <c r="D77" s="97" t="s">
        <v>425</v>
      </c>
      <c r="E77" s="23" t="str" cm="1">
        <f t="array" ref="E77">_xlfn.XLOOKUP(Table1178213[[#This Row],[Team]],Table4334[Team],'2425'!$C$3:$C$34)</f>
        <v>n/a</v>
      </c>
      <c r="F77" s="97" t="str">
        <f>'2025'!$E$31</f>
        <v>n/a</v>
      </c>
      <c r="G77" s="94" t="e" cm="1">
        <f t="array" ref="G77">_xlfn.XLOOKUP(Table1178213[[#This Row],[Opp]],Table1[DEF],'2025'!$H$3:$H$34)</f>
        <v>#N/A</v>
      </c>
      <c r="H77" s="94" t="e" cm="1">
        <f t="array" ref="H77">_xlfn.XLOOKUP(Table1178213[[#This Row],[Opp]],Table1[DEF],'2025'!$I$3:$I$34)</f>
        <v>#N/A</v>
      </c>
      <c r="I77" s="94" t="e" cm="1">
        <f t="array" ref="I77">_xlfn.XLOOKUP(Table1178213[[#This Row],[Opp]],Table1[DEF],'2025'!$J$3:$J$34)</f>
        <v>#N/A</v>
      </c>
      <c r="J77" s="94" t="e" cm="1">
        <f t="array" ref="J77">_xlfn.XLOOKUP(Table1178213[[#This Row],[Opp]],Table1[DEF],'2025'!$K$3:$K$34)</f>
        <v>#N/A</v>
      </c>
      <c r="K77" s="94" t="e" cm="1">
        <f t="array" ref="K77">_xlfn.XLOOKUP(Table1178213[[#This Row],[Opp]],Table1[DEF],'2025'!$L$3:$L$34)</f>
        <v>#N/A</v>
      </c>
      <c r="L77" s="95" t="e">
        <f>_xlfn.XLOOKUP(Table1178213[[#This Row],[Opp]],Table1[DEF],Table1[P])</f>
        <v>#N/A</v>
      </c>
      <c r="M77" s="95" t="e">
        <f>_xlfn.XLOOKUP(Table1178213[[#This Row],[Opp]],Table1[DEF],Table1[R])</f>
        <v>#N/A</v>
      </c>
      <c r="N77" s="95" t="e">
        <f>_xlfn.XLOOKUP(Table1178213[[#This Row],[Opp]],Table1[DEF],Table1[P+R])</f>
        <v>#N/A</v>
      </c>
      <c r="O77" s="96" t="e">
        <f>_xlfn.XLOOKUP(Table1178213[[#This Row],[Opp]],Table1[DEF],Table1[P TD])</f>
        <v>#N/A</v>
      </c>
      <c r="P77" s="96" t="e">
        <f>_xlfn.XLOOKUP(Table1178213[[#This Row],[Opp]],Table1[DEF],Table1[TD])</f>
        <v>#N/A</v>
      </c>
      <c r="Q77" s="94" t="e">
        <f>AVERAGE(Table1178213[[#This Row],[*P*]:[*TD*]])</f>
        <v>#N/A</v>
      </c>
    </row>
    <row r="78" spans="2:17" hidden="1" x14ac:dyDescent="0.35">
      <c r="B78" s="6" t="s">
        <v>539</v>
      </c>
      <c r="C78" s="97" t="s">
        <v>53</v>
      </c>
      <c r="D78" s="97" t="s">
        <v>480</v>
      </c>
      <c r="E78" s="23" t="str" cm="1">
        <f t="array" ref="E78">_xlfn.XLOOKUP(Table1178213[[#This Row],[Team]],Table4334[Team],'2425'!$C$3:$C$34)</f>
        <v>n/a</v>
      </c>
      <c r="F78" s="97" t="str">
        <f>'2025'!$E$31</f>
        <v>n/a</v>
      </c>
      <c r="G78" s="94" t="e" cm="1">
        <f t="array" ref="G78">_xlfn.XLOOKUP(Table1178213[[#This Row],[Opp]],Table1[DEF],'2025'!$H$3:$H$34)</f>
        <v>#N/A</v>
      </c>
      <c r="H78" s="94" t="e" cm="1">
        <f t="array" ref="H78">_xlfn.XLOOKUP(Table1178213[[#This Row],[Opp]],Table1[DEF],'2025'!$I$3:$I$34)</f>
        <v>#N/A</v>
      </c>
      <c r="I78" s="94" t="e" cm="1">
        <f t="array" ref="I78">_xlfn.XLOOKUP(Table1178213[[#This Row],[Opp]],Table1[DEF],'2025'!$J$3:$J$34)</f>
        <v>#N/A</v>
      </c>
      <c r="J78" s="94" t="e" cm="1">
        <f t="array" ref="J78">_xlfn.XLOOKUP(Table1178213[[#This Row],[Opp]],Table1[DEF],'2025'!$K$3:$K$34)</f>
        <v>#N/A</v>
      </c>
      <c r="K78" s="94" t="e" cm="1">
        <f t="array" ref="K78">_xlfn.XLOOKUP(Table1178213[[#This Row],[Opp]],Table1[DEF],'2025'!$L$3:$L$34)</f>
        <v>#N/A</v>
      </c>
      <c r="L78" s="95" t="e">
        <f>_xlfn.XLOOKUP(Table1178213[[#This Row],[Opp]],Table1[DEF],Table1[P])</f>
        <v>#N/A</v>
      </c>
      <c r="M78" s="95" t="e">
        <f>_xlfn.XLOOKUP(Table1178213[[#This Row],[Opp]],Table1[DEF],Table1[R])</f>
        <v>#N/A</v>
      </c>
      <c r="N78" s="95" t="e">
        <f>_xlfn.XLOOKUP(Table1178213[[#This Row],[Opp]],Table1[DEF],Table1[P+R])</f>
        <v>#N/A</v>
      </c>
      <c r="O78" s="96" t="e">
        <f>_xlfn.XLOOKUP(Table1178213[[#This Row],[Opp]],Table1[DEF],Table1[P TD])</f>
        <v>#N/A</v>
      </c>
      <c r="P78" s="96" t="e">
        <f>_xlfn.XLOOKUP(Table1178213[[#This Row],[Opp]],Table1[DEF],Table1[TD])</f>
        <v>#N/A</v>
      </c>
      <c r="Q78" s="94" t="e">
        <f>AVERAGE(Table1178213[[#This Row],[*P*]:[*TD*]])</f>
        <v>#N/A</v>
      </c>
    </row>
    <row r="79" spans="2:17" hidden="1" x14ac:dyDescent="0.35">
      <c r="B79" s="6" t="s">
        <v>255</v>
      </c>
      <c r="C79" s="97" t="s">
        <v>41</v>
      </c>
      <c r="D79" s="97" t="s">
        <v>399</v>
      </c>
      <c r="E79" s="23" t="str" cm="1">
        <f t="array" ref="E79">_xlfn.XLOOKUP(Table1178213[[#This Row],[Team]],Table4334[Team],'2425'!$C$3:$C$34)</f>
        <v>n/a</v>
      </c>
      <c r="F79" s="97" t="str">
        <f>'2025'!$E$19</f>
        <v>n/a</v>
      </c>
      <c r="G79" s="94" t="e" cm="1">
        <f t="array" ref="G79">_xlfn.XLOOKUP(Table1178213[[#This Row],[Opp]],Table1[DEF],'2025'!$H$3:$H$34)</f>
        <v>#N/A</v>
      </c>
      <c r="H79" s="94" t="e" cm="1">
        <f t="array" ref="H79">_xlfn.XLOOKUP(Table1178213[[#This Row],[Opp]],Table1[DEF],'2025'!$I$3:$I$34)</f>
        <v>#N/A</v>
      </c>
      <c r="I79" s="94" t="e" cm="1">
        <f t="array" ref="I79">_xlfn.XLOOKUP(Table1178213[[#This Row],[Opp]],Table1[DEF],'2025'!$J$3:$J$34)</f>
        <v>#N/A</v>
      </c>
      <c r="J79" s="94" t="e" cm="1">
        <f t="array" ref="J79">_xlfn.XLOOKUP(Table1178213[[#This Row],[Opp]],Table1[DEF],'2025'!$K$3:$K$34)</f>
        <v>#N/A</v>
      </c>
      <c r="K79" s="94" t="e" cm="1">
        <f t="array" ref="K79">_xlfn.XLOOKUP(Table1178213[[#This Row],[Opp]],Table1[DEF],'2025'!$L$3:$L$34)</f>
        <v>#N/A</v>
      </c>
      <c r="L79" s="95" t="e">
        <f>_xlfn.XLOOKUP(Table1178213[[#This Row],[Opp]],Table1[DEF],Table1[P])</f>
        <v>#N/A</v>
      </c>
      <c r="M79" s="95" t="e">
        <f>_xlfn.XLOOKUP(Table1178213[[#This Row],[Opp]],Table1[DEF],Table1[R])</f>
        <v>#N/A</v>
      </c>
      <c r="N79" s="95" t="e">
        <f>_xlfn.XLOOKUP(Table1178213[[#This Row],[Opp]],Table1[DEF],Table1[P+R])</f>
        <v>#N/A</v>
      </c>
      <c r="O79" s="96" t="e">
        <f>_xlfn.XLOOKUP(Table1178213[[#This Row],[Opp]],Table1[DEF],Table1[P TD])</f>
        <v>#N/A</v>
      </c>
      <c r="P79" s="96" t="e">
        <f>_xlfn.XLOOKUP(Table1178213[[#This Row],[Opp]],Table1[DEF],Table1[TD])</f>
        <v>#N/A</v>
      </c>
      <c r="Q79" s="94" t="e">
        <f>AVERAGE(Table1178213[[#This Row],[*P*]:[*TD*]])</f>
        <v>#N/A</v>
      </c>
    </row>
    <row r="80" spans="2:17" hidden="1" x14ac:dyDescent="0.35">
      <c r="B80" s="6" t="s">
        <v>583</v>
      </c>
      <c r="C80" s="97" t="s">
        <v>54</v>
      </c>
      <c r="D80" s="98" t="s">
        <v>405</v>
      </c>
      <c r="E80" s="23" t="str" cm="1">
        <f t="array" ref="E80">_xlfn.XLOOKUP(Table1178213[[#This Row],[Team]],Table4334[Team],'2425'!$C$3:$C$34)</f>
        <v>n/a</v>
      </c>
      <c r="F80" s="97" t="str">
        <f>'2025'!$E$32</f>
        <v>n/a</v>
      </c>
      <c r="G80" s="94" t="e" cm="1">
        <f t="array" ref="G80">_xlfn.XLOOKUP(Table1178213[[#This Row],[Opp]],Table1[DEF],'2025'!$H$3:$H$34)</f>
        <v>#N/A</v>
      </c>
      <c r="H80" s="94" t="e" cm="1">
        <f t="array" ref="H80">_xlfn.XLOOKUP(Table1178213[[#This Row],[Opp]],Table1[DEF],'2025'!$I$3:$I$34)</f>
        <v>#N/A</v>
      </c>
      <c r="I80" s="94" t="e" cm="1">
        <f t="array" ref="I80">_xlfn.XLOOKUP(Table1178213[[#This Row],[Opp]],Table1[DEF],'2025'!$J$3:$J$34)</f>
        <v>#N/A</v>
      </c>
      <c r="J80" s="94" t="e" cm="1">
        <f t="array" ref="J80">_xlfn.XLOOKUP(Table1178213[[#This Row],[Opp]],Table1[DEF],'2025'!$K$3:$K$34)</f>
        <v>#N/A</v>
      </c>
      <c r="K80" s="94" t="e" cm="1">
        <f t="array" ref="K80">_xlfn.XLOOKUP(Table1178213[[#This Row],[Opp]],Table1[DEF],'2025'!$L$3:$L$34)</f>
        <v>#N/A</v>
      </c>
      <c r="L80" s="95" t="e">
        <f>_xlfn.XLOOKUP(Table1178213[[#This Row],[Opp]],Table1[DEF],Table1[P])</f>
        <v>#N/A</v>
      </c>
      <c r="M80" s="95" t="e">
        <f>_xlfn.XLOOKUP(Table1178213[[#This Row],[Opp]],Table1[DEF],Table1[R])</f>
        <v>#N/A</v>
      </c>
      <c r="N80" s="95" t="e">
        <f>_xlfn.XLOOKUP(Table1178213[[#This Row],[Opp]],Table1[DEF],Table1[P+R])</f>
        <v>#N/A</v>
      </c>
      <c r="O80" s="96" t="e">
        <f>_xlfn.XLOOKUP(Table1178213[[#This Row],[Opp]],Table1[DEF],Table1[P TD])</f>
        <v>#N/A</v>
      </c>
      <c r="P80" s="96" t="e">
        <f>_xlfn.XLOOKUP(Table1178213[[#This Row],[Opp]],Table1[DEF],Table1[TD])</f>
        <v>#N/A</v>
      </c>
      <c r="Q80" s="94" t="e">
        <f>AVERAGE(Table1178213[[#This Row],[*P*]:[*TD*]])</f>
        <v>#N/A</v>
      </c>
    </row>
    <row r="81" spans="2:17" hidden="1" x14ac:dyDescent="0.35">
      <c r="B81" s="6" t="s">
        <v>336</v>
      </c>
      <c r="C81" s="97" t="s">
        <v>50</v>
      </c>
      <c r="D81" s="97" t="s">
        <v>399</v>
      </c>
      <c r="E81" s="23" t="str" cm="1">
        <f t="array" ref="E81">_xlfn.XLOOKUP(Table1178213[[#This Row],[Team]],Table4334[Team],'2425'!$C$3:$C$34)</f>
        <v>n/a</v>
      </c>
      <c r="F81" s="97" t="str">
        <f>'2025'!$E$28</f>
        <v>n/a</v>
      </c>
      <c r="G81" s="94" t="e" cm="1">
        <f t="array" ref="G81">_xlfn.XLOOKUP(Table1178213[[#This Row],[Opp]],Table1[DEF],'2025'!$H$3:$H$34)</f>
        <v>#N/A</v>
      </c>
      <c r="H81" s="94" t="e" cm="1">
        <f t="array" ref="H81">_xlfn.XLOOKUP(Table1178213[[#This Row],[Opp]],Table1[DEF],'2025'!$I$3:$I$34)</f>
        <v>#N/A</v>
      </c>
      <c r="I81" s="94" t="e" cm="1">
        <f t="array" ref="I81">_xlfn.XLOOKUP(Table1178213[[#This Row],[Opp]],Table1[DEF],'2025'!$J$3:$J$34)</f>
        <v>#N/A</v>
      </c>
      <c r="J81" s="94" t="e" cm="1">
        <f t="array" ref="J81">_xlfn.XLOOKUP(Table1178213[[#This Row],[Opp]],Table1[DEF],'2025'!$K$3:$K$34)</f>
        <v>#N/A</v>
      </c>
      <c r="K81" s="94" t="e" cm="1">
        <f t="array" ref="K81">_xlfn.XLOOKUP(Table1178213[[#This Row],[Opp]],Table1[DEF],'2025'!$L$3:$L$34)</f>
        <v>#N/A</v>
      </c>
      <c r="L81" s="95" t="e">
        <f>_xlfn.XLOOKUP(Table1178213[[#This Row],[Opp]],Table1[DEF],Table1[P])</f>
        <v>#N/A</v>
      </c>
      <c r="M81" s="95" t="e">
        <f>_xlfn.XLOOKUP(Table1178213[[#This Row],[Opp]],Table1[DEF],Table1[R])</f>
        <v>#N/A</v>
      </c>
      <c r="N81" s="95" t="e">
        <f>_xlfn.XLOOKUP(Table1178213[[#This Row],[Opp]],Table1[DEF],Table1[P+R])</f>
        <v>#N/A</v>
      </c>
      <c r="O81" s="96" t="e">
        <f>_xlfn.XLOOKUP(Table1178213[[#This Row],[Opp]],Table1[DEF],Table1[P TD])</f>
        <v>#N/A</v>
      </c>
      <c r="P81" s="96" t="e">
        <f>_xlfn.XLOOKUP(Table1178213[[#This Row],[Opp]],Table1[DEF],Table1[TD])</f>
        <v>#N/A</v>
      </c>
      <c r="Q81" s="94" t="e">
        <f>AVERAGE(Table1178213[[#This Row],[*P*]:[*TD*]])</f>
        <v>#N/A</v>
      </c>
    </row>
    <row r="82" spans="2:17" hidden="1" x14ac:dyDescent="0.35">
      <c r="B82" s="6" t="s">
        <v>331</v>
      </c>
      <c r="C82" s="97" t="s">
        <v>55</v>
      </c>
      <c r="D82" s="98" t="s">
        <v>405</v>
      </c>
      <c r="E82" s="23" t="str" cm="1">
        <f t="array" ref="E82">_xlfn.XLOOKUP(Table1178213[[#This Row],[Team]],Table4334[Team],'2425'!$C$3:$C$34)</f>
        <v>n/a</v>
      </c>
      <c r="F82" s="97" t="str">
        <f>'2025'!$E$33</f>
        <v>n/a</v>
      </c>
      <c r="G82" s="94" t="e" cm="1">
        <f t="array" ref="G82">_xlfn.XLOOKUP(Table1178213[[#This Row],[Opp]],Table1[DEF],'2025'!$H$3:$H$34)</f>
        <v>#N/A</v>
      </c>
      <c r="H82" s="94" t="e" cm="1">
        <f t="array" ref="H82">_xlfn.XLOOKUP(Table1178213[[#This Row],[Opp]],Table1[DEF],'2025'!$I$3:$I$34)</f>
        <v>#N/A</v>
      </c>
      <c r="I82" s="94" t="e" cm="1">
        <f t="array" ref="I82">_xlfn.XLOOKUP(Table1178213[[#This Row],[Opp]],Table1[DEF],'2025'!$J$3:$J$34)</f>
        <v>#N/A</v>
      </c>
      <c r="J82" s="94" t="e" cm="1">
        <f t="array" ref="J82">_xlfn.XLOOKUP(Table1178213[[#This Row],[Opp]],Table1[DEF],'2025'!$K$3:$K$34)</f>
        <v>#N/A</v>
      </c>
      <c r="K82" s="94" t="e" cm="1">
        <f t="array" ref="K82">_xlfn.XLOOKUP(Table1178213[[#This Row],[Opp]],Table1[DEF],'2025'!$L$3:$L$34)</f>
        <v>#N/A</v>
      </c>
      <c r="L82" s="95" t="e">
        <f>_xlfn.XLOOKUP(Table1178213[[#This Row],[Opp]],Table1[DEF],Table1[P])</f>
        <v>#N/A</v>
      </c>
      <c r="M82" s="95" t="e">
        <f>_xlfn.XLOOKUP(Table1178213[[#This Row],[Opp]],Table1[DEF],Table1[R])</f>
        <v>#N/A</v>
      </c>
      <c r="N82" s="95" t="e">
        <f>_xlfn.XLOOKUP(Table1178213[[#This Row],[Opp]],Table1[DEF],Table1[P+R])</f>
        <v>#N/A</v>
      </c>
      <c r="O82" s="96" t="e">
        <f>_xlfn.XLOOKUP(Table1178213[[#This Row],[Opp]],Table1[DEF],Table1[P TD])</f>
        <v>#N/A</v>
      </c>
      <c r="P82" s="96" t="e">
        <f>_xlfn.XLOOKUP(Table1178213[[#This Row],[Opp]],Table1[DEF],Table1[TD])</f>
        <v>#N/A</v>
      </c>
      <c r="Q82" s="94" t="e">
        <f>AVERAGE(Table1178213[[#This Row],[*P*]:[*TD*]])</f>
        <v>#N/A</v>
      </c>
    </row>
    <row r="83" spans="2:17" hidden="1" x14ac:dyDescent="0.35">
      <c r="B83" s="6" t="s">
        <v>377</v>
      </c>
      <c r="C83" s="97" t="s">
        <v>55</v>
      </c>
      <c r="D83" s="97" t="s">
        <v>425</v>
      </c>
      <c r="E83" s="23" t="str" cm="1">
        <f t="array" ref="E83">_xlfn.XLOOKUP(Table1178213[[#This Row],[Team]],Table4334[Team],'2425'!$C$3:$C$34)</f>
        <v>n/a</v>
      </c>
      <c r="F83" s="97" t="str">
        <f>'2025'!$E$33</f>
        <v>n/a</v>
      </c>
      <c r="G83" s="94" t="e" cm="1">
        <f t="array" ref="G83">_xlfn.XLOOKUP(Table1178213[[#This Row],[Opp]],Table1[DEF],'2025'!$H$3:$H$34)</f>
        <v>#N/A</v>
      </c>
      <c r="H83" s="94" t="e" cm="1">
        <f t="array" ref="H83">_xlfn.XLOOKUP(Table1178213[[#This Row],[Opp]],Table1[DEF],'2025'!$I$3:$I$34)</f>
        <v>#N/A</v>
      </c>
      <c r="I83" s="94" t="e" cm="1">
        <f t="array" ref="I83">_xlfn.XLOOKUP(Table1178213[[#This Row],[Opp]],Table1[DEF],'2025'!$J$3:$J$34)</f>
        <v>#N/A</v>
      </c>
      <c r="J83" s="94" t="e" cm="1">
        <f t="array" ref="J83">_xlfn.XLOOKUP(Table1178213[[#This Row],[Opp]],Table1[DEF],'2025'!$K$3:$K$34)</f>
        <v>#N/A</v>
      </c>
      <c r="K83" s="94" t="e" cm="1">
        <f t="array" ref="K83">_xlfn.XLOOKUP(Table1178213[[#This Row],[Opp]],Table1[DEF],'2025'!$L$3:$L$34)</f>
        <v>#N/A</v>
      </c>
      <c r="L83" s="95" t="e">
        <f>_xlfn.XLOOKUP(Table1178213[[#This Row],[Opp]],Table1[DEF],Table1[P])</f>
        <v>#N/A</v>
      </c>
      <c r="M83" s="95" t="e">
        <f>_xlfn.XLOOKUP(Table1178213[[#This Row],[Opp]],Table1[DEF],Table1[R])</f>
        <v>#N/A</v>
      </c>
      <c r="N83" s="95" t="e">
        <f>_xlfn.XLOOKUP(Table1178213[[#This Row],[Opp]],Table1[DEF],Table1[P+R])</f>
        <v>#N/A</v>
      </c>
      <c r="O83" s="96" t="e">
        <f>_xlfn.XLOOKUP(Table1178213[[#This Row],[Opp]],Table1[DEF],Table1[P TD])</f>
        <v>#N/A</v>
      </c>
      <c r="P83" s="96" t="e">
        <f>_xlfn.XLOOKUP(Table1178213[[#This Row],[Opp]],Table1[DEF],Table1[TD])</f>
        <v>#N/A</v>
      </c>
      <c r="Q83" s="94" t="e">
        <f>AVERAGE(Table1178213[[#This Row],[*P*]:[*TD*]])</f>
        <v>#N/A</v>
      </c>
    </row>
    <row r="84" spans="2:17" hidden="1" x14ac:dyDescent="0.35">
      <c r="B84" s="6" t="s">
        <v>342</v>
      </c>
      <c r="C84" s="97" t="s">
        <v>51</v>
      </c>
      <c r="D84" s="97" t="s">
        <v>399</v>
      </c>
      <c r="E84" s="23" t="str" cm="1">
        <f t="array" ref="E84">_xlfn.XLOOKUP(Table1178213[[#This Row],[Team]],Table4334[Team],'2425'!$C$3:$C$34)</f>
        <v>n/a</v>
      </c>
      <c r="F84" s="97" t="str">
        <f>'2025'!$E$29</f>
        <v>n/a</v>
      </c>
      <c r="G84" s="94" t="e" cm="1">
        <f t="array" ref="G84">_xlfn.XLOOKUP(Table1178213[[#This Row],[Opp]],Table1[DEF],'2025'!$H$3:$H$34)</f>
        <v>#N/A</v>
      </c>
      <c r="H84" s="94" t="e" cm="1">
        <f t="array" ref="H84">_xlfn.XLOOKUP(Table1178213[[#This Row],[Opp]],Table1[DEF],'2025'!$I$3:$I$34)</f>
        <v>#N/A</v>
      </c>
      <c r="I84" s="94" t="e" cm="1">
        <f t="array" ref="I84">_xlfn.XLOOKUP(Table1178213[[#This Row],[Opp]],Table1[DEF],'2025'!$J$3:$J$34)</f>
        <v>#N/A</v>
      </c>
      <c r="J84" s="94" t="e" cm="1">
        <f t="array" ref="J84">_xlfn.XLOOKUP(Table1178213[[#This Row],[Opp]],Table1[DEF],'2025'!$K$3:$K$34)</f>
        <v>#N/A</v>
      </c>
      <c r="K84" s="94" t="e" cm="1">
        <f t="array" ref="K84">_xlfn.XLOOKUP(Table1178213[[#This Row],[Opp]],Table1[DEF],'2025'!$L$3:$L$34)</f>
        <v>#N/A</v>
      </c>
      <c r="L84" s="95" t="e">
        <f>_xlfn.XLOOKUP(Table1178213[[#This Row],[Opp]],Table1[DEF],Table1[P])</f>
        <v>#N/A</v>
      </c>
      <c r="M84" s="95" t="e">
        <f>_xlfn.XLOOKUP(Table1178213[[#This Row],[Opp]],Table1[DEF],Table1[R])</f>
        <v>#N/A</v>
      </c>
      <c r="N84" s="95" t="e">
        <f>_xlfn.XLOOKUP(Table1178213[[#This Row],[Opp]],Table1[DEF],Table1[P+R])</f>
        <v>#N/A</v>
      </c>
      <c r="O84" s="96" t="e">
        <f>_xlfn.XLOOKUP(Table1178213[[#This Row],[Opp]],Table1[DEF],Table1[P TD])</f>
        <v>#N/A</v>
      </c>
      <c r="P84" s="96" t="e">
        <f>_xlfn.XLOOKUP(Table1178213[[#This Row],[Opp]],Table1[DEF],Table1[TD])</f>
        <v>#N/A</v>
      </c>
      <c r="Q84" s="94" t="e">
        <f>AVERAGE(Table1178213[[#This Row],[*P*]:[*TD*]])</f>
        <v>#N/A</v>
      </c>
    </row>
    <row r="85" spans="2:17" hidden="1" x14ac:dyDescent="0.35">
      <c r="B85" s="6" t="s">
        <v>460</v>
      </c>
      <c r="C85" s="97" t="s">
        <v>56</v>
      </c>
      <c r="D85" s="97" t="s">
        <v>405</v>
      </c>
      <c r="E85" s="23" t="str" cm="1">
        <f t="array" ref="E85">_xlfn.XLOOKUP(Table1178213[[#This Row],[Team]],Table4334[Team],'2425'!$C$3:$C$34)</f>
        <v>n/a</v>
      </c>
      <c r="F85" s="97" t="str">
        <f>'2025'!$E$34</f>
        <v>n/a</v>
      </c>
      <c r="G85" s="94" t="e" cm="1">
        <f t="array" ref="G85">_xlfn.XLOOKUP(Table1178213[[#This Row],[Opp]],Table1[DEF],'2025'!$H$3:$H$34)</f>
        <v>#N/A</v>
      </c>
      <c r="H85" s="94" t="e" cm="1">
        <f t="array" ref="H85">_xlfn.XLOOKUP(Table1178213[[#This Row],[Opp]],Table1[DEF],'2025'!$I$3:$I$34)</f>
        <v>#N/A</v>
      </c>
      <c r="I85" s="94" t="e" cm="1">
        <f t="array" ref="I85">_xlfn.XLOOKUP(Table1178213[[#This Row],[Opp]],Table1[DEF],'2025'!$J$3:$J$34)</f>
        <v>#N/A</v>
      </c>
      <c r="J85" s="94" t="e" cm="1">
        <f t="array" ref="J85">_xlfn.XLOOKUP(Table1178213[[#This Row],[Opp]],Table1[DEF],'2025'!$K$3:$K$34)</f>
        <v>#N/A</v>
      </c>
      <c r="K85" s="94" t="e" cm="1">
        <f t="array" ref="K85">_xlfn.XLOOKUP(Table1178213[[#This Row],[Opp]],Table1[DEF],'2025'!$L$3:$L$34)</f>
        <v>#N/A</v>
      </c>
      <c r="L85" s="95" t="e">
        <f>_xlfn.XLOOKUP(Table1178213[[#This Row],[Opp]],Table1[DEF],Table1[P])</f>
        <v>#N/A</v>
      </c>
      <c r="M85" s="95" t="e">
        <f>_xlfn.XLOOKUP(Table1178213[[#This Row],[Opp]],Table1[DEF],Table1[R])</f>
        <v>#N/A</v>
      </c>
      <c r="N85" s="95" t="e">
        <f>_xlfn.XLOOKUP(Table1178213[[#This Row],[Opp]],Table1[DEF],Table1[P+R])</f>
        <v>#N/A</v>
      </c>
      <c r="O85" s="96" t="e">
        <f>_xlfn.XLOOKUP(Table1178213[[#This Row],[Opp]],Table1[DEF],Table1[P TD])</f>
        <v>#N/A</v>
      </c>
      <c r="P85" s="96" t="e">
        <f>_xlfn.XLOOKUP(Table1178213[[#This Row],[Opp]],Table1[DEF],Table1[TD])</f>
        <v>#N/A</v>
      </c>
      <c r="Q85" s="94" t="e">
        <f>AVERAGE(Table1178213[[#This Row],[*P*]:[*TD*]])</f>
        <v>#N/A</v>
      </c>
    </row>
    <row r="86" spans="2:17" hidden="1" x14ac:dyDescent="0.35">
      <c r="B86" s="6" t="s">
        <v>317</v>
      </c>
      <c r="C86" s="97" t="s">
        <v>56</v>
      </c>
      <c r="D86" s="97" t="s">
        <v>425</v>
      </c>
      <c r="E86" s="23" t="str" cm="1">
        <f t="array" ref="E86">_xlfn.XLOOKUP(Table1178213[[#This Row],[Team]],Table4334[Team],'2425'!$C$3:$C$34)</f>
        <v>n/a</v>
      </c>
      <c r="F86" s="97" t="str">
        <f>'2025'!$E$34</f>
        <v>n/a</v>
      </c>
      <c r="G86" s="94" t="e" cm="1">
        <f t="array" ref="G86">_xlfn.XLOOKUP(Table1178213[[#This Row],[Opp]],Table1[DEF],'2025'!$H$3:$H$34)</f>
        <v>#N/A</v>
      </c>
      <c r="H86" s="94" t="e" cm="1">
        <f t="array" ref="H86">_xlfn.XLOOKUP(Table1178213[[#This Row],[Opp]],Table1[DEF],'2025'!$I$3:$I$34)</f>
        <v>#N/A</v>
      </c>
      <c r="I86" s="94" t="e" cm="1">
        <f t="array" ref="I86">_xlfn.XLOOKUP(Table1178213[[#This Row],[Opp]],Table1[DEF],'2025'!$J$3:$J$34)</f>
        <v>#N/A</v>
      </c>
      <c r="J86" s="94" t="e" cm="1">
        <f t="array" ref="J86">_xlfn.XLOOKUP(Table1178213[[#This Row],[Opp]],Table1[DEF],'2025'!$K$3:$K$34)</f>
        <v>#N/A</v>
      </c>
      <c r="K86" s="94" t="e" cm="1">
        <f t="array" ref="K86">_xlfn.XLOOKUP(Table1178213[[#This Row],[Opp]],Table1[DEF],'2025'!$L$3:$L$34)</f>
        <v>#N/A</v>
      </c>
      <c r="L86" s="95" t="e">
        <f>_xlfn.XLOOKUP(Table1178213[[#This Row],[Opp]],Table1[DEF],Table1[P])</f>
        <v>#N/A</v>
      </c>
      <c r="M86" s="95" t="e">
        <f>_xlfn.XLOOKUP(Table1178213[[#This Row],[Opp]],Table1[DEF],Table1[R])</f>
        <v>#N/A</v>
      </c>
      <c r="N86" s="95" t="e">
        <f>_xlfn.XLOOKUP(Table1178213[[#This Row],[Opp]],Table1[DEF],Table1[P+R])</f>
        <v>#N/A</v>
      </c>
      <c r="O86" s="96" t="e">
        <f>_xlfn.XLOOKUP(Table1178213[[#This Row],[Opp]],Table1[DEF],Table1[P TD])</f>
        <v>#N/A</v>
      </c>
      <c r="P86" s="96" t="e">
        <f>_xlfn.XLOOKUP(Table1178213[[#This Row],[Opp]],Table1[DEF],Table1[TD])</f>
        <v>#N/A</v>
      </c>
      <c r="Q86" s="94" t="e">
        <f>AVERAGE(Table1178213[[#This Row],[*P*]:[*TD*]])</f>
        <v>#N/A</v>
      </c>
    </row>
  </sheetData>
  <conditionalFormatting sqref="C2:C86">
    <cfRule type="cellIs" dxfId="3248" priority="37" operator="equal">
      <formula>"TB"</formula>
    </cfRule>
    <cfRule type="cellIs" dxfId="3247" priority="44" operator="equal">
      <formula>"JAX"</formula>
    </cfRule>
    <cfRule type="cellIs" dxfId="3246" priority="45" operator="equal">
      <formula>"CHI"</formula>
    </cfRule>
    <cfRule type="cellIs" dxfId="3245" priority="46" operator="equal">
      <formula>"MIA"</formula>
    </cfRule>
    <cfRule type="cellIs" dxfId="3244" priority="47" operator="equal">
      <formula>"DET"</formula>
    </cfRule>
    <cfRule type="cellIs" dxfId="3243" priority="48" operator="equal">
      <formula>"SF"</formula>
    </cfRule>
    <cfRule type="cellIs" dxfId="3242" priority="49" operator="equal">
      <formula>"WAS"</formula>
    </cfRule>
    <cfRule type="cellIs" dxfId="3241" priority="50" operator="equal">
      <formula>"GB"</formula>
    </cfRule>
    <cfRule type="cellIs" dxfId="3240" priority="27" operator="equal">
      <formula>"BYE"</formula>
    </cfRule>
    <cfRule type="cellIs" dxfId="3239" priority="51" operator="equal">
      <formula>"DAL"</formula>
    </cfRule>
    <cfRule type="cellIs" dxfId="3238" priority="52" operator="equal">
      <formula>"CIN"</formula>
    </cfRule>
    <cfRule type="cellIs" dxfId="3237" priority="53" operator="equal">
      <formula>"ARI"</formula>
    </cfRule>
    <cfRule type="cellIs" dxfId="3236" priority="54" operator="equal">
      <formula>"HOU"</formula>
    </cfRule>
    <cfRule type="cellIs" dxfId="3235" priority="55" operator="equal">
      <formula>"IND"</formula>
    </cfRule>
    <cfRule type="cellIs" dxfId="3234" priority="56" operator="equal">
      <formula>"KC"</formula>
    </cfRule>
    <cfRule type="cellIs" dxfId="3233" priority="57" operator="equal">
      <formula>"BAL"</formula>
    </cfRule>
    <cfRule type="cellIs" dxfId="3232" priority="58" operator="equal">
      <formula>"PHI"</formula>
    </cfRule>
    <cfRule type="cellIs" dxfId="3231" priority="28" operator="equal">
      <formula>"LV"</formula>
    </cfRule>
    <cfRule type="cellIs" dxfId="3230" priority="29" operator="equal">
      <formula>"NE"</formula>
    </cfRule>
    <cfRule type="cellIs" dxfId="3229" priority="30" operator="equal">
      <formula>"MIN"</formula>
    </cfRule>
    <cfRule type="cellIs" dxfId="3228" priority="31" operator="equal">
      <formula>"PIT"</formula>
    </cfRule>
    <cfRule type="cellIs" dxfId="3227" priority="32" operator="equal">
      <formula>"DEN"</formula>
    </cfRule>
    <cfRule type="cellIs" dxfId="3226" priority="33" operator="equal">
      <formula>"CAR"</formula>
    </cfRule>
    <cfRule type="cellIs" dxfId="3225" priority="34" operator="equal">
      <formula>"NYG"</formula>
    </cfRule>
    <cfRule type="cellIs" dxfId="3224" priority="35" operator="equal">
      <formula>"NO"</formula>
    </cfRule>
    <cfRule type="cellIs" dxfId="3223" priority="36" operator="equal">
      <formula>"TEN"</formula>
    </cfRule>
    <cfRule type="cellIs" dxfId="3222" priority="59" operator="equal">
      <formula>"BUF"</formula>
    </cfRule>
    <cfRule type="cellIs" dxfId="3221" priority="38" operator="equal">
      <formula>"CLE"</formula>
    </cfRule>
    <cfRule type="cellIs" dxfId="3220" priority="39" operator="equal">
      <formula>"NYJ"</formula>
    </cfRule>
    <cfRule type="cellIs" dxfId="3219" priority="40" operator="equal">
      <formula>"SEA"</formula>
    </cfRule>
    <cfRule type="cellIs" dxfId="3218" priority="41" operator="equal">
      <formula>"LAC"</formula>
    </cfRule>
    <cfRule type="cellIs" dxfId="3217" priority="42" operator="equal">
      <formula>"LAR"</formula>
    </cfRule>
    <cfRule type="cellIs" dxfId="3216" priority="43" operator="equal">
      <formula>"ATL"</formula>
    </cfRule>
  </conditionalFormatting>
  <conditionalFormatting sqref="D2:D86">
    <cfRule type="cellIs" dxfId="3215" priority="99" operator="equal">
      <formula>"RB5"</formula>
    </cfRule>
    <cfRule type="cellIs" dxfId="3214" priority="108" operator="equal">
      <formula>"QB3"</formula>
    </cfRule>
    <cfRule type="cellIs" dxfId="3213" priority="109" operator="equal">
      <formula>"TE2"</formula>
    </cfRule>
    <cfRule type="cellIs" dxfId="3212" priority="110" operator="equal">
      <formula>"WR2"</formula>
    </cfRule>
    <cfRule type="cellIs" dxfId="3211" priority="111" operator="equal">
      <formula>"RB2"</formula>
    </cfRule>
    <cfRule type="cellIs" dxfId="3210" priority="112" operator="equal">
      <formula>"QB2"</formula>
    </cfRule>
    <cfRule type="cellIs" dxfId="3209" priority="113" operator="equal">
      <formula>"TE1"</formula>
    </cfRule>
    <cfRule type="cellIs" dxfId="3208" priority="98" operator="equal">
      <formula>"WR5"</formula>
    </cfRule>
    <cfRule type="cellIs" dxfId="3207" priority="97" operator="equal">
      <formula>"TE5"</formula>
    </cfRule>
    <cfRule type="cellIs" dxfId="3206" priority="96" operator="equal">
      <formula>"WR6"</formula>
    </cfRule>
    <cfRule type="cellIs" dxfId="3205" priority="95" operator="equal">
      <formula>"WR7"</formula>
    </cfRule>
    <cfRule type="cellIs" dxfId="3204" priority="114" operator="equal">
      <formula>"WR1"</formula>
    </cfRule>
    <cfRule type="cellIs" dxfId="3203" priority="94" operator="equal">
      <formula>"WR8"</formula>
    </cfRule>
    <cfRule type="cellIs" dxfId="3202" priority="93" operator="equal">
      <formula>"WR9"</formula>
    </cfRule>
    <cfRule type="cellIs" dxfId="3201" priority="115" operator="equal">
      <formula>"RB1"</formula>
    </cfRule>
    <cfRule type="cellIs" dxfId="3200" priority="105" operator="equal">
      <formula>"TE3"</formula>
    </cfRule>
    <cfRule type="cellIs" dxfId="3199" priority="116" operator="equal">
      <formula>"QB1"</formula>
    </cfRule>
    <cfRule type="cellIs" dxfId="3198" priority="100" operator="equal">
      <formula>"QB5"</formula>
    </cfRule>
    <cfRule type="cellIs" dxfId="3197" priority="101" operator="equal">
      <formula>"TE4"</formula>
    </cfRule>
    <cfRule type="cellIs" dxfId="3196" priority="102" operator="equal">
      <formula>"WR4"</formula>
    </cfRule>
    <cfRule type="cellIs" dxfId="3195" priority="103" operator="equal">
      <formula>"RB4"</formula>
    </cfRule>
    <cfRule type="cellIs" dxfId="3194" priority="104" operator="equal">
      <formula>"QB4"</formula>
    </cfRule>
    <cfRule type="cellIs" dxfId="3193" priority="106" operator="equal">
      <formula>"WR3"</formula>
    </cfRule>
    <cfRule type="cellIs" dxfId="3192" priority="107" operator="equal">
      <formula>"RB3"</formula>
    </cfRule>
  </conditionalFormatting>
  <conditionalFormatting sqref="E2:E86">
    <cfRule type="cellIs" dxfId="3191" priority="3" operator="equal">
      <formula>"snf"</formula>
    </cfRule>
    <cfRule type="cellIs" dxfId="3190" priority="4" operator="equal">
      <formula>"mnf"</formula>
    </cfRule>
    <cfRule type="cellIs" dxfId="3189" priority="5" operator="equal">
      <formula>"pm"</formula>
    </cfRule>
    <cfRule type="cellIs" dxfId="3188" priority="6" operator="equal">
      <formula>"am"</formula>
    </cfRule>
    <cfRule type="cellIs" dxfId="3187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3186" priority="1" operator="equal">
      <formula>"FRI"</formula>
    </cfRule>
    <cfRule type="cellIs" dxfId="3185" priority="2" operator="equal">
      <formula>"bye"</formula>
    </cfRule>
  </conditionalFormatting>
  <conditionalFormatting sqref="F2:F86">
    <cfRule type="cellIs" dxfId="3184" priority="77" operator="equal">
      <formula>"JAX"</formula>
    </cfRule>
    <cfRule type="cellIs" dxfId="3183" priority="78" operator="equal">
      <formula>"CHI"</formula>
    </cfRule>
    <cfRule type="cellIs" dxfId="3182" priority="79" operator="equal">
      <formula>"MIA"</formula>
    </cfRule>
    <cfRule type="cellIs" dxfId="3181" priority="80" operator="equal">
      <formula>"DET"</formula>
    </cfRule>
    <cfRule type="cellIs" dxfId="3180" priority="81" operator="equal">
      <formula>"SF"</formula>
    </cfRule>
    <cfRule type="cellIs" dxfId="3179" priority="82" operator="equal">
      <formula>"WAS"</formula>
    </cfRule>
    <cfRule type="cellIs" dxfId="3178" priority="83" operator="equal">
      <formula>"GB"</formula>
    </cfRule>
    <cfRule type="cellIs" dxfId="3177" priority="84" operator="equal">
      <formula>"DAL"</formula>
    </cfRule>
    <cfRule type="cellIs" dxfId="3176" priority="85" operator="equal">
      <formula>"CIN"</formula>
    </cfRule>
    <cfRule type="cellIs" dxfId="3175" priority="86" operator="equal">
      <formula>"ARI"</formula>
    </cfRule>
    <cfRule type="cellIs" dxfId="3174" priority="87" operator="equal">
      <formula>"HOU"</formula>
    </cfRule>
    <cfRule type="cellIs" dxfId="3173" priority="88" operator="equal">
      <formula>"IND"</formula>
    </cfRule>
    <cfRule type="cellIs" dxfId="3172" priority="89" operator="equal">
      <formula>"KC"</formula>
    </cfRule>
    <cfRule type="cellIs" dxfId="3171" priority="90" operator="equal">
      <formula>"BAL"</formula>
    </cfRule>
    <cfRule type="cellIs" dxfId="3170" priority="91" operator="equal">
      <formula>"PHI"</formula>
    </cfRule>
    <cfRule type="cellIs" dxfId="3169" priority="60" operator="equal">
      <formula>"BYE"</formula>
    </cfRule>
    <cfRule type="cellIs" dxfId="3168" priority="61" operator="equal">
      <formula>"LV"</formula>
    </cfRule>
    <cfRule type="cellIs" dxfId="3167" priority="62" operator="equal">
      <formula>"NE"</formula>
    </cfRule>
    <cfRule type="cellIs" dxfId="3166" priority="63" operator="equal">
      <formula>"MIN"</formula>
    </cfRule>
    <cfRule type="cellIs" dxfId="3165" priority="64" operator="equal">
      <formula>"PIT"</formula>
    </cfRule>
    <cfRule type="cellIs" dxfId="3164" priority="65" operator="equal">
      <formula>"DEN"</formula>
    </cfRule>
    <cfRule type="cellIs" dxfId="3163" priority="92" operator="equal">
      <formula>"BUF"</formula>
    </cfRule>
    <cfRule type="cellIs" dxfId="3162" priority="66" operator="equal">
      <formula>"CAR"</formula>
    </cfRule>
    <cfRule type="cellIs" dxfId="3161" priority="67" operator="equal">
      <formula>"NYG"</formula>
    </cfRule>
    <cfRule type="cellIs" dxfId="3160" priority="68" operator="equal">
      <formula>"NO"</formula>
    </cfRule>
    <cfRule type="cellIs" dxfId="3159" priority="69" operator="equal">
      <formula>"TEN"</formula>
    </cfRule>
    <cfRule type="cellIs" dxfId="3158" priority="70" operator="equal">
      <formula>"TB"</formula>
    </cfRule>
    <cfRule type="cellIs" dxfId="3157" priority="71" operator="equal">
      <formula>"CLE"</formula>
    </cfRule>
    <cfRule type="cellIs" dxfId="3156" priority="72" operator="equal">
      <formula>"NYJ"</formula>
    </cfRule>
    <cfRule type="cellIs" dxfId="3155" priority="73" operator="equal">
      <formula>"SEA"</formula>
    </cfRule>
    <cfRule type="cellIs" dxfId="3154" priority="74" operator="equal">
      <formula>"LAC"</formula>
    </cfRule>
    <cfRule type="cellIs" dxfId="3153" priority="75" operator="equal">
      <formula>"LAR"</formula>
    </cfRule>
    <cfRule type="cellIs" dxfId="3152" priority="76" operator="equal">
      <formula>"ATL"</formula>
    </cfRule>
  </conditionalFormatting>
  <conditionalFormatting sqref="G2:K86">
    <cfRule type="colorScale" priority="1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86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verticalCentered="1"/>
  <pageMargins left="0" right="0" top="0.25" bottom="0.25" header="0.05" footer="0.05"/>
  <pageSetup paperSize="3" scale="69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16A6AF3B-2C64-43C0-9B90-817F301C51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E2:E86</xm:sqref>
        </x14:conditionalFormatting>
        <x14:conditionalFormatting xmlns:xm="http://schemas.microsoft.com/office/excel/2006/main">
          <x14:cfRule type="iconSet" priority="129" id="{350239D6-652D-4D06-B066-8C5B6C96755E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G2:K86</xm:sqref>
        </x14:conditionalFormatting>
        <x14:conditionalFormatting xmlns:xm="http://schemas.microsoft.com/office/excel/2006/main">
          <x14:cfRule type="iconSet" priority="14" id="{658EFE43-DB51-4225-B74C-0A6DB19B503E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Q2:Q86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1FE2-0F32-4C11-BB1E-12C0E65D18CD}">
  <sheetPr>
    <tabColor theme="3" tint="0.89999084444715716"/>
    <pageSetUpPr fitToPage="1"/>
  </sheetPr>
  <dimension ref="B1:Q86"/>
  <sheetViews>
    <sheetView zoomScale="115" zoomScaleNormal="115" workbookViewId="0">
      <selection activeCell="B28" sqref="B28"/>
    </sheetView>
  </sheetViews>
  <sheetFormatPr defaultRowHeight="14.5" x14ac:dyDescent="0.35"/>
  <cols>
    <col min="1" max="1" width="1.6328125" customWidth="1"/>
    <col min="2" max="2" width="13.179687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8" width="7.453125" bestFit="1" customWidth="1"/>
    <col min="9" max="9" width="9" bestFit="1" customWidth="1"/>
    <col min="10" max="10" width="9.26953125" bestFit="1" customWidth="1"/>
    <col min="11" max="11" width="8.1796875" bestFit="1" customWidth="1"/>
    <col min="12" max="13" width="6" bestFit="1" customWidth="1"/>
    <col min="14" max="14" width="7.54296875" bestFit="1" customWidth="1"/>
    <col min="15" max="15" width="7.81640625" bestFit="1" customWidth="1"/>
    <col min="16" max="16" width="6.7265625" bestFit="1" customWidth="1"/>
    <col min="17" max="17" width="6.90625" bestFit="1" customWidth="1"/>
  </cols>
  <sheetData>
    <row r="1" spans="2:17" ht="15" thickBot="1" x14ac:dyDescent="0.4">
      <c r="B1" s="91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1" t="s">
        <v>659</v>
      </c>
      <c r="H1" s="91" t="s">
        <v>655</v>
      </c>
      <c r="I1" s="91" t="s">
        <v>660</v>
      </c>
      <c r="J1" s="91" t="s">
        <v>661</v>
      </c>
      <c r="K1" s="91" t="s">
        <v>653</v>
      </c>
      <c r="L1" s="107" t="s">
        <v>73</v>
      </c>
      <c r="M1" s="107" t="s">
        <v>74</v>
      </c>
      <c r="N1" s="107" t="s">
        <v>96</v>
      </c>
      <c r="O1" s="107" t="s">
        <v>19</v>
      </c>
      <c r="P1" s="107" t="s">
        <v>72</v>
      </c>
      <c r="Q1" s="107" t="s">
        <v>649</v>
      </c>
    </row>
    <row r="2" spans="2:17" hidden="1" x14ac:dyDescent="0.35">
      <c r="B2" s="6" t="s">
        <v>367</v>
      </c>
      <c r="C2" s="97" t="s">
        <v>54</v>
      </c>
      <c r="D2" s="97" t="s">
        <v>399</v>
      </c>
      <c r="E2" s="23" t="str" cm="1">
        <f t="array" ref="E2">_xlfn.XLOOKUP(Table117821342[[#This Row],[Team]],Table4334[Team],'2425'!$C$3:$C$34)</f>
        <v>n/a</v>
      </c>
      <c r="F2" s="97" t="str">
        <f>'2025'!$E$32</f>
        <v>n/a</v>
      </c>
      <c r="G2" s="94" t="e" cm="1">
        <f t="array" ref="G2">_xlfn.XLOOKUP(Table117821342[[#This Row],[Opp]],Table123[DEF],'2425'!$H$3:$H$34)</f>
        <v>#N/A</v>
      </c>
      <c r="H2" s="94" t="e" cm="1">
        <f t="array" ref="H2">_xlfn.XLOOKUP(Table117821342[[#This Row],[Opp]],Table123[DEF],'2425'!$I$3:$I$34)</f>
        <v>#N/A</v>
      </c>
      <c r="I2" s="94" t="e" cm="1">
        <f t="array" ref="I2">_xlfn.XLOOKUP(Table117821342[[#This Row],[Opp]],Table123[DEF],'2425'!$J$3:$J$34)</f>
        <v>#N/A</v>
      </c>
      <c r="J2" s="94" t="e" cm="1">
        <f t="array" ref="J2">_xlfn.XLOOKUP(Table117821342[[#This Row],[Opp]],Table123[DEF],'2425'!$K$3:$K$34)</f>
        <v>#N/A</v>
      </c>
      <c r="K2" s="94" t="e" cm="1">
        <f t="array" ref="K2">_xlfn.XLOOKUP(Table117821342[[#This Row],[Opp]],Table123[DEF],'2425'!$L$3:$L$34)</f>
        <v>#N/A</v>
      </c>
      <c r="L2" s="95" t="e">
        <f>_xlfn.XLOOKUP(Table117821342[[#This Row],[Opp]],Table123[DEF],Table123[P])</f>
        <v>#N/A</v>
      </c>
      <c r="M2" s="95" t="e">
        <f>_xlfn.XLOOKUP(Table117821342[[#This Row],[Opp]],Table123[DEF],Table123[R])</f>
        <v>#N/A</v>
      </c>
      <c r="N2" s="95" t="e">
        <f>_xlfn.XLOOKUP(Table117821342[[#This Row],[Opp]],Table123[DEF],Table123[P+R])</f>
        <v>#N/A</v>
      </c>
      <c r="O2" s="96" t="e">
        <f>_xlfn.XLOOKUP(Table117821342[[#This Row],[Opp]],Table123[DEF],Table123[P TD])</f>
        <v>#N/A</v>
      </c>
      <c r="P2" s="96" t="e">
        <f>_xlfn.XLOOKUP(Table117821342[[#This Row],[Opp]],Table123[DEF],Table123[TD])</f>
        <v>#N/A</v>
      </c>
      <c r="Q2" s="94" t="e">
        <f>AVERAGE(Table117821342[[#This Row],[*P*]:[*TD*]])</f>
        <v>#N/A</v>
      </c>
    </row>
    <row r="3" spans="2:17" hidden="1" x14ac:dyDescent="0.35">
      <c r="B3" s="6" t="s">
        <v>553</v>
      </c>
      <c r="C3" s="97" t="s">
        <v>0</v>
      </c>
      <c r="D3" s="97" t="s">
        <v>405</v>
      </c>
      <c r="E3" s="23" t="str" cm="1">
        <f t="array" ref="E3">_xlfn.XLOOKUP(Table117821342[[#This Row],[Team]],Table4334[Team],'2425'!$C$3:$C$34)</f>
        <v>n/a</v>
      </c>
      <c r="F3" s="97" t="str">
        <f>'2025'!$E$3</f>
        <v>n/a</v>
      </c>
      <c r="G3" s="94" t="e" cm="1">
        <f t="array" ref="G3">_xlfn.XLOOKUP(Table117821342[[#This Row],[Opp]],Table123[DEF],'2425'!$H$3:$H$34)</f>
        <v>#N/A</v>
      </c>
      <c r="H3" s="94" t="e" cm="1">
        <f t="array" ref="H3">_xlfn.XLOOKUP(Table117821342[[#This Row],[Opp]],Table123[DEF],'2425'!$I$3:$I$34)</f>
        <v>#N/A</v>
      </c>
      <c r="I3" s="94" t="e" cm="1">
        <f t="array" ref="I3">_xlfn.XLOOKUP(Table117821342[[#This Row],[Opp]],Table123[DEF],'2425'!$J$3:$J$34)</f>
        <v>#N/A</v>
      </c>
      <c r="J3" s="94" t="e" cm="1">
        <f t="array" ref="J3">_xlfn.XLOOKUP(Table117821342[[#This Row],[Opp]],Table123[DEF],'2425'!$K$3:$K$34)</f>
        <v>#N/A</v>
      </c>
      <c r="K3" s="94" t="e" cm="1">
        <f t="array" ref="K3">_xlfn.XLOOKUP(Table117821342[[#This Row],[Opp]],Table123[DEF],'2425'!$L$3:$L$34)</f>
        <v>#N/A</v>
      </c>
      <c r="L3" s="95" t="e">
        <f>_xlfn.XLOOKUP(Table117821342[[#This Row],[Opp]],Table123[DEF],Table123[P])</f>
        <v>#N/A</v>
      </c>
      <c r="M3" s="95" t="e">
        <f>_xlfn.XLOOKUP(Table117821342[[#This Row],[Opp]],Table123[DEF],Table123[R])</f>
        <v>#N/A</v>
      </c>
      <c r="N3" s="95" t="e">
        <f>_xlfn.XLOOKUP(Table117821342[[#This Row],[Opp]],Table123[DEF],Table123[P+R])</f>
        <v>#N/A</v>
      </c>
      <c r="O3" s="96" t="e">
        <f>_xlfn.XLOOKUP(Table117821342[[#This Row],[Opp]],Table123[DEF],Table123[P TD])</f>
        <v>#N/A</v>
      </c>
      <c r="P3" s="96" t="e">
        <f>_xlfn.XLOOKUP(Table117821342[[#This Row],[Opp]],Table123[DEF],Table123[TD])</f>
        <v>#N/A</v>
      </c>
      <c r="Q3" s="94" t="e">
        <f>AVERAGE(Table117821342[[#This Row],[*P*]:[*TD*]])</f>
        <v>#N/A</v>
      </c>
    </row>
    <row r="4" spans="2:17" x14ac:dyDescent="0.35">
      <c r="B4" s="6" t="s">
        <v>350</v>
      </c>
      <c r="C4" s="97" t="s">
        <v>52</v>
      </c>
      <c r="D4" s="97" t="s">
        <v>399</v>
      </c>
      <c r="E4" s="23" t="str" cm="1">
        <f t="array" ref="E4">_xlfn.XLOOKUP(Table117821342[[#This Row],[Team]],Table4334[Team],'2425'!$C$3:$C$34)</f>
        <v>SB LX</v>
      </c>
      <c r="F4" s="97" t="str">
        <f>'2025'!$E$30</f>
        <v>NE</v>
      </c>
      <c r="G4" s="94" cm="1">
        <f t="array" ref="G4">_xlfn.XLOOKUP(Table117821342[[#This Row],[Opp]],Table123[DEF],'2425'!$H$3:$H$34)</f>
        <v>27</v>
      </c>
      <c r="H4" s="94" cm="1">
        <f t="array" ref="H4">_xlfn.XLOOKUP(Table117821342[[#This Row],[Opp]],Table123[DEF],'2425'!$I$3:$I$34)</f>
        <v>28</v>
      </c>
      <c r="I4" s="94" cm="1">
        <f t="array" ref="I4">_xlfn.XLOOKUP(Table117821342[[#This Row],[Opp]],Table123[DEF],'2425'!$J$3:$J$34)</f>
        <v>30</v>
      </c>
      <c r="J4" s="94" cm="1">
        <f t="array" ref="J4">_xlfn.XLOOKUP(Table117821342[[#This Row],[Opp]],Table123[DEF],'2425'!$K$3:$K$34)</f>
        <v>13.5</v>
      </c>
      <c r="K4" s="94" cm="1">
        <f t="array" ref="K4">_xlfn.XLOOKUP(Table117821342[[#This Row],[Opp]],Table123[DEF],'2425'!$L$3:$L$34)</f>
        <v>31</v>
      </c>
      <c r="L4" s="95">
        <f>_xlfn.XLOOKUP(Table117821342[[#This Row],[Opp]],Table123[DEF],Table123[P])</f>
        <v>213.55882352941177</v>
      </c>
      <c r="M4" s="95">
        <f>_xlfn.XLOOKUP(Table117821342[[#This Row],[Opp]],Table123[DEF],Table123[R])</f>
        <v>14.941176470588236</v>
      </c>
      <c r="N4" s="95">
        <f>_xlfn.XLOOKUP(Table117821342[[#This Row],[Opp]],Table123[DEF],Table123[P+R])</f>
        <v>228.5</v>
      </c>
      <c r="O4" s="96">
        <f>_xlfn.XLOOKUP(Table117821342[[#This Row],[Opp]],Table123[DEF],Table123[P TD])</f>
        <v>1.5294117647058822</v>
      </c>
      <c r="P4" s="96">
        <f>_xlfn.XLOOKUP(Table117821342[[#This Row],[Opp]],Table123[DEF],Table123[TD])</f>
        <v>5.8823529411764705E-2</v>
      </c>
      <c r="Q4" s="94">
        <f>AVERAGE(Table117821342[[#This Row],[*P*]:[*TD*]])</f>
        <v>25.9</v>
      </c>
    </row>
    <row r="5" spans="2:17" hidden="1" x14ac:dyDescent="0.35">
      <c r="B5" s="6" t="s">
        <v>244</v>
      </c>
      <c r="C5" s="97" t="s">
        <v>40</v>
      </c>
      <c r="D5" s="97" t="s">
        <v>405</v>
      </c>
      <c r="E5" s="23" t="str" cm="1">
        <f t="array" ref="E5">_xlfn.XLOOKUP(Table117821342[[#This Row],[Team]],Table4334[Team],'2425'!$C$3:$C$34)</f>
        <v>n/a</v>
      </c>
      <c r="F5" s="97" t="str">
        <f>'2025'!$E$18</f>
        <v>n/a</v>
      </c>
      <c r="G5" s="94" t="e" cm="1">
        <f t="array" ref="G5">_xlfn.XLOOKUP(Table117821342[[#This Row],[Opp]],Table123[DEF],'2425'!$H$3:$H$34)</f>
        <v>#N/A</v>
      </c>
      <c r="H5" s="94" t="e" cm="1">
        <f t="array" ref="H5">_xlfn.XLOOKUP(Table117821342[[#This Row],[Opp]],Table123[DEF],'2425'!$I$3:$I$34)</f>
        <v>#N/A</v>
      </c>
      <c r="I5" s="94" t="e" cm="1">
        <f t="array" ref="I5">_xlfn.XLOOKUP(Table117821342[[#This Row],[Opp]],Table123[DEF],'2425'!$J$3:$J$34)</f>
        <v>#N/A</v>
      </c>
      <c r="J5" s="94" t="e" cm="1">
        <f t="array" ref="J5">_xlfn.XLOOKUP(Table117821342[[#This Row],[Opp]],Table123[DEF],'2425'!$K$3:$K$34)</f>
        <v>#N/A</v>
      </c>
      <c r="K5" s="94" t="e" cm="1">
        <f t="array" ref="K5">_xlfn.XLOOKUP(Table117821342[[#This Row],[Opp]],Table123[DEF],'2425'!$L$3:$L$34)</f>
        <v>#N/A</v>
      </c>
      <c r="L5" s="95" t="e">
        <f>_xlfn.XLOOKUP(Table117821342[[#This Row],[Opp]],Table123[DEF],Table123[P])</f>
        <v>#N/A</v>
      </c>
      <c r="M5" s="95" t="e">
        <f>_xlfn.XLOOKUP(Table117821342[[#This Row],[Opp]],Table123[DEF],Table123[R])</f>
        <v>#N/A</v>
      </c>
      <c r="N5" s="95" t="e">
        <f>_xlfn.XLOOKUP(Table117821342[[#This Row],[Opp]],Table123[DEF],Table123[P+R])</f>
        <v>#N/A</v>
      </c>
      <c r="O5" s="96" t="e">
        <f>_xlfn.XLOOKUP(Table117821342[[#This Row],[Opp]],Table123[DEF],Table123[P TD])</f>
        <v>#N/A</v>
      </c>
      <c r="P5" s="96" t="e">
        <f>_xlfn.XLOOKUP(Table117821342[[#This Row],[Opp]],Table123[DEF],Table123[TD])</f>
        <v>#N/A</v>
      </c>
      <c r="Q5" s="94" t="e">
        <f>AVERAGE(Table117821342[[#This Row],[*P*]:[*TD*]])</f>
        <v>#N/A</v>
      </c>
    </row>
    <row r="6" spans="2:17" hidden="1" x14ac:dyDescent="0.35">
      <c r="B6" s="6" t="s">
        <v>323</v>
      </c>
      <c r="C6" s="97" t="s">
        <v>48</v>
      </c>
      <c r="D6" s="97" t="s">
        <v>399</v>
      </c>
      <c r="E6" s="23" t="str" cm="1">
        <f t="array" ref="E6">_xlfn.XLOOKUP(Table117821342[[#This Row],[Team]],Table4334[Team],'2425'!$C$3:$C$34)</f>
        <v>n/a</v>
      </c>
      <c r="F6" s="97" t="str">
        <f>'2025'!$E$26</f>
        <v>n/a</v>
      </c>
      <c r="G6" s="94" t="e" cm="1">
        <f t="array" ref="G6">_xlfn.XLOOKUP(Table117821342[[#This Row],[Opp]],Table123[DEF],'2425'!$H$3:$H$34)</f>
        <v>#N/A</v>
      </c>
      <c r="H6" s="94" t="e" cm="1">
        <f t="array" ref="H6">_xlfn.XLOOKUP(Table117821342[[#This Row],[Opp]],Table123[DEF],'2425'!$I$3:$I$34)</f>
        <v>#N/A</v>
      </c>
      <c r="I6" s="94" t="e" cm="1">
        <f t="array" ref="I6">_xlfn.XLOOKUP(Table117821342[[#This Row],[Opp]],Table123[DEF],'2425'!$J$3:$J$34)</f>
        <v>#N/A</v>
      </c>
      <c r="J6" s="94" t="e" cm="1">
        <f t="array" ref="J6">_xlfn.XLOOKUP(Table117821342[[#This Row],[Opp]],Table123[DEF],'2425'!$K$3:$K$34)</f>
        <v>#N/A</v>
      </c>
      <c r="K6" s="94" t="e" cm="1">
        <f t="array" ref="K6">_xlfn.XLOOKUP(Table117821342[[#This Row],[Opp]],Table123[DEF],'2425'!$L$3:$L$34)</f>
        <v>#N/A</v>
      </c>
      <c r="L6" s="95" t="e">
        <f>_xlfn.XLOOKUP(Table117821342[[#This Row],[Opp]],Table123[DEF],Table123[P])</f>
        <v>#N/A</v>
      </c>
      <c r="M6" s="95" t="e">
        <f>_xlfn.XLOOKUP(Table117821342[[#This Row],[Opp]],Table123[DEF],Table123[R])</f>
        <v>#N/A</v>
      </c>
      <c r="N6" s="95" t="e">
        <f>_xlfn.XLOOKUP(Table117821342[[#This Row],[Opp]],Table123[DEF],Table123[P+R])</f>
        <v>#N/A</v>
      </c>
      <c r="O6" s="96" t="e">
        <f>_xlfn.XLOOKUP(Table117821342[[#This Row],[Opp]],Table123[DEF],Table123[P TD])</f>
        <v>#N/A</v>
      </c>
      <c r="P6" s="96" t="e">
        <f>_xlfn.XLOOKUP(Table117821342[[#This Row],[Opp]],Table123[DEF],Table123[TD])</f>
        <v>#N/A</v>
      </c>
      <c r="Q6" s="94" t="e">
        <f>AVERAGE(Table117821342[[#This Row],[*P*]:[*TD*]])</f>
        <v>#N/A</v>
      </c>
    </row>
    <row r="7" spans="2:17" hidden="1" x14ac:dyDescent="0.35">
      <c r="B7" s="6" t="s">
        <v>468</v>
      </c>
      <c r="C7" s="97" t="s">
        <v>16</v>
      </c>
      <c r="D7" s="97" t="s">
        <v>405</v>
      </c>
      <c r="E7" s="23" t="str" cm="1">
        <f t="array" ref="E7">_xlfn.XLOOKUP(Table117821342[[#This Row],[Team]],Table4334[Team],'2425'!$C$3:$C$34)</f>
        <v>n/a</v>
      </c>
      <c r="F7" s="97" t="str">
        <f>'2025'!$E$5</f>
        <v>n/a</v>
      </c>
      <c r="G7" s="94" t="e" cm="1">
        <f t="array" ref="G7">_xlfn.XLOOKUP(Table117821342[[#This Row],[Opp]],Table123[DEF],'2425'!$H$3:$H$34)</f>
        <v>#N/A</v>
      </c>
      <c r="H7" s="94" t="e" cm="1">
        <f t="array" ref="H7">_xlfn.XLOOKUP(Table117821342[[#This Row],[Opp]],Table123[DEF],'2425'!$I$3:$I$34)</f>
        <v>#N/A</v>
      </c>
      <c r="I7" s="94" t="e" cm="1">
        <f t="array" ref="I7">_xlfn.XLOOKUP(Table117821342[[#This Row],[Opp]],Table123[DEF],'2425'!$J$3:$J$34)</f>
        <v>#N/A</v>
      </c>
      <c r="J7" s="94" t="e" cm="1">
        <f t="array" ref="J7">_xlfn.XLOOKUP(Table117821342[[#This Row],[Opp]],Table123[DEF],'2425'!$K$3:$K$34)</f>
        <v>#N/A</v>
      </c>
      <c r="K7" s="94" t="e" cm="1">
        <f t="array" ref="K7">_xlfn.XLOOKUP(Table117821342[[#This Row],[Opp]],Table123[DEF],'2425'!$L$3:$L$34)</f>
        <v>#N/A</v>
      </c>
      <c r="L7" s="95" t="e">
        <f>_xlfn.XLOOKUP(Table117821342[[#This Row],[Opp]],Table123[DEF],Table123[P])</f>
        <v>#N/A</v>
      </c>
      <c r="M7" s="95" t="e">
        <f>_xlfn.XLOOKUP(Table117821342[[#This Row],[Opp]],Table123[DEF],Table123[R])</f>
        <v>#N/A</v>
      </c>
      <c r="N7" s="95" t="e">
        <f>_xlfn.XLOOKUP(Table117821342[[#This Row],[Opp]],Table123[DEF],Table123[P+R])</f>
        <v>#N/A</v>
      </c>
      <c r="O7" s="96" t="e">
        <f>_xlfn.XLOOKUP(Table117821342[[#This Row],[Opp]],Table123[DEF],Table123[P TD])</f>
        <v>#N/A</v>
      </c>
      <c r="P7" s="96" t="e">
        <f>_xlfn.XLOOKUP(Table117821342[[#This Row],[Opp]],Table123[DEF],Table123[TD])</f>
        <v>#N/A</v>
      </c>
      <c r="Q7" s="94" t="e">
        <f>AVERAGE(Table117821342[[#This Row],[*P*]:[*TD*]])</f>
        <v>#N/A</v>
      </c>
    </row>
    <row r="8" spans="2:17" hidden="1" x14ac:dyDescent="0.35">
      <c r="B8" s="6" t="s">
        <v>181</v>
      </c>
      <c r="C8" s="97" t="s">
        <v>33</v>
      </c>
      <c r="D8" s="97" t="s">
        <v>399</v>
      </c>
      <c r="E8" s="23" t="str" cm="1">
        <f t="array" ref="E8">_xlfn.XLOOKUP(Table117821342[[#This Row],[Team]],Table4334[Team],'2425'!$C$3:$C$34)</f>
        <v>n/a</v>
      </c>
      <c r="F8" s="97" t="str">
        <f>'2025'!$E$11</f>
        <v>n/a</v>
      </c>
      <c r="G8" s="94" t="e" cm="1">
        <f t="array" ref="G8">_xlfn.XLOOKUP(Table117821342[[#This Row],[Opp]],Table123[DEF],'2425'!$H$3:$H$34)</f>
        <v>#N/A</v>
      </c>
      <c r="H8" s="94" t="e" cm="1">
        <f t="array" ref="H8">_xlfn.XLOOKUP(Table117821342[[#This Row],[Opp]],Table123[DEF],'2425'!$I$3:$I$34)</f>
        <v>#N/A</v>
      </c>
      <c r="I8" s="94" t="e" cm="1">
        <f t="array" ref="I8">_xlfn.XLOOKUP(Table117821342[[#This Row],[Opp]],Table123[DEF],'2425'!$J$3:$J$34)</f>
        <v>#N/A</v>
      </c>
      <c r="J8" s="94" t="e" cm="1">
        <f t="array" ref="J8">_xlfn.XLOOKUP(Table117821342[[#This Row],[Opp]],Table123[DEF],'2425'!$K$3:$K$34)</f>
        <v>#N/A</v>
      </c>
      <c r="K8" s="94" t="e" cm="1">
        <f t="array" ref="K8">_xlfn.XLOOKUP(Table117821342[[#This Row],[Opp]],Table123[DEF],'2425'!$L$3:$L$34)</f>
        <v>#N/A</v>
      </c>
      <c r="L8" s="95" t="e">
        <f>_xlfn.XLOOKUP(Table117821342[[#This Row],[Opp]],Table123[DEF],Table123[P])</f>
        <v>#N/A</v>
      </c>
      <c r="M8" s="95" t="e">
        <f>_xlfn.XLOOKUP(Table117821342[[#This Row],[Opp]],Table123[DEF],Table123[R])</f>
        <v>#N/A</v>
      </c>
      <c r="N8" s="95" t="e">
        <f>_xlfn.XLOOKUP(Table117821342[[#This Row],[Opp]],Table123[DEF],Table123[P+R])</f>
        <v>#N/A</v>
      </c>
      <c r="O8" s="96" t="e">
        <f>_xlfn.XLOOKUP(Table117821342[[#This Row],[Opp]],Table123[DEF],Table123[P TD])</f>
        <v>#N/A</v>
      </c>
      <c r="P8" s="96" t="e">
        <f>_xlfn.XLOOKUP(Table117821342[[#This Row],[Opp]],Table123[DEF],Table123[TD])</f>
        <v>#N/A</v>
      </c>
      <c r="Q8" s="94" t="e">
        <f>AVERAGE(Table117821342[[#This Row],[*P*]:[*TD*]])</f>
        <v>#N/A</v>
      </c>
    </row>
    <row r="9" spans="2:17" hidden="1" x14ac:dyDescent="0.35">
      <c r="B9" s="6" t="s">
        <v>331</v>
      </c>
      <c r="C9" s="97" t="s">
        <v>55</v>
      </c>
      <c r="D9" s="98" t="s">
        <v>405</v>
      </c>
      <c r="E9" s="23" t="str" cm="1">
        <f t="array" ref="E9">_xlfn.XLOOKUP(Table117821342[[#This Row],[Team]],Table4334[Team],'2425'!$C$3:$C$34)</f>
        <v>n/a</v>
      </c>
      <c r="F9" s="97" t="str">
        <f>'2025'!$E$33</f>
        <v>n/a</v>
      </c>
      <c r="G9" s="94" t="e" cm="1">
        <f t="array" ref="G9">_xlfn.XLOOKUP(Table117821342[[#This Row],[Opp]],Table123[DEF],'2425'!$H$3:$H$34)</f>
        <v>#N/A</v>
      </c>
      <c r="H9" s="94" t="e" cm="1">
        <f t="array" ref="H9">_xlfn.XLOOKUP(Table117821342[[#This Row],[Opp]],Table123[DEF],'2425'!$I$3:$I$34)</f>
        <v>#N/A</v>
      </c>
      <c r="I9" s="94" t="e" cm="1">
        <f t="array" ref="I9">_xlfn.XLOOKUP(Table117821342[[#This Row],[Opp]],Table123[DEF],'2425'!$J$3:$J$34)</f>
        <v>#N/A</v>
      </c>
      <c r="J9" s="94" t="e" cm="1">
        <f t="array" ref="J9">_xlfn.XLOOKUP(Table117821342[[#This Row],[Opp]],Table123[DEF],'2425'!$K$3:$K$34)</f>
        <v>#N/A</v>
      </c>
      <c r="K9" s="94" t="e" cm="1">
        <f t="array" ref="K9">_xlfn.XLOOKUP(Table117821342[[#This Row],[Opp]],Table123[DEF],'2425'!$L$3:$L$34)</f>
        <v>#N/A</v>
      </c>
      <c r="L9" s="95" t="e">
        <f>_xlfn.XLOOKUP(Table117821342[[#This Row],[Opp]],Table123[DEF],Table123[P])</f>
        <v>#N/A</v>
      </c>
      <c r="M9" s="95" t="e">
        <f>_xlfn.XLOOKUP(Table117821342[[#This Row],[Opp]],Table123[DEF],Table123[R])</f>
        <v>#N/A</v>
      </c>
      <c r="N9" s="95" t="e">
        <f>_xlfn.XLOOKUP(Table117821342[[#This Row],[Opp]],Table123[DEF],Table123[P+R])</f>
        <v>#N/A</v>
      </c>
      <c r="O9" s="96" t="e">
        <f>_xlfn.XLOOKUP(Table117821342[[#This Row],[Opp]],Table123[DEF],Table123[P TD])</f>
        <v>#N/A</v>
      </c>
      <c r="P9" s="96" t="e">
        <f>_xlfn.XLOOKUP(Table117821342[[#This Row],[Opp]],Table123[DEF],Table123[TD])</f>
        <v>#N/A</v>
      </c>
      <c r="Q9" s="94" t="e">
        <f>AVERAGE(Table117821342[[#This Row],[*P*]:[*TD*]])</f>
        <v>#N/A</v>
      </c>
    </row>
    <row r="10" spans="2:17" hidden="1" x14ac:dyDescent="0.35">
      <c r="B10" s="6" t="s">
        <v>377</v>
      </c>
      <c r="C10" s="97" t="s">
        <v>55</v>
      </c>
      <c r="D10" s="97" t="s">
        <v>425</v>
      </c>
      <c r="E10" s="23" t="str" cm="1">
        <f t="array" ref="E10">_xlfn.XLOOKUP(Table117821342[[#This Row],[Team]],Table4334[Team],'2425'!$C$3:$C$34)</f>
        <v>n/a</v>
      </c>
      <c r="F10" s="97" t="str">
        <f>'2025'!$E$33</f>
        <v>n/a</v>
      </c>
      <c r="G10" s="94" t="e" cm="1">
        <f t="array" ref="G10">_xlfn.XLOOKUP(Table117821342[[#This Row],[Opp]],Table123[DEF],'2425'!$H$3:$H$34)</f>
        <v>#N/A</v>
      </c>
      <c r="H10" s="94" t="e" cm="1">
        <f t="array" ref="H10">_xlfn.XLOOKUP(Table117821342[[#This Row],[Opp]],Table123[DEF],'2425'!$I$3:$I$34)</f>
        <v>#N/A</v>
      </c>
      <c r="I10" s="94" t="e" cm="1">
        <f t="array" ref="I10">_xlfn.XLOOKUP(Table117821342[[#This Row],[Opp]],Table123[DEF],'2425'!$J$3:$J$34)</f>
        <v>#N/A</v>
      </c>
      <c r="J10" s="94" t="e" cm="1">
        <f t="array" ref="J10">_xlfn.XLOOKUP(Table117821342[[#This Row],[Opp]],Table123[DEF],'2425'!$K$3:$K$34)</f>
        <v>#N/A</v>
      </c>
      <c r="K10" s="94" t="e" cm="1">
        <f t="array" ref="K10">_xlfn.XLOOKUP(Table117821342[[#This Row],[Opp]],Table123[DEF],'2425'!$L$3:$L$34)</f>
        <v>#N/A</v>
      </c>
      <c r="L10" s="95" t="e">
        <f>_xlfn.XLOOKUP(Table117821342[[#This Row],[Opp]],Table123[DEF],Table123[P])</f>
        <v>#N/A</v>
      </c>
      <c r="M10" s="95" t="e">
        <f>_xlfn.XLOOKUP(Table117821342[[#This Row],[Opp]],Table123[DEF],Table123[R])</f>
        <v>#N/A</v>
      </c>
      <c r="N10" s="95" t="e">
        <f>_xlfn.XLOOKUP(Table117821342[[#This Row],[Opp]],Table123[DEF],Table123[P+R])</f>
        <v>#N/A</v>
      </c>
      <c r="O10" s="96" t="e">
        <f>_xlfn.XLOOKUP(Table117821342[[#This Row],[Opp]],Table123[DEF],Table123[P TD])</f>
        <v>#N/A</v>
      </c>
      <c r="P10" s="96" t="e">
        <f>_xlfn.XLOOKUP(Table117821342[[#This Row],[Opp]],Table123[DEF],Table123[TD])</f>
        <v>#N/A</v>
      </c>
      <c r="Q10" s="94" t="e">
        <f>AVERAGE(Table117821342[[#This Row],[*P*]:[*TD*]])</f>
        <v>#N/A</v>
      </c>
    </row>
    <row r="11" spans="2:17" hidden="1" x14ac:dyDescent="0.35">
      <c r="B11" s="6" t="s">
        <v>173</v>
      </c>
      <c r="C11" s="97" t="s">
        <v>32</v>
      </c>
      <c r="D11" s="97" t="s">
        <v>399</v>
      </c>
      <c r="E11" s="23" t="str" cm="1">
        <f t="array" ref="E11">_xlfn.XLOOKUP(Table117821342[[#This Row],[Team]],Table4334[Team],'2425'!$C$3:$C$34)</f>
        <v>n/a</v>
      </c>
      <c r="F11" s="97" t="str">
        <f>'2025'!$E$10</f>
        <v>n/a</v>
      </c>
      <c r="G11" s="94" t="e" cm="1">
        <f t="array" ref="G11">_xlfn.XLOOKUP(Table117821342[[#This Row],[Opp]],Table123[DEF],'2425'!$H$3:$H$34)</f>
        <v>#N/A</v>
      </c>
      <c r="H11" s="94" t="e" cm="1">
        <f t="array" ref="H11">_xlfn.XLOOKUP(Table117821342[[#This Row],[Opp]],Table123[DEF],'2425'!$I$3:$I$34)</f>
        <v>#N/A</v>
      </c>
      <c r="I11" s="94" t="e" cm="1">
        <f t="array" ref="I11">_xlfn.XLOOKUP(Table117821342[[#This Row],[Opp]],Table123[DEF],'2425'!$J$3:$J$34)</f>
        <v>#N/A</v>
      </c>
      <c r="J11" s="94" t="e" cm="1">
        <f t="array" ref="J11">_xlfn.XLOOKUP(Table117821342[[#This Row],[Opp]],Table123[DEF],'2425'!$K$3:$K$34)</f>
        <v>#N/A</v>
      </c>
      <c r="K11" s="94" t="e" cm="1">
        <f t="array" ref="K11">_xlfn.XLOOKUP(Table117821342[[#This Row],[Opp]],Table123[DEF],'2425'!$L$3:$L$34)</f>
        <v>#N/A</v>
      </c>
      <c r="L11" s="95" t="e">
        <f>_xlfn.XLOOKUP(Table117821342[[#This Row],[Opp]],Table123[DEF],Table123[P])</f>
        <v>#N/A</v>
      </c>
      <c r="M11" s="95" t="e">
        <f>_xlfn.XLOOKUP(Table117821342[[#This Row],[Opp]],Table123[DEF],Table123[R])</f>
        <v>#N/A</v>
      </c>
      <c r="N11" s="95" t="e">
        <f>_xlfn.XLOOKUP(Table117821342[[#This Row],[Opp]],Table123[DEF],Table123[P+R])</f>
        <v>#N/A</v>
      </c>
      <c r="O11" s="96" t="e">
        <f>_xlfn.XLOOKUP(Table117821342[[#This Row],[Opp]],Table123[DEF],Table123[P TD])</f>
        <v>#N/A</v>
      </c>
      <c r="P11" s="96" t="e">
        <f>_xlfn.XLOOKUP(Table117821342[[#This Row],[Opp]],Table123[DEF],Table123[TD])</f>
        <v>#N/A</v>
      </c>
      <c r="Q11" s="94" t="e">
        <f>AVERAGE(Table117821342[[#This Row],[*P*]:[*TD*]])</f>
        <v>#N/A</v>
      </c>
    </row>
    <row r="12" spans="2:17" hidden="1" x14ac:dyDescent="0.35">
      <c r="B12" s="6" t="s">
        <v>205</v>
      </c>
      <c r="C12" s="97" t="s">
        <v>36</v>
      </c>
      <c r="D12" s="97" t="s">
        <v>405</v>
      </c>
      <c r="E12" s="23" t="str" cm="1">
        <f t="array" ref="E12">_xlfn.XLOOKUP(Table117821342[[#This Row],[Team]],Table4334[Team],'2425'!$C$3:$C$34)</f>
        <v>n/a</v>
      </c>
      <c r="F12" s="97" t="str">
        <f>'2025'!$E$14</f>
        <v>n/a</v>
      </c>
      <c r="G12" s="94" t="e" cm="1">
        <f t="array" ref="G12">_xlfn.XLOOKUP(Table117821342[[#This Row],[Opp]],Table123[DEF],'2425'!$H$3:$H$34)</f>
        <v>#N/A</v>
      </c>
      <c r="H12" s="94" t="e" cm="1">
        <f t="array" ref="H12">_xlfn.XLOOKUP(Table117821342[[#This Row],[Opp]],Table123[DEF],'2425'!$I$3:$I$34)</f>
        <v>#N/A</v>
      </c>
      <c r="I12" s="94" t="e" cm="1">
        <f t="array" ref="I12">_xlfn.XLOOKUP(Table117821342[[#This Row],[Opp]],Table123[DEF],'2425'!$J$3:$J$34)</f>
        <v>#N/A</v>
      </c>
      <c r="J12" s="94" t="e" cm="1">
        <f t="array" ref="J12">_xlfn.XLOOKUP(Table117821342[[#This Row],[Opp]],Table123[DEF],'2425'!$K$3:$K$34)</f>
        <v>#N/A</v>
      </c>
      <c r="K12" s="94" t="e" cm="1">
        <f t="array" ref="K12">_xlfn.XLOOKUP(Table117821342[[#This Row],[Opp]],Table123[DEF],'2425'!$L$3:$L$34)</f>
        <v>#N/A</v>
      </c>
      <c r="L12" s="95" t="e">
        <f>_xlfn.XLOOKUP(Table117821342[[#This Row],[Opp]],Table123[DEF],Table123[P])</f>
        <v>#N/A</v>
      </c>
      <c r="M12" s="95" t="e">
        <f>_xlfn.XLOOKUP(Table117821342[[#This Row],[Opp]],Table123[DEF],Table123[R])</f>
        <v>#N/A</v>
      </c>
      <c r="N12" s="95" t="e">
        <f>_xlfn.XLOOKUP(Table117821342[[#This Row],[Opp]],Table123[DEF],Table123[P+R])</f>
        <v>#N/A</v>
      </c>
      <c r="O12" s="96" t="e">
        <f>_xlfn.XLOOKUP(Table117821342[[#This Row],[Opp]],Table123[DEF],Table123[P TD])</f>
        <v>#N/A</v>
      </c>
      <c r="P12" s="96" t="e">
        <f>_xlfn.XLOOKUP(Table117821342[[#This Row],[Opp]],Table123[DEF],Table123[TD])</f>
        <v>#N/A</v>
      </c>
      <c r="Q12" s="94" t="e">
        <f>AVERAGE(Table117821342[[#This Row],[*P*]:[*TD*]])</f>
        <v>#N/A</v>
      </c>
    </row>
    <row r="13" spans="2:17" hidden="1" x14ac:dyDescent="0.35">
      <c r="B13" s="6" t="s">
        <v>313</v>
      </c>
      <c r="C13" s="97" t="s">
        <v>47</v>
      </c>
      <c r="D13" s="97" t="s">
        <v>399</v>
      </c>
      <c r="E13" s="23" t="str" cm="1">
        <f t="array" ref="E13">_xlfn.XLOOKUP(Table117821342[[#This Row],[Team]],Table4334[Team],'2425'!$C$3:$C$34)</f>
        <v>n/a</v>
      </c>
      <c r="F13" s="97" t="str">
        <f>'2025'!$E$25</f>
        <v>n/a</v>
      </c>
      <c r="G13" s="94" t="e" cm="1">
        <f t="array" ref="G13">_xlfn.XLOOKUP(Table117821342[[#This Row],[Opp]],Table123[DEF],'2425'!$H$3:$H$34)</f>
        <v>#N/A</v>
      </c>
      <c r="H13" s="94" t="e" cm="1">
        <f t="array" ref="H13">_xlfn.XLOOKUP(Table117821342[[#This Row],[Opp]],Table123[DEF],'2425'!$I$3:$I$34)</f>
        <v>#N/A</v>
      </c>
      <c r="I13" s="94" t="e" cm="1">
        <f t="array" ref="I13">_xlfn.XLOOKUP(Table117821342[[#This Row],[Opp]],Table123[DEF],'2425'!$J$3:$J$34)</f>
        <v>#N/A</v>
      </c>
      <c r="J13" s="94" t="e" cm="1">
        <f t="array" ref="J13">_xlfn.XLOOKUP(Table117821342[[#This Row],[Opp]],Table123[DEF],'2425'!$K$3:$K$34)</f>
        <v>#N/A</v>
      </c>
      <c r="K13" s="94" t="e" cm="1">
        <f t="array" ref="K13">_xlfn.XLOOKUP(Table117821342[[#This Row],[Opp]],Table123[DEF],'2425'!$L$3:$L$34)</f>
        <v>#N/A</v>
      </c>
      <c r="L13" s="95" t="e">
        <f>_xlfn.XLOOKUP(Table117821342[[#This Row],[Opp]],Table123[DEF],Table123[P])</f>
        <v>#N/A</v>
      </c>
      <c r="M13" s="95" t="e">
        <f>_xlfn.XLOOKUP(Table117821342[[#This Row],[Opp]],Table123[DEF],Table123[R])</f>
        <v>#N/A</v>
      </c>
      <c r="N13" s="95" t="e">
        <f>_xlfn.XLOOKUP(Table117821342[[#This Row],[Opp]],Table123[DEF],Table123[P+R])</f>
        <v>#N/A</v>
      </c>
      <c r="O13" s="96" t="e">
        <f>_xlfn.XLOOKUP(Table117821342[[#This Row],[Opp]],Table123[DEF],Table123[P TD])</f>
        <v>#N/A</v>
      </c>
      <c r="P13" s="96" t="e">
        <f>_xlfn.XLOOKUP(Table117821342[[#This Row],[Opp]],Table123[DEF],Table123[TD])</f>
        <v>#N/A</v>
      </c>
      <c r="Q13" s="94" t="e">
        <f>AVERAGE(Table117821342[[#This Row],[*P*]:[*TD*]])</f>
        <v>#N/A</v>
      </c>
    </row>
    <row r="14" spans="2:17" hidden="1" x14ac:dyDescent="0.35">
      <c r="B14" s="6" t="s">
        <v>303</v>
      </c>
      <c r="C14" s="97" t="s">
        <v>46</v>
      </c>
      <c r="D14" s="97" t="s">
        <v>405</v>
      </c>
      <c r="E14" s="23" t="str" cm="1">
        <f t="array" ref="E14">_xlfn.XLOOKUP(Table117821342[[#This Row],[Team]],Table4334[Team],'2425'!$C$3:$C$34)</f>
        <v>SB LX</v>
      </c>
      <c r="F14" s="97" t="str">
        <f>'2025'!$E$24</f>
        <v>SEA</v>
      </c>
      <c r="G14" s="94" cm="1">
        <f t="array" ref="G14">_xlfn.XLOOKUP(Table117821342[[#This Row],[Opp]],Table123[DEF],'2425'!$H$3:$H$34)</f>
        <v>21</v>
      </c>
      <c r="H14" s="94" cm="1">
        <f t="array" ref="H14">_xlfn.XLOOKUP(Table117821342[[#This Row],[Opp]],Table123[DEF],'2425'!$I$3:$I$34)</f>
        <v>24</v>
      </c>
      <c r="I14" s="94" cm="1">
        <f t="array" ref="I14">_xlfn.XLOOKUP(Table117821342[[#This Row],[Opp]],Table123[DEF],'2425'!$J$3:$J$34)</f>
        <v>23</v>
      </c>
      <c r="J14" s="94" cm="1">
        <f t="array" ref="J14">_xlfn.XLOOKUP(Table117821342[[#This Row],[Opp]],Table123[DEF],'2425'!$K$3:$K$34)</f>
        <v>26</v>
      </c>
      <c r="K14" s="94" cm="1">
        <f t="array" ref="K14">_xlfn.XLOOKUP(Table117821342[[#This Row],[Opp]],Table123[DEF],'2425'!$L$3:$L$34)</f>
        <v>20.5</v>
      </c>
      <c r="L14" s="95">
        <f>_xlfn.XLOOKUP(Table117821342[[#This Row],[Opp]],Table123[DEF],Table123[P])</f>
        <v>222.02941176470588</v>
      </c>
      <c r="M14" s="95">
        <f>_xlfn.XLOOKUP(Table117821342[[#This Row],[Opp]],Table123[DEF],Table123[R])</f>
        <v>15.823529411764707</v>
      </c>
      <c r="N14" s="95">
        <f>_xlfn.XLOOKUP(Table117821342[[#This Row],[Opp]],Table123[DEF],Table123[P+R])</f>
        <v>237.85294117647058</v>
      </c>
      <c r="O14" s="96">
        <f>_xlfn.XLOOKUP(Table117821342[[#This Row],[Opp]],Table123[DEF],Table123[P TD])</f>
        <v>1.3529411764705883</v>
      </c>
      <c r="P14" s="96">
        <f>_xlfn.XLOOKUP(Table117821342[[#This Row],[Opp]],Table123[DEF],Table123[TD])</f>
        <v>0.17647058823529413</v>
      </c>
      <c r="Q14" s="94">
        <f>AVERAGE(Table117821342[[#This Row],[*P*]:[*TD*]])</f>
        <v>22.9</v>
      </c>
    </row>
    <row r="15" spans="2:17" hidden="1" x14ac:dyDescent="0.35">
      <c r="B15" s="6" t="s">
        <v>448</v>
      </c>
      <c r="C15" s="97" t="s">
        <v>46</v>
      </c>
      <c r="D15" s="97" t="s">
        <v>425</v>
      </c>
      <c r="E15" s="23" t="str" cm="1">
        <f t="array" ref="E15">_xlfn.XLOOKUP(Table117821342[[#This Row],[Team]],Table4334[Team],'2425'!$C$3:$C$34)</f>
        <v>SB LX</v>
      </c>
      <c r="F15" s="97" t="str">
        <f>'2025'!$E$24</f>
        <v>SEA</v>
      </c>
      <c r="G15" s="94" cm="1">
        <f t="array" ref="G15">_xlfn.XLOOKUP(Table117821342[[#This Row],[Opp]],Table123[DEF],'2425'!$H$3:$H$34)</f>
        <v>21</v>
      </c>
      <c r="H15" s="94" cm="1">
        <f t="array" ref="H15">_xlfn.XLOOKUP(Table117821342[[#This Row],[Opp]],Table123[DEF],'2425'!$I$3:$I$34)</f>
        <v>24</v>
      </c>
      <c r="I15" s="94" cm="1">
        <f t="array" ref="I15">_xlfn.XLOOKUP(Table117821342[[#This Row],[Opp]],Table123[DEF],'2425'!$J$3:$J$34)</f>
        <v>23</v>
      </c>
      <c r="J15" s="94" cm="1">
        <f t="array" ref="J15">_xlfn.XLOOKUP(Table117821342[[#This Row],[Opp]],Table123[DEF],'2425'!$K$3:$K$34)</f>
        <v>26</v>
      </c>
      <c r="K15" s="94" cm="1">
        <f t="array" ref="K15">_xlfn.XLOOKUP(Table117821342[[#This Row],[Opp]],Table123[DEF],'2425'!$L$3:$L$34)</f>
        <v>20.5</v>
      </c>
      <c r="L15" s="95">
        <f>_xlfn.XLOOKUP(Table117821342[[#This Row],[Opp]],Table123[DEF],Table123[P])</f>
        <v>222.02941176470588</v>
      </c>
      <c r="M15" s="95">
        <f>_xlfn.XLOOKUP(Table117821342[[#This Row],[Opp]],Table123[DEF],Table123[R])</f>
        <v>15.823529411764707</v>
      </c>
      <c r="N15" s="95">
        <f>_xlfn.XLOOKUP(Table117821342[[#This Row],[Opp]],Table123[DEF],Table123[P+R])</f>
        <v>237.85294117647058</v>
      </c>
      <c r="O15" s="96">
        <f>_xlfn.XLOOKUP(Table117821342[[#This Row],[Opp]],Table123[DEF],Table123[P TD])</f>
        <v>1.3529411764705883</v>
      </c>
      <c r="P15" s="96">
        <f>_xlfn.XLOOKUP(Table117821342[[#This Row],[Opp]],Table123[DEF],Table123[TD])</f>
        <v>0.17647058823529413</v>
      </c>
      <c r="Q15" s="94">
        <f>AVERAGE(Table117821342[[#This Row],[*P*]:[*TD*]])</f>
        <v>22.9</v>
      </c>
    </row>
    <row r="16" spans="2:17" hidden="1" x14ac:dyDescent="0.35">
      <c r="B16" s="6" t="s">
        <v>376</v>
      </c>
      <c r="C16" s="97" t="s">
        <v>55</v>
      </c>
      <c r="D16" s="97" t="s">
        <v>399</v>
      </c>
      <c r="E16" s="23" t="str" cm="1">
        <f t="array" ref="E16">_xlfn.XLOOKUP(Table117821342[[#This Row],[Team]],Table4334[Team],'2425'!$C$3:$C$34)</f>
        <v>n/a</v>
      </c>
      <c r="F16" s="97" t="str">
        <f>'2025'!$E$33</f>
        <v>n/a</v>
      </c>
      <c r="G16" s="94" t="e" cm="1">
        <f t="array" ref="G16">_xlfn.XLOOKUP(Table117821342[[#This Row],[Opp]],Table123[DEF],'2425'!$H$3:$H$34)</f>
        <v>#N/A</v>
      </c>
      <c r="H16" s="94" t="e" cm="1">
        <f t="array" ref="H16">_xlfn.XLOOKUP(Table117821342[[#This Row],[Opp]],Table123[DEF],'2425'!$I$3:$I$34)</f>
        <v>#N/A</v>
      </c>
      <c r="I16" s="94" t="e" cm="1">
        <f t="array" ref="I16">_xlfn.XLOOKUP(Table117821342[[#This Row],[Opp]],Table123[DEF],'2425'!$J$3:$J$34)</f>
        <v>#N/A</v>
      </c>
      <c r="J16" s="94" t="e" cm="1">
        <f t="array" ref="J16">_xlfn.XLOOKUP(Table117821342[[#This Row],[Opp]],Table123[DEF],'2425'!$K$3:$K$34)</f>
        <v>#N/A</v>
      </c>
      <c r="K16" s="94" t="e" cm="1">
        <f t="array" ref="K16">_xlfn.XLOOKUP(Table117821342[[#This Row],[Opp]],Table123[DEF],'2425'!$L$3:$L$34)</f>
        <v>#N/A</v>
      </c>
      <c r="L16" s="95" t="e">
        <f>_xlfn.XLOOKUP(Table117821342[[#This Row],[Opp]],Table123[DEF],Table123[P])</f>
        <v>#N/A</v>
      </c>
      <c r="M16" s="95" t="e">
        <f>_xlfn.XLOOKUP(Table117821342[[#This Row],[Opp]],Table123[DEF],Table123[R])</f>
        <v>#N/A</v>
      </c>
      <c r="N16" s="95" t="e">
        <f>_xlfn.XLOOKUP(Table117821342[[#This Row],[Opp]],Table123[DEF],Table123[P+R])</f>
        <v>#N/A</v>
      </c>
      <c r="O16" s="96" t="e">
        <f>_xlfn.XLOOKUP(Table117821342[[#This Row],[Opp]],Table123[DEF],Table123[P TD])</f>
        <v>#N/A</v>
      </c>
      <c r="P16" s="96" t="e">
        <f>_xlfn.XLOOKUP(Table117821342[[#This Row],[Opp]],Table123[DEF],Table123[TD])</f>
        <v>#N/A</v>
      </c>
      <c r="Q16" s="94" t="e">
        <f>AVERAGE(Table117821342[[#This Row],[*P*]:[*TD*]])</f>
        <v>#N/A</v>
      </c>
    </row>
    <row r="17" spans="2:17" hidden="1" x14ac:dyDescent="0.35">
      <c r="B17" s="6" t="s">
        <v>414</v>
      </c>
      <c r="C17" s="97" t="s">
        <v>49</v>
      </c>
      <c r="D17" s="97" t="s">
        <v>405</v>
      </c>
      <c r="E17" s="23" t="str" cm="1">
        <f t="array" ref="E17">_xlfn.XLOOKUP(Table117821342[[#This Row],[Team]],Table4334[Team],'2425'!$C$3:$C$34)</f>
        <v>n/a</v>
      </c>
      <c r="F17" s="97" t="str">
        <f>'2025'!$E$27</f>
        <v>n/a</v>
      </c>
      <c r="G17" s="94" t="e" cm="1">
        <f t="array" ref="G17">_xlfn.XLOOKUP(Table117821342[[#This Row],[Opp]],Table123[DEF],'2425'!$H$3:$H$34)</f>
        <v>#N/A</v>
      </c>
      <c r="H17" s="94" t="e" cm="1">
        <f t="array" ref="H17">_xlfn.XLOOKUP(Table117821342[[#This Row],[Opp]],Table123[DEF],'2425'!$I$3:$I$34)</f>
        <v>#N/A</v>
      </c>
      <c r="I17" s="94" t="e" cm="1">
        <f t="array" ref="I17">_xlfn.XLOOKUP(Table117821342[[#This Row],[Opp]],Table123[DEF],'2425'!$J$3:$J$34)</f>
        <v>#N/A</v>
      </c>
      <c r="J17" s="94" t="e" cm="1">
        <f t="array" ref="J17">_xlfn.XLOOKUP(Table117821342[[#This Row],[Opp]],Table123[DEF],'2425'!$K$3:$K$34)</f>
        <v>#N/A</v>
      </c>
      <c r="K17" s="94" t="e" cm="1">
        <f t="array" ref="K17">_xlfn.XLOOKUP(Table117821342[[#This Row],[Opp]],Table123[DEF],'2425'!$L$3:$L$34)</f>
        <v>#N/A</v>
      </c>
      <c r="L17" s="95" t="e">
        <f>_xlfn.XLOOKUP(Table117821342[[#This Row],[Opp]],Table123[DEF],Table123[P])</f>
        <v>#N/A</v>
      </c>
      <c r="M17" s="95" t="e">
        <f>_xlfn.XLOOKUP(Table117821342[[#This Row],[Opp]],Table123[DEF],Table123[R])</f>
        <v>#N/A</v>
      </c>
      <c r="N17" s="95" t="e">
        <f>_xlfn.XLOOKUP(Table117821342[[#This Row],[Opp]],Table123[DEF],Table123[P+R])</f>
        <v>#N/A</v>
      </c>
      <c r="O17" s="96" t="e">
        <f>_xlfn.XLOOKUP(Table117821342[[#This Row],[Opp]],Table123[DEF],Table123[P TD])</f>
        <v>#N/A</v>
      </c>
      <c r="P17" s="96" t="e">
        <f>_xlfn.XLOOKUP(Table117821342[[#This Row],[Opp]],Table123[DEF],Table123[TD])</f>
        <v>#N/A</v>
      </c>
      <c r="Q17" s="94" t="e">
        <f>AVERAGE(Table117821342[[#This Row],[*P*]:[*TD*]])</f>
        <v>#N/A</v>
      </c>
    </row>
    <row r="18" spans="2:17" hidden="1" x14ac:dyDescent="0.35">
      <c r="B18" s="6" t="s">
        <v>517</v>
      </c>
      <c r="C18" s="97" t="s">
        <v>45</v>
      </c>
      <c r="D18" s="97" t="s">
        <v>399</v>
      </c>
      <c r="E18" s="23" t="str" cm="1">
        <f t="array" ref="E18">_xlfn.XLOOKUP(Table117821342[[#This Row],[Team]],Table4334[Team],'2425'!$C$3:$C$34)</f>
        <v>n/a</v>
      </c>
      <c r="F18" s="97" t="str">
        <f>'2025'!$E$23</f>
        <v>n/a</v>
      </c>
      <c r="G18" s="94" t="e" cm="1">
        <f t="array" ref="G18">_xlfn.XLOOKUP(Table117821342[[#This Row],[Opp]],Table123[DEF],'2425'!$H$3:$H$34)</f>
        <v>#N/A</v>
      </c>
      <c r="H18" s="94" t="e" cm="1">
        <f t="array" ref="H18">_xlfn.XLOOKUP(Table117821342[[#This Row],[Opp]],Table123[DEF],'2425'!$I$3:$I$34)</f>
        <v>#N/A</v>
      </c>
      <c r="I18" s="94" t="e" cm="1">
        <f t="array" ref="I18">_xlfn.XLOOKUP(Table117821342[[#This Row],[Opp]],Table123[DEF],'2425'!$J$3:$J$34)</f>
        <v>#N/A</v>
      </c>
      <c r="J18" s="94" t="e" cm="1">
        <f t="array" ref="J18">_xlfn.XLOOKUP(Table117821342[[#This Row],[Opp]],Table123[DEF],'2425'!$K$3:$K$34)</f>
        <v>#N/A</v>
      </c>
      <c r="K18" s="94" t="e" cm="1">
        <f t="array" ref="K18">_xlfn.XLOOKUP(Table117821342[[#This Row],[Opp]],Table123[DEF],'2425'!$L$3:$L$34)</f>
        <v>#N/A</v>
      </c>
      <c r="L18" s="95" t="e">
        <f>_xlfn.XLOOKUP(Table117821342[[#This Row],[Opp]],Table123[DEF],Table123[P])</f>
        <v>#N/A</v>
      </c>
      <c r="M18" s="95" t="e">
        <f>_xlfn.XLOOKUP(Table117821342[[#This Row],[Opp]],Table123[DEF],Table123[R])</f>
        <v>#N/A</v>
      </c>
      <c r="N18" s="95" t="e">
        <f>_xlfn.XLOOKUP(Table117821342[[#This Row],[Opp]],Table123[DEF],Table123[P+R])</f>
        <v>#N/A</v>
      </c>
      <c r="O18" s="96" t="e">
        <f>_xlfn.XLOOKUP(Table117821342[[#This Row],[Opp]],Table123[DEF],Table123[P TD])</f>
        <v>#N/A</v>
      </c>
      <c r="P18" s="96" t="e">
        <f>_xlfn.XLOOKUP(Table117821342[[#This Row],[Opp]],Table123[DEF],Table123[TD])</f>
        <v>#N/A</v>
      </c>
      <c r="Q18" s="94" t="e">
        <f>AVERAGE(Table117821342[[#This Row],[*P*]:[*TD*]])</f>
        <v>#N/A</v>
      </c>
    </row>
    <row r="19" spans="2:17" hidden="1" x14ac:dyDescent="0.35">
      <c r="B19" s="6" t="s">
        <v>160</v>
      </c>
      <c r="C19" s="97" t="s">
        <v>31</v>
      </c>
      <c r="D19" s="97" t="s">
        <v>405</v>
      </c>
      <c r="E19" s="23" t="str" cm="1">
        <f t="array" ref="E19">_xlfn.XLOOKUP(Table117821342[[#This Row],[Team]],Table4334[Team],'2425'!$C$3:$C$34)</f>
        <v>n/a</v>
      </c>
      <c r="F19" s="97" t="str">
        <f>'2025'!$E$9</f>
        <v>n/a</v>
      </c>
      <c r="G19" s="94" t="e" cm="1">
        <f t="array" ref="G19">_xlfn.XLOOKUP(Table117821342[[#This Row],[Opp]],Table123[DEF],'2425'!$H$3:$H$34)</f>
        <v>#N/A</v>
      </c>
      <c r="H19" s="94" t="e" cm="1">
        <f t="array" ref="H19">_xlfn.XLOOKUP(Table117821342[[#This Row],[Opp]],Table123[DEF],'2425'!$I$3:$I$34)</f>
        <v>#N/A</v>
      </c>
      <c r="I19" s="94" t="e" cm="1">
        <f t="array" ref="I19">_xlfn.XLOOKUP(Table117821342[[#This Row],[Opp]],Table123[DEF],'2425'!$J$3:$J$34)</f>
        <v>#N/A</v>
      </c>
      <c r="J19" s="94" t="e" cm="1">
        <f t="array" ref="J19">_xlfn.XLOOKUP(Table117821342[[#This Row],[Opp]],Table123[DEF],'2425'!$K$3:$K$34)</f>
        <v>#N/A</v>
      </c>
      <c r="K19" s="94" t="e" cm="1">
        <f t="array" ref="K19">_xlfn.XLOOKUP(Table117821342[[#This Row],[Opp]],Table123[DEF],'2425'!$L$3:$L$34)</f>
        <v>#N/A</v>
      </c>
      <c r="L19" s="95" t="e">
        <f>_xlfn.XLOOKUP(Table117821342[[#This Row],[Opp]],Table123[DEF],Table123[P])</f>
        <v>#N/A</v>
      </c>
      <c r="M19" s="95" t="e">
        <f>_xlfn.XLOOKUP(Table117821342[[#This Row],[Opp]],Table123[DEF],Table123[R])</f>
        <v>#N/A</v>
      </c>
      <c r="N19" s="95" t="e">
        <f>_xlfn.XLOOKUP(Table117821342[[#This Row],[Opp]],Table123[DEF],Table123[P+R])</f>
        <v>#N/A</v>
      </c>
      <c r="O19" s="96" t="e">
        <f>_xlfn.XLOOKUP(Table117821342[[#This Row],[Opp]],Table123[DEF],Table123[P TD])</f>
        <v>#N/A</v>
      </c>
      <c r="P19" s="96" t="e">
        <f>_xlfn.XLOOKUP(Table117821342[[#This Row],[Opp]],Table123[DEF],Table123[TD])</f>
        <v>#N/A</v>
      </c>
      <c r="Q19" s="94" t="e">
        <f>AVERAGE(Table117821342[[#This Row],[*P*]:[*TD*]])</f>
        <v>#N/A</v>
      </c>
    </row>
    <row r="20" spans="2:17" hidden="1" x14ac:dyDescent="0.35">
      <c r="B20" s="6" t="s">
        <v>159</v>
      </c>
      <c r="C20" s="97" t="s">
        <v>31</v>
      </c>
      <c r="D20" s="97" t="s">
        <v>425</v>
      </c>
      <c r="E20" s="23" t="str" cm="1">
        <f t="array" ref="E20">_xlfn.XLOOKUP(Table117821342[[#This Row],[Team]],Table4334[Team],'2425'!$C$3:$C$34)</f>
        <v>n/a</v>
      </c>
      <c r="F20" s="97" t="str">
        <f>'2025'!$E$9</f>
        <v>n/a</v>
      </c>
      <c r="G20" s="94" t="e" cm="1">
        <f t="array" ref="G20">_xlfn.XLOOKUP(Table117821342[[#This Row],[Opp]],Table123[DEF],'2425'!$H$3:$H$34)</f>
        <v>#N/A</v>
      </c>
      <c r="H20" s="94" t="e" cm="1">
        <f t="array" ref="H20">_xlfn.XLOOKUP(Table117821342[[#This Row],[Opp]],Table123[DEF],'2425'!$I$3:$I$34)</f>
        <v>#N/A</v>
      </c>
      <c r="I20" s="94" t="e" cm="1">
        <f t="array" ref="I20">_xlfn.XLOOKUP(Table117821342[[#This Row],[Opp]],Table123[DEF],'2425'!$J$3:$J$34)</f>
        <v>#N/A</v>
      </c>
      <c r="J20" s="94" t="e" cm="1">
        <f t="array" ref="J20">_xlfn.XLOOKUP(Table117821342[[#This Row],[Opp]],Table123[DEF],'2425'!$K$3:$K$34)</f>
        <v>#N/A</v>
      </c>
      <c r="K20" s="94" t="e" cm="1">
        <f t="array" ref="K20">_xlfn.XLOOKUP(Table117821342[[#This Row],[Opp]],Table123[DEF],'2425'!$L$3:$L$34)</f>
        <v>#N/A</v>
      </c>
      <c r="L20" s="95" t="e">
        <f>_xlfn.XLOOKUP(Table117821342[[#This Row],[Opp]],Table123[DEF],Table123[P])</f>
        <v>#N/A</v>
      </c>
      <c r="M20" s="95" t="e">
        <f>_xlfn.XLOOKUP(Table117821342[[#This Row],[Opp]],Table123[DEF],Table123[R])</f>
        <v>#N/A</v>
      </c>
      <c r="N20" s="95" t="e">
        <f>_xlfn.XLOOKUP(Table117821342[[#This Row],[Opp]],Table123[DEF],Table123[P+R])</f>
        <v>#N/A</v>
      </c>
      <c r="O20" s="96" t="e">
        <f>_xlfn.XLOOKUP(Table117821342[[#This Row],[Opp]],Table123[DEF],Table123[P TD])</f>
        <v>#N/A</v>
      </c>
      <c r="P20" s="96" t="e">
        <f>_xlfn.XLOOKUP(Table117821342[[#This Row],[Opp]],Table123[DEF],Table123[TD])</f>
        <v>#N/A</v>
      </c>
      <c r="Q20" s="94" t="e">
        <f>AVERAGE(Table117821342[[#This Row],[*P*]:[*TD*]])</f>
        <v>#N/A</v>
      </c>
    </row>
    <row r="21" spans="2:17" hidden="1" x14ac:dyDescent="0.35">
      <c r="B21" s="6" t="s">
        <v>170</v>
      </c>
      <c r="C21" s="97" t="s">
        <v>31</v>
      </c>
      <c r="D21" s="97" t="s">
        <v>399</v>
      </c>
      <c r="E21" s="23" t="str" cm="1">
        <f t="array" ref="E21">_xlfn.XLOOKUP(Table117821342[[#This Row],[Team]],Table4334[Team],'2425'!$C$3:$C$34)</f>
        <v>n/a</v>
      </c>
      <c r="F21" s="97" t="str">
        <f>'2025'!$E$9</f>
        <v>n/a</v>
      </c>
      <c r="G21" s="94" t="e" cm="1">
        <f t="array" ref="G21">_xlfn.XLOOKUP(Table117821342[[#This Row],[Opp]],Table123[DEF],'2425'!$H$3:$H$34)</f>
        <v>#N/A</v>
      </c>
      <c r="H21" s="94" t="e" cm="1">
        <f t="array" ref="H21">_xlfn.XLOOKUP(Table117821342[[#This Row],[Opp]],Table123[DEF],'2425'!$I$3:$I$34)</f>
        <v>#N/A</v>
      </c>
      <c r="I21" s="94" t="e" cm="1">
        <f t="array" ref="I21">_xlfn.XLOOKUP(Table117821342[[#This Row],[Opp]],Table123[DEF],'2425'!$J$3:$J$34)</f>
        <v>#N/A</v>
      </c>
      <c r="J21" s="94" t="e" cm="1">
        <f t="array" ref="J21">_xlfn.XLOOKUP(Table117821342[[#This Row],[Opp]],Table123[DEF],'2425'!$K$3:$K$34)</f>
        <v>#N/A</v>
      </c>
      <c r="K21" s="94" t="e" cm="1">
        <f t="array" ref="K21">_xlfn.XLOOKUP(Table117821342[[#This Row],[Opp]],Table123[DEF],'2425'!$L$3:$L$34)</f>
        <v>#N/A</v>
      </c>
      <c r="L21" s="95" t="e">
        <f>_xlfn.XLOOKUP(Table117821342[[#This Row],[Opp]],Table123[DEF],Table123[P])</f>
        <v>#N/A</v>
      </c>
      <c r="M21" s="95" t="e">
        <f>_xlfn.XLOOKUP(Table117821342[[#This Row],[Opp]],Table123[DEF],Table123[R])</f>
        <v>#N/A</v>
      </c>
      <c r="N21" s="95" t="e">
        <f>_xlfn.XLOOKUP(Table117821342[[#This Row],[Opp]],Table123[DEF],Table123[P+R])</f>
        <v>#N/A</v>
      </c>
      <c r="O21" s="96" t="e">
        <f>_xlfn.XLOOKUP(Table117821342[[#This Row],[Opp]],Table123[DEF],Table123[P TD])</f>
        <v>#N/A</v>
      </c>
      <c r="P21" s="96" t="e">
        <f>_xlfn.XLOOKUP(Table117821342[[#This Row],[Opp]],Table123[DEF],Table123[TD])</f>
        <v>#N/A</v>
      </c>
      <c r="Q21" s="94" t="e">
        <f>AVERAGE(Table117821342[[#This Row],[*P*]:[*TD*]])</f>
        <v>#N/A</v>
      </c>
    </row>
    <row r="22" spans="2:17" hidden="1" x14ac:dyDescent="0.35">
      <c r="B22" s="6" t="s">
        <v>404</v>
      </c>
      <c r="C22" s="97" t="s">
        <v>17</v>
      </c>
      <c r="D22" s="97" t="s">
        <v>405</v>
      </c>
      <c r="E22" s="23" t="str" cm="1">
        <f t="array" ref="E22">_xlfn.XLOOKUP(Table117821342[[#This Row],[Team]],Table4334[Team],'2425'!$C$3:$C$34)</f>
        <v>n/a</v>
      </c>
      <c r="F22" s="97" t="str">
        <f>'2025'!$E$6</f>
        <v>n/a</v>
      </c>
      <c r="G22" s="94" t="e" cm="1">
        <f t="array" ref="G22">_xlfn.XLOOKUP(Table117821342[[#This Row],[Opp]],Table123[DEF],'2425'!$H$3:$H$34)</f>
        <v>#N/A</v>
      </c>
      <c r="H22" s="94" t="e" cm="1">
        <f t="array" ref="H22">_xlfn.XLOOKUP(Table117821342[[#This Row],[Opp]],Table123[DEF],'2425'!$I$3:$I$34)</f>
        <v>#N/A</v>
      </c>
      <c r="I22" s="94" t="e" cm="1">
        <f t="array" ref="I22">_xlfn.XLOOKUP(Table117821342[[#This Row],[Opp]],Table123[DEF],'2425'!$J$3:$J$34)</f>
        <v>#N/A</v>
      </c>
      <c r="J22" s="94" t="e" cm="1">
        <f t="array" ref="J22">_xlfn.XLOOKUP(Table117821342[[#This Row],[Opp]],Table123[DEF],'2425'!$K$3:$K$34)</f>
        <v>#N/A</v>
      </c>
      <c r="K22" s="94" t="e" cm="1">
        <f t="array" ref="K22">_xlfn.XLOOKUP(Table117821342[[#This Row],[Opp]],Table123[DEF],'2425'!$L$3:$L$34)</f>
        <v>#N/A</v>
      </c>
      <c r="L22" s="95" t="e">
        <f>_xlfn.XLOOKUP(Table117821342[[#This Row],[Opp]],Table123[DEF],Table123[P])</f>
        <v>#N/A</v>
      </c>
      <c r="M22" s="95" t="e">
        <f>_xlfn.XLOOKUP(Table117821342[[#This Row],[Opp]],Table123[DEF],Table123[R])</f>
        <v>#N/A</v>
      </c>
      <c r="N22" s="95" t="e">
        <f>_xlfn.XLOOKUP(Table117821342[[#This Row],[Opp]],Table123[DEF],Table123[P+R])</f>
        <v>#N/A</v>
      </c>
      <c r="O22" s="96" t="e">
        <f>_xlfn.XLOOKUP(Table117821342[[#This Row],[Opp]],Table123[DEF],Table123[P TD])</f>
        <v>#N/A</v>
      </c>
      <c r="P22" s="96" t="e">
        <f>_xlfn.XLOOKUP(Table117821342[[#This Row],[Opp]],Table123[DEF],Table123[TD])</f>
        <v>#N/A</v>
      </c>
      <c r="Q22" s="94" t="e">
        <f>AVERAGE(Table117821342[[#This Row],[*P*]:[*TD*]])</f>
        <v>#N/A</v>
      </c>
    </row>
    <row r="23" spans="2:17" hidden="1" x14ac:dyDescent="0.35">
      <c r="B23" s="6" t="s">
        <v>226</v>
      </c>
      <c r="C23" s="97" t="s">
        <v>38</v>
      </c>
      <c r="D23" s="97" t="s">
        <v>399</v>
      </c>
      <c r="E23" s="23" t="str" cm="1">
        <f t="array" ref="E23">_xlfn.XLOOKUP(Table117821342[[#This Row],[Team]],Table4334[Team],'2425'!$C$3:$C$34)</f>
        <v>n/a</v>
      </c>
      <c r="F23" s="97" t="str">
        <f>'2025'!$E$16</f>
        <v>n/a</v>
      </c>
      <c r="G23" s="94" t="e" cm="1">
        <f t="array" ref="G23">_xlfn.XLOOKUP(Table117821342[[#This Row],[Opp]],Table123[DEF],'2425'!$H$3:$H$34)</f>
        <v>#N/A</v>
      </c>
      <c r="H23" s="94" t="e" cm="1">
        <f t="array" ref="H23">_xlfn.XLOOKUP(Table117821342[[#This Row],[Opp]],Table123[DEF],'2425'!$I$3:$I$34)</f>
        <v>#N/A</v>
      </c>
      <c r="I23" s="94" t="e" cm="1">
        <f t="array" ref="I23">_xlfn.XLOOKUP(Table117821342[[#This Row],[Opp]],Table123[DEF],'2425'!$J$3:$J$34)</f>
        <v>#N/A</v>
      </c>
      <c r="J23" s="94" t="e" cm="1">
        <f t="array" ref="J23">_xlfn.XLOOKUP(Table117821342[[#This Row],[Opp]],Table123[DEF],'2425'!$K$3:$K$34)</f>
        <v>#N/A</v>
      </c>
      <c r="K23" s="94" t="e" cm="1">
        <f t="array" ref="K23">_xlfn.XLOOKUP(Table117821342[[#This Row],[Opp]],Table123[DEF],'2425'!$L$3:$L$34)</f>
        <v>#N/A</v>
      </c>
      <c r="L23" s="95" t="e">
        <f>_xlfn.XLOOKUP(Table117821342[[#This Row],[Opp]],Table123[DEF],Table123[P])</f>
        <v>#N/A</v>
      </c>
      <c r="M23" s="95" t="e">
        <f>_xlfn.XLOOKUP(Table117821342[[#This Row],[Opp]],Table123[DEF],Table123[R])</f>
        <v>#N/A</v>
      </c>
      <c r="N23" s="95" t="e">
        <f>_xlfn.XLOOKUP(Table117821342[[#This Row],[Opp]],Table123[DEF],Table123[P+R])</f>
        <v>#N/A</v>
      </c>
      <c r="O23" s="96" t="e">
        <f>_xlfn.XLOOKUP(Table117821342[[#This Row],[Opp]],Table123[DEF],Table123[P TD])</f>
        <v>#N/A</v>
      </c>
      <c r="P23" s="96" t="e">
        <f>_xlfn.XLOOKUP(Table117821342[[#This Row],[Opp]],Table123[DEF],Table123[TD])</f>
        <v>#N/A</v>
      </c>
      <c r="Q23" s="94" t="e">
        <f>AVERAGE(Table117821342[[#This Row],[*P*]:[*TD*]])</f>
        <v>#N/A</v>
      </c>
    </row>
    <row r="24" spans="2:17" hidden="1" x14ac:dyDescent="0.35">
      <c r="B24" s="6" t="s">
        <v>547</v>
      </c>
      <c r="C24" s="97" t="s">
        <v>42</v>
      </c>
      <c r="D24" s="97" t="s">
        <v>405</v>
      </c>
      <c r="E24" s="23" t="str" cm="1">
        <f t="array" ref="E24">_xlfn.XLOOKUP(Table117821342[[#This Row],[Team]],Table4334[Team],'2425'!$C$3:$C$34)</f>
        <v>n/a</v>
      </c>
      <c r="F24" s="97" t="str">
        <f>'2025'!$E$20</f>
        <v>n/a</v>
      </c>
      <c r="G24" s="94" t="e" cm="1">
        <f t="array" ref="G24">_xlfn.XLOOKUP(Table117821342[[#This Row],[Opp]],Table123[DEF],'2425'!$H$3:$H$34)</f>
        <v>#N/A</v>
      </c>
      <c r="H24" s="94" t="e" cm="1">
        <f t="array" ref="H24">_xlfn.XLOOKUP(Table117821342[[#This Row],[Opp]],Table123[DEF],'2425'!$I$3:$I$34)</f>
        <v>#N/A</v>
      </c>
      <c r="I24" s="94" t="e" cm="1">
        <f t="array" ref="I24">_xlfn.XLOOKUP(Table117821342[[#This Row],[Opp]],Table123[DEF],'2425'!$J$3:$J$34)</f>
        <v>#N/A</v>
      </c>
      <c r="J24" s="94" t="e" cm="1">
        <f t="array" ref="J24">_xlfn.XLOOKUP(Table117821342[[#This Row],[Opp]],Table123[DEF],'2425'!$K$3:$K$34)</f>
        <v>#N/A</v>
      </c>
      <c r="K24" s="94" t="e" cm="1">
        <f t="array" ref="K24">_xlfn.XLOOKUP(Table117821342[[#This Row],[Opp]],Table123[DEF],'2425'!$L$3:$L$34)</f>
        <v>#N/A</v>
      </c>
      <c r="L24" s="95" t="e">
        <f>_xlfn.XLOOKUP(Table117821342[[#This Row],[Opp]],Table123[DEF],Table123[P])</f>
        <v>#N/A</v>
      </c>
      <c r="M24" s="95" t="e">
        <f>_xlfn.XLOOKUP(Table117821342[[#This Row],[Opp]],Table123[DEF],Table123[R])</f>
        <v>#N/A</v>
      </c>
      <c r="N24" s="95" t="e">
        <f>_xlfn.XLOOKUP(Table117821342[[#This Row],[Opp]],Table123[DEF],Table123[P+R])</f>
        <v>#N/A</v>
      </c>
      <c r="O24" s="96" t="e">
        <f>_xlfn.XLOOKUP(Table117821342[[#This Row],[Opp]],Table123[DEF],Table123[P TD])</f>
        <v>#N/A</v>
      </c>
      <c r="P24" s="96" t="e">
        <f>_xlfn.XLOOKUP(Table117821342[[#This Row],[Opp]],Table123[DEF],Table123[TD])</f>
        <v>#N/A</v>
      </c>
      <c r="Q24" s="94" t="e">
        <f>AVERAGE(Table117821342[[#This Row],[*P*]:[*TD*]])</f>
        <v>#N/A</v>
      </c>
    </row>
    <row r="25" spans="2:17" hidden="1" x14ac:dyDescent="0.35">
      <c r="B25" s="6" t="s">
        <v>548</v>
      </c>
      <c r="C25" s="97" t="s">
        <v>42</v>
      </c>
      <c r="D25" s="97" t="s">
        <v>425</v>
      </c>
      <c r="E25" s="23" t="str" cm="1">
        <f t="array" ref="E25">_xlfn.XLOOKUP(Table117821342[[#This Row],[Team]],Table4334[Team],'2425'!$C$3:$C$34)</f>
        <v>n/a</v>
      </c>
      <c r="F25" s="97" t="str">
        <f>'2025'!$E$20</f>
        <v>n/a</v>
      </c>
      <c r="G25" s="94" t="e" cm="1">
        <f t="array" ref="G25">_xlfn.XLOOKUP(Table117821342[[#This Row],[Opp]],Table123[DEF],'2425'!$H$3:$H$34)</f>
        <v>#N/A</v>
      </c>
      <c r="H25" s="94" t="e" cm="1">
        <f t="array" ref="H25">_xlfn.XLOOKUP(Table117821342[[#This Row],[Opp]],Table123[DEF],'2425'!$I$3:$I$34)</f>
        <v>#N/A</v>
      </c>
      <c r="I25" s="94" t="e" cm="1">
        <f t="array" ref="I25">_xlfn.XLOOKUP(Table117821342[[#This Row],[Opp]],Table123[DEF],'2425'!$J$3:$J$34)</f>
        <v>#N/A</v>
      </c>
      <c r="J25" s="94" t="e" cm="1">
        <f t="array" ref="J25">_xlfn.XLOOKUP(Table117821342[[#This Row],[Opp]],Table123[DEF],'2425'!$K$3:$K$34)</f>
        <v>#N/A</v>
      </c>
      <c r="K25" s="94" t="e" cm="1">
        <f t="array" ref="K25">_xlfn.XLOOKUP(Table117821342[[#This Row],[Opp]],Table123[DEF],'2425'!$L$3:$L$34)</f>
        <v>#N/A</v>
      </c>
      <c r="L25" s="95" t="e">
        <f>_xlfn.XLOOKUP(Table117821342[[#This Row],[Opp]],Table123[DEF],Table123[P])</f>
        <v>#N/A</v>
      </c>
      <c r="M25" s="95" t="e">
        <f>_xlfn.XLOOKUP(Table117821342[[#This Row],[Opp]],Table123[DEF],Table123[R])</f>
        <v>#N/A</v>
      </c>
      <c r="N25" s="95" t="e">
        <f>_xlfn.XLOOKUP(Table117821342[[#This Row],[Opp]],Table123[DEF],Table123[P+R])</f>
        <v>#N/A</v>
      </c>
      <c r="O25" s="96" t="e">
        <f>_xlfn.XLOOKUP(Table117821342[[#This Row],[Opp]],Table123[DEF],Table123[P TD])</f>
        <v>#N/A</v>
      </c>
      <c r="P25" s="96" t="e">
        <f>_xlfn.XLOOKUP(Table117821342[[#This Row],[Opp]],Table123[DEF],Table123[TD])</f>
        <v>#N/A</v>
      </c>
      <c r="Q25" s="94" t="e">
        <f>AVERAGE(Table117821342[[#This Row],[*P*]:[*TD*]])</f>
        <v>#N/A</v>
      </c>
    </row>
    <row r="26" spans="2:17" hidden="1" x14ac:dyDescent="0.35">
      <c r="B26" s="6" t="s">
        <v>109</v>
      </c>
      <c r="C26" s="97" t="s">
        <v>15</v>
      </c>
      <c r="D26" s="97" t="s">
        <v>399</v>
      </c>
      <c r="E26" s="23" t="str" cm="1">
        <f t="array" ref="E26">_xlfn.XLOOKUP(Table117821342[[#This Row],[Team]],Table4334[Team],'2425'!$C$3:$C$34)</f>
        <v>n/a</v>
      </c>
      <c r="F26" s="97" t="str">
        <f>'2025'!$E$4</f>
        <v>n/a</v>
      </c>
      <c r="G26" s="94" t="e" cm="1">
        <f t="array" ref="G26">_xlfn.XLOOKUP(Table117821342[[#This Row],[Opp]],Table123[DEF],'2425'!$H$3:$H$34)</f>
        <v>#N/A</v>
      </c>
      <c r="H26" s="94" t="e" cm="1">
        <f t="array" ref="H26">_xlfn.XLOOKUP(Table117821342[[#This Row],[Opp]],Table123[DEF],'2425'!$I$3:$I$34)</f>
        <v>#N/A</v>
      </c>
      <c r="I26" s="94" t="e" cm="1">
        <f t="array" ref="I26">_xlfn.XLOOKUP(Table117821342[[#This Row],[Opp]],Table123[DEF],'2425'!$J$3:$J$34)</f>
        <v>#N/A</v>
      </c>
      <c r="J26" s="94" t="e" cm="1">
        <f t="array" ref="J26">_xlfn.XLOOKUP(Table117821342[[#This Row],[Opp]],Table123[DEF],'2425'!$K$3:$K$34)</f>
        <v>#N/A</v>
      </c>
      <c r="K26" s="94" t="e" cm="1">
        <f t="array" ref="K26">_xlfn.XLOOKUP(Table117821342[[#This Row],[Opp]],Table123[DEF],'2425'!$L$3:$L$34)</f>
        <v>#N/A</v>
      </c>
      <c r="L26" s="95" t="e">
        <f>_xlfn.XLOOKUP(Table117821342[[#This Row],[Opp]],Table123[DEF],Table123[P])</f>
        <v>#N/A</v>
      </c>
      <c r="M26" s="95" t="e">
        <f>_xlfn.XLOOKUP(Table117821342[[#This Row],[Opp]],Table123[DEF],Table123[R])</f>
        <v>#N/A</v>
      </c>
      <c r="N26" s="95" t="e">
        <f>_xlfn.XLOOKUP(Table117821342[[#This Row],[Opp]],Table123[DEF],Table123[P+R])</f>
        <v>#N/A</v>
      </c>
      <c r="O26" s="96" t="e">
        <f>_xlfn.XLOOKUP(Table117821342[[#This Row],[Opp]],Table123[DEF],Table123[P TD])</f>
        <v>#N/A</v>
      </c>
      <c r="P26" s="96" t="e">
        <f>_xlfn.XLOOKUP(Table117821342[[#This Row],[Opp]],Table123[DEF],Table123[TD])</f>
        <v>#N/A</v>
      </c>
      <c r="Q26" s="94" t="e">
        <f>AVERAGE(Table117821342[[#This Row],[*P*]:[*TD*]])</f>
        <v>#N/A</v>
      </c>
    </row>
    <row r="27" spans="2:17" hidden="1" x14ac:dyDescent="0.35">
      <c r="B27" s="6" t="s">
        <v>576</v>
      </c>
      <c r="C27" s="97" t="s">
        <v>34</v>
      </c>
      <c r="D27" s="97" t="s">
        <v>405</v>
      </c>
      <c r="E27" s="23" t="str" cm="1">
        <f t="array" ref="E27">_xlfn.XLOOKUP(Table117821342[[#This Row],[Team]],Table4334[Team],'2425'!$C$3:$C$34)</f>
        <v>n/a</v>
      </c>
      <c r="F27" s="97" t="str">
        <f>'2025'!$E$12</f>
        <v>n/a</v>
      </c>
      <c r="G27" s="94" t="e" cm="1">
        <f t="array" ref="G27">_xlfn.XLOOKUP(Table117821342[[#This Row],[Opp]],Table123[DEF],'2425'!$H$3:$H$34)</f>
        <v>#N/A</v>
      </c>
      <c r="H27" s="94" t="e" cm="1">
        <f t="array" ref="H27">_xlfn.XLOOKUP(Table117821342[[#This Row],[Opp]],Table123[DEF],'2425'!$I$3:$I$34)</f>
        <v>#N/A</v>
      </c>
      <c r="I27" s="94" t="e" cm="1">
        <f t="array" ref="I27">_xlfn.XLOOKUP(Table117821342[[#This Row],[Opp]],Table123[DEF],'2425'!$J$3:$J$34)</f>
        <v>#N/A</v>
      </c>
      <c r="J27" s="94" t="e" cm="1">
        <f t="array" ref="J27">_xlfn.XLOOKUP(Table117821342[[#This Row],[Opp]],Table123[DEF],'2425'!$K$3:$K$34)</f>
        <v>#N/A</v>
      </c>
      <c r="K27" s="94" t="e" cm="1">
        <f t="array" ref="K27">_xlfn.XLOOKUP(Table117821342[[#This Row],[Opp]],Table123[DEF],'2425'!$L$3:$L$34)</f>
        <v>#N/A</v>
      </c>
      <c r="L27" s="95" t="e">
        <f>_xlfn.XLOOKUP(Table117821342[[#This Row],[Opp]],Table123[DEF],Table123[P])</f>
        <v>#N/A</v>
      </c>
      <c r="M27" s="95" t="e">
        <f>_xlfn.XLOOKUP(Table117821342[[#This Row],[Opp]],Table123[DEF],Table123[R])</f>
        <v>#N/A</v>
      </c>
      <c r="N27" s="95" t="e">
        <f>_xlfn.XLOOKUP(Table117821342[[#This Row],[Opp]],Table123[DEF],Table123[P+R])</f>
        <v>#N/A</v>
      </c>
      <c r="O27" s="96" t="e">
        <f>_xlfn.XLOOKUP(Table117821342[[#This Row],[Opp]],Table123[DEF],Table123[P TD])</f>
        <v>#N/A</v>
      </c>
      <c r="P27" s="96" t="e">
        <f>_xlfn.XLOOKUP(Table117821342[[#This Row],[Opp]],Table123[DEF],Table123[TD])</f>
        <v>#N/A</v>
      </c>
      <c r="Q27" s="94" t="e">
        <f>AVERAGE(Table117821342[[#This Row],[*P*]:[*TD*]])</f>
        <v>#N/A</v>
      </c>
    </row>
    <row r="28" spans="2:17" hidden="1" x14ac:dyDescent="0.35">
      <c r="B28" s="6" t="s">
        <v>275</v>
      </c>
      <c r="C28" s="97" t="s">
        <v>43</v>
      </c>
      <c r="D28" s="97" t="s">
        <v>399</v>
      </c>
      <c r="E28" s="23" t="str" cm="1">
        <f t="array" ref="E28">_xlfn.XLOOKUP(Table117821342[[#This Row],[Team]],Table4334[Team],'2425'!$C$3:$C$34)</f>
        <v>n/a</v>
      </c>
      <c r="F28" s="97" t="str">
        <f>'2025'!$E$21</f>
        <v>n/a</v>
      </c>
      <c r="G28" s="94" t="e" cm="1">
        <f t="array" ref="G28">_xlfn.XLOOKUP(Table117821342[[#This Row],[Opp]],Table123[DEF],'2425'!$H$3:$H$34)</f>
        <v>#N/A</v>
      </c>
      <c r="H28" s="94" t="e" cm="1">
        <f t="array" ref="H28">_xlfn.XLOOKUP(Table117821342[[#This Row],[Opp]],Table123[DEF],'2425'!$I$3:$I$34)</f>
        <v>#N/A</v>
      </c>
      <c r="I28" s="94" t="e" cm="1">
        <f t="array" ref="I28">_xlfn.XLOOKUP(Table117821342[[#This Row],[Opp]],Table123[DEF],'2425'!$J$3:$J$34)</f>
        <v>#N/A</v>
      </c>
      <c r="J28" s="94" t="e" cm="1">
        <f t="array" ref="J28">_xlfn.XLOOKUP(Table117821342[[#This Row],[Opp]],Table123[DEF],'2425'!$K$3:$K$34)</f>
        <v>#N/A</v>
      </c>
      <c r="K28" s="94" t="e" cm="1">
        <f t="array" ref="K28">_xlfn.XLOOKUP(Table117821342[[#This Row],[Opp]],Table123[DEF],'2425'!$L$3:$L$34)</f>
        <v>#N/A</v>
      </c>
      <c r="L28" s="95" t="e">
        <f>_xlfn.XLOOKUP(Table117821342[[#This Row],[Opp]],Table123[DEF],Table123[P])</f>
        <v>#N/A</v>
      </c>
      <c r="M28" s="95" t="e">
        <f>_xlfn.XLOOKUP(Table117821342[[#This Row],[Opp]],Table123[DEF],Table123[R])</f>
        <v>#N/A</v>
      </c>
      <c r="N28" s="95" t="e">
        <f>_xlfn.XLOOKUP(Table117821342[[#This Row],[Opp]],Table123[DEF],Table123[P+R])</f>
        <v>#N/A</v>
      </c>
      <c r="O28" s="96" t="e">
        <f>_xlfn.XLOOKUP(Table117821342[[#This Row],[Opp]],Table123[DEF],Table123[P TD])</f>
        <v>#N/A</v>
      </c>
      <c r="P28" s="96" t="e">
        <f>_xlfn.XLOOKUP(Table117821342[[#This Row],[Opp]],Table123[DEF],Table123[TD])</f>
        <v>#N/A</v>
      </c>
      <c r="Q28" s="94" t="e">
        <f>AVERAGE(Table117821342[[#This Row],[*P*]:[*TD*]])</f>
        <v>#N/A</v>
      </c>
    </row>
    <row r="29" spans="2:17" hidden="1" x14ac:dyDescent="0.35">
      <c r="B29" s="6" t="s">
        <v>630</v>
      </c>
      <c r="C29" s="97" t="s">
        <v>37</v>
      </c>
      <c r="D29" s="97" t="s">
        <v>405</v>
      </c>
      <c r="E29" s="23" t="str" cm="1">
        <f t="array" ref="E29">_xlfn.XLOOKUP(Table117821342[[#This Row],[Team]],Table4334[Team],'2425'!$C$3:$C$34)</f>
        <v>n/a</v>
      </c>
      <c r="F29" s="97" t="str">
        <f>'2025'!$E$15</f>
        <v>n/a</v>
      </c>
      <c r="G29" s="94" t="e" cm="1">
        <f t="array" ref="G29">_xlfn.XLOOKUP(Table117821342[[#This Row],[Opp]],Table123[DEF],'2425'!$H$3:$H$34)</f>
        <v>#N/A</v>
      </c>
      <c r="H29" s="94" t="e" cm="1">
        <f t="array" ref="H29">_xlfn.XLOOKUP(Table117821342[[#This Row],[Opp]],Table123[DEF],'2425'!$I$3:$I$34)</f>
        <v>#N/A</v>
      </c>
      <c r="I29" s="94" t="e" cm="1">
        <f t="array" ref="I29">_xlfn.XLOOKUP(Table117821342[[#This Row],[Opp]],Table123[DEF],'2425'!$J$3:$J$34)</f>
        <v>#N/A</v>
      </c>
      <c r="J29" s="94" t="e" cm="1">
        <f t="array" ref="J29">_xlfn.XLOOKUP(Table117821342[[#This Row],[Opp]],Table123[DEF],'2425'!$K$3:$K$34)</f>
        <v>#N/A</v>
      </c>
      <c r="K29" s="94" t="e" cm="1">
        <f t="array" ref="K29">_xlfn.XLOOKUP(Table117821342[[#This Row],[Opp]],Table123[DEF],'2425'!$L$3:$L$34)</f>
        <v>#N/A</v>
      </c>
      <c r="L29" s="95" t="e">
        <f>_xlfn.XLOOKUP(Table117821342[[#This Row],[Opp]],Table123[DEF],Table123[P])</f>
        <v>#N/A</v>
      </c>
      <c r="M29" s="95" t="e">
        <f>_xlfn.XLOOKUP(Table117821342[[#This Row],[Opp]],Table123[DEF],Table123[R])</f>
        <v>#N/A</v>
      </c>
      <c r="N29" s="95" t="e">
        <f>_xlfn.XLOOKUP(Table117821342[[#This Row],[Opp]],Table123[DEF],Table123[P+R])</f>
        <v>#N/A</v>
      </c>
      <c r="O29" s="96" t="e">
        <f>_xlfn.XLOOKUP(Table117821342[[#This Row],[Opp]],Table123[DEF],Table123[P TD])</f>
        <v>#N/A</v>
      </c>
      <c r="P29" s="96" t="e">
        <f>_xlfn.XLOOKUP(Table117821342[[#This Row],[Opp]],Table123[DEF],Table123[TD])</f>
        <v>#N/A</v>
      </c>
      <c r="Q29" s="94" t="e">
        <f>AVERAGE(Table117821342[[#This Row],[*P*]:[*TD*]])</f>
        <v>#N/A</v>
      </c>
    </row>
    <row r="30" spans="2:17" hidden="1" x14ac:dyDescent="0.35">
      <c r="B30" s="6" t="s">
        <v>631</v>
      </c>
      <c r="C30" s="97" t="s">
        <v>37</v>
      </c>
      <c r="D30" s="97" t="s">
        <v>425</v>
      </c>
      <c r="E30" s="23" t="str" cm="1">
        <f t="array" ref="E30">_xlfn.XLOOKUP(Table117821342[[#This Row],[Team]],Table4334[Team],'2425'!$C$3:$C$34)</f>
        <v>n/a</v>
      </c>
      <c r="F30" s="97" t="str">
        <f>'2025'!$E$15</f>
        <v>n/a</v>
      </c>
      <c r="G30" s="94" t="e" cm="1">
        <f t="array" ref="G30">_xlfn.XLOOKUP(Table117821342[[#This Row],[Opp]],Table123[DEF],'2425'!$H$3:$H$34)</f>
        <v>#N/A</v>
      </c>
      <c r="H30" s="94" t="e" cm="1">
        <f t="array" ref="H30">_xlfn.XLOOKUP(Table117821342[[#This Row],[Opp]],Table123[DEF],'2425'!$I$3:$I$34)</f>
        <v>#N/A</v>
      </c>
      <c r="I30" s="94" t="e" cm="1">
        <f t="array" ref="I30">_xlfn.XLOOKUP(Table117821342[[#This Row],[Opp]],Table123[DEF],'2425'!$J$3:$J$34)</f>
        <v>#N/A</v>
      </c>
      <c r="J30" s="94" t="e" cm="1">
        <f t="array" ref="J30">_xlfn.XLOOKUP(Table117821342[[#This Row],[Opp]],Table123[DEF],'2425'!$K$3:$K$34)</f>
        <v>#N/A</v>
      </c>
      <c r="K30" s="94" t="e" cm="1">
        <f t="array" ref="K30">_xlfn.XLOOKUP(Table117821342[[#This Row],[Opp]],Table123[DEF],'2425'!$L$3:$L$34)</f>
        <v>#N/A</v>
      </c>
      <c r="L30" s="95" t="e">
        <f>_xlfn.XLOOKUP(Table117821342[[#This Row],[Opp]],Table123[DEF],Table123[P])</f>
        <v>#N/A</v>
      </c>
      <c r="M30" s="95" t="e">
        <f>_xlfn.XLOOKUP(Table117821342[[#This Row],[Opp]],Table123[DEF],Table123[R])</f>
        <v>#N/A</v>
      </c>
      <c r="N30" s="95" t="e">
        <f>_xlfn.XLOOKUP(Table117821342[[#This Row],[Opp]],Table123[DEF],Table123[P+R])</f>
        <v>#N/A</v>
      </c>
      <c r="O30" s="96" t="e">
        <f>_xlfn.XLOOKUP(Table117821342[[#This Row],[Opp]],Table123[DEF],Table123[P TD])</f>
        <v>#N/A</v>
      </c>
      <c r="P30" s="96" t="e">
        <f>_xlfn.XLOOKUP(Table117821342[[#This Row],[Opp]],Table123[DEF],Table123[TD])</f>
        <v>#N/A</v>
      </c>
      <c r="Q30" s="94" t="e">
        <f>AVERAGE(Table117821342[[#This Row],[*P*]:[*TD*]])</f>
        <v>#N/A</v>
      </c>
    </row>
    <row r="31" spans="2:17" hidden="1" x14ac:dyDescent="0.35">
      <c r="B31" s="6" t="s">
        <v>385</v>
      </c>
      <c r="C31" s="97" t="s">
        <v>56</v>
      </c>
      <c r="D31" s="97" t="s">
        <v>399</v>
      </c>
      <c r="E31" s="23" t="str" cm="1">
        <f t="array" ref="E31">_xlfn.XLOOKUP(Table117821342[[#This Row],[Team]],Table4334[Team],'2425'!$C$3:$C$34)</f>
        <v>n/a</v>
      </c>
      <c r="F31" s="97" t="str">
        <f>'2025'!$E$34</f>
        <v>n/a</v>
      </c>
      <c r="G31" s="94" t="e" cm="1">
        <f t="array" ref="G31">_xlfn.XLOOKUP(Table117821342[[#This Row],[Opp]],Table123[DEF],'2425'!$H$3:$H$34)</f>
        <v>#N/A</v>
      </c>
      <c r="H31" s="94" t="e" cm="1">
        <f t="array" ref="H31">_xlfn.XLOOKUP(Table117821342[[#This Row],[Opp]],Table123[DEF],'2425'!$I$3:$I$34)</f>
        <v>#N/A</v>
      </c>
      <c r="I31" s="94" t="e" cm="1">
        <f t="array" ref="I31">_xlfn.XLOOKUP(Table117821342[[#This Row],[Opp]],Table123[DEF],'2425'!$J$3:$J$34)</f>
        <v>#N/A</v>
      </c>
      <c r="J31" s="94" t="e" cm="1">
        <f t="array" ref="J31">_xlfn.XLOOKUP(Table117821342[[#This Row],[Opp]],Table123[DEF],'2425'!$K$3:$K$34)</f>
        <v>#N/A</v>
      </c>
      <c r="K31" s="94" t="e" cm="1">
        <f t="array" ref="K31">_xlfn.XLOOKUP(Table117821342[[#This Row],[Opp]],Table123[DEF],'2425'!$L$3:$L$34)</f>
        <v>#N/A</v>
      </c>
      <c r="L31" s="95" t="e">
        <f>_xlfn.XLOOKUP(Table117821342[[#This Row],[Opp]],Table123[DEF],Table123[P])</f>
        <v>#N/A</v>
      </c>
      <c r="M31" s="95" t="e">
        <f>_xlfn.XLOOKUP(Table117821342[[#This Row],[Opp]],Table123[DEF],Table123[R])</f>
        <v>#N/A</v>
      </c>
      <c r="N31" s="95" t="e">
        <f>_xlfn.XLOOKUP(Table117821342[[#This Row],[Opp]],Table123[DEF],Table123[P+R])</f>
        <v>#N/A</v>
      </c>
      <c r="O31" s="96" t="e">
        <f>_xlfn.XLOOKUP(Table117821342[[#This Row],[Opp]],Table123[DEF],Table123[P TD])</f>
        <v>#N/A</v>
      </c>
      <c r="P31" s="96" t="e">
        <f>_xlfn.XLOOKUP(Table117821342[[#This Row],[Opp]],Table123[DEF],Table123[TD])</f>
        <v>#N/A</v>
      </c>
      <c r="Q31" s="94" t="e">
        <f>AVERAGE(Table117821342[[#This Row],[*P*]:[*TD*]])</f>
        <v>#N/A</v>
      </c>
    </row>
    <row r="32" spans="2:17" hidden="1" x14ac:dyDescent="0.35">
      <c r="B32" s="6" t="s">
        <v>182</v>
      </c>
      <c r="C32" s="97" t="s">
        <v>33</v>
      </c>
      <c r="D32" s="97" t="s">
        <v>405</v>
      </c>
      <c r="E32" s="23" t="str" cm="1">
        <f t="array" ref="E32">_xlfn.XLOOKUP(Table117821342[[#This Row],[Team]],Table4334[Team],'2425'!$C$3:$C$34)</f>
        <v>n/a</v>
      </c>
      <c r="F32" s="97" t="str">
        <f>'2025'!$E$11</f>
        <v>n/a</v>
      </c>
      <c r="G32" s="94" t="e" cm="1">
        <f t="array" ref="G32">_xlfn.XLOOKUP(Table117821342[[#This Row],[Opp]],Table123[DEF],'2425'!$H$3:$H$34)</f>
        <v>#N/A</v>
      </c>
      <c r="H32" s="94" t="e" cm="1">
        <f t="array" ref="H32">_xlfn.XLOOKUP(Table117821342[[#This Row],[Opp]],Table123[DEF],'2425'!$I$3:$I$34)</f>
        <v>#N/A</v>
      </c>
      <c r="I32" s="94" t="e" cm="1">
        <f t="array" ref="I32">_xlfn.XLOOKUP(Table117821342[[#This Row],[Opp]],Table123[DEF],'2425'!$J$3:$J$34)</f>
        <v>#N/A</v>
      </c>
      <c r="J32" s="94" t="e" cm="1">
        <f t="array" ref="J32">_xlfn.XLOOKUP(Table117821342[[#This Row],[Opp]],Table123[DEF],'2425'!$K$3:$K$34)</f>
        <v>#N/A</v>
      </c>
      <c r="K32" s="94" t="e" cm="1">
        <f t="array" ref="K32">_xlfn.XLOOKUP(Table117821342[[#This Row],[Opp]],Table123[DEF],'2425'!$L$3:$L$34)</f>
        <v>#N/A</v>
      </c>
      <c r="L32" s="95" t="e">
        <f>_xlfn.XLOOKUP(Table117821342[[#This Row],[Opp]],Table123[DEF],Table123[P])</f>
        <v>#N/A</v>
      </c>
      <c r="M32" s="95" t="e">
        <f>_xlfn.XLOOKUP(Table117821342[[#This Row],[Opp]],Table123[DEF],Table123[R])</f>
        <v>#N/A</v>
      </c>
      <c r="N32" s="95" t="e">
        <f>_xlfn.XLOOKUP(Table117821342[[#This Row],[Opp]],Table123[DEF],Table123[P+R])</f>
        <v>#N/A</v>
      </c>
      <c r="O32" s="96" t="e">
        <f>_xlfn.XLOOKUP(Table117821342[[#This Row],[Opp]],Table123[DEF],Table123[P TD])</f>
        <v>#N/A</v>
      </c>
      <c r="P32" s="96" t="e">
        <f>_xlfn.XLOOKUP(Table117821342[[#This Row],[Opp]],Table123[DEF],Table123[TD])</f>
        <v>#N/A</v>
      </c>
      <c r="Q32" s="94" t="e">
        <f>AVERAGE(Table117821342[[#This Row],[*P*]:[*TD*]])</f>
        <v>#N/A</v>
      </c>
    </row>
    <row r="33" spans="2:17" hidden="1" x14ac:dyDescent="0.35">
      <c r="B33" s="6" t="s">
        <v>243</v>
      </c>
      <c r="C33" s="97" t="s">
        <v>40</v>
      </c>
      <c r="D33" s="97" t="s">
        <v>399</v>
      </c>
      <c r="E33" s="23" t="str" cm="1">
        <f t="array" ref="E33">_xlfn.XLOOKUP(Table117821342[[#This Row],[Team]],Table4334[Team],'2425'!$C$3:$C$34)</f>
        <v>n/a</v>
      </c>
      <c r="F33" s="97" t="str">
        <f>'2025'!$E$18</f>
        <v>n/a</v>
      </c>
      <c r="G33" s="94" t="e" cm="1">
        <f t="array" ref="G33">_xlfn.XLOOKUP(Table117821342[[#This Row],[Opp]],Table123[DEF],'2425'!$H$3:$H$34)</f>
        <v>#N/A</v>
      </c>
      <c r="H33" s="94" t="e" cm="1">
        <f t="array" ref="H33">_xlfn.XLOOKUP(Table117821342[[#This Row],[Opp]],Table123[DEF],'2425'!$I$3:$I$34)</f>
        <v>#N/A</v>
      </c>
      <c r="I33" s="94" t="e" cm="1">
        <f t="array" ref="I33">_xlfn.XLOOKUP(Table117821342[[#This Row],[Opp]],Table123[DEF],'2425'!$J$3:$J$34)</f>
        <v>#N/A</v>
      </c>
      <c r="J33" s="94" t="e" cm="1">
        <f t="array" ref="J33">_xlfn.XLOOKUP(Table117821342[[#This Row],[Opp]],Table123[DEF],'2425'!$K$3:$K$34)</f>
        <v>#N/A</v>
      </c>
      <c r="K33" s="94" t="e" cm="1">
        <f t="array" ref="K33">_xlfn.XLOOKUP(Table117821342[[#This Row],[Opp]],Table123[DEF],'2425'!$L$3:$L$34)</f>
        <v>#N/A</v>
      </c>
      <c r="L33" s="95" t="e">
        <f>_xlfn.XLOOKUP(Table117821342[[#This Row],[Opp]],Table123[DEF],Table123[P])</f>
        <v>#N/A</v>
      </c>
      <c r="M33" s="95" t="e">
        <f>_xlfn.XLOOKUP(Table117821342[[#This Row],[Opp]],Table123[DEF],Table123[R])</f>
        <v>#N/A</v>
      </c>
      <c r="N33" s="95" t="e">
        <f>_xlfn.XLOOKUP(Table117821342[[#This Row],[Opp]],Table123[DEF],Table123[P+R])</f>
        <v>#N/A</v>
      </c>
      <c r="O33" s="96" t="e">
        <f>_xlfn.XLOOKUP(Table117821342[[#This Row],[Opp]],Table123[DEF],Table123[P TD])</f>
        <v>#N/A</v>
      </c>
      <c r="P33" s="96" t="e">
        <f>_xlfn.XLOOKUP(Table117821342[[#This Row],[Opp]],Table123[DEF],Table123[TD])</f>
        <v>#N/A</v>
      </c>
      <c r="Q33" s="94" t="e">
        <f>AVERAGE(Table117821342[[#This Row],[*P*]:[*TD*]])</f>
        <v>#N/A</v>
      </c>
    </row>
    <row r="34" spans="2:17" hidden="1" x14ac:dyDescent="0.35">
      <c r="B34" s="6" t="s">
        <v>256</v>
      </c>
      <c r="C34" s="97" t="s">
        <v>41</v>
      </c>
      <c r="D34" s="97" t="s">
        <v>405</v>
      </c>
      <c r="E34" s="23" t="str" cm="1">
        <f t="array" ref="E34">_xlfn.XLOOKUP(Table117821342[[#This Row],[Team]],Table4334[Team],'2425'!$C$3:$C$34)</f>
        <v>n/a</v>
      </c>
      <c r="F34" s="97" t="str">
        <f>'2025'!$E$19</f>
        <v>n/a</v>
      </c>
      <c r="G34" s="94" t="e" cm="1">
        <f t="array" ref="G34">_xlfn.XLOOKUP(Table117821342[[#This Row],[Opp]],Table123[DEF],'2425'!$H$3:$H$34)</f>
        <v>#N/A</v>
      </c>
      <c r="H34" s="94" t="e" cm="1">
        <f t="array" ref="H34">_xlfn.XLOOKUP(Table117821342[[#This Row],[Opp]],Table123[DEF],'2425'!$I$3:$I$34)</f>
        <v>#N/A</v>
      </c>
      <c r="I34" s="94" t="e" cm="1">
        <f t="array" ref="I34">_xlfn.XLOOKUP(Table117821342[[#This Row],[Opp]],Table123[DEF],'2425'!$J$3:$J$34)</f>
        <v>#N/A</v>
      </c>
      <c r="J34" s="94" t="e" cm="1">
        <f t="array" ref="J34">_xlfn.XLOOKUP(Table117821342[[#This Row],[Opp]],Table123[DEF],'2425'!$K$3:$K$34)</f>
        <v>#N/A</v>
      </c>
      <c r="K34" s="94" t="e" cm="1">
        <f t="array" ref="K34">_xlfn.XLOOKUP(Table117821342[[#This Row],[Opp]],Table123[DEF],'2425'!$L$3:$L$34)</f>
        <v>#N/A</v>
      </c>
      <c r="L34" s="95" t="e">
        <f>_xlfn.XLOOKUP(Table117821342[[#This Row],[Opp]],Table123[DEF],Table123[P])</f>
        <v>#N/A</v>
      </c>
      <c r="M34" s="95" t="e">
        <f>_xlfn.XLOOKUP(Table117821342[[#This Row],[Opp]],Table123[DEF],Table123[R])</f>
        <v>#N/A</v>
      </c>
      <c r="N34" s="95" t="e">
        <f>_xlfn.XLOOKUP(Table117821342[[#This Row],[Opp]],Table123[DEF],Table123[P+R])</f>
        <v>#N/A</v>
      </c>
      <c r="O34" s="96" t="e">
        <f>_xlfn.XLOOKUP(Table117821342[[#This Row],[Opp]],Table123[DEF],Table123[P TD])</f>
        <v>#N/A</v>
      </c>
      <c r="P34" s="96" t="e">
        <f>_xlfn.XLOOKUP(Table117821342[[#This Row],[Opp]],Table123[DEF],Table123[TD])</f>
        <v>#N/A</v>
      </c>
      <c r="Q34" s="94" t="e">
        <f>AVERAGE(Table117821342[[#This Row],[*P*]:[*TD*]])</f>
        <v>#N/A</v>
      </c>
    </row>
    <row r="35" spans="2:17" x14ac:dyDescent="0.35">
      <c r="B35" s="6" t="s">
        <v>357</v>
      </c>
      <c r="C35" s="97" t="s">
        <v>53</v>
      </c>
      <c r="D35" s="97" t="s">
        <v>399</v>
      </c>
      <c r="E35" s="23" t="str" cm="1">
        <f t="array" ref="E35">_xlfn.XLOOKUP(Table117821342[[#This Row],[Team]],Table4334[Team],'2425'!$C$3:$C$34)</f>
        <v>n/a</v>
      </c>
      <c r="F35" s="97" t="str">
        <f>'2025'!$E$31</f>
        <v>n/a</v>
      </c>
      <c r="G35" s="94" t="e" cm="1">
        <f t="array" ref="G35">_xlfn.XLOOKUP(Table117821342[[#This Row],[Opp]],Table123[DEF],'2425'!$H$3:$H$34)</f>
        <v>#N/A</v>
      </c>
      <c r="H35" s="94" t="e" cm="1">
        <f t="array" ref="H35">_xlfn.XLOOKUP(Table117821342[[#This Row],[Opp]],Table123[DEF],'2425'!$I$3:$I$34)</f>
        <v>#N/A</v>
      </c>
      <c r="I35" s="94" t="e" cm="1">
        <f t="array" ref="I35">_xlfn.XLOOKUP(Table117821342[[#This Row],[Opp]],Table123[DEF],'2425'!$J$3:$J$34)</f>
        <v>#N/A</v>
      </c>
      <c r="J35" s="94" t="e" cm="1">
        <f t="array" ref="J35">_xlfn.XLOOKUP(Table117821342[[#This Row],[Opp]],Table123[DEF],'2425'!$K$3:$K$34)</f>
        <v>#N/A</v>
      </c>
      <c r="K35" s="94" t="e" cm="1">
        <f t="array" ref="K35">_xlfn.XLOOKUP(Table117821342[[#This Row],[Opp]],Table123[DEF],'2425'!$L$3:$L$34)</f>
        <v>#N/A</v>
      </c>
      <c r="L35" s="95" t="e">
        <f>_xlfn.XLOOKUP(Table117821342[[#This Row],[Opp]],Table123[DEF],Table123[P])</f>
        <v>#N/A</v>
      </c>
      <c r="M35" s="95" t="e">
        <f>_xlfn.XLOOKUP(Table117821342[[#This Row],[Opp]],Table123[DEF],Table123[R])</f>
        <v>#N/A</v>
      </c>
      <c r="N35" s="95" t="e">
        <f>_xlfn.XLOOKUP(Table117821342[[#This Row],[Opp]],Table123[DEF],Table123[P+R])</f>
        <v>#N/A</v>
      </c>
      <c r="O35" s="96" t="e">
        <f>_xlfn.XLOOKUP(Table117821342[[#This Row],[Opp]],Table123[DEF],Table123[P TD])</f>
        <v>#N/A</v>
      </c>
      <c r="P35" s="96" t="e">
        <f>_xlfn.XLOOKUP(Table117821342[[#This Row],[Opp]],Table123[DEF],Table123[TD])</f>
        <v>#N/A</v>
      </c>
      <c r="Q35" s="94" t="e">
        <f>AVERAGE(Table117821342[[#This Row],[*P*]:[*TD*]])</f>
        <v>#N/A</v>
      </c>
    </row>
    <row r="36" spans="2:17" hidden="1" x14ac:dyDescent="0.35">
      <c r="B36" s="6" t="s">
        <v>607</v>
      </c>
      <c r="C36" s="97" t="s">
        <v>29</v>
      </c>
      <c r="D36" s="97" t="s">
        <v>405</v>
      </c>
      <c r="E36" s="23" t="str" cm="1">
        <f t="array" ref="E36">_xlfn.XLOOKUP(Table117821342[[#This Row],[Team]],Table4334[Team],'2425'!$C$3:$C$34)</f>
        <v>n/a</v>
      </c>
      <c r="F36" s="97" t="str">
        <f>'2025'!$E$7</f>
        <v>n/a</v>
      </c>
      <c r="G36" s="94" t="e" cm="1">
        <f t="array" ref="G36">_xlfn.XLOOKUP(Table117821342[[#This Row],[Opp]],Table123[DEF],'2425'!$H$3:$H$34)</f>
        <v>#N/A</v>
      </c>
      <c r="H36" s="94" t="e" cm="1">
        <f t="array" ref="H36">_xlfn.XLOOKUP(Table117821342[[#This Row],[Opp]],Table123[DEF],'2425'!$I$3:$I$34)</f>
        <v>#N/A</v>
      </c>
      <c r="I36" s="94" t="e" cm="1">
        <f t="array" ref="I36">_xlfn.XLOOKUP(Table117821342[[#This Row],[Opp]],Table123[DEF],'2425'!$J$3:$J$34)</f>
        <v>#N/A</v>
      </c>
      <c r="J36" s="94" t="e" cm="1">
        <f t="array" ref="J36">_xlfn.XLOOKUP(Table117821342[[#This Row],[Opp]],Table123[DEF],'2425'!$K$3:$K$34)</f>
        <v>#N/A</v>
      </c>
      <c r="K36" s="94" t="e" cm="1">
        <f t="array" ref="K36">_xlfn.XLOOKUP(Table117821342[[#This Row],[Opp]],Table123[DEF],'2425'!$L$3:$L$34)</f>
        <v>#N/A</v>
      </c>
      <c r="L36" s="95" t="e">
        <f>_xlfn.XLOOKUP(Table117821342[[#This Row],[Opp]],Table123[DEF],Table123[P])</f>
        <v>#N/A</v>
      </c>
      <c r="M36" s="95" t="e">
        <f>_xlfn.XLOOKUP(Table117821342[[#This Row],[Opp]],Table123[DEF],Table123[R])</f>
        <v>#N/A</v>
      </c>
      <c r="N36" s="95" t="e">
        <f>_xlfn.XLOOKUP(Table117821342[[#This Row],[Opp]],Table123[DEF],Table123[P+R])</f>
        <v>#N/A</v>
      </c>
      <c r="O36" s="96" t="e">
        <f>_xlfn.XLOOKUP(Table117821342[[#This Row],[Opp]],Table123[DEF],Table123[P TD])</f>
        <v>#N/A</v>
      </c>
      <c r="P36" s="96" t="e">
        <f>_xlfn.XLOOKUP(Table117821342[[#This Row],[Opp]],Table123[DEF],Table123[TD])</f>
        <v>#N/A</v>
      </c>
      <c r="Q36" s="94" t="e">
        <f>AVERAGE(Table117821342[[#This Row],[*P*]:[*TD*]])</f>
        <v>#N/A</v>
      </c>
    </row>
    <row r="37" spans="2:17" hidden="1" x14ac:dyDescent="0.35">
      <c r="B37" s="6" t="s">
        <v>199</v>
      </c>
      <c r="C37" s="97" t="s">
        <v>35</v>
      </c>
      <c r="D37" s="97" t="s">
        <v>399</v>
      </c>
      <c r="E37" s="23" t="str" cm="1">
        <f t="array" ref="E37">_xlfn.XLOOKUP(Table117821342[[#This Row],[Team]],Table4334[Team],'2425'!$C$3:$C$34)</f>
        <v>n/a</v>
      </c>
      <c r="F37" s="97" t="str">
        <f>'2025'!$E$13</f>
        <v>n/a</v>
      </c>
      <c r="G37" s="94" t="e" cm="1">
        <f t="array" ref="G37">_xlfn.XLOOKUP(Table117821342[[#This Row],[Opp]],Table123[DEF],'2425'!$H$3:$H$34)</f>
        <v>#N/A</v>
      </c>
      <c r="H37" s="94" t="e" cm="1">
        <f t="array" ref="H37">_xlfn.XLOOKUP(Table117821342[[#This Row],[Opp]],Table123[DEF],'2425'!$I$3:$I$34)</f>
        <v>#N/A</v>
      </c>
      <c r="I37" s="94" t="e" cm="1">
        <f t="array" ref="I37">_xlfn.XLOOKUP(Table117821342[[#This Row],[Opp]],Table123[DEF],'2425'!$J$3:$J$34)</f>
        <v>#N/A</v>
      </c>
      <c r="J37" s="94" t="e" cm="1">
        <f t="array" ref="J37">_xlfn.XLOOKUP(Table117821342[[#This Row],[Opp]],Table123[DEF],'2425'!$K$3:$K$34)</f>
        <v>#N/A</v>
      </c>
      <c r="K37" s="94" t="e" cm="1">
        <f t="array" ref="K37">_xlfn.XLOOKUP(Table117821342[[#This Row],[Opp]],Table123[DEF],'2425'!$L$3:$L$34)</f>
        <v>#N/A</v>
      </c>
      <c r="L37" s="95" t="e">
        <f>_xlfn.XLOOKUP(Table117821342[[#This Row],[Opp]],Table123[DEF],Table123[P])</f>
        <v>#N/A</v>
      </c>
      <c r="M37" s="95" t="e">
        <f>_xlfn.XLOOKUP(Table117821342[[#This Row],[Opp]],Table123[DEF],Table123[R])</f>
        <v>#N/A</v>
      </c>
      <c r="N37" s="95" t="e">
        <f>_xlfn.XLOOKUP(Table117821342[[#This Row],[Opp]],Table123[DEF],Table123[P+R])</f>
        <v>#N/A</v>
      </c>
      <c r="O37" s="96" t="e">
        <f>_xlfn.XLOOKUP(Table117821342[[#This Row],[Opp]],Table123[DEF],Table123[P TD])</f>
        <v>#N/A</v>
      </c>
      <c r="P37" s="96" t="e">
        <f>_xlfn.XLOOKUP(Table117821342[[#This Row],[Opp]],Table123[DEF],Table123[TD])</f>
        <v>#N/A</v>
      </c>
      <c r="Q37" s="94" t="e">
        <f>AVERAGE(Table117821342[[#This Row],[*P*]:[*TD*]])</f>
        <v>#N/A</v>
      </c>
    </row>
    <row r="38" spans="2:17" hidden="1" x14ac:dyDescent="0.35">
      <c r="B38" s="6" t="s">
        <v>451</v>
      </c>
      <c r="C38" s="97" t="s">
        <v>50</v>
      </c>
      <c r="D38" s="97" t="s">
        <v>405</v>
      </c>
      <c r="E38" s="23" t="str" cm="1">
        <f t="array" ref="E38">_xlfn.XLOOKUP(Table117821342[[#This Row],[Team]],Table4334[Team],'2425'!$C$3:$C$34)</f>
        <v>n/a</v>
      </c>
      <c r="F38" s="97" t="str">
        <f>'2025'!$E$28</f>
        <v>n/a</v>
      </c>
      <c r="G38" s="94" t="e" cm="1">
        <f t="array" ref="G38">_xlfn.XLOOKUP(Table117821342[[#This Row],[Opp]],Table123[DEF],'2425'!$H$3:$H$34)</f>
        <v>#N/A</v>
      </c>
      <c r="H38" s="94" t="e" cm="1">
        <f t="array" ref="H38">_xlfn.XLOOKUP(Table117821342[[#This Row],[Opp]],Table123[DEF],'2425'!$I$3:$I$34)</f>
        <v>#N/A</v>
      </c>
      <c r="I38" s="94" t="e" cm="1">
        <f t="array" ref="I38">_xlfn.XLOOKUP(Table117821342[[#This Row],[Opp]],Table123[DEF],'2425'!$J$3:$J$34)</f>
        <v>#N/A</v>
      </c>
      <c r="J38" s="94" t="e" cm="1">
        <f t="array" ref="J38">_xlfn.XLOOKUP(Table117821342[[#This Row],[Opp]],Table123[DEF],'2425'!$K$3:$K$34)</f>
        <v>#N/A</v>
      </c>
      <c r="K38" s="94" t="e" cm="1">
        <f t="array" ref="K38">_xlfn.XLOOKUP(Table117821342[[#This Row],[Opp]],Table123[DEF],'2425'!$L$3:$L$34)</f>
        <v>#N/A</v>
      </c>
      <c r="L38" s="95" t="e">
        <f>_xlfn.XLOOKUP(Table117821342[[#This Row],[Opp]],Table123[DEF],Table123[P])</f>
        <v>#N/A</v>
      </c>
      <c r="M38" s="95" t="e">
        <f>_xlfn.XLOOKUP(Table117821342[[#This Row],[Opp]],Table123[DEF],Table123[R])</f>
        <v>#N/A</v>
      </c>
      <c r="N38" s="95" t="e">
        <f>_xlfn.XLOOKUP(Table117821342[[#This Row],[Opp]],Table123[DEF],Table123[P+R])</f>
        <v>#N/A</v>
      </c>
      <c r="O38" s="96" t="e">
        <f>_xlfn.XLOOKUP(Table117821342[[#This Row],[Opp]],Table123[DEF],Table123[P TD])</f>
        <v>#N/A</v>
      </c>
      <c r="P38" s="96" t="e">
        <f>_xlfn.XLOOKUP(Table117821342[[#This Row],[Opp]],Table123[DEF],Table123[TD])</f>
        <v>#N/A</v>
      </c>
      <c r="Q38" s="94" t="e">
        <f>AVERAGE(Table117821342[[#This Row],[*P*]:[*TD*]])</f>
        <v>#N/A</v>
      </c>
    </row>
    <row r="39" spans="2:17" hidden="1" x14ac:dyDescent="0.35">
      <c r="B39" s="6" t="s">
        <v>452</v>
      </c>
      <c r="C39" s="97" t="s">
        <v>50</v>
      </c>
      <c r="D39" s="97" t="s">
        <v>425</v>
      </c>
      <c r="E39" s="23" t="str" cm="1">
        <f t="array" ref="E39">_xlfn.XLOOKUP(Table117821342[[#This Row],[Team]],Table4334[Team],'2425'!$C$3:$C$34)</f>
        <v>n/a</v>
      </c>
      <c r="F39" s="97" t="str">
        <f>'2025'!$E$28</f>
        <v>n/a</v>
      </c>
      <c r="G39" s="94" t="e" cm="1">
        <f t="array" ref="G39">_xlfn.XLOOKUP(Table117821342[[#This Row],[Opp]],Table123[DEF],'2425'!$H$3:$H$34)</f>
        <v>#N/A</v>
      </c>
      <c r="H39" s="94" t="e" cm="1">
        <f t="array" ref="H39">_xlfn.XLOOKUP(Table117821342[[#This Row],[Opp]],Table123[DEF],'2425'!$I$3:$I$34)</f>
        <v>#N/A</v>
      </c>
      <c r="I39" s="94" t="e" cm="1">
        <f t="array" ref="I39">_xlfn.XLOOKUP(Table117821342[[#This Row],[Opp]],Table123[DEF],'2425'!$J$3:$J$34)</f>
        <v>#N/A</v>
      </c>
      <c r="J39" s="94" t="e" cm="1">
        <f t="array" ref="J39">_xlfn.XLOOKUP(Table117821342[[#This Row],[Opp]],Table123[DEF],'2425'!$K$3:$K$34)</f>
        <v>#N/A</v>
      </c>
      <c r="K39" s="94" t="e" cm="1">
        <f t="array" ref="K39">_xlfn.XLOOKUP(Table117821342[[#This Row],[Opp]],Table123[DEF],'2425'!$L$3:$L$34)</f>
        <v>#N/A</v>
      </c>
      <c r="L39" s="95" t="e">
        <f>_xlfn.XLOOKUP(Table117821342[[#This Row],[Opp]],Table123[DEF],Table123[P])</f>
        <v>#N/A</v>
      </c>
      <c r="M39" s="95" t="e">
        <f>_xlfn.XLOOKUP(Table117821342[[#This Row],[Opp]],Table123[DEF],Table123[R])</f>
        <v>#N/A</v>
      </c>
      <c r="N39" s="95" t="e">
        <f>_xlfn.XLOOKUP(Table117821342[[#This Row],[Opp]],Table123[DEF],Table123[P+R])</f>
        <v>#N/A</v>
      </c>
      <c r="O39" s="96" t="e">
        <f>_xlfn.XLOOKUP(Table117821342[[#This Row],[Opp]],Table123[DEF],Table123[P TD])</f>
        <v>#N/A</v>
      </c>
      <c r="P39" s="96" t="e">
        <f>_xlfn.XLOOKUP(Table117821342[[#This Row],[Opp]],Table123[DEF],Table123[TD])</f>
        <v>#N/A</v>
      </c>
      <c r="Q39" s="94" t="e">
        <f>AVERAGE(Table117821342[[#This Row],[*P*]:[*TD*]])</f>
        <v>#N/A</v>
      </c>
    </row>
    <row r="40" spans="2:17" hidden="1" x14ac:dyDescent="0.35">
      <c r="B40" s="6" t="s">
        <v>330</v>
      </c>
      <c r="C40" s="97" t="s">
        <v>49</v>
      </c>
      <c r="D40" s="97" t="s">
        <v>399</v>
      </c>
      <c r="E40" s="23" t="str" cm="1">
        <f t="array" ref="E40">_xlfn.XLOOKUP(Table117821342[[#This Row],[Team]],Table4334[Team],'2425'!$C$3:$C$34)</f>
        <v>n/a</v>
      </c>
      <c r="F40" s="97" t="str">
        <f>'2025'!$E$27</f>
        <v>n/a</v>
      </c>
      <c r="G40" s="94" t="e" cm="1">
        <f t="array" ref="G40">_xlfn.XLOOKUP(Table117821342[[#This Row],[Opp]],Table123[DEF],'2425'!$H$3:$H$34)</f>
        <v>#N/A</v>
      </c>
      <c r="H40" s="94" t="e" cm="1">
        <f t="array" ref="H40">_xlfn.XLOOKUP(Table117821342[[#This Row],[Opp]],Table123[DEF],'2425'!$I$3:$I$34)</f>
        <v>#N/A</v>
      </c>
      <c r="I40" s="94" t="e" cm="1">
        <f t="array" ref="I40">_xlfn.XLOOKUP(Table117821342[[#This Row],[Opp]],Table123[DEF],'2425'!$J$3:$J$34)</f>
        <v>#N/A</v>
      </c>
      <c r="J40" s="94" t="e" cm="1">
        <f t="array" ref="J40">_xlfn.XLOOKUP(Table117821342[[#This Row],[Opp]],Table123[DEF],'2425'!$K$3:$K$34)</f>
        <v>#N/A</v>
      </c>
      <c r="K40" s="94" t="e" cm="1">
        <f t="array" ref="K40">_xlfn.XLOOKUP(Table117821342[[#This Row],[Opp]],Table123[DEF],'2425'!$L$3:$L$34)</f>
        <v>#N/A</v>
      </c>
      <c r="L40" s="95" t="e">
        <f>_xlfn.XLOOKUP(Table117821342[[#This Row],[Opp]],Table123[DEF],Table123[P])</f>
        <v>#N/A</v>
      </c>
      <c r="M40" s="95" t="e">
        <f>_xlfn.XLOOKUP(Table117821342[[#This Row],[Opp]],Table123[DEF],Table123[R])</f>
        <v>#N/A</v>
      </c>
      <c r="N40" s="95" t="e">
        <f>_xlfn.XLOOKUP(Table117821342[[#This Row],[Opp]],Table123[DEF],Table123[P+R])</f>
        <v>#N/A</v>
      </c>
      <c r="O40" s="96" t="e">
        <f>_xlfn.XLOOKUP(Table117821342[[#This Row],[Opp]],Table123[DEF],Table123[P TD])</f>
        <v>#N/A</v>
      </c>
      <c r="P40" s="96" t="e">
        <f>_xlfn.XLOOKUP(Table117821342[[#This Row],[Opp]],Table123[DEF],Table123[TD])</f>
        <v>#N/A</v>
      </c>
      <c r="Q40" s="94" t="e">
        <f>AVERAGE(Table117821342[[#This Row],[*P*]:[*TD*]])</f>
        <v>#N/A</v>
      </c>
    </row>
    <row r="41" spans="2:17" hidden="1" x14ac:dyDescent="0.35">
      <c r="B41" s="6" t="s">
        <v>235</v>
      </c>
      <c r="C41" s="97" t="s">
        <v>39</v>
      </c>
      <c r="D41" s="97" t="s">
        <v>405</v>
      </c>
      <c r="E41" s="23" t="str" cm="1">
        <f t="array" ref="E41">_xlfn.XLOOKUP(Table117821342[[#This Row],[Team]],Table4334[Team],'2425'!$C$3:$C$34)</f>
        <v>n/a</v>
      </c>
      <c r="F41" s="97" t="str">
        <f>'2025'!$E$17</f>
        <v>n/a</v>
      </c>
      <c r="G41" s="94" t="e" cm="1">
        <f t="array" ref="G41">_xlfn.XLOOKUP(Table117821342[[#This Row],[Opp]],Table123[DEF],'2425'!$H$3:$H$34)</f>
        <v>#N/A</v>
      </c>
      <c r="H41" s="94" t="e" cm="1">
        <f t="array" ref="H41">_xlfn.XLOOKUP(Table117821342[[#This Row],[Opp]],Table123[DEF],'2425'!$I$3:$I$34)</f>
        <v>#N/A</v>
      </c>
      <c r="I41" s="94" t="e" cm="1">
        <f t="array" ref="I41">_xlfn.XLOOKUP(Table117821342[[#This Row],[Opp]],Table123[DEF],'2425'!$J$3:$J$34)</f>
        <v>#N/A</v>
      </c>
      <c r="J41" s="94" t="e" cm="1">
        <f t="array" ref="J41">_xlfn.XLOOKUP(Table117821342[[#This Row],[Opp]],Table123[DEF],'2425'!$K$3:$K$34)</f>
        <v>#N/A</v>
      </c>
      <c r="K41" s="94" t="e" cm="1">
        <f t="array" ref="K41">_xlfn.XLOOKUP(Table117821342[[#This Row],[Opp]],Table123[DEF],'2425'!$L$3:$L$34)</f>
        <v>#N/A</v>
      </c>
      <c r="L41" s="95" t="e">
        <f>_xlfn.XLOOKUP(Table117821342[[#This Row],[Opp]],Table123[DEF],Table123[P])</f>
        <v>#N/A</v>
      </c>
      <c r="M41" s="95" t="e">
        <f>_xlfn.XLOOKUP(Table117821342[[#This Row],[Opp]],Table123[DEF],Table123[R])</f>
        <v>#N/A</v>
      </c>
      <c r="N41" s="95" t="e">
        <f>_xlfn.XLOOKUP(Table117821342[[#This Row],[Opp]],Table123[DEF],Table123[P+R])</f>
        <v>#N/A</v>
      </c>
      <c r="O41" s="96" t="e">
        <f>_xlfn.XLOOKUP(Table117821342[[#This Row],[Opp]],Table123[DEF],Table123[P TD])</f>
        <v>#N/A</v>
      </c>
      <c r="P41" s="96" t="e">
        <f>_xlfn.XLOOKUP(Table117821342[[#This Row],[Opp]],Table123[DEF],Table123[TD])</f>
        <v>#N/A</v>
      </c>
      <c r="Q41" s="94" t="e">
        <f>AVERAGE(Table117821342[[#This Row],[*P*]:[*TD*]])</f>
        <v>#N/A</v>
      </c>
    </row>
    <row r="42" spans="2:17" hidden="1" x14ac:dyDescent="0.35">
      <c r="B42" s="6" t="s">
        <v>108</v>
      </c>
      <c r="C42" s="97" t="s">
        <v>0</v>
      </c>
      <c r="D42" s="97" t="s">
        <v>399</v>
      </c>
      <c r="E42" s="23" t="str" cm="1">
        <f t="array" ref="E42">_xlfn.XLOOKUP(Table117821342[[#This Row],[Team]],Table4334[Team],'2425'!$C$3:$C$34)</f>
        <v>n/a</v>
      </c>
      <c r="F42" s="97" t="str">
        <f>'2025'!$E$3</f>
        <v>n/a</v>
      </c>
      <c r="G42" s="94" t="e" cm="1">
        <f t="array" ref="G42">_xlfn.XLOOKUP(Table117821342[[#This Row],[Opp]],Table123[DEF],'2425'!$H$3:$H$34)</f>
        <v>#N/A</v>
      </c>
      <c r="H42" s="94" t="e" cm="1">
        <f t="array" ref="H42">_xlfn.XLOOKUP(Table117821342[[#This Row],[Opp]],Table123[DEF],'2425'!$I$3:$I$34)</f>
        <v>#N/A</v>
      </c>
      <c r="I42" s="94" t="e" cm="1">
        <f t="array" ref="I42">_xlfn.XLOOKUP(Table117821342[[#This Row],[Opp]],Table123[DEF],'2425'!$J$3:$J$34)</f>
        <v>#N/A</v>
      </c>
      <c r="J42" s="94" t="e" cm="1">
        <f t="array" ref="J42">_xlfn.XLOOKUP(Table117821342[[#This Row],[Opp]],Table123[DEF],'2425'!$K$3:$K$34)</f>
        <v>#N/A</v>
      </c>
      <c r="K42" s="94" t="e" cm="1">
        <f t="array" ref="K42">_xlfn.XLOOKUP(Table117821342[[#This Row],[Opp]],Table123[DEF],'2425'!$L$3:$L$34)</f>
        <v>#N/A</v>
      </c>
      <c r="L42" s="95" t="e">
        <f>_xlfn.XLOOKUP(Table117821342[[#This Row],[Opp]],Table123[DEF],Table123[P])</f>
        <v>#N/A</v>
      </c>
      <c r="M42" s="95" t="e">
        <f>_xlfn.XLOOKUP(Table117821342[[#This Row],[Opp]],Table123[DEF],Table123[R])</f>
        <v>#N/A</v>
      </c>
      <c r="N42" s="95" t="e">
        <f>_xlfn.XLOOKUP(Table117821342[[#This Row],[Opp]],Table123[DEF],Table123[P+R])</f>
        <v>#N/A</v>
      </c>
      <c r="O42" s="96" t="e">
        <f>_xlfn.XLOOKUP(Table117821342[[#This Row],[Opp]],Table123[DEF],Table123[P TD])</f>
        <v>#N/A</v>
      </c>
      <c r="P42" s="96" t="e">
        <f>_xlfn.XLOOKUP(Table117821342[[#This Row],[Opp]],Table123[DEF],Table123[TD])</f>
        <v>#N/A</v>
      </c>
      <c r="Q42" s="94" t="e">
        <f>AVERAGE(Table117821342[[#This Row],[*P*]:[*TD*]])</f>
        <v>#N/A</v>
      </c>
    </row>
    <row r="43" spans="2:17" hidden="1" x14ac:dyDescent="0.35">
      <c r="B43" s="6" t="s">
        <v>293</v>
      </c>
      <c r="C43" s="97" t="s">
        <v>45</v>
      </c>
      <c r="D43" s="97" t="s">
        <v>405</v>
      </c>
      <c r="E43" s="23" t="str" cm="1">
        <f t="array" ref="E43">_xlfn.XLOOKUP(Table117821342[[#This Row],[Team]],Table4334[Team],'2425'!$C$3:$C$34)</f>
        <v>n/a</v>
      </c>
      <c r="F43" s="97" t="str">
        <f>'2025'!$E$23</f>
        <v>n/a</v>
      </c>
      <c r="G43" s="94" t="e" cm="1">
        <f t="array" ref="G43">_xlfn.XLOOKUP(Table117821342[[#This Row],[Opp]],Table123[DEF],'2425'!$H$3:$H$34)</f>
        <v>#N/A</v>
      </c>
      <c r="H43" s="94" t="e" cm="1">
        <f t="array" ref="H43">_xlfn.XLOOKUP(Table117821342[[#This Row],[Opp]],Table123[DEF],'2425'!$I$3:$I$34)</f>
        <v>#N/A</v>
      </c>
      <c r="I43" s="94" t="e" cm="1">
        <f t="array" ref="I43">_xlfn.XLOOKUP(Table117821342[[#This Row],[Opp]],Table123[DEF],'2425'!$J$3:$J$34)</f>
        <v>#N/A</v>
      </c>
      <c r="J43" s="94" t="e" cm="1">
        <f t="array" ref="J43">_xlfn.XLOOKUP(Table117821342[[#This Row],[Opp]],Table123[DEF],'2425'!$K$3:$K$34)</f>
        <v>#N/A</v>
      </c>
      <c r="K43" s="94" t="e" cm="1">
        <f t="array" ref="K43">_xlfn.XLOOKUP(Table117821342[[#This Row],[Opp]],Table123[DEF],'2425'!$L$3:$L$34)</f>
        <v>#N/A</v>
      </c>
      <c r="L43" s="95" t="e">
        <f>_xlfn.XLOOKUP(Table117821342[[#This Row],[Opp]],Table123[DEF],Table123[P])</f>
        <v>#N/A</v>
      </c>
      <c r="M43" s="95" t="e">
        <f>_xlfn.XLOOKUP(Table117821342[[#This Row],[Opp]],Table123[DEF],Table123[R])</f>
        <v>#N/A</v>
      </c>
      <c r="N43" s="95" t="e">
        <f>_xlfn.XLOOKUP(Table117821342[[#This Row],[Opp]],Table123[DEF],Table123[P+R])</f>
        <v>#N/A</v>
      </c>
      <c r="O43" s="96" t="e">
        <f>_xlfn.XLOOKUP(Table117821342[[#This Row],[Opp]],Table123[DEF],Table123[P TD])</f>
        <v>#N/A</v>
      </c>
      <c r="P43" s="96" t="e">
        <f>_xlfn.XLOOKUP(Table117821342[[#This Row],[Opp]],Table123[DEF],Table123[TD])</f>
        <v>#N/A</v>
      </c>
      <c r="Q43" s="94" t="e">
        <f>AVERAGE(Table117821342[[#This Row],[*P*]:[*TD*]])</f>
        <v>#N/A</v>
      </c>
    </row>
    <row r="44" spans="2:17" hidden="1" x14ac:dyDescent="0.35">
      <c r="B44" s="6" t="s">
        <v>518</v>
      </c>
      <c r="C44" s="97" t="s">
        <v>45</v>
      </c>
      <c r="D44" s="97" t="s">
        <v>425</v>
      </c>
      <c r="E44" s="23" t="str" cm="1">
        <f t="array" ref="E44">_xlfn.XLOOKUP(Table117821342[[#This Row],[Team]],Table4334[Team],'2425'!$C$3:$C$34)</f>
        <v>n/a</v>
      </c>
      <c r="F44" s="97" t="str">
        <f>'2025'!$E$23</f>
        <v>n/a</v>
      </c>
      <c r="G44" s="94" t="e" cm="1">
        <f t="array" ref="G44">_xlfn.XLOOKUP(Table117821342[[#This Row],[Opp]],Table123[DEF],'2425'!$H$3:$H$34)</f>
        <v>#N/A</v>
      </c>
      <c r="H44" s="94" t="e" cm="1">
        <f t="array" ref="H44">_xlfn.XLOOKUP(Table117821342[[#This Row],[Opp]],Table123[DEF],'2425'!$I$3:$I$34)</f>
        <v>#N/A</v>
      </c>
      <c r="I44" s="94" t="e" cm="1">
        <f t="array" ref="I44">_xlfn.XLOOKUP(Table117821342[[#This Row],[Opp]],Table123[DEF],'2425'!$J$3:$J$34)</f>
        <v>#N/A</v>
      </c>
      <c r="J44" s="94" t="e" cm="1">
        <f t="array" ref="J44">_xlfn.XLOOKUP(Table117821342[[#This Row],[Opp]],Table123[DEF],'2425'!$K$3:$K$34)</f>
        <v>#N/A</v>
      </c>
      <c r="K44" s="94" t="e" cm="1">
        <f t="array" ref="K44">_xlfn.XLOOKUP(Table117821342[[#This Row],[Opp]],Table123[DEF],'2425'!$L$3:$L$34)</f>
        <v>#N/A</v>
      </c>
      <c r="L44" s="95" t="e">
        <f>_xlfn.XLOOKUP(Table117821342[[#This Row],[Opp]],Table123[DEF],Table123[P])</f>
        <v>#N/A</v>
      </c>
      <c r="M44" s="95" t="e">
        <f>_xlfn.XLOOKUP(Table117821342[[#This Row],[Opp]],Table123[DEF],Table123[R])</f>
        <v>#N/A</v>
      </c>
      <c r="N44" s="95" t="e">
        <f>_xlfn.XLOOKUP(Table117821342[[#This Row],[Opp]],Table123[DEF],Table123[P+R])</f>
        <v>#N/A</v>
      </c>
      <c r="O44" s="96" t="e">
        <f>_xlfn.XLOOKUP(Table117821342[[#This Row],[Opp]],Table123[DEF],Table123[P TD])</f>
        <v>#N/A</v>
      </c>
      <c r="P44" s="96" t="e">
        <f>_xlfn.XLOOKUP(Table117821342[[#This Row],[Opp]],Table123[DEF],Table123[TD])</f>
        <v>#N/A</v>
      </c>
      <c r="Q44" s="94" t="e">
        <f>AVERAGE(Table117821342[[#This Row],[*P*]:[*TD*]])</f>
        <v>#N/A</v>
      </c>
    </row>
    <row r="45" spans="2:17" hidden="1" x14ac:dyDescent="0.35">
      <c r="B45" s="6" t="s">
        <v>284</v>
      </c>
      <c r="C45" s="97" t="s">
        <v>44</v>
      </c>
      <c r="D45" s="97" t="s">
        <v>399</v>
      </c>
      <c r="E45" s="23" t="str" cm="1">
        <f t="array" ref="E45">_xlfn.XLOOKUP(Table117821342[[#This Row],[Team]],Table4334[Team],'2425'!$C$3:$C$34)</f>
        <v>n/a</v>
      </c>
      <c r="F45" s="97" t="str">
        <f>'2025'!$E$22</f>
        <v>n/a</v>
      </c>
      <c r="G45" s="94" t="e" cm="1">
        <f t="array" ref="G45">_xlfn.XLOOKUP(Table117821342[[#This Row],[Opp]],Table123[DEF],'2425'!$H$3:$H$34)</f>
        <v>#N/A</v>
      </c>
      <c r="H45" s="94" t="e" cm="1">
        <f t="array" ref="H45">_xlfn.XLOOKUP(Table117821342[[#This Row],[Opp]],Table123[DEF],'2425'!$I$3:$I$34)</f>
        <v>#N/A</v>
      </c>
      <c r="I45" s="94" t="e" cm="1">
        <f t="array" ref="I45">_xlfn.XLOOKUP(Table117821342[[#This Row],[Opp]],Table123[DEF],'2425'!$J$3:$J$34)</f>
        <v>#N/A</v>
      </c>
      <c r="J45" s="94" t="e" cm="1">
        <f t="array" ref="J45">_xlfn.XLOOKUP(Table117821342[[#This Row],[Opp]],Table123[DEF],'2425'!$K$3:$K$34)</f>
        <v>#N/A</v>
      </c>
      <c r="K45" s="94" t="e" cm="1">
        <f t="array" ref="K45">_xlfn.XLOOKUP(Table117821342[[#This Row],[Opp]],Table123[DEF],'2425'!$L$3:$L$34)</f>
        <v>#N/A</v>
      </c>
      <c r="L45" s="95" t="e">
        <f>_xlfn.XLOOKUP(Table117821342[[#This Row],[Opp]],Table123[DEF],Table123[P])</f>
        <v>#N/A</v>
      </c>
      <c r="M45" s="95" t="e">
        <f>_xlfn.XLOOKUP(Table117821342[[#This Row],[Opp]],Table123[DEF],Table123[R])</f>
        <v>#N/A</v>
      </c>
      <c r="N45" s="95" t="e">
        <f>_xlfn.XLOOKUP(Table117821342[[#This Row],[Opp]],Table123[DEF],Table123[P+R])</f>
        <v>#N/A</v>
      </c>
      <c r="O45" s="96" t="e">
        <f>_xlfn.XLOOKUP(Table117821342[[#This Row],[Opp]],Table123[DEF],Table123[P TD])</f>
        <v>#N/A</v>
      </c>
      <c r="P45" s="96" t="e">
        <f>_xlfn.XLOOKUP(Table117821342[[#This Row],[Opp]],Table123[DEF],Table123[TD])</f>
        <v>#N/A</v>
      </c>
      <c r="Q45" s="94" t="e">
        <f>AVERAGE(Table117821342[[#This Row],[*P*]:[*TD*]])</f>
        <v>#N/A</v>
      </c>
    </row>
    <row r="46" spans="2:17" hidden="1" x14ac:dyDescent="0.35">
      <c r="B46" s="6" t="s">
        <v>169</v>
      </c>
      <c r="C46" s="97" t="s">
        <v>32</v>
      </c>
      <c r="D46" s="97" t="s">
        <v>405</v>
      </c>
      <c r="E46" s="23" t="str" cm="1">
        <f t="array" ref="E46">_xlfn.XLOOKUP(Table117821342[[#This Row],[Team]],Table4334[Team],'2425'!$C$3:$C$34)</f>
        <v>n/a</v>
      </c>
      <c r="F46" s="97" t="str">
        <f>'2025'!$E$10</f>
        <v>n/a</v>
      </c>
      <c r="G46" s="94" t="e" cm="1">
        <f t="array" ref="G46">_xlfn.XLOOKUP(Table117821342[[#This Row],[Opp]],Table123[DEF],'2425'!$H$3:$H$34)</f>
        <v>#N/A</v>
      </c>
      <c r="H46" s="94" t="e" cm="1">
        <f t="array" ref="H46">_xlfn.XLOOKUP(Table117821342[[#This Row],[Opp]],Table123[DEF],'2425'!$I$3:$I$34)</f>
        <v>#N/A</v>
      </c>
      <c r="I46" s="94" t="e" cm="1">
        <f t="array" ref="I46">_xlfn.XLOOKUP(Table117821342[[#This Row],[Opp]],Table123[DEF],'2425'!$J$3:$J$34)</f>
        <v>#N/A</v>
      </c>
      <c r="J46" s="94" t="e" cm="1">
        <f t="array" ref="J46">_xlfn.XLOOKUP(Table117821342[[#This Row],[Opp]],Table123[DEF],'2425'!$K$3:$K$34)</f>
        <v>#N/A</v>
      </c>
      <c r="K46" s="94" t="e" cm="1">
        <f t="array" ref="K46">_xlfn.XLOOKUP(Table117821342[[#This Row],[Opp]],Table123[DEF],'2425'!$L$3:$L$34)</f>
        <v>#N/A</v>
      </c>
      <c r="L46" s="95" t="e">
        <f>_xlfn.XLOOKUP(Table117821342[[#This Row],[Opp]],Table123[DEF],Table123[P])</f>
        <v>#N/A</v>
      </c>
      <c r="M46" s="95" t="e">
        <f>_xlfn.XLOOKUP(Table117821342[[#This Row],[Opp]],Table123[DEF],Table123[R])</f>
        <v>#N/A</v>
      </c>
      <c r="N46" s="95" t="e">
        <f>_xlfn.XLOOKUP(Table117821342[[#This Row],[Opp]],Table123[DEF],Table123[P+R])</f>
        <v>#N/A</v>
      </c>
      <c r="O46" s="96" t="e">
        <f>_xlfn.XLOOKUP(Table117821342[[#This Row],[Opp]],Table123[DEF],Table123[P TD])</f>
        <v>#N/A</v>
      </c>
      <c r="P46" s="96" t="e">
        <f>_xlfn.XLOOKUP(Table117821342[[#This Row],[Opp]],Table123[DEF],Table123[TD])</f>
        <v>#N/A</v>
      </c>
      <c r="Q46" s="94" t="e">
        <f>AVERAGE(Table117821342[[#This Row],[*P*]:[*TD*]])</f>
        <v>#N/A</v>
      </c>
    </row>
    <row r="47" spans="2:17" hidden="1" x14ac:dyDescent="0.35">
      <c r="B47" s="6" t="s">
        <v>171</v>
      </c>
      <c r="C47" s="97" t="s">
        <v>32</v>
      </c>
      <c r="D47" s="97" t="s">
        <v>425</v>
      </c>
      <c r="E47" s="23" t="str" cm="1">
        <f t="array" ref="E47">_xlfn.XLOOKUP(Table117821342[[#This Row],[Team]],Table4334[Team],'2425'!$C$3:$C$34)</f>
        <v>n/a</v>
      </c>
      <c r="F47" s="97" t="str">
        <f>'2025'!$E$10</f>
        <v>n/a</v>
      </c>
      <c r="G47" s="94" t="e" cm="1">
        <f t="array" ref="G47">_xlfn.XLOOKUP(Table117821342[[#This Row],[Opp]],Table123[DEF],'2425'!$H$3:$H$34)</f>
        <v>#N/A</v>
      </c>
      <c r="H47" s="94" t="e" cm="1">
        <f t="array" ref="H47">_xlfn.XLOOKUP(Table117821342[[#This Row],[Opp]],Table123[DEF],'2425'!$I$3:$I$34)</f>
        <v>#N/A</v>
      </c>
      <c r="I47" s="94" t="e" cm="1">
        <f t="array" ref="I47">_xlfn.XLOOKUP(Table117821342[[#This Row],[Opp]],Table123[DEF],'2425'!$J$3:$J$34)</f>
        <v>#N/A</v>
      </c>
      <c r="J47" s="94" t="e" cm="1">
        <f t="array" ref="J47">_xlfn.XLOOKUP(Table117821342[[#This Row],[Opp]],Table123[DEF],'2425'!$K$3:$K$34)</f>
        <v>#N/A</v>
      </c>
      <c r="K47" s="94" t="e" cm="1">
        <f t="array" ref="K47">_xlfn.XLOOKUP(Table117821342[[#This Row],[Opp]],Table123[DEF],'2425'!$L$3:$L$34)</f>
        <v>#N/A</v>
      </c>
      <c r="L47" s="95" t="e">
        <f>_xlfn.XLOOKUP(Table117821342[[#This Row],[Opp]],Table123[DEF],Table123[P])</f>
        <v>#N/A</v>
      </c>
      <c r="M47" s="95" t="e">
        <f>_xlfn.XLOOKUP(Table117821342[[#This Row],[Opp]],Table123[DEF],Table123[R])</f>
        <v>#N/A</v>
      </c>
      <c r="N47" s="95" t="e">
        <f>_xlfn.XLOOKUP(Table117821342[[#This Row],[Opp]],Table123[DEF],Table123[P+R])</f>
        <v>#N/A</v>
      </c>
      <c r="O47" s="96" t="e">
        <f>_xlfn.XLOOKUP(Table117821342[[#This Row],[Opp]],Table123[DEF],Table123[P TD])</f>
        <v>#N/A</v>
      </c>
      <c r="P47" s="96" t="e">
        <f>_xlfn.XLOOKUP(Table117821342[[#This Row],[Opp]],Table123[DEF],Table123[TD])</f>
        <v>#N/A</v>
      </c>
      <c r="Q47" s="94" t="e">
        <f>AVERAGE(Table117821342[[#This Row],[*P*]:[*TD*]])</f>
        <v>#N/A</v>
      </c>
    </row>
    <row r="48" spans="2:17" hidden="1" x14ac:dyDescent="0.35">
      <c r="B48" s="6" t="s">
        <v>110</v>
      </c>
      <c r="C48" s="97" t="s">
        <v>16</v>
      </c>
      <c r="D48" s="97" t="s">
        <v>399</v>
      </c>
      <c r="E48" s="23" t="str" cm="1">
        <f t="array" ref="E48">_xlfn.XLOOKUP(Table117821342[[#This Row],[Team]],Table4334[Team],'2425'!$C$3:$C$34)</f>
        <v>n/a</v>
      </c>
      <c r="F48" s="97" t="str">
        <f>'2025'!$E$5</f>
        <v>n/a</v>
      </c>
      <c r="G48" s="94" t="e" cm="1">
        <f t="array" ref="G48">_xlfn.XLOOKUP(Table117821342[[#This Row],[Opp]],Table123[DEF],'2425'!$H$3:$H$34)</f>
        <v>#N/A</v>
      </c>
      <c r="H48" s="94" t="e" cm="1">
        <f t="array" ref="H48">_xlfn.XLOOKUP(Table117821342[[#This Row],[Opp]],Table123[DEF],'2425'!$I$3:$I$34)</f>
        <v>#N/A</v>
      </c>
      <c r="I48" s="94" t="e" cm="1">
        <f t="array" ref="I48">_xlfn.XLOOKUP(Table117821342[[#This Row],[Opp]],Table123[DEF],'2425'!$J$3:$J$34)</f>
        <v>#N/A</v>
      </c>
      <c r="J48" s="94" t="e" cm="1">
        <f t="array" ref="J48">_xlfn.XLOOKUP(Table117821342[[#This Row],[Opp]],Table123[DEF],'2425'!$K$3:$K$34)</f>
        <v>#N/A</v>
      </c>
      <c r="K48" s="94" t="e" cm="1">
        <f t="array" ref="K48">_xlfn.XLOOKUP(Table117821342[[#This Row],[Opp]],Table123[DEF],'2425'!$L$3:$L$34)</f>
        <v>#N/A</v>
      </c>
      <c r="L48" s="95" t="e">
        <f>_xlfn.XLOOKUP(Table117821342[[#This Row],[Opp]],Table123[DEF],Table123[P])</f>
        <v>#N/A</v>
      </c>
      <c r="M48" s="95" t="e">
        <f>_xlfn.XLOOKUP(Table117821342[[#This Row],[Opp]],Table123[DEF],Table123[R])</f>
        <v>#N/A</v>
      </c>
      <c r="N48" s="95" t="e">
        <f>_xlfn.XLOOKUP(Table117821342[[#This Row],[Opp]],Table123[DEF],Table123[P+R])</f>
        <v>#N/A</v>
      </c>
      <c r="O48" s="96" t="e">
        <f>_xlfn.XLOOKUP(Table117821342[[#This Row],[Opp]],Table123[DEF],Table123[P TD])</f>
        <v>#N/A</v>
      </c>
      <c r="P48" s="96" t="e">
        <f>_xlfn.XLOOKUP(Table117821342[[#This Row],[Opp]],Table123[DEF],Table123[TD])</f>
        <v>#N/A</v>
      </c>
      <c r="Q48" s="94" t="e">
        <f>AVERAGE(Table117821342[[#This Row],[*P*]:[*TD*]])</f>
        <v>#N/A</v>
      </c>
    </row>
    <row r="49" spans="2:17" hidden="1" x14ac:dyDescent="0.35">
      <c r="B49" s="6" t="s">
        <v>583</v>
      </c>
      <c r="C49" s="97" t="s">
        <v>54</v>
      </c>
      <c r="D49" s="98" t="s">
        <v>405</v>
      </c>
      <c r="E49" s="23" t="str" cm="1">
        <f t="array" ref="E49">_xlfn.XLOOKUP(Table117821342[[#This Row],[Team]],Table4334[Team],'2425'!$C$3:$C$34)</f>
        <v>n/a</v>
      </c>
      <c r="F49" s="97" t="str">
        <f>'2025'!$E$32</f>
        <v>n/a</v>
      </c>
      <c r="G49" s="94" t="e" cm="1">
        <f t="array" ref="G49">_xlfn.XLOOKUP(Table117821342[[#This Row],[Opp]],Table123[DEF],'2425'!$H$3:$H$34)</f>
        <v>#N/A</v>
      </c>
      <c r="H49" s="94" t="e" cm="1">
        <f t="array" ref="H49">_xlfn.XLOOKUP(Table117821342[[#This Row],[Opp]],Table123[DEF],'2425'!$I$3:$I$34)</f>
        <v>#N/A</v>
      </c>
      <c r="I49" s="94" t="e" cm="1">
        <f t="array" ref="I49">_xlfn.XLOOKUP(Table117821342[[#This Row],[Opp]],Table123[DEF],'2425'!$J$3:$J$34)</f>
        <v>#N/A</v>
      </c>
      <c r="J49" s="94" t="e" cm="1">
        <f t="array" ref="J49">_xlfn.XLOOKUP(Table117821342[[#This Row],[Opp]],Table123[DEF],'2425'!$K$3:$K$34)</f>
        <v>#N/A</v>
      </c>
      <c r="K49" s="94" t="e" cm="1">
        <f t="array" ref="K49">_xlfn.XLOOKUP(Table117821342[[#This Row],[Opp]],Table123[DEF],'2425'!$L$3:$L$34)</f>
        <v>#N/A</v>
      </c>
      <c r="L49" s="95" t="e">
        <f>_xlfn.XLOOKUP(Table117821342[[#This Row],[Opp]],Table123[DEF],Table123[P])</f>
        <v>#N/A</v>
      </c>
      <c r="M49" s="95" t="e">
        <f>_xlfn.XLOOKUP(Table117821342[[#This Row],[Opp]],Table123[DEF],Table123[R])</f>
        <v>#N/A</v>
      </c>
      <c r="N49" s="95" t="e">
        <f>_xlfn.XLOOKUP(Table117821342[[#This Row],[Opp]],Table123[DEF],Table123[P+R])</f>
        <v>#N/A</v>
      </c>
      <c r="O49" s="96" t="e">
        <f>_xlfn.XLOOKUP(Table117821342[[#This Row],[Opp]],Table123[DEF],Table123[P TD])</f>
        <v>#N/A</v>
      </c>
      <c r="P49" s="96" t="e">
        <f>_xlfn.XLOOKUP(Table117821342[[#This Row],[Opp]],Table123[DEF],Table123[TD])</f>
        <v>#N/A</v>
      </c>
      <c r="Q49" s="94" t="e">
        <f>AVERAGE(Table117821342[[#This Row],[*P*]:[*TD*]])</f>
        <v>#N/A</v>
      </c>
    </row>
    <row r="50" spans="2:17" x14ac:dyDescent="0.35">
      <c r="B50" s="6" t="s">
        <v>265</v>
      </c>
      <c r="C50" s="97" t="s">
        <v>42</v>
      </c>
      <c r="D50" s="97" t="s">
        <v>399</v>
      </c>
      <c r="E50" s="23" t="str" cm="1">
        <f t="array" ref="E50">_xlfn.XLOOKUP(Table117821342[[#This Row],[Team]],Table4334[Team],'2425'!$C$3:$C$34)</f>
        <v>n/a</v>
      </c>
      <c r="F50" s="97" t="str">
        <f>'2025'!$E$20</f>
        <v>n/a</v>
      </c>
      <c r="G50" s="94" t="e" cm="1">
        <f t="array" ref="G50">_xlfn.XLOOKUP(Table117821342[[#This Row],[Opp]],Table123[DEF],'2425'!$H$3:$H$34)</f>
        <v>#N/A</v>
      </c>
      <c r="H50" s="94" t="e" cm="1">
        <f t="array" ref="H50">_xlfn.XLOOKUP(Table117821342[[#This Row],[Opp]],Table123[DEF],'2425'!$I$3:$I$34)</f>
        <v>#N/A</v>
      </c>
      <c r="I50" s="94" t="e" cm="1">
        <f t="array" ref="I50">_xlfn.XLOOKUP(Table117821342[[#This Row],[Opp]],Table123[DEF],'2425'!$J$3:$J$34)</f>
        <v>#N/A</v>
      </c>
      <c r="J50" s="94" t="e" cm="1">
        <f t="array" ref="J50">_xlfn.XLOOKUP(Table117821342[[#This Row],[Opp]],Table123[DEF],'2425'!$K$3:$K$34)</f>
        <v>#N/A</v>
      </c>
      <c r="K50" s="94" t="e" cm="1">
        <f t="array" ref="K50">_xlfn.XLOOKUP(Table117821342[[#This Row],[Opp]],Table123[DEF],'2425'!$L$3:$L$34)</f>
        <v>#N/A</v>
      </c>
      <c r="L50" s="95" t="e">
        <f>_xlfn.XLOOKUP(Table117821342[[#This Row],[Opp]],Table123[DEF],Table123[P])</f>
        <v>#N/A</v>
      </c>
      <c r="M50" s="95" t="e">
        <f>_xlfn.XLOOKUP(Table117821342[[#This Row],[Opp]],Table123[DEF],Table123[R])</f>
        <v>#N/A</v>
      </c>
      <c r="N50" s="95" t="e">
        <f>_xlfn.XLOOKUP(Table117821342[[#This Row],[Opp]],Table123[DEF],Table123[P+R])</f>
        <v>#N/A</v>
      </c>
      <c r="O50" s="96" t="e">
        <f>_xlfn.XLOOKUP(Table117821342[[#This Row],[Opp]],Table123[DEF],Table123[P TD])</f>
        <v>#N/A</v>
      </c>
      <c r="P50" s="96" t="e">
        <f>_xlfn.XLOOKUP(Table117821342[[#This Row],[Opp]],Table123[DEF],Table123[TD])</f>
        <v>#N/A</v>
      </c>
      <c r="Q50" s="94" t="e">
        <f>AVERAGE(Table117821342[[#This Row],[*P*]:[*TD*]])</f>
        <v>#N/A</v>
      </c>
    </row>
    <row r="51" spans="2:17" hidden="1" x14ac:dyDescent="0.35">
      <c r="B51" s="6" t="s">
        <v>406</v>
      </c>
      <c r="C51" s="97" t="s">
        <v>44</v>
      </c>
      <c r="D51" s="98" t="s">
        <v>405</v>
      </c>
      <c r="E51" s="23" t="str" cm="1">
        <f t="array" ref="E51">_xlfn.XLOOKUP(Table117821342[[#This Row],[Team]],Table4334[Team],'2425'!$C$3:$C$34)</f>
        <v>n/a</v>
      </c>
      <c r="F51" s="97" t="str">
        <f>'2025'!$E$22</f>
        <v>n/a</v>
      </c>
      <c r="G51" s="94" t="e" cm="1">
        <f t="array" ref="G51">_xlfn.XLOOKUP(Table117821342[[#This Row],[Opp]],Table123[DEF],'2425'!$H$3:$H$34)</f>
        <v>#N/A</v>
      </c>
      <c r="H51" s="94" t="e" cm="1">
        <f t="array" ref="H51">_xlfn.XLOOKUP(Table117821342[[#This Row],[Opp]],Table123[DEF],'2425'!$I$3:$I$34)</f>
        <v>#N/A</v>
      </c>
      <c r="I51" s="94" t="e" cm="1">
        <f t="array" ref="I51">_xlfn.XLOOKUP(Table117821342[[#This Row],[Opp]],Table123[DEF],'2425'!$J$3:$J$34)</f>
        <v>#N/A</v>
      </c>
      <c r="J51" s="94" t="e" cm="1">
        <f t="array" ref="J51">_xlfn.XLOOKUP(Table117821342[[#This Row],[Opp]],Table123[DEF],'2425'!$K$3:$K$34)</f>
        <v>#N/A</v>
      </c>
      <c r="K51" s="94" t="e" cm="1">
        <f t="array" ref="K51">_xlfn.XLOOKUP(Table117821342[[#This Row],[Opp]],Table123[DEF],'2425'!$L$3:$L$34)</f>
        <v>#N/A</v>
      </c>
      <c r="L51" s="95" t="e">
        <f>_xlfn.XLOOKUP(Table117821342[[#This Row],[Opp]],Table123[DEF],Table123[P])</f>
        <v>#N/A</v>
      </c>
      <c r="M51" s="95" t="e">
        <f>_xlfn.XLOOKUP(Table117821342[[#This Row],[Opp]],Table123[DEF],Table123[R])</f>
        <v>#N/A</v>
      </c>
      <c r="N51" s="95" t="e">
        <f>_xlfn.XLOOKUP(Table117821342[[#This Row],[Opp]],Table123[DEF],Table123[P+R])</f>
        <v>#N/A</v>
      </c>
      <c r="O51" s="96" t="e">
        <f>_xlfn.XLOOKUP(Table117821342[[#This Row],[Opp]],Table123[DEF],Table123[P TD])</f>
        <v>#N/A</v>
      </c>
      <c r="P51" s="96" t="e">
        <f>_xlfn.XLOOKUP(Table117821342[[#This Row],[Opp]],Table123[DEF],Table123[TD])</f>
        <v>#N/A</v>
      </c>
      <c r="Q51" s="94" t="e">
        <f>AVERAGE(Table117821342[[#This Row],[*P*]:[*TD*]])</f>
        <v>#N/A</v>
      </c>
    </row>
    <row r="52" spans="2:17" hidden="1" x14ac:dyDescent="0.35">
      <c r="B52" s="6" t="s">
        <v>433</v>
      </c>
      <c r="C52" s="97" t="s">
        <v>44</v>
      </c>
      <c r="D52" s="97" t="s">
        <v>425</v>
      </c>
      <c r="E52" s="23" t="str" cm="1">
        <f t="array" ref="E52">_xlfn.XLOOKUP(Table117821342[[#This Row],[Team]],Table4334[Team],'2425'!$C$3:$C$34)</f>
        <v>n/a</v>
      </c>
      <c r="F52" s="97" t="str">
        <f>'2025'!$E$22</f>
        <v>n/a</v>
      </c>
      <c r="G52" s="94" t="e" cm="1">
        <f t="array" ref="G52">_xlfn.XLOOKUP(Table117821342[[#This Row],[Opp]],Table123[DEF],'2425'!$H$3:$H$34)</f>
        <v>#N/A</v>
      </c>
      <c r="H52" s="94" t="e" cm="1">
        <f t="array" ref="H52">_xlfn.XLOOKUP(Table117821342[[#This Row],[Opp]],Table123[DEF],'2425'!$I$3:$I$34)</f>
        <v>#N/A</v>
      </c>
      <c r="I52" s="94" t="e" cm="1">
        <f t="array" ref="I52">_xlfn.XLOOKUP(Table117821342[[#This Row],[Opp]],Table123[DEF],'2425'!$J$3:$J$34)</f>
        <v>#N/A</v>
      </c>
      <c r="J52" s="94" t="e" cm="1">
        <f t="array" ref="J52">_xlfn.XLOOKUP(Table117821342[[#This Row],[Opp]],Table123[DEF],'2425'!$K$3:$K$34)</f>
        <v>#N/A</v>
      </c>
      <c r="K52" s="94" t="e" cm="1">
        <f t="array" ref="K52">_xlfn.XLOOKUP(Table117821342[[#This Row],[Opp]],Table123[DEF],'2425'!$L$3:$L$34)</f>
        <v>#N/A</v>
      </c>
      <c r="L52" s="95" t="e">
        <f>_xlfn.XLOOKUP(Table117821342[[#This Row],[Opp]],Table123[DEF],Table123[P])</f>
        <v>#N/A</v>
      </c>
      <c r="M52" s="95" t="e">
        <f>_xlfn.XLOOKUP(Table117821342[[#This Row],[Opp]],Table123[DEF],Table123[R])</f>
        <v>#N/A</v>
      </c>
      <c r="N52" s="95" t="e">
        <f>_xlfn.XLOOKUP(Table117821342[[#This Row],[Opp]],Table123[DEF],Table123[P+R])</f>
        <v>#N/A</v>
      </c>
      <c r="O52" s="96" t="e">
        <f>_xlfn.XLOOKUP(Table117821342[[#This Row],[Opp]],Table123[DEF],Table123[P TD])</f>
        <v>#N/A</v>
      </c>
      <c r="P52" s="96" t="e">
        <f>_xlfn.XLOOKUP(Table117821342[[#This Row],[Opp]],Table123[DEF],Table123[TD])</f>
        <v>#N/A</v>
      </c>
      <c r="Q52" s="94" t="e">
        <f>AVERAGE(Table117821342[[#This Row],[*P*]:[*TD*]])</f>
        <v>#N/A</v>
      </c>
    </row>
    <row r="53" spans="2:17" x14ac:dyDescent="0.35">
      <c r="B53" s="6" t="s">
        <v>111</v>
      </c>
      <c r="C53" s="97" t="s">
        <v>17</v>
      </c>
      <c r="D53" s="97" t="s">
        <v>399</v>
      </c>
      <c r="E53" s="23" t="str" cm="1">
        <f t="array" ref="E53">_xlfn.XLOOKUP(Table117821342[[#This Row],[Team]],Table4334[Team],'2425'!$C$3:$C$34)</f>
        <v>n/a</v>
      </c>
      <c r="F53" s="97" t="str">
        <f>'2025'!$E$6</f>
        <v>n/a</v>
      </c>
      <c r="G53" s="94" t="e" cm="1">
        <f t="array" ref="G53">_xlfn.XLOOKUP(Table117821342[[#This Row],[Opp]],Table123[DEF],'2425'!$H$3:$H$34)</f>
        <v>#N/A</v>
      </c>
      <c r="H53" s="94" t="e" cm="1">
        <f t="array" ref="H53">_xlfn.XLOOKUP(Table117821342[[#This Row],[Opp]],Table123[DEF],'2425'!$I$3:$I$34)</f>
        <v>#N/A</v>
      </c>
      <c r="I53" s="94" t="e" cm="1">
        <f t="array" ref="I53">_xlfn.XLOOKUP(Table117821342[[#This Row],[Opp]],Table123[DEF],'2425'!$J$3:$J$34)</f>
        <v>#N/A</v>
      </c>
      <c r="J53" s="94" t="e" cm="1">
        <f t="array" ref="J53">_xlfn.XLOOKUP(Table117821342[[#This Row],[Opp]],Table123[DEF],'2425'!$K$3:$K$34)</f>
        <v>#N/A</v>
      </c>
      <c r="K53" s="94" t="e" cm="1">
        <f t="array" ref="K53">_xlfn.XLOOKUP(Table117821342[[#This Row],[Opp]],Table123[DEF],'2425'!$L$3:$L$34)</f>
        <v>#N/A</v>
      </c>
      <c r="L53" s="95" t="e">
        <f>_xlfn.XLOOKUP(Table117821342[[#This Row],[Opp]],Table123[DEF],Table123[P])</f>
        <v>#N/A</v>
      </c>
      <c r="M53" s="95" t="e">
        <f>_xlfn.XLOOKUP(Table117821342[[#This Row],[Opp]],Table123[DEF],Table123[R])</f>
        <v>#N/A</v>
      </c>
      <c r="N53" s="95" t="e">
        <f>_xlfn.XLOOKUP(Table117821342[[#This Row],[Opp]],Table123[DEF],Table123[P+R])</f>
        <v>#N/A</v>
      </c>
      <c r="O53" s="96" t="e">
        <f>_xlfn.XLOOKUP(Table117821342[[#This Row],[Opp]],Table123[DEF],Table123[P TD])</f>
        <v>#N/A</v>
      </c>
      <c r="P53" s="96" t="e">
        <f>_xlfn.XLOOKUP(Table117821342[[#This Row],[Opp]],Table123[DEF],Table123[TD])</f>
        <v>#N/A</v>
      </c>
      <c r="Q53" s="94" t="e">
        <f>AVERAGE(Table117821342[[#This Row],[*P*]:[*TD*]])</f>
        <v>#N/A</v>
      </c>
    </row>
    <row r="54" spans="2:17" hidden="1" x14ac:dyDescent="0.35">
      <c r="B54" s="6" t="s">
        <v>496</v>
      </c>
      <c r="C54" s="97" t="s">
        <v>30</v>
      </c>
      <c r="D54" s="97" t="s">
        <v>405</v>
      </c>
      <c r="E54" s="23" t="str" cm="1">
        <f t="array" ref="E54">_xlfn.XLOOKUP(Table117821342[[#This Row],[Team]],Table4334[Team],'2425'!$C$3:$C$34)</f>
        <v>n/a</v>
      </c>
      <c r="F54" s="97" t="str">
        <f>'2025'!$E$8</f>
        <v>n/a</v>
      </c>
      <c r="G54" s="94" t="e" cm="1">
        <f t="array" ref="G54">_xlfn.XLOOKUP(Table117821342[[#This Row],[Opp]],Table123[DEF],'2425'!$H$3:$H$34)</f>
        <v>#N/A</v>
      </c>
      <c r="H54" s="94" t="e" cm="1">
        <f t="array" ref="H54">_xlfn.XLOOKUP(Table117821342[[#This Row],[Opp]],Table123[DEF],'2425'!$I$3:$I$34)</f>
        <v>#N/A</v>
      </c>
      <c r="I54" s="94" t="e" cm="1">
        <f t="array" ref="I54">_xlfn.XLOOKUP(Table117821342[[#This Row],[Opp]],Table123[DEF],'2425'!$J$3:$J$34)</f>
        <v>#N/A</v>
      </c>
      <c r="J54" s="94" t="e" cm="1">
        <f t="array" ref="J54">_xlfn.XLOOKUP(Table117821342[[#This Row],[Opp]],Table123[DEF],'2425'!$K$3:$K$34)</f>
        <v>#N/A</v>
      </c>
      <c r="K54" s="94" t="e" cm="1">
        <f t="array" ref="K54">_xlfn.XLOOKUP(Table117821342[[#This Row],[Opp]],Table123[DEF],'2425'!$L$3:$L$34)</f>
        <v>#N/A</v>
      </c>
      <c r="L54" s="95" t="e">
        <f>_xlfn.XLOOKUP(Table117821342[[#This Row],[Opp]],Table123[DEF],Table123[P])</f>
        <v>#N/A</v>
      </c>
      <c r="M54" s="95" t="e">
        <f>_xlfn.XLOOKUP(Table117821342[[#This Row],[Opp]],Table123[DEF],Table123[R])</f>
        <v>#N/A</v>
      </c>
      <c r="N54" s="95" t="e">
        <f>_xlfn.XLOOKUP(Table117821342[[#This Row],[Opp]],Table123[DEF],Table123[P+R])</f>
        <v>#N/A</v>
      </c>
      <c r="O54" s="96" t="e">
        <f>_xlfn.XLOOKUP(Table117821342[[#This Row],[Opp]],Table123[DEF],Table123[P TD])</f>
        <v>#N/A</v>
      </c>
      <c r="P54" s="96" t="e">
        <f>_xlfn.XLOOKUP(Table117821342[[#This Row],[Opp]],Table123[DEF],Table123[TD])</f>
        <v>#N/A</v>
      </c>
      <c r="Q54" s="94" t="e">
        <f>AVERAGE(Table117821342[[#This Row],[*P*]:[*TD*]])</f>
        <v>#N/A</v>
      </c>
    </row>
    <row r="55" spans="2:17" hidden="1" x14ac:dyDescent="0.35">
      <c r="B55" s="6" t="s">
        <v>497</v>
      </c>
      <c r="C55" s="97" t="s">
        <v>30</v>
      </c>
      <c r="D55" s="97" t="s">
        <v>425</v>
      </c>
      <c r="E55" s="23" t="str" cm="1">
        <f t="array" ref="E55">_xlfn.XLOOKUP(Table117821342[[#This Row],[Team]],Table4334[Team],'2425'!$C$3:$C$34)</f>
        <v>n/a</v>
      </c>
      <c r="F55" s="97" t="str">
        <f>'2025'!$E$8</f>
        <v>n/a</v>
      </c>
      <c r="G55" s="94" t="e" cm="1">
        <f t="array" ref="G55">_xlfn.XLOOKUP(Table117821342[[#This Row],[Opp]],Table123[DEF],'2425'!$H$3:$H$34)</f>
        <v>#N/A</v>
      </c>
      <c r="H55" s="94" t="e" cm="1">
        <f t="array" ref="H55">_xlfn.XLOOKUP(Table117821342[[#This Row],[Opp]],Table123[DEF],'2425'!$I$3:$I$34)</f>
        <v>#N/A</v>
      </c>
      <c r="I55" s="94" t="e" cm="1">
        <f t="array" ref="I55">_xlfn.XLOOKUP(Table117821342[[#This Row],[Opp]],Table123[DEF],'2425'!$J$3:$J$34)</f>
        <v>#N/A</v>
      </c>
      <c r="J55" s="94" t="e" cm="1">
        <f t="array" ref="J55">_xlfn.XLOOKUP(Table117821342[[#This Row],[Opp]],Table123[DEF],'2425'!$K$3:$K$34)</f>
        <v>#N/A</v>
      </c>
      <c r="K55" s="94" t="e" cm="1">
        <f t="array" ref="K55">_xlfn.XLOOKUP(Table117821342[[#This Row],[Opp]],Table123[DEF],'2425'!$L$3:$L$34)</f>
        <v>#N/A</v>
      </c>
      <c r="L55" s="95" t="e">
        <f>_xlfn.XLOOKUP(Table117821342[[#This Row],[Opp]],Table123[DEF],Table123[P])</f>
        <v>#N/A</v>
      </c>
      <c r="M55" s="95" t="e">
        <f>_xlfn.XLOOKUP(Table117821342[[#This Row],[Opp]],Table123[DEF],Table123[R])</f>
        <v>#N/A</v>
      </c>
      <c r="N55" s="95" t="e">
        <f>_xlfn.XLOOKUP(Table117821342[[#This Row],[Opp]],Table123[DEF],Table123[P+R])</f>
        <v>#N/A</v>
      </c>
      <c r="O55" s="96" t="e">
        <f>_xlfn.XLOOKUP(Table117821342[[#This Row],[Opp]],Table123[DEF],Table123[P TD])</f>
        <v>#N/A</v>
      </c>
      <c r="P55" s="96" t="e">
        <f>_xlfn.XLOOKUP(Table117821342[[#This Row],[Opp]],Table123[DEF],Table123[TD])</f>
        <v>#N/A</v>
      </c>
      <c r="Q55" s="94" t="e">
        <f>AVERAGE(Table117821342[[#This Row],[*P*]:[*TD*]])</f>
        <v>#N/A</v>
      </c>
    </row>
    <row r="56" spans="2:17" x14ac:dyDescent="0.35">
      <c r="B56" s="6" t="s">
        <v>191</v>
      </c>
      <c r="C56" s="97" t="s">
        <v>34</v>
      </c>
      <c r="D56" s="97" t="s">
        <v>399</v>
      </c>
      <c r="E56" s="23" t="str" cm="1">
        <f t="array" ref="E56">_xlfn.XLOOKUP(Table117821342[[#This Row],[Team]],Table4334[Team],'2425'!$C$3:$C$34)</f>
        <v>n/a</v>
      </c>
      <c r="F56" s="97" t="str">
        <f>'2025'!$E$12</f>
        <v>n/a</v>
      </c>
      <c r="G56" s="94" t="e" cm="1">
        <f t="array" ref="G56">_xlfn.XLOOKUP(Table117821342[[#This Row],[Opp]],Table123[DEF],'2425'!$H$3:$H$34)</f>
        <v>#N/A</v>
      </c>
      <c r="H56" s="94" t="e" cm="1">
        <f t="array" ref="H56">_xlfn.XLOOKUP(Table117821342[[#This Row],[Opp]],Table123[DEF],'2425'!$I$3:$I$34)</f>
        <v>#N/A</v>
      </c>
      <c r="I56" s="94" t="e" cm="1">
        <f t="array" ref="I56">_xlfn.XLOOKUP(Table117821342[[#This Row],[Opp]],Table123[DEF],'2425'!$J$3:$J$34)</f>
        <v>#N/A</v>
      </c>
      <c r="J56" s="94" t="e" cm="1">
        <f t="array" ref="J56">_xlfn.XLOOKUP(Table117821342[[#This Row],[Opp]],Table123[DEF],'2425'!$K$3:$K$34)</f>
        <v>#N/A</v>
      </c>
      <c r="K56" s="94" t="e" cm="1">
        <f t="array" ref="K56">_xlfn.XLOOKUP(Table117821342[[#This Row],[Opp]],Table123[DEF],'2425'!$L$3:$L$34)</f>
        <v>#N/A</v>
      </c>
      <c r="L56" s="95" t="e">
        <f>_xlfn.XLOOKUP(Table117821342[[#This Row],[Opp]],Table123[DEF],Table123[P])</f>
        <v>#N/A</v>
      </c>
      <c r="M56" s="95" t="e">
        <f>_xlfn.XLOOKUP(Table117821342[[#This Row],[Opp]],Table123[DEF],Table123[R])</f>
        <v>#N/A</v>
      </c>
      <c r="N56" s="95" t="e">
        <f>_xlfn.XLOOKUP(Table117821342[[#This Row],[Opp]],Table123[DEF],Table123[P+R])</f>
        <v>#N/A</v>
      </c>
      <c r="O56" s="96" t="e">
        <f>_xlfn.XLOOKUP(Table117821342[[#This Row],[Opp]],Table123[DEF],Table123[P TD])</f>
        <v>#N/A</v>
      </c>
      <c r="P56" s="96" t="e">
        <f>_xlfn.XLOOKUP(Table117821342[[#This Row],[Opp]],Table123[DEF],Table123[TD])</f>
        <v>#N/A</v>
      </c>
      <c r="Q56" s="94" t="e">
        <f>AVERAGE(Table117821342[[#This Row],[*P*]:[*TD*]])</f>
        <v>#N/A</v>
      </c>
    </row>
    <row r="57" spans="2:17" hidden="1" x14ac:dyDescent="0.35">
      <c r="B57" s="6" t="s">
        <v>114</v>
      </c>
      <c r="C57" s="97" t="s">
        <v>15</v>
      </c>
      <c r="D57" s="97" t="s">
        <v>405</v>
      </c>
      <c r="E57" s="23" t="str" cm="1">
        <f t="array" ref="E57">_xlfn.XLOOKUP(Table117821342[[#This Row],[Team]],Table4334[Team],'2425'!$C$3:$C$34)</f>
        <v>n/a</v>
      </c>
      <c r="F57" s="97" t="str">
        <f>'2025'!$E$4</f>
        <v>n/a</v>
      </c>
      <c r="G57" s="94" t="e" cm="1">
        <f t="array" ref="G57">_xlfn.XLOOKUP(Table117821342[[#This Row],[Opp]],Table123[DEF],'2425'!$H$3:$H$34)</f>
        <v>#N/A</v>
      </c>
      <c r="H57" s="94" t="e" cm="1">
        <f t="array" ref="H57">_xlfn.XLOOKUP(Table117821342[[#This Row],[Opp]],Table123[DEF],'2425'!$I$3:$I$34)</f>
        <v>#N/A</v>
      </c>
      <c r="I57" s="94" t="e" cm="1">
        <f t="array" ref="I57">_xlfn.XLOOKUP(Table117821342[[#This Row],[Opp]],Table123[DEF],'2425'!$J$3:$J$34)</f>
        <v>#N/A</v>
      </c>
      <c r="J57" s="94" t="e" cm="1">
        <f t="array" ref="J57">_xlfn.XLOOKUP(Table117821342[[#This Row],[Opp]],Table123[DEF],'2425'!$K$3:$K$34)</f>
        <v>#N/A</v>
      </c>
      <c r="K57" s="94" t="e" cm="1">
        <f t="array" ref="K57">_xlfn.XLOOKUP(Table117821342[[#This Row],[Opp]],Table123[DEF],'2425'!$L$3:$L$34)</f>
        <v>#N/A</v>
      </c>
      <c r="L57" s="95" t="e">
        <f>_xlfn.XLOOKUP(Table117821342[[#This Row],[Opp]],Table123[DEF],Table123[P])</f>
        <v>#N/A</v>
      </c>
      <c r="M57" s="95" t="e">
        <f>_xlfn.XLOOKUP(Table117821342[[#This Row],[Opp]],Table123[DEF],Table123[R])</f>
        <v>#N/A</v>
      </c>
      <c r="N57" s="95" t="e">
        <f>_xlfn.XLOOKUP(Table117821342[[#This Row],[Opp]],Table123[DEF],Table123[P+R])</f>
        <v>#N/A</v>
      </c>
      <c r="O57" s="96" t="e">
        <f>_xlfn.XLOOKUP(Table117821342[[#This Row],[Opp]],Table123[DEF],Table123[P TD])</f>
        <v>#N/A</v>
      </c>
      <c r="P57" s="96" t="e">
        <f>_xlfn.XLOOKUP(Table117821342[[#This Row],[Opp]],Table123[DEF],Table123[TD])</f>
        <v>#N/A</v>
      </c>
      <c r="Q57" s="94" t="e">
        <f>AVERAGE(Table117821342[[#This Row],[*P*]:[*TD*]])</f>
        <v>#N/A</v>
      </c>
    </row>
    <row r="58" spans="2:17" hidden="1" x14ac:dyDescent="0.35">
      <c r="B58" s="6" t="s">
        <v>597</v>
      </c>
      <c r="C58" s="97" t="s">
        <v>15</v>
      </c>
      <c r="D58" s="97" t="s">
        <v>425</v>
      </c>
      <c r="E58" s="23" t="str" cm="1">
        <f t="array" ref="E58">_xlfn.XLOOKUP(Table117821342[[#This Row],[Team]],Table4334[Team],'2425'!$C$3:$C$34)</f>
        <v>n/a</v>
      </c>
      <c r="F58" s="97" t="str">
        <f>'2025'!$E$4</f>
        <v>n/a</v>
      </c>
      <c r="G58" s="94" t="e" cm="1">
        <f t="array" ref="G58">_xlfn.XLOOKUP(Table117821342[[#This Row],[Opp]],Table123[DEF],'2425'!$H$3:$H$34)</f>
        <v>#N/A</v>
      </c>
      <c r="H58" s="94" t="e" cm="1">
        <f t="array" ref="H58">_xlfn.XLOOKUP(Table117821342[[#This Row],[Opp]],Table123[DEF],'2425'!$I$3:$I$34)</f>
        <v>#N/A</v>
      </c>
      <c r="I58" s="94" t="e" cm="1">
        <f t="array" ref="I58">_xlfn.XLOOKUP(Table117821342[[#This Row],[Opp]],Table123[DEF],'2425'!$J$3:$J$34)</f>
        <v>#N/A</v>
      </c>
      <c r="J58" s="94" t="e" cm="1">
        <f t="array" ref="J58">_xlfn.XLOOKUP(Table117821342[[#This Row],[Opp]],Table123[DEF],'2425'!$K$3:$K$34)</f>
        <v>#N/A</v>
      </c>
      <c r="K58" s="94" t="e" cm="1">
        <f t="array" ref="K58">_xlfn.XLOOKUP(Table117821342[[#This Row],[Opp]],Table123[DEF],'2425'!$L$3:$L$34)</f>
        <v>#N/A</v>
      </c>
      <c r="L58" s="95" t="e">
        <f>_xlfn.XLOOKUP(Table117821342[[#This Row],[Opp]],Table123[DEF],Table123[P])</f>
        <v>#N/A</v>
      </c>
      <c r="M58" s="95" t="e">
        <f>_xlfn.XLOOKUP(Table117821342[[#This Row],[Opp]],Table123[DEF],Table123[R])</f>
        <v>#N/A</v>
      </c>
      <c r="N58" s="95" t="e">
        <f>_xlfn.XLOOKUP(Table117821342[[#This Row],[Opp]],Table123[DEF],Table123[P+R])</f>
        <v>#N/A</v>
      </c>
      <c r="O58" s="96" t="e">
        <f>_xlfn.XLOOKUP(Table117821342[[#This Row],[Opp]],Table123[DEF],Table123[P TD])</f>
        <v>#N/A</v>
      </c>
      <c r="P58" s="96" t="e">
        <f>_xlfn.XLOOKUP(Table117821342[[#This Row],[Opp]],Table123[DEF],Table123[TD])</f>
        <v>#N/A</v>
      </c>
      <c r="Q58" s="94" t="e">
        <f>AVERAGE(Table117821342[[#This Row],[*P*]:[*TD*]])</f>
        <v>#N/A</v>
      </c>
    </row>
    <row r="59" spans="2:17" x14ac:dyDescent="0.35">
      <c r="B59" s="6" t="s">
        <v>302</v>
      </c>
      <c r="C59" s="97" t="s">
        <v>46</v>
      </c>
      <c r="D59" s="97" t="s">
        <v>399</v>
      </c>
      <c r="E59" s="23" t="str" cm="1">
        <f t="array" ref="E59">_xlfn.XLOOKUP(Table117821342[[#This Row],[Team]],Table4334[Team],'2425'!$C$3:$C$34)</f>
        <v>SB LX</v>
      </c>
      <c r="F59" s="97" t="str">
        <f>'2025'!$E$24</f>
        <v>SEA</v>
      </c>
      <c r="G59" s="94" cm="1">
        <f t="array" ref="G59">_xlfn.XLOOKUP(Table117821342[[#This Row],[Opp]],Table123[DEF],'2425'!$H$3:$H$34)</f>
        <v>21</v>
      </c>
      <c r="H59" s="94" cm="1">
        <f t="array" ref="H59">_xlfn.XLOOKUP(Table117821342[[#This Row],[Opp]],Table123[DEF],'2425'!$I$3:$I$34)</f>
        <v>24</v>
      </c>
      <c r="I59" s="94" cm="1">
        <f t="array" ref="I59">_xlfn.XLOOKUP(Table117821342[[#This Row],[Opp]],Table123[DEF],'2425'!$J$3:$J$34)</f>
        <v>23</v>
      </c>
      <c r="J59" s="94" cm="1">
        <f t="array" ref="J59">_xlfn.XLOOKUP(Table117821342[[#This Row],[Opp]],Table123[DEF],'2425'!$K$3:$K$34)</f>
        <v>26</v>
      </c>
      <c r="K59" s="94" cm="1">
        <f t="array" ref="K59">_xlfn.XLOOKUP(Table117821342[[#This Row],[Opp]],Table123[DEF],'2425'!$L$3:$L$34)</f>
        <v>20.5</v>
      </c>
      <c r="L59" s="95">
        <f>_xlfn.XLOOKUP(Table117821342[[#This Row],[Opp]],Table123[DEF],Table123[P])</f>
        <v>222.02941176470588</v>
      </c>
      <c r="M59" s="95">
        <f>_xlfn.XLOOKUP(Table117821342[[#This Row],[Opp]],Table123[DEF],Table123[R])</f>
        <v>15.823529411764707</v>
      </c>
      <c r="N59" s="95">
        <f>_xlfn.XLOOKUP(Table117821342[[#This Row],[Opp]],Table123[DEF],Table123[P+R])</f>
        <v>237.85294117647058</v>
      </c>
      <c r="O59" s="96">
        <f>_xlfn.XLOOKUP(Table117821342[[#This Row],[Opp]],Table123[DEF],Table123[P TD])</f>
        <v>1.3529411764705883</v>
      </c>
      <c r="P59" s="96">
        <f>_xlfn.XLOOKUP(Table117821342[[#This Row],[Opp]],Table123[DEF],Table123[TD])</f>
        <v>0.17647058823529413</v>
      </c>
      <c r="Q59" s="94">
        <f>AVERAGE(Table117821342[[#This Row],[*P*]:[*TD*]])</f>
        <v>22.9</v>
      </c>
    </row>
    <row r="60" spans="2:17" hidden="1" x14ac:dyDescent="0.35">
      <c r="B60" s="6" t="s">
        <v>312</v>
      </c>
      <c r="C60" s="97" t="s">
        <v>47</v>
      </c>
      <c r="D60" s="97" t="s">
        <v>405</v>
      </c>
      <c r="E60" s="23" t="str" cm="1">
        <f t="array" ref="E60">_xlfn.XLOOKUP(Table117821342[[#This Row],[Team]],Table4334[Team],'2425'!$C$3:$C$34)</f>
        <v>n/a</v>
      </c>
      <c r="F60" s="97" t="str">
        <f>'2025'!$E$25</f>
        <v>n/a</v>
      </c>
      <c r="G60" s="94" t="e" cm="1">
        <f t="array" ref="G60">_xlfn.XLOOKUP(Table117821342[[#This Row],[Opp]],Table123[DEF],'2425'!$H$3:$H$34)</f>
        <v>#N/A</v>
      </c>
      <c r="H60" s="94" t="e" cm="1">
        <f t="array" ref="H60">_xlfn.XLOOKUP(Table117821342[[#This Row],[Opp]],Table123[DEF],'2425'!$I$3:$I$34)</f>
        <v>#N/A</v>
      </c>
      <c r="I60" s="94" t="e" cm="1">
        <f t="array" ref="I60">_xlfn.XLOOKUP(Table117821342[[#This Row],[Opp]],Table123[DEF],'2425'!$J$3:$J$34)</f>
        <v>#N/A</v>
      </c>
      <c r="J60" s="94" t="e" cm="1">
        <f t="array" ref="J60">_xlfn.XLOOKUP(Table117821342[[#This Row],[Opp]],Table123[DEF],'2425'!$K$3:$K$34)</f>
        <v>#N/A</v>
      </c>
      <c r="K60" s="94" t="e" cm="1">
        <f t="array" ref="K60">_xlfn.XLOOKUP(Table117821342[[#This Row],[Opp]],Table123[DEF],'2425'!$L$3:$L$34)</f>
        <v>#N/A</v>
      </c>
      <c r="L60" s="95" t="e">
        <f>_xlfn.XLOOKUP(Table117821342[[#This Row],[Opp]],Table123[DEF],Table123[P])</f>
        <v>#N/A</v>
      </c>
      <c r="M60" s="95" t="e">
        <f>_xlfn.XLOOKUP(Table117821342[[#This Row],[Opp]],Table123[DEF],Table123[R])</f>
        <v>#N/A</v>
      </c>
      <c r="N60" s="95" t="e">
        <f>_xlfn.XLOOKUP(Table117821342[[#This Row],[Opp]],Table123[DEF],Table123[P+R])</f>
        <v>#N/A</v>
      </c>
      <c r="O60" s="96" t="e">
        <f>_xlfn.XLOOKUP(Table117821342[[#This Row],[Opp]],Table123[DEF],Table123[P TD])</f>
        <v>#N/A</v>
      </c>
      <c r="P60" s="96" t="e">
        <f>_xlfn.XLOOKUP(Table117821342[[#This Row],[Opp]],Table123[DEF],Table123[TD])</f>
        <v>#N/A</v>
      </c>
      <c r="Q60" s="94" t="e">
        <f>AVERAGE(Table117821342[[#This Row],[*P*]:[*TD*]])</f>
        <v>#N/A</v>
      </c>
    </row>
    <row r="61" spans="2:17" hidden="1" x14ac:dyDescent="0.35">
      <c r="B61" s="6" t="s">
        <v>617</v>
      </c>
      <c r="C61" s="97" t="s">
        <v>47</v>
      </c>
      <c r="D61" s="97" t="s">
        <v>425</v>
      </c>
      <c r="E61" s="23" t="str" cm="1">
        <f t="array" ref="E61">_xlfn.XLOOKUP(Table117821342[[#This Row],[Team]],Table4334[Team],'2425'!$C$3:$C$34)</f>
        <v>n/a</v>
      </c>
      <c r="F61" s="97" t="str">
        <f>'2025'!$E$25</f>
        <v>n/a</v>
      </c>
      <c r="G61" s="94" t="e" cm="1">
        <f t="array" ref="G61">_xlfn.XLOOKUP(Table117821342[[#This Row],[Opp]],Table123[DEF],'2425'!$H$3:$H$34)</f>
        <v>#N/A</v>
      </c>
      <c r="H61" s="94" t="e" cm="1">
        <f t="array" ref="H61">_xlfn.XLOOKUP(Table117821342[[#This Row],[Opp]],Table123[DEF],'2425'!$I$3:$I$34)</f>
        <v>#N/A</v>
      </c>
      <c r="I61" s="94" t="e" cm="1">
        <f t="array" ref="I61">_xlfn.XLOOKUP(Table117821342[[#This Row],[Opp]],Table123[DEF],'2425'!$J$3:$J$34)</f>
        <v>#N/A</v>
      </c>
      <c r="J61" s="94" t="e" cm="1">
        <f t="array" ref="J61">_xlfn.XLOOKUP(Table117821342[[#This Row],[Opp]],Table123[DEF],'2425'!$K$3:$K$34)</f>
        <v>#N/A</v>
      </c>
      <c r="K61" s="94" t="e" cm="1">
        <f t="array" ref="K61">_xlfn.XLOOKUP(Table117821342[[#This Row],[Opp]],Table123[DEF],'2425'!$L$3:$L$34)</f>
        <v>#N/A</v>
      </c>
      <c r="L61" s="95" t="e">
        <f>_xlfn.XLOOKUP(Table117821342[[#This Row],[Opp]],Table123[DEF],Table123[P])</f>
        <v>#N/A</v>
      </c>
      <c r="M61" s="95" t="e">
        <f>_xlfn.XLOOKUP(Table117821342[[#This Row],[Opp]],Table123[DEF],Table123[R])</f>
        <v>#N/A</v>
      </c>
      <c r="N61" s="95" t="e">
        <f>_xlfn.XLOOKUP(Table117821342[[#This Row],[Opp]],Table123[DEF],Table123[P+R])</f>
        <v>#N/A</v>
      </c>
      <c r="O61" s="96" t="e">
        <f>_xlfn.XLOOKUP(Table117821342[[#This Row],[Opp]],Table123[DEF],Table123[P TD])</f>
        <v>#N/A</v>
      </c>
      <c r="P61" s="96" t="e">
        <f>_xlfn.XLOOKUP(Table117821342[[#This Row],[Opp]],Table123[DEF],Table123[TD])</f>
        <v>#N/A</v>
      </c>
      <c r="Q61" s="94" t="e">
        <f>AVERAGE(Table117821342[[#This Row],[*P*]:[*TD*]])</f>
        <v>#N/A</v>
      </c>
    </row>
    <row r="62" spans="2:17" x14ac:dyDescent="0.35">
      <c r="B62" s="6" t="s">
        <v>150</v>
      </c>
      <c r="C62" s="97" t="s">
        <v>30</v>
      </c>
      <c r="D62" s="97" t="s">
        <v>399</v>
      </c>
      <c r="E62" s="23" t="str" cm="1">
        <f t="array" ref="E62">_xlfn.XLOOKUP(Table117821342[[#This Row],[Team]],Table4334[Team],'2425'!$C$3:$C$34)</f>
        <v>n/a</v>
      </c>
      <c r="F62" s="97" t="str">
        <f>'2025'!$E$8</f>
        <v>n/a</v>
      </c>
      <c r="G62" s="94" t="e" cm="1">
        <f t="array" ref="G62">_xlfn.XLOOKUP(Table117821342[[#This Row],[Opp]],Table123[DEF],'2425'!$H$3:$H$34)</f>
        <v>#N/A</v>
      </c>
      <c r="H62" s="94" t="e" cm="1">
        <f t="array" ref="H62">_xlfn.XLOOKUP(Table117821342[[#This Row],[Opp]],Table123[DEF],'2425'!$I$3:$I$34)</f>
        <v>#N/A</v>
      </c>
      <c r="I62" s="94" t="e" cm="1">
        <f t="array" ref="I62">_xlfn.XLOOKUP(Table117821342[[#This Row],[Opp]],Table123[DEF],'2425'!$J$3:$J$34)</f>
        <v>#N/A</v>
      </c>
      <c r="J62" s="94" t="e" cm="1">
        <f t="array" ref="J62">_xlfn.XLOOKUP(Table117821342[[#This Row],[Opp]],Table123[DEF],'2425'!$K$3:$K$34)</f>
        <v>#N/A</v>
      </c>
      <c r="K62" s="94" t="e" cm="1">
        <f t="array" ref="K62">_xlfn.XLOOKUP(Table117821342[[#This Row],[Opp]],Table123[DEF],'2425'!$L$3:$L$34)</f>
        <v>#N/A</v>
      </c>
      <c r="L62" s="95" t="e">
        <f>_xlfn.XLOOKUP(Table117821342[[#This Row],[Opp]],Table123[DEF],Table123[P])</f>
        <v>#N/A</v>
      </c>
      <c r="M62" s="95" t="e">
        <f>_xlfn.XLOOKUP(Table117821342[[#This Row],[Opp]],Table123[DEF],Table123[R])</f>
        <v>#N/A</v>
      </c>
      <c r="N62" s="95" t="e">
        <f>_xlfn.XLOOKUP(Table117821342[[#This Row],[Opp]],Table123[DEF],Table123[P+R])</f>
        <v>#N/A</v>
      </c>
      <c r="O62" s="96" t="e">
        <f>_xlfn.XLOOKUP(Table117821342[[#This Row],[Opp]],Table123[DEF],Table123[P TD])</f>
        <v>#N/A</v>
      </c>
      <c r="P62" s="96" t="e">
        <f>_xlfn.XLOOKUP(Table117821342[[#This Row],[Opp]],Table123[DEF],Table123[TD])</f>
        <v>#N/A</v>
      </c>
      <c r="Q62" s="94" t="e">
        <f>AVERAGE(Table117821342[[#This Row],[*P*]:[*TD*]])</f>
        <v>#N/A</v>
      </c>
    </row>
    <row r="63" spans="2:17" hidden="1" x14ac:dyDescent="0.35">
      <c r="B63" s="6" t="s">
        <v>538</v>
      </c>
      <c r="C63" s="97" t="s">
        <v>53</v>
      </c>
      <c r="D63" s="97" t="s">
        <v>405</v>
      </c>
      <c r="E63" s="23" t="str" cm="1">
        <f t="array" ref="E63">_xlfn.XLOOKUP(Table117821342[[#This Row],[Team]],Table4334[Team],'2425'!$C$3:$C$34)</f>
        <v>n/a</v>
      </c>
      <c r="F63" s="97" t="str">
        <f>'2025'!$E$31</f>
        <v>n/a</v>
      </c>
      <c r="G63" s="94" t="e" cm="1">
        <f t="array" ref="G63">_xlfn.XLOOKUP(Table117821342[[#This Row],[Opp]],Table123[DEF],'2425'!$H$3:$H$34)</f>
        <v>#N/A</v>
      </c>
      <c r="H63" s="94" t="e" cm="1">
        <f t="array" ref="H63">_xlfn.XLOOKUP(Table117821342[[#This Row],[Opp]],Table123[DEF],'2425'!$I$3:$I$34)</f>
        <v>#N/A</v>
      </c>
      <c r="I63" s="94" t="e" cm="1">
        <f t="array" ref="I63">_xlfn.XLOOKUP(Table117821342[[#This Row],[Opp]],Table123[DEF],'2425'!$J$3:$J$34)</f>
        <v>#N/A</v>
      </c>
      <c r="J63" s="94" t="e" cm="1">
        <f t="array" ref="J63">_xlfn.XLOOKUP(Table117821342[[#This Row],[Opp]],Table123[DEF],'2425'!$K$3:$K$34)</f>
        <v>#N/A</v>
      </c>
      <c r="K63" s="94" t="e" cm="1">
        <f t="array" ref="K63">_xlfn.XLOOKUP(Table117821342[[#This Row],[Opp]],Table123[DEF],'2425'!$L$3:$L$34)</f>
        <v>#N/A</v>
      </c>
      <c r="L63" s="95" t="e">
        <f>_xlfn.XLOOKUP(Table117821342[[#This Row],[Opp]],Table123[DEF],Table123[P])</f>
        <v>#N/A</v>
      </c>
      <c r="M63" s="95" t="e">
        <f>_xlfn.XLOOKUP(Table117821342[[#This Row],[Opp]],Table123[DEF],Table123[R])</f>
        <v>#N/A</v>
      </c>
      <c r="N63" s="95" t="e">
        <f>_xlfn.XLOOKUP(Table117821342[[#This Row],[Opp]],Table123[DEF],Table123[P+R])</f>
        <v>#N/A</v>
      </c>
      <c r="O63" s="96" t="e">
        <f>_xlfn.XLOOKUP(Table117821342[[#This Row],[Opp]],Table123[DEF],Table123[P TD])</f>
        <v>#N/A</v>
      </c>
      <c r="P63" s="96" t="e">
        <f>_xlfn.XLOOKUP(Table117821342[[#This Row],[Opp]],Table123[DEF],Table123[TD])</f>
        <v>#N/A</v>
      </c>
      <c r="Q63" s="94" t="e">
        <f>AVERAGE(Table117821342[[#This Row],[*P*]:[*TD*]])</f>
        <v>#N/A</v>
      </c>
    </row>
    <row r="64" spans="2:17" hidden="1" x14ac:dyDescent="0.35">
      <c r="B64" s="6" t="s">
        <v>358</v>
      </c>
      <c r="C64" s="97" t="s">
        <v>53</v>
      </c>
      <c r="D64" s="97" t="s">
        <v>425</v>
      </c>
      <c r="E64" s="23" t="str" cm="1">
        <f t="array" ref="E64">_xlfn.XLOOKUP(Table117821342[[#This Row],[Team]],Table4334[Team],'2425'!$C$3:$C$34)</f>
        <v>n/a</v>
      </c>
      <c r="F64" s="97" t="str">
        <f>'2025'!$E$31</f>
        <v>n/a</v>
      </c>
      <c r="G64" s="94" t="e" cm="1">
        <f t="array" ref="G64">_xlfn.XLOOKUP(Table117821342[[#This Row],[Opp]],Table123[DEF],'2425'!$H$3:$H$34)</f>
        <v>#N/A</v>
      </c>
      <c r="H64" s="94" t="e" cm="1">
        <f t="array" ref="H64">_xlfn.XLOOKUP(Table117821342[[#This Row],[Opp]],Table123[DEF],'2425'!$I$3:$I$34)</f>
        <v>#N/A</v>
      </c>
      <c r="I64" s="94" t="e" cm="1">
        <f t="array" ref="I64">_xlfn.XLOOKUP(Table117821342[[#This Row],[Opp]],Table123[DEF],'2425'!$J$3:$J$34)</f>
        <v>#N/A</v>
      </c>
      <c r="J64" s="94" t="e" cm="1">
        <f t="array" ref="J64">_xlfn.XLOOKUP(Table117821342[[#This Row],[Opp]],Table123[DEF],'2425'!$K$3:$K$34)</f>
        <v>#N/A</v>
      </c>
      <c r="K64" s="94" t="e" cm="1">
        <f t="array" ref="K64">_xlfn.XLOOKUP(Table117821342[[#This Row],[Opp]],Table123[DEF],'2425'!$L$3:$L$34)</f>
        <v>#N/A</v>
      </c>
      <c r="L64" s="95" t="e">
        <f>_xlfn.XLOOKUP(Table117821342[[#This Row],[Opp]],Table123[DEF],Table123[P])</f>
        <v>#N/A</v>
      </c>
      <c r="M64" s="95" t="e">
        <f>_xlfn.XLOOKUP(Table117821342[[#This Row],[Opp]],Table123[DEF],Table123[R])</f>
        <v>#N/A</v>
      </c>
      <c r="N64" s="95" t="e">
        <f>_xlfn.XLOOKUP(Table117821342[[#This Row],[Opp]],Table123[DEF],Table123[P+R])</f>
        <v>#N/A</v>
      </c>
      <c r="O64" s="96" t="e">
        <f>_xlfn.XLOOKUP(Table117821342[[#This Row],[Opp]],Table123[DEF],Table123[P TD])</f>
        <v>#N/A</v>
      </c>
      <c r="P64" s="96" t="e">
        <f>_xlfn.XLOOKUP(Table117821342[[#This Row],[Opp]],Table123[DEF],Table123[TD])</f>
        <v>#N/A</v>
      </c>
      <c r="Q64" s="94" t="e">
        <f>AVERAGE(Table117821342[[#This Row],[*P*]:[*TD*]])</f>
        <v>#N/A</v>
      </c>
    </row>
    <row r="65" spans="2:17" hidden="1" x14ac:dyDescent="0.35">
      <c r="B65" s="6" t="s">
        <v>539</v>
      </c>
      <c r="C65" s="97" t="s">
        <v>53</v>
      </c>
      <c r="D65" s="97" t="s">
        <v>480</v>
      </c>
      <c r="E65" s="23" t="str" cm="1">
        <f t="array" ref="E65">_xlfn.XLOOKUP(Table117821342[[#This Row],[Team]],Table4334[Team],'2425'!$C$3:$C$34)</f>
        <v>n/a</v>
      </c>
      <c r="F65" s="97" t="str">
        <f>'2025'!$E$31</f>
        <v>n/a</v>
      </c>
      <c r="G65" s="94" t="e" cm="1">
        <f t="array" ref="G65">_xlfn.XLOOKUP(Table117821342[[#This Row],[Opp]],Table123[DEF],'2425'!$H$3:$H$34)</f>
        <v>#N/A</v>
      </c>
      <c r="H65" s="94" t="e" cm="1">
        <f t="array" ref="H65">_xlfn.XLOOKUP(Table117821342[[#This Row],[Opp]],Table123[DEF],'2425'!$I$3:$I$34)</f>
        <v>#N/A</v>
      </c>
      <c r="I65" s="94" t="e" cm="1">
        <f t="array" ref="I65">_xlfn.XLOOKUP(Table117821342[[#This Row],[Opp]],Table123[DEF],'2425'!$J$3:$J$34)</f>
        <v>#N/A</v>
      </c>
      <c r="J65" s="94" t="e" cm="1">
        <f t="array" ref="J65">_xlfn.XLOOKUP(Table117821342[[#This Row],[Opp]],Table123[DEF],'2425'!$K$3:$K$34)</f>
        <v>#N/A</v>
      </c>
      <c r="K65" s="94" t="e" cm="1">
        <f t="array" ref="K65">_xlfn.XLOOKUP(Table117821342[[#This Row],[Opp]],Table123[DEF],'2425'!$L$3:$L$34)</f>
        <v>#N/A</v>
      </c>
      <c r="L65" s="95" t="e">
        <f>_xlfn.XLOOKUP(Table117821342[[#This Row],[Opp]],Table123[DEF],Table123[P])</f>
        <v>#N/A</v>
      </c>
      <c r="M65" s="95" t="e">
        <f>_xlfn.XLOOKUP(Table117821342[[#This Row],[Opp]],Table123[DEF],Table123[R])</f>
        <v>#N/A</v>
      </c>
      <c r="N65" s="95" t="e">
        <f>_xlfn.XLOOKUP(Table117821342[[#This Row],[Opp]],Table123[DEF],Table123[P+R])</f>
        <v>#N/A</v>
      </c>
      <c r="O65" s="96" t="e">
        <f>_xlfn.XLOOKUP(Table117821342[[#This Row],[Opp]],Table123[DEF],Table123[P TD])</f>
        <v>#N/A</v>
      </c>
      <c r="P65" s="96" t="e">
        <f>_xlfn.XLOOKUP(Table117821342[[#This Row],[Opp]],Table123[DEF],Table123[TD])</f>
        <v>#N/A</v>
      </c>
      <c r="Q65" s="94" t="e">
        <f>AVERAGE(Table117821342[[#This Row],[*P*]:[*TD*]])</f>
        <v>#N/A</v>
      </c>
    </row>
    <row r="66" spans="2:17" hidden="1" x14ac:dyDescent="0.35">
      <c r="B66" s="6" t="s">
        <v>204</v>
      </c>
      <c r="C66" s="97" t="s">
        <v>36</v>
      </c>
      <c r="D66" s="97" t="s">
        <v>399</v>
      </c>
      <c r="E66" s="23" t="str" cm="1">
        <f t="array" ref="E66">_xlfn.XLOOKUP(Table117821342[[#This Row],[Team]],Table4334[Team],'2425'!$C$3:$C$34)</f>
        <v>n/a</v>
      </c>
      <c r="F66" s="97" t="str">
        <f>'2025'!$E$14</f>
        <v>n/a</v>
      </c>
      <c r="G66" s="94" t="e" cm="1">
        <f t="array" ref="G66">_xlfn.XLOOKUP(Table117821342[[#This Row],[Opp]],Table123[DEF],'2425'!$H$3:$H$34)</f>
        <v>#N/A</v>
      </c>
      <c r="H66" s="94" t="e" cm="1">
        <f t="array" ref="H66">_xlfn.XLOOKUP(Table117821342[[#This Row],[Opp]],Table123[DEF],'2425'!$I$3:$I$34)</f>
        <v>#N/A</v>
      </c>
      <c r="I66" s="94" t="e" cm="1">
        <f t="array" ref="I66">_xlfn.XLOOKUP(Table117821342[[#This Row],[Opp]],Table123[DEF],'2425'!$J$3:$J$34)</f>
        <v>#N/A</v>
      </c>
      <c r="J66" s="94" t="e" cm="1">
        <f t="array" ref="J66">_xlfn.XLOOKUP(Table117821342[[#This Row],[Opp]],Table123[DEF],'2425'!$K$3:$K$34)</f>
        <v>#N/A</v>
      </c>
      <c r="K66" s="94" t="e" cm="1">
        <f t="array" ref="K66">_xlfn.XLOOKUP(Table117821342[[#This Row],[Opp]],Table123[DEF],'2425'!$L$3:$L$34)</f>
        <v>#N/A</v>
      </c>
      <c r="L66" s="95" t="e">
        <f>_xlfn.XLOOKUP(Table117821342[[#This Row],[Opp]],Table123[DEF],Table123[P])</f>
        <v>#N/A</v>
      </c>
      <c r="M66" s="95" t="e">
        <f>_xlfn.XLOOKUP(Table117821342[[#This Row],[Opp]],Table123[DEF],Table123[R])</f>
        <v>#N/A</v>
      </c>
      <c r="N66" s="95" t="e">
        <f>_xlfn.XLOOKUP(Table117821342[[#This Row],[Opp]],Table123[DEF],Table123[P+R])</f>
        <v>#N/A</v>
      </c>
      <c r="O66" s="96" t="e">
        <f>_xlfn.XLOOKUP(Table117821342[[#This Row],[Opp]],Table123[DEF],Table123[P TD])</f>
        <v>#N/A</v>
      </c>
      <c r="P66" s="96" t="e">
        <f>_xlfn.XLOOKUP(Table117821342[[#This Row],[Opp]],Table123[DEF],Table123[TD])</f>
        <v>#N/A</v>
      </c>
      <c r="Q66" s="94" t="e">
        <f>AVERAGE(Table117821342[[#This Row],[*P*]:[*TD*]])</f>
        <v>#N/A</v>
      </c>
    </row>
    <row r="67" spans="2:17" hidden="1" x14ac:dyDescent="0.35">
      <c r="B67" s="6" t="s">
        <v>321</v>
      </c>
      <c r="C67" s="97" t="s">
        <v>48</v>
      </c>
      <c r="D67" s="97" t="s">
        <v>405</v>
      </c>
      <c r="E67" s="23" t="str" cm="1">
        <f t="array" ref="E67">_xlfn.XLOOKUP(Table117821342[[#This Row],[Team]],Table4334[Team],'2425'!$C$3:$C$34)</f>
        <v>n/a</v>
      </c>
      <c r="F67" s="97" t="str">
        <f>'2025'!$E$26</f>
        <v>n/a</v>
      </c>
      <c r="G67" s="94" t="e" cm="1">
        <f t="array" ref="G67">_xlfn.XLOOKUP(Table117821342[[#This Row],[Opp]],Table123[DEF],'2425'!$H$3:$H$34)</f>
        <v>#N/A</v>
      </c>
      <c r="H67" s="94" t="e" cm="1">
        <f t="array" ref="H67">_xlfn.XLOOKUP(Table117821342[[#This Row],[Opp]],Table123[DEF],'2425'!$I$3:$I$34)</f>
        <v>#N/A</v>
      </c>
      <c r="I67" s="94" t="e" cm="1">
        <f t="array" ref="I67">_xlfn.XLOOKUP(Table117821342[[#This Row],[Opp]],Table123[DEF],'2425'!$J$3:$J$34)</f>
        <v>#N/A</v>
      </c>
      <c r="J67" s="94" t="e" cm="1">
        <f t="array" ref="J67">_xlfn.XLOOKUP(Table117821342[[#This Row],[Opp]],Table123[DEF],'2425'!$K$3:$K$34)</f>
        <v>#N/A</v>
      </c>
      <c r="K67" s="94" t="e" cm="1">
        <f t="array" ref="K67">_xlfn.XLOOKUP(Table117821342[[#This Row],[Opp]],Table123[DEF],'2425'!$L$3:$L$34)</f>
        <v>#N/A</v>
      </c>
      <c r="L67" s="95" t="e">
        <f>_xlfn.XLOOKUP(Table117821342[[#This Row],[Opp]],Table123[DEF],Table123[P])</f>
        <v>#N/A</v>
      </c>
      <c r="M67" s="95" t="e">
        <f>_xlfn.XLOOKUP(Table117821342[[#This Row],[Opp]],Table123[DEF],Table123[R])</f>
        <v>#N/A</v>
      </c>
      <c r="N67" s="95" t="e">
        <f>_xlfn.XLOOKUP(Table117821342[[#This Row],[Opp]],Table123[DEF],Table123[P+R])</f>
        <v>#N/A</v>
      </c>
      <c r="O67" s="96" t="e">
        <f>_xlfn.XLOOKUP(Table117821342[[#This Row],[Opp]],Table123[DEF],Table123[P TD])</f>
        <v>#N/A</v>
      </c>
      <c r="P67" s="96" t="e">
        <f>_xlfn.XLOOKUP(Table117821342[[#This Row],[Opp]],Table123[DEF],Table123[TD])</f>
        <v>#N/A</v>
      </c>
      <c r="Q67" s="94" t="e">
        <f>AVERAGE(Table117821342[[#This Row],[*P*]:[*TD*]])</f>
        <v>#N/A</v>
      </c>
    </row>
    <row r="68" spans="2:17" hidden="1" x14ac:dyDescent="0.35">
      <c r="B68" s="6" t="s">
        <v>322</v>
      </c>
      <c r="C68" s="97" t="s">
        <v>48</v>
      </c>
      <c r="D68" s="97" t="s">
        <v>425</v>
      </c>
      <c r="E68" s="23" t="str" cm="1">
        <f t="array" ref="E68">_xlfn.XLOOKUP(Table117821342[[#This Row],[Team]],Table4334[Team],'2425'!$C$3:$C$34)</f>
        <v>n/a</v>
      </c>
      <c r="F68" s="97" t="str">
        <f>'2025'!$E$26</f>
        <v>n/a</v>
      </c>
      <c r="G68" s="94" t="e" cm="1">
        <f t="array" ref="G68">_xlfn.XLOOKUP(Table117821342[[#This Row],[Opp]],Table123[DEF],'2425'!$H$3:$H$34)</f>
        <v>#N/A</v>
      </c>
      <c r="H68" s="94" t="e" cm="1">
        <f t="array" ref="H68">_xlfn.XLOOKUP(Table117821342[[#This Row],[Opp]],Table123[DEF],'2425'!$I$3:$I$34)</f>
        <v>#N/A</v>
      </c>
      <c r="I68" s="94" t="e" cm="1">
        <f t="array" ref="I68">_xlfn.XLOOKUP(Table117821342[[#This Row],[Opp]],Table123[DEF],'2425'!$J$3:$J$34)</f>
        <v>#N/A</v>
      </c>
      <c r="J68" s="94" t="e" cm="1">
        <f t="array" ref="J68">_xlfn.XLOOKUP(Table117821342[[#This Row],[Opp]],Table123[DEF],'2425'!$K$3:$K$34)</f>
        <v>#N/A</v>
      </c>
      <c r="K68" s="94" t="e" cm="1">
        <f t="array" ref="K68">_xlfn.XLOOKUP(Table117821342[[#This Row],[Opp]],Table123[DEF],'2425'!$L$3:$L$34)</f>
        <v>#N/A</v>
      </c>
      <c r="L68" s="95" t="e">
        <f>_xlfn.XLOOKUP(Table117821342[[#This Row],[Opp]],Table123[DEF],Table123[P])</f>
        <v>#N/A</v>
      </c>
      <c r="M68" s="95" t="e">
        <f>_xlfn.XLOOKUP(Table117821342[[#This Row],[Opp]],Table123[DEF],Table123[R])</f>
        <v>#N/A</v>
      </c>
      <c r="N68" s="95" t="e">
        <f>_xlfn.XLOOKUP(Table117821342[[#This Row],[Opp]],Table123[DEF],Table123[P+R])</f>
        <v>#N/A</v>
      </c>
      <c r="O68" s="96" t="e">
        <f>_xlfn.XLOOKUP(Table117821342[[#This Row],[Opp]],Table123[DEF],Table123[P TD])</f>
        <v>#N/A</v>
      </c>
      <c r="P68" s="96" t="e">
        <f>_xlfn.XLOOKUP(Table117821342[[#This Row],[Opp]],Table123[DEF],Table123[TD])</f>
        <v>#N/A</v>
      </c>
      <c r="Q68" s="94" t="e">
        <f>AVERAGE(Table117821342[[#This Row],[*P*]:[*TD*]])</f>
        <v>#N/A</v>
      </c>
    </row>
    <row r="69" spans="2:17" hidden="1" x14ac:dyDescent="0.35">
      <c r="B69" s="6" t="s">
        <v>336</v>
      </c>
      <c r="C69" s="97" t="s">
        <v>50</v>
      </c>
      <c r="D69" s="97" t="s">
        <v>399</v>
      </c>
      <c r="E69" s="23" t="str" cm="1">
        <f t="array" ref="E69">_xlfn.XLOOKUP(Table117821342[[#This Row],[Team]],Table4334[Team],'2425'!$C$3:$C$34)</f>
        <v>n/a</v>
      </c>
      <c r="F69" s="97" t="str">
        <f>'2025'!$E$28</f>
        <v>n/a</v>
      </c>
      <c r="G69" s="94" t="e" cm="1">
        <f t="array" ref="G69">_xlfn.XLOOKUP(Table117821342[[#This Row],[Opp]],Table123[DEF],'2425'!$H$3:$H$34)</f>
        <v>#N/A</v>
      </c>
      <c r="H69" s="94" t="e" cm="1">
        <f t="array" ref="H69">_xlfn.XLOOKUP(Table117821342[[#This Row],[Opp]],Table123[DEF],'2425'!$I$3:$I$34)</f>
        <v>#N/A</v>
      </c>
      <c r="I69" s="94" t="e" cm="1">
        <f t="array" ref="I69">_xlfn.XLOOKUP(Table117821342[[#This Row],[Opp]],Table123[DEF],'2425'!$J$3:$J$34)</f>
        <v>#N/A</v>
      </c>
      <c r="J69" s="94" t="e" cm="1">
        <f t="array" ref="J69">_xlfn.XLOOKUP(Table117821342[[#This Row],[Opp]],Table123[DEF],'2425'!$K$3:$K$34)</f>
        <v>#N/A</v>
      </c>
      <c r="K69" s="94" t="e" cm="1">
        <f t="array" ref="K69">_xlfn.XLOOKUP(Table117821342[[#This Row],[Opp]],Table123[DEF],'2425'!$L$3:$L$34)</f>
        <v>#N/A</v>
      </c>
      <c r="L69" s="95" t="e">
        <f>_xlfn.XLOOKUP(Table117821342[[#This Row],[Opp]],Table123[DEF],Table123[P])</f>
        <v>#N/A</v>
      </c>
      <c r="M69" s="95" t="e">
        <f>_xlfn.XLOOKUP(Table117821342[[#This Row],[Opp]],Table123[DEF],Table123[R])</f>
        <v>#N/A</v>
      </c>
      <c r="N69" s="95" t="e">
        <f>_xlfn.XLOOKUP(Table117821342[[#This Row],[Opp]],Table123[DEF],Table123[P+R])</f>
        <v>#N/A</v>
      </c>
      <c r="O69" s="96" t="e">
        <f>_xlfn.XLOOKUP(Table117821342[[#This Row],[Opp]],Table123[DEF],Table123[P TD])</f>
        <v>#N/A</v>
      </c>
      <c r="P69" s="96" t="e">
        <f>_xlfn.XLOOKUP(Table117821342[[#This Row],[Opp]],Table123[DEF],Table123[TD])</f>
        <v>#N/A</v>
      </c>
      <c r="Q69" s="94" t="e">
        <f>AVERAGE(Table117821342[[#This Row],[*P*]:[*TD*]])</f>
        <v>#N/A</v>
      </c>
    </row>
    <row r="70" spans="2:17" hidden="1" x14ac:dyDescent="0.35">
      <c r="B70" s="6" t="s">
        <v>172</v>
      </c>
      <c r="C70" s="97" t="s">
        <v>43</v>
      </c>
      <c r="D70" s="97" t="s">
        <v>405</v>
      </c>
      <c r="E70" s="23" t="str" cm="1">
        <f t="array" ref="E70">_xlfn.XLOOKUP(Table117821342[[#This Row],[Team]],Table4334[Team],'2425'!$C$3:$C$34)</f>
        <v>n/a</v>
      </c>
      <c r="F70" s="97" t="str">
        <f>'2025'!$E$21</f>
        <v>n/a</v>
      </c>
      <c r="G70" s="94" t="e" cm="1">
        <f t="array" ref="G70">_xlfn.XLOOKUP(Table117821342[[#This Row],[Opp]],Table123[DEF],'2425'!$H$3:$H$34)</f>
        <v>#N/A</v>
      </c>
      <c r="H70" s="94" t="e" cm="1">
        <f t="array" ref="H70">_xlfn.XLOOKUP(Table117821342[[#This Row],[Opp]],Table123[DEF],'2425'!$I$3:$I$34)</f>
        <v>#N/A</v>
      </c>
      <c r="I70" s="94" t="e" cm="1">
        <f t="array" ref="I70">_xlfn.XLOOKUP(Table117821342[[#This Row],[Opp]],Table123[DEF],'2425'!$J$3:$J$34)</f>
        <v>#N/A</v>
      </c>
      <c r="J70" s="94" t="e" cm="1">
        <f t="array" ref="J70">_xlfn.XLOOKUP(Table117821342[[#This Row],[Opp]],Table123[DEF],'2425'!$K$3:$K$34)</f>
        <v>#N/A</v>
      </c>
      <c r="K70" s="94" t="e" cm="1">
        <f t="array" ref="K70">_xlfn.XLOOKUP(Table117821342[[#This Row],[Opp]],Table123[DEF],'2425'!$L$3:$L$34)</f>
        <v>#N/A</v>
      </c>
      <c r="L70" s="95" t="e">
        <f>_xlfn.XLOOKUP(Table117821342[[#This Row],[Opp]],Table123[DEF],Table123[P])</f>
        <v>#N/A</v>
      </c>
      <c r="M70" s="95" t="e">
        <f>_xlfn.XLOOKUP(Table117821342[[#This Row],[Opp]],Table123[DEF],Table123[R])</f>
        <v>#N/A</v>
      </c>
      <c r="N70" s="95" t="e">
        <f>_xlfn.XLOOKUP(Table117821342[[#This Row],[Opp]],Table123[DEF],Table123[P+R])</f>
        <v>#N/A</v>
      </c>
      <c r="O70" s="96" t="e">
        <f>_xlfn.XLOOKUP(Table117821342[[#This Row],[Opp]],Table123[DEF],Table123[P TD])</f>
        <v>#N/A</v>
      </c>
      <c r="P70" s="96" t="e">
        <f>_xlfn.XLOOKUP(Table117821342[[#This Row],[Opp]],Table123[DEF],Table123[TD])</f>
        <v>#N/A</v>
      </c>
      <c r="Q70" s="94" t="e">
        <f>AVERAGE(Table117821342[[#This Row],[*P*]:[*TD*]])</f>
        <v>#N/A</v>
      </c>
    </row>
    <row r="71" spans="2:17" hidden="1" x14ac:dyDescent="0.35">
      <c r="B71" s="6" t="s">
        <v>565</v>
      </c>
      <c r="C71" s="97" t="s">
        <v>43</v>
      </c>
      <c r="D71" s="97" t="s">
        <v>425</v>
      </c>
      <c r="E71" s="23" t="str" cm="1">
        <f t="array" ref="E71">_xlfn.XLOOKUP(Table117821342[[#This Row],[Team]],Table4334[Team],'2425'!$C$3:$C$34)</f>
        <v>n/a</v>
      </c>
      <c r="F71" s="97" t="str">
        <f>'2025'!$E$21</f>
        <v>n/a</v>
      </c>
      <c r="G71" s="94" t="e" cm="1">
        <f t="array" ref="G71">_xlfn.XLOOKUP(Table117821342[[#This Row],[Opp]],Table123[DEF],'2425'!$H$3:$H$34)</f>
        <v>#N/A</v>
      </c>
      <c r="H71" s="94" t="e" cm="1">
        <f t="array" ref="H71">_xlfn.XLOOKUP(Table117821342[[#This Row],[Opp]],Table123[DEF],'2425'!$I$3:$I$34)</f>
        <v>#N/A</v>
      </c>
      <c r="I71" s="94" t="e" cm="1">
        <f t="array" ref="I71">_xlfn.XLOOKUP(Table117821342[[#This Row],[Opp]],Table123[DEF],'2425'!$J$3:$J$34)</f>
        <v>#N/A</v>
      </c>
      <c r="J71" s="94" t="e" cm="1">
        <f t="array" ref="J71">_xlfn.XLOOKUP(Table117821342[[#This Row],[Opp]],Table123[DEF],'2425'!$K$3:$K$34)</f>
        <v>#N/A</v>
      </c>
      <c r="K71" s="94" t="e" cm="1">
        <f t="array" ref="K71">_xlfn.XLOOKUP(Table117821342[[#This Row],[Opp]],Table123[DEF],'2425'!$L$3:$L$34)</f>
        <v>#N/A</v>
      </c>
      <c r="L71" s="95" t="e">
        <f>_xlfn.XLOOKUP(Table117821342[[#This Row],[Opp]],Table123[DEF],Table123[P])</f>
        <v>#N/A</v>
      </c>
      <c r="M71" s="95" t="e">
        <f>_xlfn.XLOOKUP(Table117821342[[#This Row],[Opp]],Table123[DEF],Table123[R])</f>
        <v>#N/A</v>
      </c>
      <c r="N71" s="95" t="e">
        <f>_xlfn.XLOOKUP(Table117821342[[#This Row],[Opp]],Table123[DEF],Table123[P+R])</f>
        <v>#N/A</v>
      </c>
      <c r="O71" s="96" t="e">
        <f>_xlfn.XLOOKUP(Table117821342[[#This Row],[Opp]],Table123[DEF],Table123[P TD])</f>
        <v>#N/A</v>
      </c>
      <c r="P71" s="96" t="e">
        <f>_xlfn.XLOOKUP(Table117821342[[#This Row],[Opp]],Table123[DEF],Table123[TD])</f>
        <v>#N/A</v>
      </c>
      <c r="Q71" s="94" t="e">
        <f>AVERAGE(Table117821342[[#This Row],[*P*]:[*TD*]])</f>
        <v>#N/A</v>
      </c>
    </row>
    <row r="72" spans="2:17" hidden="1" x14ac:dyDescent="0.35">
      <c r="B72" s="6" t="s">
        <v>234</v>
      </c>
      <c r="C72" s="97" t="s">
        <v>39</v>
      </c>
      <c r="D72" s="97" t="s">
        <v>399</v>
      </c>
      <c r="E72" s="23" t="str" cm="1">
        <f t="array" ref="E72">_xlfn.XLOOKUP(Table117821342[[#This Row],[Team]],Table4334[Team],'2425'!$C$3:$C$34)</f>
        <v>n/a</v>
      </c>
      <c r="F72" s="97" t="str">
        <f>'2025'!$E$17</f>
        <v>n/a</v>
      </c>
      <c r="G72" s="94" t="e" cm="1">
        <f t="array" ref="G72">_xlfn.XLOOKUP(Table117821342[[#This Row],[Opp]],Table123[DEF],'2425'!$H$3:$H$34)</f>
        <v>#N/A</v>
      </c>
      <c r="H72" s="94" t="e" cm="1">
        <f t="array" ref="H72">_xlfn.XLOOKUP(Table117821342[[#This Row],[Opp]],Table123[DEF],'2425'!$I$3:$I$34)</f>
        <v>#N/A</v>
      </c>
      <c r="I72" s="94" t="e" cm="1">
        <f t="array" ref="I72">_xlfn.XLOOKUP(Table117821342[[#This Row],[Opp]],Table123[DEF],'2425'!$J$3:$J$34)</f>
        <v>#N/A</v>
      </c>
      <c r="J72" s="94" t="e" cm="1">
        <f t="array" ref="J72">_xlfn.XLOOKUP(Table117821342[[#This Row],[Opp]],Table123[DEF],'2425'!$K$3:$K$34)</f>
        <v>#N/A</v>
      </c>
      <c r="K72" s="94" t="e" cm="1">
        <f t="array" ref="K72">_xlfn.XLOOKUP(Table117821342[[#This Row],[Opp]],Table123[DEF],'2425'!$L$3:$L$34)</f>
        <v>#N/A</v>
      </c>
      <c r="L72" s="95" t="e">
        <f>_xlfn.XLOOKUP(Table117821342[[#This Row],[Opp]],Table123[DEF],Table123[P])</f>
        <v>#N/A</v>
      </c>
      <c r="M72" s="95" t="e">
        <f>_xlfn.XLOOKUP(Table117821342[[#This Row],[Opp]],Table123[DEF],Table123[R])</f>
        <v>#N/A</v>
      </c>
      <c r="N72" s="95" t="e">
        <f>_xlfn.XLOOKUP(Table117821342[[#This Row],[Opp]],Table123[DEF],Table123[P+R])</f>
        <v>#N/A</v>
      </c>
      <c r="O72" s="96" t="e">
        <f>_xlfn.XLOOKUP(Table117821342[[#This Row],[Opp]],Table123[DEF],Table123[P TD])</f>
        <v>#N/A</v>
      </c>
      <c r="P72" s="96" t="e">
        <f>_xlfn.XLOOKUP(Table117821342[[#This Row],[Opp]],Table123[DEF],Table123[TD])</f>
        <v>#N/A</v>
      </c>
      <c r="Q72" s="94" t="e">
        <f>AVERAGE(Table117821342[[#This Row],[*P*]:[*TD*]])</f>
        <v>#N/A</v>
      </c>
    </row>
    <row r="73" spans="2:17" hidden="1" x14ac:dyDescent="0.35">
      <c r="B73" s="6" t="s">
        <v>524</v>
      </c>
      <c r="C73" s="97" t="s">
        <v>52</v>
      </c>
      <c r="D73" s="97" t="s">
        <v>405</v>
      </c>
      <c r="E73" s="23" t="str" cm="1">
        <f t="array" ref="E73">_xlfn.XLOOKUP(Table117821342[[#This Row],[Team]],Table4334[Team],'2425'!$C$3:$C$34)</f>
        <v>SB LX</v>
      </c>
      <c r="F73" s="97" t="str">
        <f>'2025'!$E$30</f>
        <v>NE</v>
      </c>
      <c r="G73" s="94" cm="1">
        <f t="array" ref="G73">_xlfn.XLOOKUP(Table117821342[[#This Row],[Opp]],Table123[DEF],'2425'!$H$3:$H$34)</f>
        <v>27</v>
      </c>
      <c r="H73" s="94" cm="1">
        <f t="array" ref="H73">_xlfn.XLOOKUP(Table117821342[[#This Row],[Opp]],Table123[DEF],'2425'!$I$3:$I$34)</f>
        <v>28</v>
      </c>
      <c r="I73" s="94" cm="1">
        <f t="array" ref="I73">_xlfn.XLOOKUP(Table117821342[[#This Row],[Opp]],Table123[DEF],'2425'!$J$3:$J$34)</f>
        <v>30</v>
      </c>
      <c r="J73" s="94" cm="1">
        <f t="array" ref="J73">_xlfn.XLOOKUP(Table117821342[[#This Row],[Opp]],Table123[DEF],'2425'!$K$3:$K$34)</f>
        <v>13.5</v>
      </c>
      <c r="K73" s="94" cm="1">
        <f t="array" ref="K73">_xlfn.XLOOKUP(Table117821342[[#This Row],[Opp]],Table123[DEF],'2425'!$L$3:$L$34)</f>
        <v>31</v>
      </c>
      <c r="L73" s="95">
        <f>_xlfn.XLOOKUP(Table117821342[[#This Row],[Opp]],Table123[DEF],Table123[P])</f>
        <v>213.55882352941177</v>
      </c>
      <c r="M73" s="95">
        <f>_xlfn.XLOOKUP(Table117821342[[#This Row],[Opp]],Table123[DEF],Table123[R])</f>
        <v>14.941176470588236</v>
      </c>
      <c r="N73" s="95">
        <f>_xlfn.XLOOKUP(Table117821342[[#This Row],[Opp]],Table123[DEF],Table123[P+R])</f>
        <v>228.5</v>
      </c>
      <c r="O73" s="96">
        <f>_xlfn.XLOOKUP(Table117821342[[#This Row],[Opp]],Table123[DEF],Table123[P TD])</f>
        <v>1.5294117647058822</v>
      </c>
      <c r="P73" s="96">
        <f>_xlfn.XLOOKUP(Table117821342[[#This Row],[Opp]],Table123[DEF],Table123[TD])</f>
        <v>5.8823529411764705E-2</v>
      </c>
      <c r="Q73" s="94">
        <f>AVERAGE(Table117821342[[#This Row],[*P*]:[*TD*]])</f>
        <v>25.9</v>
      </c>
    </row>
    <row r="74" spans="2:17" hidden="1" x14ac:dyDescent="0.35">
      <c r="B74" s="6" t="s">
        <v>525</v>
      </c>
      <c r="C74" s="97" t="s">
        <v>52</v>
      </c>
      <c r="D74" s="97" t="s">
        <v>425</v>
      </c>
      <c r="E74" s="23" t="str" cm="1">
        <f t="array" ref="E74">_xlfn.XLOOKUP(Table117821342[[#This Row],[Team]],Table4334[Team],'2425'!$C$3:$C$34)</f>
        <v>SB LX</v>
      </c>
      <c r="F74" s="97" t="str">
        <f>'2025'!$E$30</f>
        <v>NE</v>
      </c>
      <c r="G74" s="94" cm="1">
        <f t="array" ref="G74">_xlfn.XLOOKUP(Table117821342[[#This Row],[Opp]],Table123[DEF],'2425'!$H$3:$H$34)</f>
        <v>27</v>
      </c>
      <c r="H74" s="94" cm="1">
        <f t="array" ref="H74">_xlfn.XLOOKUP(Table117821342[[#This Row],[Opp]],Table123[DEF],'2425'!$I$3:$I$34)</f>
        <v>28</v>
      </c>
      <c r="I74" s="94" cm="1">
        <f t="array" ref="I74">_xlfn.XLOOKUP(Table117821342[[#This Row],[Opp]],Table123[DEF],'2425'!$J$3:$J$34)</f>
        <v>30</v>
      </c>
      <c r="J74" s="94" cm="1">
        <f t="array" ref="J74">_xlfn.XLOOKUP(Table117821342[[#This Row],[Opp]],Table123[DEF],'2425'!$K$3:$K$34)</f>
        <v>13.5</v>
      </c>
      <c r="K74" s="94" cm="1">
        <f t="array" ref="K74">_xlfn.XLOOKUP(Table117821342[[#This Row],[Opp]],Table123[DEF],'2425'!$L$3:$L$34)</f>
        <v>31</v>
      </c>
      <c r="L74" s="95">
        <f>_xlfn.XLOOKUP(Table117821342[[#This Row],[Opp]],Table123[DEF],Table123[P])</f>
        <v>213.55882352941177</v>
      </c>
      <c r="M74" s="95">
        <f>_xlfn.XLOOKUP(Table117821342[[#This Row],[Opp]],Table123[DEF],Table123[R])</f>
        <v>14.941176470588236</v>
      </c>
      <c r="N74" s="95">
        <f>_xlfn.XLOOKUP(Table117821342[[#This Row],[Opp]],Table123[DEF],Table123[P+R])</f>
        <v>228.5</v>
      </c>
      <c r="O74" s="96">
        <f>_xlfn.XLOOKUP(Table117821342[[#This Row],[Opp]],Table123[DEF],Table123[P TD])</f>
        <v>1.5294117647058822</v>
      </c>
      <c r="P74" s="96">
        <f>_xlfn.XLOOKUP(Table117821342[[#This Row],[Opp]],Table123[DEF],Table123[TD])</f>
        <v>5.8823529411764705E-2</v>
      </c>
      <c r="Q74" s="94">
        <f>AVERAGE(Table117821342[[#This Row],[*P*]:[*TD*]])</f>
        <v>25.9</v>
      </c>
    </row>
    <row r="75" spans="2:17" hidden="1" x14ac:dyDescent="0.35">
      <c r="B75" s="6" t="s">
        <v>112</v>
      </c>
      <c r="C75" s="97" t="s">
        <v>29</v>
      </c>
      <c r="D75" s="97" t="s">
        <v>399</v>
      </c>
      <c r="E75" s="23" t="str" cm="1">
        <f t="array" ref="E75">_xlfn.XLOOKUP(Table117821342[[#This Row],[Team]],Table4334[Team],'2425'!$C$3:$C$34)</f>
        <v>n/a</v>
      </c>
      <c r="F75" s="97" t="str">
        <f>'2025'!$E$7</f>
        <v>n/a</v>
      </c>
      <c r="G75" s="94" t="e" cm="1">
        <f t="array" ref="G75">_xlfn.XLOOKUP(Table117821342[[#This Row],[Opp]],Table123[DEF],'2425'!$H$3:$H$34)</f>
        <v>#N/A</v>
      </c>
      <c r="H75" s="94" t="e" cm="1">
        <f t="array" ref="H75">_xlfn.XLOOKUP(Table117821342[[#This Row],[Opp]],Table123[DEF],'2425'!$I$3:$I$34)</f>
        <v>#N/A</v>
      </c>
      <c r="I75" s="94" t="e" cm="1">
        <f t="array" ref="I75">_xlfn.XLOOKUP(Table117821342[[#This Row],[Opp]],Table123[DEF],'2425'!$J$3:$J$34)</f>
        <v>#N/A</v>
      </c>
      <c r="J75" s="94" t="e" cm="1">
        <f t="array" ref="J75">_xlfn.XLOOKUP(Table117821342[[#This Row],[Opp]],Table123[DEF],'2425'!$K$3:$K$34)</f>
        <v>#N/A</v>
      </c>
      <c r="K75" s="94" t="e" cm="1">
        <f t="array" ref="K75">_xlfn.XLOOKUP(Table117821342[[#This Row],[Opp]],Table123[DEF],'2425'!$L$3:$L$34)</f>
        <v>#N/A</v>
      </c>
      <c r="L75" s="95" t="e">
        <f>_xlfn.XLOOKUP(Table117821342[[#This Row],[Opp]],Table123[DEF],Table123[P])</f>
        <v>#N/A</v>
      </c>
      <c r="M75" s="95" t="e">
        <f>_xlfn.XLOOKUP(Table117821342[[#This Row],[Opp]],Table123[DEF],Table123[R])</f>
        <v>#N/A</v>
      </c>
      <c r="N75" s="95" t="e">
        <f>_xlfn.XLOOKUP(Table117821342[[#This Row],[Opp]],Table123[DEF],Table123[P+R])</f>
        <v>#N/A</v>
      </c>
      <c r="O75" s="96" t="e">
        <f>_xlfn.XLOOKUP(Table117821342[[#This Row],[Opp]],Table123[DEF],Table123[P TD])</f>
        <v>#N/A</v>
      </c>
      <c r="P75" s="96" t="e">
        <f>_xlfn.XLOOKUP(Table117821342[[#This Row],[Opp]],Table123[DEF],Table123[TD])</f>
        <v>#N/A</v>
      </c>
      <c r="Q75" s="94" t="e">
        <f>AVERAGE(Table117821342[[#This Row],[*P*]:[*TD*]])</f>
        <v>#N/A</v>
      </c>
    </row>
    <row r="76" spans="2:17" hidden="1" x14ac:dyDescent="0.35">
      <c r="B76" s="6" t="s">
        <v>489</v>
      </c>
      <c r="C76" s="97" t="s">
        <v>51</v>
      </c>
      <c r="D76" s="98" t="s">
        <v>405</v>
      </c>
      <c r="E76" s="23" t="str" cm="1">
        <f t="array" ref="E76">_xlfn.XLOOKUP(Table117821342[[#This Row],[Team]],Table4334[Team],'2425'!$C$3:$C$34)</f>
        <v>n/a</v>
      </c>
      <c r="F76" s="97" t="str">
        <f>'2025'!$E$29</f>
        <v>n/a</v>
      </c>
      <c r="G76" s="94" t="e" cm="1">
        <f t="array" ref="G76">_xlfn.XLOOKUP(Table117821342[[#This Row],[Opp]],Table123[DEF],'2425'!$H$3:$H$34)</f>
        <v>#N/A</v>
      </c>
      <c r="H76" s="94" t="e" cm="1">
        <f t="array" ref="H76">_xlfn.XLOOKUP(Table117821342[[#This Row],[Opp]],Table123[DEF],'2425'!$I$3:$I$34)</f>
        <v>#N/A</v>
      </c>
      <c r="I76" s="94" t="e" cm="1">
        <f t="array" ref="I76">_xlfn.XLOOKUP(Table117821342[[#This Row],[Opp]],Table123[DEF],'2425'!$J$3:$J$34)</f>
        <v>#N/A</v>
      </c>
      <c r="J76" s="94" t="e" cm="1">
        <f t="array" ref="J76">_xlfn.XLOOKUP(Table117821342[[#This Row],[Opp]],Table123[DEF],'2425'!$K$3:$K$34)</f>
        <v>#N/A</v>
      </c>
      <c r="K76" s="94" t="e" cm="1">
        <f t="array" ref="K76">_xlfn.XLOOKUP(Table117821342[[#This Row],[Opp]],Table123[DEF],'2425'!$L$3:$L$34)</f>
        <v>#N/A</v>
      </c>
      <c r="L76" s="95" t="e">
        <f>_xlfn.XLOOKUP(Table117821342[[#This Row],[Opp]],Table123[DEF],Table123[P])</f>
        <v>#N/A</v>
      </c>
      <c r="M76" s="95" t="e">
        <f>_xlfn.XLOOKUP(Table117821342[[#This Row],[Opp]],Table123[DEF],Table123[R])</f>
        <v>#N/A</v>
      </c>
      <c r="N76" s="95" t="e">
        <f>_xlfn.XLOOKUP(Table117821342[[#This Row],[Opp]],Table123[DEF],Table123[P+R])</f>
        <v>#N/A</v>
      </c>
      <c r="O76" s="96" t="e">
        <f>_xlfn.XLOOKUP(Table117821342[[#This Row],[Opp]],Table123[DEF],Table123[P TD])</f>
        <v>#N/A</v>
      </c>
      <c r="P76" s="96" t="e">
        <f>_xlfn.XLOOKUP(Table117821342[[#This Row],[Opp]],Table123[DEF],Table123[TD])</f>
        <v>#N/A</v>
      </c>
      <c r="Q76" s="94" t="e">
        <f>AVERAGE(Table117821342[[#This Row],[*P*]:[*TD*]])</f>
        <v>#N/A</v>
      </c>
    </row>
    <row r="77" spans="2:17" hidden="1" x14ac:dyDescent="0.35">
      <c r="B77" s="6" t="s">
        <v>490</v>
      </c>
      <c r="C77" s="97" t="s">
        <v>51</v>
      </c>
      <c r="D77" s="97" t="s">
        <v>425</v>
      </c>
      <c r="E77" s="23" t="str" cm="1">
        <f t="array" ref="E77">_xlfn.XLOOKUP(Table117821342[[#This Row],[Team]],Table4334[Team],'2425'!$C$3:$C$34)</f>
        <v>n/a</v>
      </c>
      <c r="F77" s="97" t="str">
        <f>'2025'!$E$29</f>
        <v>n/a</v>
      </c>
      <c r="G77" s="94" t="e" cm="1">
        <f t="array" ref="G77">_xlfn.XLOOKUP(Table117821342[[#This Row],[Opp]],Table123[DEF],'2425'!$H$3:$H$34)</f>
        <v>#N/A</v>
      </c>
      <c r="H77" s="94" t="e" cm="1">
        <f t="array" ref="H77">_xlfn.XLOOKUP(Table117821342[[#This Row],[Opp]],Table123[DEF],'2425'!$I$3:$I$34)</f>
        <v>#N/A</v>
      </c>
      <c r="I77" s="94" t="e" cm="1">
        <f t="array" ref="I77">_xlfn.XLOOKUP(Table117821342[[#This Row],[Opp]],Table123[DEF],'2425'!$J$3:$J$34)</f>
        <v>#N/A</v>
      </c>
      <c r="J77" s="94" t="e" cm="1">
        <f t="array" ref="J77">_xlfn.XLOOKUP(Table117821342[[#This Row],[Opp]],Table123[DEF],'2425'!$K$3:$K$34)</f>
        <v>#N/A</v>
      </c>
      <c r="K77" s="94" t="e" cm="1">
        <f t="array" ref="K77">_xlfn.XLOOKUP(Table117821342[[#This Row],[Opp]],Table123[DEF],'2425'!$L$3:$L$34)</f>
        <v>#N/A</v>
      </c>
      <c r="L77" s="95" t="e">
        <f>_xlfn.XLOOKUP(Table117821342[[#This Row],[Opp]],Table123[DEF],Table123[P])</f>
        <v>#N/A</v>
      </c>
      <c r="M77" s="95" t="e">
        <f>_xlfn.XLOOKUP(Table117821342[[#This Row],[Opp]],Table123[DEF],Table123[R])</f>
        <v>#N/A</v>
      </c>
      <c r="N77" s="95" t="e">
        <f>_xlfn.XLOOKUP(Table117821342[[#This Row],[Opp]],Table123[DEF],Table123[P+R])</f>
        <v>#N/A</v>
      </c>
      <c r="O77" s="96" t="e">
        <f>_xlfn.XLOOKUP(Table117821342[[#This Row],[Opp]],Table123[DEF],Table123[P TD])</f>
        <v>#N/A</v>
      </c>
      <c r="P77" s="96" t="e">
        <f>_xlfn.XLOOKUP(Table117821342[[#This Row],[Opp]],Table123[DEF],Table123[TD])</f>
        <v>#N/A</v>
      </c>
      <c r="Q77" s="94" t="e">
        <f>AVERAGE(Table117821342[[#This Row],[*P*]:[*TD*]])</f>
        <v>#N/A</v>
      </c>
    </row>
    <row r="78" spans="2:17" hidden="1" x14ac:dyDescent="0.35">
      <c r="B78" s="6" t="s">
        <v>491</v>
      </c>
      <c r="C78" s="97" t="s">
        <v>51</v>
      </c>
      <c r="D78" s="97" t="s">
        <v>480</v>
      </c>
      <c r="E78" s="23" t="str" cm="1">
        <f t="array" ref="E78">_xlfn.XLOOKUP(Table117821342[[#This Row],[Team]],Table4334[Team],'2425'!$C$3:$C$34)</f>
        <v>n/a</v>
      </c>
      <c r="F78" s="97" t="str">
        <f>'2025'!$E$29</f>
        <v>n/a</v>
      </c>
      <c r="G78" s="94" t="e" cm="1">
        <f t="array" ref="G78">_xlfn.XLOOKUP(Table117821342[[#This Row],[Opp]],Table123[DEF],'2425'!$H$3:$H$34)</f>
        <v>#N/A</v>
      </c>
      <c r="H78" s="94" t="e" cm="1">
        <f t="array" ref="H78">_xlfn.XLOOKUP(Table117821342[[#This Row],[Opp]],Table123[DEF],'2425'!$I$3:$I$34)</f>
        <v>#N/A</v>
      </c>
      <c r="I78" s="94" t="e" cm="1">
        <f t="array" ref="I78">_xlfn.XLOOKUP(Table117821342[[#This Row],[Opp]],Table123[DEF],'2425'!$J$3:$J$34)</f>
        <v>#N/A</v>
      </c>
      <c r="J78" s="94" t="e" cm="1">
        <f t="array" ref="J78">_xlfn.XLOOKUP(Table117821342[[#This Row],[Opp]],Table123[DEF],'2425'!$K$3:$K$34)</f>
        <v>#N/A</v>
      </c>
      <c r="K78" s="94" t="e" cm="1">
        <f t="array" ref="K78">_xlfn.XLOOKUP(Table117821342[[#This Row],[Opp]],Table123[DEF],'2425'!$L$3:$L$34)</f>
        <v>#N/A</v>
      </c>
      <c r="L78" s="95" t="e">
        <f>_xlfn.XLOOKUP(Table117821342[[#This Row],[Opp]],Table123[DEF],Table123[P])</f>
        <v>#N/A</v>
      </c>
      <c r="M78" s="95" t="e">
        <f>_xlfn.XLOOKUP(Table117821342[[#This Row],[Opp]],Table123[DEF],Table123[R])</f>
        <v>#N/A</v>
      </c>
      <c r="N78" s="95" t="e">
        <f>_xlfn.XLOOKUP(Table117821342[[#This Row],[Opp]],Table123[DEF],Table123[P+R])</f>
        <v>#N/A</v>
      </c>
      <c r="O78" s="96" t="e">
        <f>_xlfn.XLOOKUP(Table117821342[[#This Row],[Opp]],Table123[DEF],Table123[P TD])</f>
        <v>#N/A</v>
      </c>
      <c r="P78" s="96" t="e">
        <f>_xlfn.XLOOKUP(Table117821342[[#This Row],[Opp]],Table123[DEF],Table123[TD])</f>
        <v>#N/A</v>
      </c>
      <c r="Q78" s="94" t="e">
        <f>AVERAGE(Table117821342[[#This Row],[*P*]:[*TD*]])</f>
        <v>#N/A</v>
      </c>
    </row>
    <row r="79" spans="2:17" hidden="1" x14ac:dyDescent="0.35">
      <c r="B79" s="6" t="s">
        <v>342</v>
      </c>
      <c r="C79" s="97" t="s">
        <v>51</v>
      </c>
      <c r="D79" s="97" t="s">
        <v>399</v>
      </c>
      <c r="E79" s="23" t="str" cm="1">
        <f t="array" ref="E79">_xlfn.XLOOKUP(Table117821342[[#This Row],[Team]],Table4334[Team],'2425'!$C$3:$C$34)</f>
        <v>n/a</v>
      </c>
      <c r="F79" s="97" t="str">
        <f>'2025'!$E$29</f>
        <v>n/a</v>
      </c>
      <c r="G79" s="94" t="e" cm="1">
        <f t="array" ref="G79">_xlfn.XLOOKUP(Table117821342[[#This Row],[Opp]],Table123[DEF],'2425'!$H$3:$H$34)</f>
        <v>#N/A</v>
      </c>
      <c r="H79" s="94" t="e" cm="1">
        <f t="array" ref="H79">_xlfn.XLOOKUP(Table117821342[[#This Row],[Opp]],Table123[DEF],'2425'!$I$3:$I$34)</f>
        <v>#N/A</v>
      </c>
      <c r="I79" s="94" t="e" cm="1">
        <f t="array" ref="I79">_xlfn.XLOOKUP(Table117821342[[#This Row],[Opp]],Table123[DEF],'2425'!$J$3:$J$34)</f>
        <v>#N/A</v>
      </c>
      <c r="J79" s="94" t="e" cm="1">
        <f t="array" ref="J79">_xlfn.XLOOKUP(Table117821342[[#This Row],[Opp]],Table123[DEF],'2425'!$K$3:$K$34)</f>
        <v>#N/A</v>
      </c>
      <c r="K79" s="94" t="e" cm="1">
        <f t="array" ref="K79">_xlfn.XLOOKUP(Table117821342[[#This Row],[Opp]],Table123[DEF],'2425'!$L$3:$L$34)</f>
        <v>#N/A</v>
      </c>
      <c r="L79" s="95" t="e">
        <f>_xlfn.XLOOKUP(Table117821342[[#This Row],[Opp]],Table123[DEF],Table123[P])</f>
        <v>#N/A</v>
      </c>
      <c r="M79" s="95" t="e">
        <f>_xlfn.XLOOKUP(Table117821342[[#This Row],[Opp]],Table123[DEF],Table123[R])</f>
        <v>#N/A</v>
      </c>
      <c r="N79" s="95" t="e">
        <f>_xlfn.XLOOKUP(Table117821342[[#This Row],[Opp]],Table123[DEF],Table123[P+R])</f>
        <v>#N/A</v>
      </c>
      <c r="O79" s="96" t="e">
        <f>_xlfn.XLOOKUP(Table117821342[[#This Row],[Opp]],Table123[DEF],Table123[P TD])</f>
        <v>#N/A</v>
      </c>
      <c r="P79" s="96" t="e">
        <f>_xlfn.XLOOKUP(Table117821342[[#This Row],[Opp]],Table123[DEF],Table123[TD])</f>
        <v>#N/A</v>
      </c>
      <c r="Q79" s="94" t="e">
        <f>AVERAGE(Table117821342[[#This Row],[*P*]:[*TD*]])</f>
        <v>#N/A</v>
      </c>
    </row>
    <row r="80" spans="2:17" hidden="1" x14ac:dyDescent="0.35">
      <c r="B80" s="6" t="s">
        <v>460</v>
      </c>
      <c r="C80" s="97" t="s">
        <v>56</v>
      </c>
      <c r="D80" s="97" t="s">
        <v>405</v>
      </c>
      <c r="E80" s="23" t="str" cm="1">
        <f t="array" ref="E80">_xlfn.XLOOKUP(Table117821342[[#This Row],[Team]],Table4334[Team],'2425'!$C$3:$C$34)</f>
        <v>n/a</v>
      </c>
      <c r="F80" s="97" t="str">
        <f>'2025'!$E$34</f>
        <v>n/a</v>
      </c>
      <c r="G80" s="94" t="e" cm="1">
        <f t="array" ref="G80">_xlfn.XLOOKUP(Table117821342[[#This Row],[Opp]],Table123[DEF],'2425'!$H$3:$H$34)</f>
        <v>#N/A</v>
      </c>
      <c r="H80" s="94" t="e" cm="1">
        <f t="array" ref="H80">_xlfn.XLOOKUP(Table117821342[[#This Row],[Opp]],Table123[DEF],'2425'!$I$3:$I$34)</f>
        <v>#N/A</v>
      </c>
      <c r="I80" s="94" t="e" cm="1">
        <f t="array" ref="I80">_xlfn.XLOOKUP(Table117821342[[#This Row],[Opp]],Table123[DEF],'2425'!$J$3:$J$34)</f>
        <v>#N/A</v>
      </c>
      <c r="J80" s="94" t="e" cm="1">
        <f t="array" ref="J80">_xlfn.XLOOKUP(Table117821342[[#This Row],[Opp]],Table123[DEF],'2425'!$K$3:$K$34)</f>
        <v>#N/A</v>
      </c>
      <c r="K80" s="94" t="e" cm="1">
        <f t="array" ref="K80">_xlfn.XLOOKUP(Table117821342[[#This Row],[Opp]],Table123[DEF],'2425'!$L$3:$L$34)</f>
        <v>#N/A</v>
      </c>
      <c r="L80" s="95" t="e">
        <f>_xlfn.XLOOKUP(Table117821342[[#This Row],[Opp]],Table123[DEF],Table123[P])</f>
        <v>#N/A</v>
      </c>
      <c r="M80" s="95" t="e">
        <f>_xlfn.XLOOKUP(Table117821342[[#This Row],[Opp]],Table123[DEF],Table123[R])</f>
        <v>#N/A</v>
      </c>
      <c r="N80" s="95" t="e">
        <f>_xlfn.XLOOKUP(Table117821342[[#This Row],[Opp]],Table123[DEF],Table123[P+R])</f>
        <v>#N/A</v>
      </c>
      <c r="O80" s="96" t="e">
        <f>_xlfn.XLOOKUP(Table117821342[[#This Row],[Opp]],Table123[DEF],Table123[P TD])</f>
        <v>#N/A</v>
      </c>
      <c r="P80" s="96" t="e">
        <f>_xlfn.XLOOKUP(Table117821342[[#This Row],[Opp]],Table123[DEF],Table123[TD])</f>
        <v>#N/A</v>
      </c>
      <c r="Q80" s="94" t="e">
        <f>AVERAGE(Table117821342[[#This Row],[*P*]:[*TD*]])</f>
        <v>#N/A</v>
      </c>
    </row>
    <row r="81" spans="2:17" hidden="1" x14ac:dyDescent="0.35">
      <c r="B81" s="6" t="s">
        <v>317</v>
      </c>
      <c r="C81" s="97" t="s">
        <v>56</v>
      </c>
      <c r="D81" s="97" t="s">
        <v>425</v>
      </c>
      <c r="E81" s="23" t="str" cm="1">
        <f t="array" ref="E81">_xlfn.XLOOKUP(Table117821342[[#This Row],[Team]],Table4334[Team],'2425'!$C$3:$C$34)</f>
        <v>n/a</v>
      </c>
      <c r="F81" s="97" t="str">
        <f>'2025'!$E$34</f>
        <v>n/a</v>
      </c>
      <c r="G81" s="94" t="e" cm="1">
        <f t="array" ref="G81">_xlfn.XLOOKUP(Table117821342[[#This Row],[Opp]],Table123[DEF],'2425'!$H$3:$H$34)</f>
        <v>#N/A</v>
      </c>
      <c r="H81" s="94" t="e" cm="1">
        <f t="array" ref="H81">_xlfn.XLOOKUP(Table117821342[[#This Row],[Opp]],Table123[DEF],'2425'!$I$3:$I$34)</f>
        <v>#N/A</v>
      </c>
      <c r="I81" s="94" t="e" cm="1">
        <f t="array" ref="I81">_xlfn.XLOOKUP(Table117821342[[#This Row],[Opp]],Table123[DEF],'2425'!$J$3:$J$34)</f>
        <v>#N/A</v>
      </c>
      <c r="J81" s="94" t="e" cm="1">
        <f t="array" ref="J81">_xlfn.XLOOKUP(Table117821342[[#This Row],[Opp]],Table123[DEF],'2425'!$K$3:$K$34)</f>
        <v>#N/A</v>
      </c>
      <c r="K81" s="94" t="e" cm="1">
        <f t="array" ref="K81">_xlfn.XLOOKUP(Table117821342[[#This Row],[Opp]],Table123[DEF],'2425'!$L$3:$L$34)</f>
        <v>#N/A</v>
      </c>
      <c r="L81" s="95" t="e">
        <f>_xlfn.XLOOKUP(Table117821342[[#This Row],[Opp]],Table123[DEF],Table123[P])</f>
        <v>#N/A</v>
      </c>
      <c r="M81" s="95" t="e">
        <f>_xlfn.XLOOKUP(Table117821342[[#This Row],[Opp]],Table123[DEF],Table123[R])</f>
        <v>#N/A</v>
      </c>
      <c r="N81" s="95" t="e">
        <f>_xlfn.XLOOKUP(Table117821342[[#This Row],[Opp]],Table123[DEF],Table123[P+R])</f>
        <v>#N/A</v>
      </c>
      <c r="O81" s="96" t="e">
        <f>_xlfn.XLOOKUP(Table117821342[[#This Row],[Opp]],Table123[DEF],Table123[P TD])</f>
        <v>#N/A</v>
      </c>
      <c r="P81" s="96" t="e">
        <f>_xlfn.XLOOKUP(Table117821342[[#This Row],[Opp]],Table123[DEF],Table123[TD])</f>
        <v>#N/A</v>
      </c>
      <c r="Q81" s="94" t="e">
        <f>AVERAGE(Table117821342[[#This Row],[*P*]:[*TD*]])</f>
        <v>#N/A</v>
      </c>
    </row>
    <row r="82" spans="2:17" x14ac:dyDescent="0.35">
      <c r="B82" s="6" t="s">
        <v>215</v>
      </c>
      <c r="C82" s="97" t="s">
        <v>37</v>
      </c>
      <c r="D82" s="97" t="s">
        <v>399</v>
      </c>
      <c r="E82" s="23" t="str" cm="1">
        <f t="array" ref="E82">_xlfn.XLOOKUP(Table117821342[[#This Row],[Team]],Table4334[Team],'2425'!$C$3:$C$34)</f>
        <v>n/a</v>
      </c>
      <c r="F82" s="97" t="str">
        <f>'2025'!$E$15</f>
        <v>n/a</v>
      </c>
      <c r="G82" s="94" t="e" cm="1">
        <f t="array" ref="G82">_xlfn.XLOOKUP(Table117821342[[#This Row],[Opp]],Table123[DEF],'2425'!$H$3:$H$34)</f>
        <v>#N/A</v>
      </c>
      <c r="H82" s="94" t="e" cm="1">
        <f t="array" ref="H82">_xlfn.XLOOKUP(Table117821342[[#This Row],[Opp]],Table123[DEF],'2425'!$I$3:$I$34)</f>
        <v>#N/A</v>
      </c>
      <c r="I82" s="94" t="e" cm="1">
        <f t="array" ref="I82">_xlfn.XLOOKUP(Table117821342[[#This Row],[Opp]],Table123[DEF],'2425'!$J$3:$J$34)</f>
        <v>#N/A</v>
      </c>
      <c r="J82" s="94" t="e" cm="1">
        <f t="array" ref="J82">_xlfn.XLOOKUP(Table117821342[[#This Row],[Opp]],Table123[DEF],'2425'!$K$3:$K$34)</f>
        <v>#N/A</v>
      </c>
      <c r="K82" s="94" t="e" cm="1">
        <f t="array" ref="K82">_xlfn.XLOOKUP(Table117821342[[#This Row],[Opp]],Table123[DEF],'2425'!$L$3:$L$34)</f>
        <v>#N/A</v>
      </c>
      <c r="L82" s="95" t="e">
        <f>_xlfn.XLOOKUP(Table117821342[[#This Row],[Opp]],Table123[DEF],Table123[P])</f>
        <v>#N/A</v>
      </c>
      <c r="M82" s="95" t="e">
        <f>_xlfn.XLOOKUP(Table117821342[[#This Row],[Opp]],Table123[DEF],Table123[R])</f>
        <v>#N/A</v>
      </c>
      <c r="N82" s="95" t="e">
        <f>_xlfn.XLOOKUP(Table117821342[[#This Row],[Opp]],Table123[DEF],Table123[P+R])</f>
        <v>#N/A</v>
      </c>
      <c r="O82" s="96" t="e">
        <f>_xlfn.XLOOKUP(Table117821342[[#This Row],[Opp]],Table123[DEF],Table123[P TD])</f>
        <v>#N/A</v>
      </c>
      <c r="P82" s="96" t="e">
        <f>_xlfn.XLOOKUP(Table117821342[[#This Row],[Opp]],Table123[DEF],Table123[TD])</f>
        <v>#N/A</v>
      </c>
      <c r="Q82" s="94" t="e">
        <f>AVERAGE(Table117821342[[#This Row],[*P*]:[*TD*]])</f>
        <v>#N/A</v>
      </c>
    </row>
    <row r="83" spans="2:17" hidden="1" x14ac:dyDescent="0.35">
      <c r="B83" s="6" t="s">
        <v>639</v>
      </c>
      <c r="C83" s="97" t="s">
        <v>38</v>
      </c>
      <c r="D83" s="97" t="s">
        <v>405</v>
      </c>
      <c r="E83" s="23" t="str" cm="1">
        <f t="array" ref="E83">_xlfn.XLOOKUP(Table117821342[[#This Row],[Team]],Table4334[Team],'2425'!$C$3:$C$34)</f>
        <v>n/a</v>
      </c>
      <c r="F83" s="97" t="str">
        <f>'2025'!$E$16</f>
        <v>n/a</v>
      </c>
      <c r="G83" s="94" t="e" cm="1">
        <f t="array" ref="G83">_xlfn.XLOOKUP(Table117821342[[#This Row],[Opp]],Table123[DEF],'2425'!$H$3:$H$34)</f>
        <v>#N/A</v>
      </c>
      <c r="H83" s="94" t="e" cm="1">
        <f t="array" ref="H83">_xlfn.XLOOKUP(Table117821342[[#This Row],[Opp]],Table123[DEF],'2425'!$I$3:$I$34)</f>
        <v>#N/A</v>
      </c>
      <c r="I83" s="94" t="e" cm="1">
        <f t="array" ref="I83">_xlfn.XLOOKUP(Table117821342[[#This Row],[Opp]],Table123[DEF],'2425'!$J$3:$J$34)</f>
        <v>#N/A</v>
      </c>
      <c r="J83" s="94" t="e" cm="1">
        <f t="array" ref="J83">_xlfn.XLOOKUP(Table117821342[[#This Row],[Opp]],Table123[DEF],'2425'!$K$3:$K$34)</f>
        <v>#N/A</v>
      </c>
      <c r="K83" s="94" t="e" cm="1">
        <f t="array" ref="K83">_xlfn.XLOOKUP(Table117821342[[#This Row],[Opp]],Table123[DEF],'2425'!$L$3:$L$34)</f>
        <v>#N/A</v>
      </c>
      <c r="L83" s="95" t="e">
        <f>_xlfn.XLOOKUP(Table117821342[[#This Row],[Opp]],Table123[DEF],Table123[P])</f>
        <v>#N/A</v>
      </c>
      <c r="M83" s="95" t="e">
        <f>_xlfn.XLOOKUP(Table117821342[[#This Row],[Opp]],Table123[DEF],Table123[R])</f>
        <v>#N/A</v>
      </c>
      <c r="N83" s="95" t="e">
        <f>_xlfn.XLOOKUP(Table117821342[[#This Row],[Opp]],Table123[DEF],Table123[P+R])</f>
        <v>#N/A</v>
      </c>
      <c r="O83" s="96" t="e">
        <f>_xlfn.XLOOKUP(Table117821342[[#This Row],[Opp]],Table123[DEF],Table123[P TD])</f>
        <v>#N/A</v>
      </c>
      <c r="P83" s="96" t="e">
        <f>_xlfn.XLOOKUP(Table117821342[[#This Row],[Opp]],Table123[DEF],Table123[TD])</f>
        <v>#N/A</v>
      </c>
      <c r="Q83" s="94" t="e">
        <f>AVERAGE(Table117821342[[#This Row],[*P*]:[*TD*]])</f>
        <v>#N/A</v>
      </c>
    </row>
    <row r="84" spans="2:17" hidden="1" x14ac:dyDescent="0.35">
      <c r="B84" s="6" t="s">
        <v>687</v>
      </c>
      <c r="C84" s="97" t="s">
        <v>38</v>
      </c>
      <c r="D84" s="97" t="s">
        <v>425</v>
      </c>
      <c r="E84" s="23" t="str" cm="1">
        <f t="array" ref="E84">_xlfn.XLOOKUP(Table117821342[[#This Row],[Team]],Table4334[Team],'2425'!$C$3:$C$34)</f>
        <v>n/a</v>
      </c>
      <c r="F84" s="97" t="str">
        <f>'2025'!$E$16</f>
        <v>n/a</v>
      </c>
      <c r="G84" s="94" t="e" cm="1">
        <f t="array" ref="G84">_xlfn.XLOOKUP(Table117821342[[#This Row],[Opp]],Table123[DEF],'2425'!$H$3:$H$34)</f>
        <v>#N/A</v>
      </c>
      <c r="H84" s="94" t="e" cm="1">
        <f t="array" ref="H84">_xlfn.XLOOKUP(Table117821342[[#This Row],[Opp]],Table123[DEF],'2425'!$I$3:$I$34)</f>
        <v>#N/A</v>
      </c>
      <c r="I84" s="94" t="e" cm="1">
        <f t="array" ref="I84">_xlfn.XLOOKUP(Table117821342[[#This Row],[Opp]],Table123[DEF],'2425'!$J$3:$J$34)</f>
        <v>#N/A</v>
      </c>
      <c r="J84" s="94" t="e" cm="1">
        <f t="array" ref="J84">_xlfn.XLOOKUP(Table117821342[[#This Row],[Opp]],Table123[DEF],'2425'!$K$3:$K$34)</f>
        <v>#N/A</v>
      </c>
      <c r="K84" s="94" t="e" cm="1">
        <f t="array" ref="K84">_xlfn.XLOOKUP(Table117821342[[#This Row],[Opp]],Table123[DEF],'2425'!$L$3:$L$34)</f>
        <v>#N/A</v>
      </c>
      <c r="L84" s="95" t="e">
        <f>_xlfn.XLOOKUP(Table117821342[[#This Row],[Opp]],Table123[DEF],Table123[P])</f>
        <v>#N/A</v>
      </c>
      <c r="M84" s="95" t="e">
        <f>_xlfn.XLOOKUP(Table117821342[[#This Row],[Opp]],Table123[DEF],Table123[R])</f>
        <v>#N/A</v>
      </c>
      <c r="N84" s="95" t="e">
        <f>_xlfn.XLOOKUP(Table117821342[[#This Row],[Opp]],Table123[DEF],Table123[P+R])</f>
        <v>#N/A</v>
      </c>
      <c r="O84" s="96" t="e">
        <f>_xlfn.XLOOKUP(Table117821342[[#This Row],[Opp]],Table123[DEF],Table123[P TD])</f>
        <v>#N/A</v>
      </c>
      <c r="P84" s="96" t="e">
        <f>_xlfn.XLOOKUP(Table117821342[[#This Row],[Opp]],Table123[DEF],Table123[TD])</f>
        <v>#N/A</v>
      </c>
      <c r="Q84" s="94" t="e">
        <f>AVERAGE(Table117821342[[#This Row],[*P*]:[*TD*]])</f>
        <v>#N/A</v>
      </c>
    </row>
    <row r="85" spans="2:17" hidden="1" x14ac:dyDescent="0.35">
      <c r="B85" s="6" t="s">
        <v>255</v>
      </c>
      <c r="C85" s="97" t="s">
        <v>41</v>
      </c>
      <c r="D85" s="97" t="s">
        <v>399</v>
      </c>
      <c r="E85" s="23" t="str" cm="1">
        <f t="array" ref="E85">_xlfn.XLOOKUP(Table117821342[[#This Row],[Team]],Table4334[Team],'2425'!$C$3:$C$34)</f>
        <v>n/a</v>
      </c>
      <c r="F85" s="97" t="str">
        <f>'2025'!$E$19</f>
        <v>n/a</v>
      </c>
      <c r="G85" s="94" t="e" cm="1">
        <f t="array" ref="G85">_xlfn.XLOOKUP(Table117821342[[#This Row],[Opp]],Table123[DEF],'2425'!$H$3:$H$34)</f>
        <v>#N/A</v>
      </c>
      <c r="H85" s="94" t="e" cm="1">
        <f t="array" ref="H85">_xlfn.XLOOKUP(Table117821342[[#This Row],[Opp]],Table123[DEF],'2425'!$I$3:$I$34)</f>
        <v>#N/A</v>
      </c>
      <c r="I85" s="94" t="e" cm="1">
        <f t="array" ref="I85">_xlfn.XLOOKUP(Table117821342[[#This Row],[Opp]],Table123[DEF],'2425'!$J$3:$J$34)</f>
        <v>#N/A</v>
      </c>
      <c r="J85" s="94" t="e" cm="1">
        <f t="array" ref="J85">_xlfn.XLOOKUP(Table117821342[[#This Row],[Opp]],Table123[DEF],'2425'!$K$3:$K$34)</f>
        <v>#N/A</v>
      </c>
      <c r="K85" s="94" t="e" cm="1">
        <f t="array" ref="K85">_xlfn.XLOOKUP(Table117821342[[#This Row],[Opp]],Table123[DEF],'2425'!$L$3:$L$34)</f>
        <v>#N/A</v>
      </c>
      <c r="L85" s="95" t="e">
        <f>_xlfn.XLOOKUP(Table117821342[[#This Row],[Opp]],Table123[DEF],Table123[P])</f>
        <v>#N/A</v>
      </c>
      <c r="M85" s="95" t="e">
        <f>_xlfn.XLOOKUP(Table117821342[[#This Row],[Opp]],Table123[DEF],Table123[R])</f>
        <v>#N/A</v>
      </c>
      <c r="N85" s="95" t="e">
        <f>_xlfn.XLOOKUP(Table117821342[[#This Row],[Opp]],Table123[DEF],Table123[P+R])</f>
        <v>#N/A</v>
      </c>
      <c r="O85" s="96" t="e">
        <f>_xlfn.XLOOKUP(Table117821342[[#This Row],[Opp]],Table123[DEF],Table123[P TD])</f>
        <v>#N/A</v>
      </c>
      <c r="P85" s="96" t="e">
        <f>_xlfn.XLOOKUP(Table117821342[[#This Row],[Opp]],Table123[DEF],Table123[TD])</f>
        <v>#N/A</v>
      </c>
      <c r="Q85" s="94" t="e">
        <f>AVERAGE(Table117821342[[#This Row],[*P*]:[*TD*]])</f>
        <v>#N/A</v>
      </c>
    </row>
    <row r="86" spans="2:17" hidden="1" x14ac:dyDescent="0.35">
      <c r="B86" s="6" t="s">
        <v>261</v>
      </c>
      <c r="C86" s="97" t="s">
        <v>35</v>
      </c>
      <c r="D86" s="97" t="s">
        <v>405</v>
      </c>
      <c r="E86" s="23" t="str" cm="1">
        <f t="array" ref="E86">_xlfn.XLOOKUP(Table117821342[[#This Row],[Team]],Table4334[Team],'2425'!$C$3:$C$34)</f>
        <v>n/a</v>
      </c>
      <c r="F86" s="97" t="str">
        <f>'2025'!$E$13</f>
        <v>n/a</v>
      </c>
      <c r="G86" s="94" t="e" cm="1">
        <f t="array" ref="G86">_xlfn.XLOOKUP(Table117821342[[#This Row],[Opp]],Table123[DEF],'2425'!$H$3:$H$34)</f>
        <v>#N/A</v>
      </c>
      <c r="H86" s="94" t="e" cm="1">
        <f t="array" ref="H86">_xlfn.XLOOKUP(Table117821342[[#This Row],[Opp]],Table123[DEF],'2425'!$I$3:$I$34)</f>
        <v>#N/A</v>
      </c>
      <c r="I86" s="94" t="e" cm="1">
        <f t="array" ref="I86">_xlfn.XLOOKUP(Table117821342[[#This Row],[Opp]],Table123[DEF],'2425'!$J$3:$J$34)</f>
        <v>#N/A</v>
      </c>
      <c r="J86" s="94" t="e" cm="1">
        <f t="array" ref="J86">_xlfn.XLOOKUP(Table117821342[[#This Row],[Opp]],Table123[DEF],'2425'!$K$3:$K$34)</f>
        <v>#N/A</v>
      </c>
      <c r="K86" s="94" t="e" cm="1">
        <f t="array" ref="K86">_xlfn.XLOOKUP(Table117821342[[#This Row],[Opp]],Table123[DEF],'2425'!$L$3:$L$34)</f>
        <v>#N/A</v>
      </c>
      <c r="L86" s="95" t="e">
        <f>_xlfn.XLOOKUP(Table117821342[[#This Row],[Opp]],Table123[DEF],Table123[P])</f>
        <v>#N/A</v>
      </c>
      <c r="M86" s="95" t="e">
        <f>_xlfn.XLOOKUP(Table117821342[[#This Row],[Opp]],Table123[DEF],Table123[R])</f>
        <v>#N/A</v>
      </c>
      <c r="N86" s="95" t="e">
        <f>_xlfn.XLOOKUP(Table117821342[[#This Row],[Opp]],Table123[DEF],Table123[P+R])</f>
        <v>#N/A</v>
      </c>
      <c r="O86" s="96" t="e">
        <f>_xlfn.XLOOKUP(Table117821342[[#This Row],[Opp]],Table123[DEF],Table123[P TD])</f>
        <v>#N/A</v>
      </c>
      <c r="P86" s="96" t="e">
        <f>_xlfn.XLOOKUP(Table117821342[[#This Row],[Opp]],Table123[DEF],Table123[TD])</f>
        <v>#N/A</v>
      </c>
      <c r="Q86" s="94" t="e">
        <f>AVERAGE(Table117821342[[#This Row],[*P*]:[*TD*]])</f>
        <v>#N/A</v>
      </c>
    </row>
  </sheetData>
  <conditionalFormatting sqref="C2:C86">
    <cfRule type="cellIs" dxfId="3151" priority="27" operator="equal">
      <formula>"TB"</formula>
    </cfRule>
    <cfRule type="cellIs" dxfId="3150" priority="34" operator="equal">
      <formula>"JAX"</formula>
    </cfRule>
    <cfRule type="cellIs" dxfId="3149" priority="35" operator="equal">
      <formula>"CHI"</formula>
    </cfRule>
    <cfRule type="cellIs" dxfId="3148" priority="36" operator="equal">
      <formula>"MIA"</formula>
    </cfRule>
    <cfRule type="cellIs" dxfId="3147" priority="37" operator="equal">
      <formula>"DET"</formula>
    </cfRule>
    <cfRule type="cellIs" dxfId="3146" priority="38" operator="equal">
      <formula>"SF"</formula>
    </cfRule>
    <cfRule type="cellIs" dxfId="3145" priority="39" operator="equal">
      <formula>"WAS"</formula>
    </cfRule>
    <cfRule type="cellIs" dxfId="3144" priority="40" operator="equal">
      <formula>"GB"</formula>
    </cfRule>
    <cfRule type="cellIs" dxfId="3143" priority="17" operator="equal">
      <formula>"BYE"</formula>
    </cfRule>
    <cfRule type="cellIs" dxfId="3142" priority="41" operator="equal">
      <formula>"DAL"</formula>
    </cfRule>
    <cfRule type="cellIs" dxfId="3141" priority="42" operator="equal">
      <formula>"CIN"</formula>
    </cfRule>
    <cfRule type="cellIs" dxfId="3140" priority="43" operator="equal">
      <formula>"ARI"</formula>
    </cfRule>
    <cfRule type="cellIs" dxfId="3139" priority="44" operator="equal">
      <formula>"HOU"</formula>
    </cfRule>
    <cfRule type="cellIs" dxfId="3138" priority="45" operator="equal">
      <formula>"IND"</formula>
    </cfRule>
    <cfRule type="cellIs" dxfId="3137" priority="46" operator="equal">
      <formula>"KC"</formula>
    </cfRule>
    <cfRule type="cellIs" dxfId="3136" priority="47" operator="equal">
      <formula>"BAL"</formula>
    </cfRule>
    <cfRule type="cellIs" dxfId="3135" priority="48" operator="equal">
      <formula>"PHI"</formula>
    </cfRule>
    <cfRule type="cellIs" dxfId="3134" priority="18" operator="equal">
      <formula>"LV"</formula>
    </cfRule>
    <cfRule type="cellIs" dxfId="3133" priority="19" operator="equal">
      <formula>"NE"</formula>
    </cfRule>
    <cfRule type="cellIs" dxfId="3132" priority="20" operator="equal">
      <formula>"MIN"</formula>
    </cfRule>
    <cfRule type="cellIs" dxfId="3131" priority="21" operator="equal">
      <formula>"PIT"</formula>
    </cfRule>
    <cfRule type="cellIs" dxfId="3130" priority="22" operator="equal">
      <formula>"DEN"</formula>
    </cfRule>
    <cfRule type="cellIs" dxfId="3129" priority="23" operator="equal">
      <formula>"CAR"</formula>
    </cfRule>
    <cfRule type="cellIs" dxfId="3128" priority="24" operator="equal">
      <formula>"NYG"</formula>
    </cfRule>
    <cfRule type="cellIs" dxfId="3127" priority="25" operator="equal">
      <formula>"NO"</formula>
    </cfRule>
    <cfRule type="cellIs" dxfId="3126" priority="26" operator="equal">
      <formula>"TEN"</formula>
    </cfRule>
    <cfRule type="cellIs" dxfId="3125" priority="49" operator="equal">
      <formula>"BUF"</formula>
    </cfRule>
    <cfRule type="cellIs" dxfId="3124" priority="28" operator="equal">
      <formula>"CLE"</formula>
    </cfRule>
    <cfRule type="cellIs" dxfId="3123" priority="29" operator="equal">
      <formula>"NYJ"</formula>
    </cfRule>
    <cfRule type="cellIs" dxfId="3122" priority="30" operator="equal">
      <formula>"SEA"</formula>
    </cfRule>
    <cfRule type="cellIs" dxfId="3121" priority="31" operator="equal">
      <formula>"LAC"</formula>
    </cfRule>
    <cfRule type="cellIs" dxfId="3120" priority="32" operator="equal">
      <formula>"LAR"</formula>
    </cfRule>
    <cfRule type="cellIs" dxfId="3119" priority="33" operator="equal">
      <formula>"ATL"</formula>
    </cfRule>
  </conditionalFormatting>
  <conditionalFormatting sqref="D2:D86">
    <cfRule type="cellIs" dxfId="3118" priority="89" operator="equal">
      <formula>"RB5"</formula>
    </cfRule>
    <cfRule type="cellIs" dxfId="3117" priority="98" operator="equal">
      <formula>"QB3"</formula>
    </cfRule>
    <cfRule type="cellIs" dxfId="3116" priority="99" operator="equal">
      <formula>"TE2"</formula>
    </cfRule>
    <cfRule type="cellIs" dxfId="3115" priority="100" operator="equal">
      <formula>"WR2"</formula>
    </cfRule>
    <cfRule type="cellIs" dxfId="3114" priority="101" operator="equal">
      <formula>"RB2"</formula>
    </cfRule>
    <cfRule type="cellIs" dxfId="3113" priority="102" operator="equal">
      <formula>"QB2"</formula>
    </cfRule>
    <cfRule type="cellIs" dxfId="3112" priority="103" operator="equal">
      <formula>"TE1"</formula>
    </cfRule>
    <cfRule type="cellIs" dxfId="3111" priority="88" operator="equal">
      <formula>"WR5"</formula>
    </cfRule>
    <cfRule type="cellIs" dxfId="3110" priority="87" operator="equal">
      <formula>"TE5"</formula>
    </cfRule>
    <cfRule type="cellIs" dxfId="3109" priority="86" operator="equal">
      <formula>"WR6"</formula>
    </cfRule>
    <cfRule type="cellIs" dxfId="3108" priority="85" operator="equal">
      <formula>"WR7"</formula>
    </cfRule>
    <cfRule type="cellIs" dxfId="3107" priority="104" operator="equal">
      <formula>"WR1"</formula>
    </cfRule>
    <cfRule type="cellIs" dxfId="3106" priority="84" operator="equal">
      <formula>"WR8"</formula>
    </cfRule>
    <cfRule type="cellIs" dxfId="3105" priority="83" operator="equal">
      <formula>"WR9"</formula>
    </cfRule>
    <cfRule type="cellIs" dxfId="3104" priority="105" operator="equal">
      <formula>"RB1"</formula>
    </cfRule>
    <cfRule type="cellIs" dxfId="3103" priority="95" operator="equal">
      <formula>"TE3"</formula>
    </cfRule>
    <cfRule type="cellIs" dxfId="3102" priority="106" operator="equal">
      <formula>"QB1"</formula>
    </cfRule>
    <cfRule type="cellIs" dxfId="3101" priority="90" operator="equal">
      <formula>"QB5"</formula>
    </cfRule>
    <cfRule type="cellIs" dxfId="3100" priority="91" operator="equal">
      <formula>"TE4"</formula>
    </cfRule>
    <cfRule type="cellIs" dxfId="3099" priority="92" operator="equal">
      <formula>"WR4"</formula>
    </cfRule>
    <cfRule type="cellIs" dxfId="3098" priority="93" operator="equal">
      <formula>"RB4"</formula>
    </cfRule>
    <cfRule type="cellIs" dxfId="3097" priority="94" operator="equal">
      <formula>"QB4"</formula>
    </cfRule>
    <cfRule type="cellIs" dxfId="3096" priority="96" operator="equal">
      <formula>"WR3"</formula>
    </cfRule>
    <cfRule type="cellIs" dxfId="3095" priority="97" operator="equal">
      <formula>"RB3"</formula>
    </cfRule>
  </conditionalFormatting>
  <conditionalFormatting sqref="E2:E86">
    <cfRule type="cellIs" dxfId="3094" priority="3" operator="equal">
      <formula>"snf"</formula>
    </cfRule>
    <cfRule type="cellIs" dxfId="3093" priority="4" operator="equal">
      <formula>"mnf"</formula>
    </cfRule>
    <cfRule type="cellIs" dxfId="3092" priority="5" operator="equal">
      <formula>"pm"</formula>
    </cfRule>
    <cfRule type="cellIs" dxfId="3091" priority="6" operator="equal">
      <formula>"am"</formula>
    </cfRule>
    <cfRule type="cellIs" dxfId="3090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3089" priority="1" operator="equal">
      <formula>"FRI"</formula>
    </cfRule>
    <cfRule type="cellIs" dxfId="3088" priority="2" operator="equal">
      <formula>"bye"</formula>
    </cfRule>
  </conditionalFormatting>
  <conditionalFormatting sqref="F2:F86">
    <cfRule type="cellIs" dxfId="3087" priority="67" operator="equal">
      <formula>"JAX"</formula>
    </cfRule>
    <cfRule type="cellIs" dxfId="3086" priority="68" operator="equal">
      <formula>"CHI"</formula>
    </cfRule>
    <cfRule type="cellIs" dxfId="3085" priority="69" operator="equal">
      <formula>"MIA"</formula>
    </cfRule>
    <cfRule type="cellIs" dxfId="3084" priority="70" operator="equal">
      <formula>"DET"</formula>
    </cfRule>
    <cfRule type="cellIs" dxfId="3083" priority="71" operator="equal">
      <formula>"SF"</formula>
    </cfRule>
    <cfRule type="cellIs" dxfId="3082" priority="72" operator="equal">
      <formula>"WAS"</formula>
    </cfRule>
    <cfRule type="cellIs" dxfId="3081" priority="73" operator="equal">
      <formula>"GB"</formula>
    </cfRule>
    <cfRule type="cellIs" dxfId="3080" priority="74" operator="equal">
      <formula>"DAL"</formula>
    </cfRule>
    <cfRule type="cellIs" dxfId="3079" priority="75" operator="equal">
      <formula>"CIN"</formula>
    </cfRule>
    <cfRule type="cellIs" dxfId="3078" priority="76" operator="equal">
      <formula>"ARI"</formula>
    </cfRule>
    <cfRule type="cellIs" dxfId="3077" priority="77" operator="equal">
      <formula>"HOU"</formula>
    </cfRule>
    <cfRule type="cellIs" dxfId="3076" priority="78" operator="equal">
      <formula>"IND"</formula>
    </cfRule>
    <cfRule type="cellIs" dxfId="3075" priority="79" operator="equal">
      <formula>"KC"</formula>
    </cfRule>
    <cfRule type="cellIs" dxfId="3074" priority="80" operator="equal">
      <formula>"BAL"</formula>
    </cfRule>
    <cfRule type="cellIs" dxfId="3073" priority="81" operator="equal">
      <formula>"PHI"</formula>
    </cfRule>
    <cfRule type="cellIs" dxfId="3072" priority="50" operator="equal">
      <formula>"BYE"</formula>
    </cfRule>
    <cfRule type="cellIs" dxfId="3071" priority="51" operator="equal">
      <formula>"LV"</formula>
    </cfRule>
    <cfRule type="cellIs" dxfId="3070" priority="52" operator="equal">
      <formula>"NE"</formula>
    </cfRule>
    <cfRule type="cellIs" dxfId="3069" priority="53" operator="equal">
      <formula>"MIN"</formula>
    </cfRule>
    <cfRule type="cellIs" dxfId="3068" priority="54" operator="equal">
      <formula>"PIT"</formula>
    </cfRule>
    <cfRule type="cellIs" dxfId="3067" priority="55" operator="equal">
      <formula>"DEN"</formula>
    </cfRule>
    <cfRule type="cellIs" dxfId="3066" priority="82" operator="equal">
      <formula>"BUF"</formula>
    </cfRule>
    <cfRule type="cellIs" dxfId="3065" priority="56" operator="equal">
      <formula>"CAR"</formula>
    </cfRule>
    <cfRule type="cellIs" dxfId="3064" priority="57" operator="equal">
      <formula>"NYG"</formula>
    </cfRule>
    <cfRule type="cellIs" dxfId="3063" priority="58" operator="equal">
      <formula>"NO"</formula>
    </cfRule>
    <cfRule type="cellIs" dxfId="3062" priority="59" operator="equal">
      <formula>"TEN"</formula>
    </cfRule>
    <cfRule type="cellIs" dxfId="3061" priority="60" operator="equal">
      <formula>"TB"</formula>
    </cfRule>
    <cfRule type="cellIs" dxfId="3060" priority="61" operator="equal">
      <formula>"CLE"</formula>
    </cfRule>
    <cfRule type="cellIs" dxfId="3059" priority="62" operator="equal">
      <formula>"NYJ"</formula>
    </cfRule>
    <cfRule type="cellIs" dxfId="3058" priority="63" operator="equal">
      <formula>"SEA"</formula>
    </cfRule>
    <cfRule type="cellIs" dxfId="3057" priority="64" operator="equal">
      <formula>"LAC"</formula>
    </cfRule>
    <cfRule type="cellIs" dxfId="3056" priority="65" operator="equal">
      <formula>"LAR"</formula>
    </cfRule>
    <cfRule type="cellIs" dxfId="3055" priority="66" operator="equal">
      <formula>"ATL"</formula>
    </cfRule>
  </conditionalFormatting>
  <conditionalFormatting sqref="G2:K86"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86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15" right="0.15" top="0.1" bottom="0.1" header="0" footer="0"/>
  <pageSetup paperSize="3" scale="70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A4607FC6-8C79-4431-B0A0-61488FB5A9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E2:E86</xm:sqref>
        </x14:conditionalFormatting>
        <x14:conditionalFormatting xmlns:xm="http://schemas.microsoft.com/office/excel/2006/main">
          <x14:cfRule type="iconSet" priority="119" id="{B6987099-1657-440D-9C17-49EF72B8C96A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G2:K86</xm:sqref>
        </x14:conditionalFormatting>
        <x14:conditionalFormatting xmlns:xm="http://schemas.microsoft.com/office/excel/2006/main">
          <x14:cfRule type="iconSet" priority="14" id="{C6D93576-A381-4FB8-A36A-EB39D015D80B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Q2:Q86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E67C-903F-4F1F-A8DD-159D17EECCF0}">
  <sheetPr>
    <tabColor theme="7" tint="0.79998168889431442"/>
    <pageSetUpPr fitToPage="1"/>
  </sheetPr>
  <dimension ref="B1:Q125"/>
  <sheetViews>
    <sheetView zoomScale="115" zoomScaleNormal="115" workbookViewId="0">
      <selection activeCell="M130" sqref="M130"/>
    </sheetView>
  </sheetViews>
  <sheetFormatPr defaultRowHeight="14.5" x14ac:dyDescent="0.35"/>
  <cols>
    <col min="1" max="1" width="1.6328125" customWidth="1"/>
    <col min="2" max="2" width="13.45312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7" width="7.453125" bestFit="1" customWidth="1"/>
    <col min="8" max="8" width="7.54296875" bestFit="1" customWidth="1"/>
    <col min="9" max="9" width="7.36328125" bestFit="1" customWidth="1"/>
    <col min="10" max="10" width="9" bestFit="1" customWidth="1"/>
    <col min="11" max="11" width="8.1796875" bestFit="1" customWidth="1"/>
    <col min="12" max="12" width="6" bestFit="1" customWidth="1"/>
    <col min="13" max="13" width="6.08984375" bestFit="1" customWidth="1"/>
    <col min="14" max="14" width="5.90625" bestFit="1" customWidth="1"/>
    <col min="15" max="15" width="7.54296875" bestFit="1" customWidth="1"/>
    <col min="16" max="16" width="6.7265625" bestFit="1" customWidth="1"/>
    <col min="17" max="17" width="5.90625" bestFit="1" customWidth="1"/>
  </cols>
  <sheetData>
    <row r="1" spans="2:17" ht="15" thickBot="1" x14ac:dyDescent="0.4">
      <c r="B1" s="91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2" t="s">
        <v>655</v>
      </c>
      <c r="H1" s="92" t="s">
        <v>657</v>
      </c>
      <c r="I1" s="92" t="s">
        <v>652</v>
      </c>
      <c r="J1" s="92" t="s">
        <v>658</v>
      </c>
      <c r="K1" s="92" t="s">
        <v>653</v>
      </c>
      <c r="L1" s="107" t="s">
        <v>74</v>
      </c>
      <c r="M1" s="107" t="s">
        <v>656</v>
      </c>
      <c r="N1" s="107" t="s">
        <v>104</v>
      </c>
      <c r="O1" s="107" t="s">
        <v>662</v>
      </c>
      <c r="P1" s="107" t="s">
        <v>72</v>
      </c>
      <c r="Q1" s="107" t="s">
        <v>649</v>
      </c>
    </row>
    <row r="2" spans="2:17" x14ac:dyDescent="0.35">
      <c r="B2" s="6" t="s">
        <v>193</v>
      </c>
      <c r="C2" s="97" t="s">
        <v>34</v>
      </c>
      <c r="D2" s="97" t="s">
        <v>395</v>
      </c>
      <c r="E2" s="23" t="str" cm="1">
        <f t="array" ref="E2">_xlfn.XLOOKUP(Table1188717[[#This Row],[Team]],Table4334[Team],'2425'!$C$3:$C$34)</f>
        <v>n/a</v>
      </c>
      <c r="F2" s="97" t="str">
        <f>'2025'!$E$12</f>
        <v>n/a</v>
      </c>
      <c r="G2" s="94" t="e" cm="1">
        <f t="array" ref="G2">IF(Table1188717[[#This Row],[Pos.]]="RB1",_xlfn.XLOOKUP(Table1188717[[#This Row],[Opp]],Table4[DEF],'2025'!$H$38:$H$69),_xlfn.XLOOKUP(Table1188717[[#This Row],[Opp]],Table44[DEF],'2025'!$U$38:$U$69))</f>
        <v>#N/A</v>
      </c>
      <c r="H2" s="94" t="e" cm="1">
        <f t="array" ref="H2">IF(Table1188717[[#This Row],[Pos.]]="RB1",_xlfn.XLOOKUP(Table1188717[[#This Row],[Opp]],Table4[DEF],'2025'!$I$38:$I$69),_xlfn.XLOOKUP(Table1188717[[#This Row],[Opp]],Table4[DEF],'2025'!$V$38:$V$69))</f>
        <v>#N/A</v>
      </c>
      <c r="I2" s="94" t="e" cm="1">
        <f t="array" ref="I2">IF(Table1188717[[#This Row],[Pos.]]="RB1",_xlfn.XLOOKUP(Table1188717[[#This Row],[Opp]],Table4[DEF],'2025'!$J$38:$J$69),_xlfn.XLOOKUP(Table1188717[[#This Row],[Opp]],Table4[DEF],'2025'!$W$38:$W$69))</f>
        <v>#N/A</v>
      </c>
      <c r="J2" s="94" t="e" cm="1">
        <f t="array" ref="J2">IF(Table1188717[[#This Row],[Pos.]]="RB1",_xlfn.XLOOKUP(Table1188717[[#This Row],[Opp]],Table4[DEF],'2025'!$K$38:$K$69),_xlfn.XLOOKUP(Table1188717[[#This Row],[Opp]],Table4[DEF],'2025'!$X$38:$X$69))</f>
        <v>#N/A</v>
      </c>
      <c r="K2" s="94" t="e" cm="1">
        <f t="array" ref="K2">IF(Table1188717[[#This Row],[Pos.]]="RB1",_xlfn.XLOOKUP(Table1188717[[#This Row],[Opp]],Table4[DEF],'2025'!$L$38:$L$69),_xlfn.XLOOKUP(Table1188717[[#This Row],[Opp]],Table4[DEF],'2025'!$Y$38:$Y$69))</f>
        <v>#N/A</v>
      </c>
      <c r="L2" s="95" t="e">
        <f>IF(Table1188717[[#This Row],[Pos.]]="RB1",_xlfn.XLOOKUP(Table1188717[[#This Row],[Opp]],Table4[DEF],Table4[R]),_xlfn.XLOOKUP(Table1188717[[#This Row],[Opp]],Table44[DEF],Table44[R]))</f>
        <v>#N/A</v>
      </c>
      <c r="M2" s="96" t="e">
        <f>IF(Table1188717[[#This Row],[Pos.]]="RB1",_xlfn.XLOOKUP(Table1188717[[#This Row],[Opp]],Table4[DEF],Table4[REC]),_xlfn.XLOOKUP(Table1188717[[#This Row],[Opp]],Table44[DEF],Table44[REC]))</f>
        <v>#N/A</v>
      </c>
      <c r="N2" s="95" t="e">
        <f>IF(Table1188717[[#This Row],[Pos.]]="RB1",_xlfn.XLOOKUP(Table1188717[[#This Row],[Opp]],Table4[DEF],Table4[Y]),_xlfn.XLOOKUP(Table1188717[[#This Row],[Opp]],Table44[DEF],Table44[Y]))</f>
        <v>#N/A</v>
      </c>
      <c r="O2" s="95" t="e">
        <f>IF(Table1188717[[#This Row],[Pos.]]="RB1",_xlfn.XLOOKUP(Table1188717[[#This Row],[Opp]],Table4[DEF],Table4[R+R]),_xlfn.XLOOKUP(Table1188717[[#This Row],[Opp]],Table44[DEF],Table44[R+R]))</f>
        <v>#N/A</v>
      </c>
      <c r="P2" s="96" t="e">
        <f>IF(Table1188717[[#This Row],[Pos.]]="RB1",_xlfn.XLOOKUP(Table1188717[[#This Row],[Opp]],Table4[DEF],Table4[TD]),_xlfn.XLOOKUP(Table1188717[[#This Row],[Opp]],Table44[DEF],Table44[TD]))</f>
        <v>#N/A</v>
      </c>
      <c r="Q2" s="94" t="e">
        <f>AVERAGE(Table1188717[[#This Row],[*R*]:[*TD*]])</f>
        <v>#N/A</v>
      </c>
    </row>
    <row r="3" spans="2:17" hidden="1" x14ac:dyDescent="0.35">
      <c r="B3" s="6" t="s">
        <v>125</v>
      </c>
      <c r="C3" s="97" t="s">
        <v>16</v>
      </c>
      <c r="D3" s="97" t="s">
        <v>396</v>
      </c>
      <c r="E3" s="23" t="str" cm="1">
        <f t="array" ref="E3">_xlfn.XLOOKUP(Table1188717[[#This Row],[Team]],Table4334[Team],'2425'!$C$3:$C$34)</f>
        <v>n/a</v>
      </c>
      <c r="F3" s="97" t="str">
        <f>'2025'!$E$5</f>
        <v>n/a</v>
      </c>
      <c r="G3" s="94" t="e" cm="1">
        <f t="array" ref="G3">IF(Table1188717[[#This Row],[Pos.]]="RB1",_xlfn.XLOOKUP(Table1188717[[#This Row],[Opp]],Table4[DEF],'2025'!$H$38:$H$69),_xlfn.XLOOKUP(Table1188717[[#This Row],[Opp]],Table44[DEF],'2025'!$U$38:$U$69))</f>
        <v>#N/A</v>
      </c>
      <c r="H3" s="94" t="e" cm="1">
        <f t="array" ref="H3">IF(Table1188717[[#This Row],[Pos.]]="RB1",_xlfn.XLOOKUP(Table1188717[[#This Row],[Opp]],Table4[DEF],'2025'!$I$38:$I$69),_xlfn.XLOOKUP(Table1188717[[#This Row],[Opp]],Table4[DEF],'2025'!$V$38:$V$69))</f>
        <v>#N/A</v>
      </c>
      <c r="I3" s="94" t="e" cm="1">
        <f t="array" ref="I3">IF(Table1188717[[#This Row],[Pos.]]="RB1",_xlfn.XLOOKUP(Table1188717[[#This Row],[Opp]],Table4[DEF],'2025'!$J$38:$J$69),_xlfn.XLOOKUP(Table1188717[[#This Row],[Opp]],Table4[DEF],'2025'!$W$38:$W$69))</f>
        <v>#N/A</v>
      </c>
      <c r="J3" s="94" t="e" cm="1">
        <f t="array" ref="J3">IF(Table1188717[[#This Row],[Pos.]]="RB1",_xlfn.XLOOKUP(Table1188717[[#This Row],[Opp]],Table4[DEF],'2025'!$K$38:$K$69),_xlfn.XLOOKUP(Table1188717[[#This Row],[Opp]],Table4[DEF],'2025'!$X$38:$X$69))</f>
        <v>#N/A</v>
      </c>
      <c r="K3" s="94" t="e" cm="1">
        <f t="array" ref="K3">IF(Table1188717[[#This Row],[Pos.]]="RB1",_xlfn.XLOOKUP(Table1188717[[#This Row],[Opp]],Table4[DEF],'2025'!$L$38:$L$69),_xlfn.XLOOKUP(Table1188717[[#This Row],[Opp]],Table4[DEF],'2025'!$Y$38:$Y$69))</f>
        <v>#N/A</v>
      </c>
      <c r="L3" s="95" t="e">
        <f>IF(Table1188717[[#This Row],[Pos.]]="RB1",_xlfn.XLOOKUP(Table1188717[[#This Row],[Opp]],Table4[DEF],Table4[R]),_xlfn.XLOOKUP(Table1188717[[#This Row],[Opp]],Table44[DEF],Table44[R]))</f>
        <v>#N/A</v>
      </c>
      <c r="M3" s="96" t="e">
        <f>IF(Table1188717[[#This Row],[Pos.]]="RB1",_xlfn.XLOOKUP(Table1188717[[#This Row],[Opp]],Table4[DEF],Table4[REC]),_xlfn.XLOOKUP(Table1188717[[#This Row],[Opp]],Table44[DEF],Table44[REC]))</f>
        <v>#N/A</v>
      </c>
      <c r="N3" s="95" t="e">
        <f>IF(Table1188717[[#This Row],[Pos.]]="RB1",_xlfn.XLOOKUP(Table1188717[[#This Row],[Opp]],Table4[DEF],Table4[Y]),_xlfn.XLOOKUP(Table1188717[[#This Row],[Opp]],Table44[DEF],Table44[Y]))</f>
        <v>#N/A</v>
      </c>
      <c r="O3" s="95" t="e">
        <f>IF(Table1188717[[#This Row],[Pos.]]="RB1",_xlfn.XLOOKUP(Table1188717[[#This Row],[Opp]],Table4[DEF],Table4[R+R]),_xlfn.XLOOKUP(Table1188717[[#This Row],[Opp]],Table44[DEF],Table44[R+R]))</f>
        <v>#N/A</v>
      </c>
      <c r="P3" s="96" t="e">
        <f>IF(Table1188717[[#This Row],[Pos.]]="RB1",_xlfn.XLOOKUP(Table1188717[[#This Row],[Opp]],Table4[DEF],Table4[TD]),_xlfn.XLOOKUP(Table1188717[[#This Row],[Opp]],Table44[DEF],Table44[TD]))</f>
        <v>#N/A</v>
      </c>
      <c r="Q3" s="94" t="e">
        <f>AVERAGE(Table1188717[[#This Row],[*R*]:[*TD*]])</f>
        <v>#N/A</v>
      </c>
    </row>
    <row r="4" spans="2:17" hidden="1" x14ac:dyDescent="0.35">
      <c r="B4" s="6" t="s">
        <v>469</v>
      </c>
      <c r="C4" s="97" t="s">
        <v>16</v>
      </c>
      <c r="D4" s="97" t="s">
        <v>407</v>
      </c>
      <c r="E4" s="23" t="str" cm="1">
        <f t="array" ref="E4">_xlfn.XLOOKUP(Table1188717[[#This Row],[Team]],Table4334[Team],'2425'!$C$3:$C$34)</f>
        <v>n/a</v>
      </c>
      <c r="F4" s="97" t="str">
        <f>'2025'!$E$5</f>
        <v>n/a</v>
      </c>
      <c r="G4" s="94" t="e" cm="1">
        <f t="array" ref="G4">IF(Table1188717[[#This Row],[Pos.]]="RB1",_xlfn.XLOOKUP(Table1188717[[#This Row],[Opp]],Table4[DEF],'2025'!$H$38:$H$69),_xlfn.XLOOKUP(Table1188717[[#This Row],[Opp]],Table44[DEF],'2025'!$U$38:$U$69))</f>
        <v>#N/A</v>
      </c>
      <c r="H4" s="94" t="e" cm="1">
        <f t="array" ref="H4">IF(Table1188717[[#This Row],[Pos.]]="RB1",_xlfn.XLOOKUP(Table1188717[[#This Row],[Opp]],Table4[DEF],'2025'!$I$38:$I$69),_xlfn.XLOOKUP(Table1188717[[#This Row],[Opp]],Table4[DEF],'2025'!$V$38:$V$69))</f>
        <v>#N/A</v>
      </c>
      <c r="I4" s="94" t="e" cm="1">
        <f t="array" ref="I4">IF(Table1188717[[#This Row],[Pos.]]="RB1",_xlfn.XLOOKUP(Table1188717[[#This Row],[Opp]],Table4[DEF],'2025'!$J$38:$J$69),_xlfn.XLOOKUP(Table1188717[[#This Row],[Opp]],Table4[DEF],'2025'!$W$38:$W$69))</f>
        <v>#N/A</v>
      </c>
      <c r="J4" s="94" t="e" cm="1">
        <f t="array" ref="J4">IF(Table1188717[[#This Row],[Pos.]]="RB1",_xlfn.XLOOKUP(Table1188717[[#This Row],[Opp]],Table4[DEF],'2025'!$K$38:$K$69),_xlfn.XLOOKUP(Table1188717[[#This Row],[Opp]],Table4[DEF],'2025'!$X$38:$X$69))</f>
        <v>#N/A</v>
      </c>
      <c r="K4" s="94" t="e" cm="1">
        <f t="array" ref="K4">IF(Table1188717[[#This Row],[Pos.]]="RB1",_xlfn.XLOOKUP(Table1188717[[#This Row],[Opp]],Table4[DEF],'2025'!$L$38:$L$69),_xlfn.XLOOKUP(Table1188717[[#This Row],[Opp]],Table4[DEF],'2025'!$Y$38:$Y$69))</f>
        <v>#N/A</v>
      </c>
      <c r="L4" s="95" t="e">
        <f>IF(Table1188717[[#This Row],[Pos.]]="RB1",_xlfn.XLOOKUP(Table1188717[[#This Row],[Opp]],Table4[DEF],Table4[R]),_xlfn.XLOOKUP(Table1188717[[#This Row],[Opp]],Table44[DEF],Table44[R]))</f>
        <v>#N/A</v>
      </c>
      <c r="M4" s="96" t="e">
        <f>IF(Table1188717[[#This Row],[Pos.]]="RB1",_xlfn.XLOOKUP(Table1188717[[#This Row],[Opp]],Table4[DEF],Table4[REC]),_xlfn.XLOOKUP(Table1188717[[#This Row],[Opp]],Table44[DEF],Table44[REC]))</f>
        <v>#N/A</v>
      </c>
      <c r="N4" s="95" t="e">
        <f>IF(Table1188717[[#This Row],[Pos.]]="RB1",_xlfn.XLOOKUP(Table1188717[[#This Row],[Opp]],Table4[DEF],Table4[Y]),_xlfn.XLOOKUP(Table1188717[[#This Row],[Opp]],Table44[DEF],Table44[Y]))</f>
        <v>#N/A</v>
      </c>
      <c r="O4" s="95" t="e">
        <f>IF(Table1188717[[#This Row],[Pos.]]="RB1",_xlfn.XLOOKUP(Table1188717[[#This Row],[Opp]],Table4[DEF],Table4[R+R]),_xlfn.XLOOKUP(Table1188717[[#This Row],[Opp]],Table44[DEF],Table44[R+R]))</f>
        <v>#N/A</v>
      </c>
      <c r="P4" s="96" t="e">
        <f>IF(Table1188717[[#This Row],[Pos.]]="RB1",_xlfn.XLOOKUP(Table1188717[[#This Row],[Opp]],Table4[DEF],Table4[TD]),_xlfn.XLOOKUP(Table1188717[[#This Row],[Opp]],Table44[DEF],Table44[TD]))</f>
        <v>#N/A</v>
      </c>
      <c r="Q4" s="94" t="e">
        <f>AVERAGE(Table1188717[[#This Row],[*R*]:[*TD*]])</f>
        <v>#N/A</v>
      </c>
    </row>
    <row r="5" spans="2:17" hidden="1" x14ac:dyDescent="0.35">
      <c r="B5" s="6" t="s">
        <v>537</v>
      </c>
      <c r="C5" s="97" t="s">
        <v>16</v>
      </c>
      <c r="D5" s="97" t="s">
        <v>536</v>
      </c>
      <c r="E5" s="23" t="str" cm="1">
        <f t="array" ref="E5">_xlfn.XLOOKUP(Table1188717[[#This Row],[Team]],Table4334[Team],'2425'!$C$3:$C$34)</f>
        <v>n/a</v>
      </c>
      <c r="F5" s="97" t="str">
        <f>'2025'!$E$5</f>
        <v>n/a</v>
      </c>
      <c r="G5" s="94" t="e" cm="1">
        <f t="array" ref="G5">IF(Table1188717[[#This Row],[Pos.]]="RB1",_xlfn.XLOOKUP(Table1188717[[#This Row],[Opp]],Table4[DEF],'2025'!$H$38:$H$69),_xlfn.XLOOKUP(Table1188717[[#This Row],[Opp]],Table44[DEF],'2025'!$U$38:$U$69))</f>
        <v>#N/A</v>
      </c>
      <c r="H5" s="94" t="e" cm="1">
        <f t="array" ref="H5">IF(Table1188717[[#This Row],[Pos.]]="RB1",_xlfn.XLOOKUP(Table1188717[[#This Row],[Opp]],Table4[DEF],'2025'!$I$38:$I$69),_xlfn.XLOOKUP(Table1188717[[#This Row],[Opp]],Table4[DEF],'2025'!$V$38:$V$69))</f>
        <v>#N/A</v>
      </c>
      <c r="I5" s="94" t="e" cm="1">
        <f t="array" ref="I5">IF(Table1188717[[#This Row],[Pos.]]="RB1",_xlfn.XLOOKUP(Table1188717[[#This Row],[Opp]],Table4[DEF],'2025'!$J$38:$J$69),_xlfn.XLOOKUP(Table1188717[[#This Row],[Opp]],Table4[DEF],'2025'!$W$38:$W$69))</f>
        <v>#N/A</v>
      </c>
      <c r="J5" s="94" t="e" cm="1">
        <f t="array" ref="J5">IF(Table1188717[[#This Row],[Pos.]]="RB1",_xlfn.XLOOKUP(Table1188717[[#This Row],[Opp]],Table4[DEF],'2025'!$K$38:$K$69),_xlfn.XLOOKUP(Table1188717[[#This Row],[Opp]],Table4[DEF],'2025'!$X$38:$X$69))</f>
        <v>#N/A</v>
      </c>
      <c r="K5" s="94" t="e" cm="1">
        <f t="array" ref="K5">IF(Table1188717[[#This Row],[Pos.]]="RB1",_xlfn.XLOOKUP(Table1188717[[#This Row],[Opp]],Table4[DEF],'2025'!$L$38:$L$69),_xlfn.XLOOKUP(Table1188717[[#This Row],[Opp]],Table4[DEF],'2025'!$Y$38:$Y$69))</f>
        <v>#N/A</v>
      </c>
      <c r="L5" s="95" t="e">
        <f>IF(Table1188717[[#This Row],[Pos.]]="RB1",_xlfn.XLOOKUP(Table1188717[[#This Row],[Opp]],Table4[DEF],Table4[R]),_xlfn.XLOOKUP(Table1188717[[#This Row],[Opp]],Table44[DEF],Table44[R]))</f>
        <v>#N/A</v>
      </c>
      <c r="M5" s="96" t="e">
        <f>IF(Table1188717[[#This Row],[Pos.]]="RB1",_xlfn.XLOOKUP(Table1188717[[#This Row],[Opp]],Table4[DEF],Table4[REC]),_xlfn.XLOOKUP(Table1188717[[#This Row],[Opp]],Table44[DEF],Table44[REC]))</f>
        <v>#N/A</v>
      </c>
      <c r="N5" s="95" t="e">
        <f>IF(Table1188717[[#This Row],[Pos.]]="RB1",_xlfn.XLOOKUP(Table1188717[[#This Row],[Opp]],Table4[DEF],Table4[Y]),_xlfn.XLOOKUP(Table1188717[[#This Row],[Opp]],Table44[DEF],Table44[Y]))</f>
        <v>#N/A</v>
      </c>
      <c r="O5" s="95" t="e">
        <f>IF(Table1188717[[#This Row],[Pos.]]="RB1",_xlfn.XLOOKUP(Table1188717[[#This Row],[Opp]],Table4[DEF],Table4[R+R]),_xlfn.XLOOKUP(Table1188717[[#This Row],[Opp]],Table44[DEF],Table44[R+R]))</f>
        <v>#N/A</v>
      </c>
      <c r="P5" s="96" t="e">
        <f>IF(Table1188717[[#This Row],[Pos.]]="RB1",_xlfn.XLOOKUP(Table1188717[[#This Row],[Opp]],Table4[DEF],Table4[TD]),_xlfn.XLOOKUP(Table1188717[[#This Row],[Opp]],Table44[DEF],Table44[TD]))</f>
        <v>#N/A</v>
      </c>
      <c r="Q5" s="94" t="e">
        <f>AVERAGE(Table1188717[[#This Row],[*R*]:[*TD*]])</f>
        <v>#N/A</v>
      </c>
    </row>
    <row r="6" spans="2:17" hidden="1" x14ac:dyDescent="0.35">
      <c r="B6" s="6" t="s">
        <v>368</v>
      </c>
      <c r="C6" s="97" t="s">
        <v>54</v>
      </c>
      <c r="D6" s="97" t="s">
        <v>395</v>
      </c>
      <c r="E6" s="23" t="str" cm="1">
        <f t="array" ref="E6">_xlfn.XLOOKUP(Table1188717[[#This Row],[Team]],Table4334[Team],'2425'!$C$3:$C$34)</f>
        <v>n/a</v>
      </c>
      <c r="F6" s="97" t="str">
        <f>'2025'!$E$32</f>
        <v>n/a</v>
      </c>
      <c r="G6" s="94" t="e" cm="1">
        <f t="array" ref="G6">IF(Table1188717[[#This Row],[Pos.]]="RB1",_xlfn.XLOOKUP(Table1188717[[#This Row],[Opp]],Table4[DEF],'2025'!$H$38:$H$69),_xlfn.XLOOKUP(Table1188717[[#This Row],[Opp]],Table44[DEF],'2025'!$U$38:$U$69))</f>
        <v>#N/A</v>
      </c>
      <c r="H6" s="94" t="e" cm="1">
        <f t="array" ref="H6">IF(Table1188717[[#This Row],[Pos.]]="RB1",_xlfn.XLOOKUP(Table1188717[[#This Row],[Opp]],Table4[DEF],'2025'!$I$38:$I$69),_xlfn.XLOOKUP(Table1188717[[#This Row],[Opp]],Table4[DEF],'2025'!$V$38:$V$69))</f>
        <v>#N/A</v>
      </c>
      <c r="I6" s="94" t="e" cm="1">
        <f t="array" ref="I6">IF(Table1188717[[#This Row],[Pos.]]="RB1",_xlfn.XLOOKUP(Table1188717[[#This Row],[Opp]],Table4[DEF],'2025'!$J$38:$J$69),_xlfn.XLOOKUP(Table1188717[[#This Row],[Opp]],Table4[DEF],'2025'!$W$38:$W$69))</f>
        <v>#N/A</v>
      </c>
      <c r="J6" s="94" t="e" cm="1">
        <f t="array" ref="J6">IF(Table1188717[[#This Row],[Pos.]]="RB1",_xlfn.XLOOKUP(Table1188717[[#This Row],[Opp]],Table4[DEF],'2025'!$K$38:$K$69),_xlfn.XLOOKUP(Table1188717[[#This Row],[Opp]],Table4[DEF],'2025'!$X$38:$X$69))</f>
        <v>#N/A</v>
      </c>
      <c r="K6" s="94" t="e" cm="1">
        <f t="array" ref="K6">IF(Table1188717[[#This Row],[Pos.]]="RB1",_xlfn.XLOOKUP(Table1188717[[#This Row],[Opp]],Table4[DEF],'2025'!$L$38:$L$69),_xlfn.XLOOKUP(Table1188717[[#This Row],[Opp]],Table4[DEF],'2025'!$Y$38:$Y$69))</f>
        <v>#N/A</v>
      </c>
      <c r="L6" s="95" t="e">
        <f>IF(Table1188717[[#This Row],[Pos.]]="RB1",_xlfn.XLOOKUP(Table1188717[[#This Row],[Opp]],Table4[DEF],Table4[R]),_xlfn.XLOOKUP(Table1188717[[#This Row],[Opp]],Table44[DEF],Table44[R]))</f>
        <v>#N/A</v>
      </c>
      <c r="M6" s="96" t="e">
        <f>IF(Table1188717[[#This Row],[Pos.]]="RB1",_xlfn.XLOOKUP(Table1188717[[#This Row],[Opp]],Table4[DEF],Table4[REC]),_xlfn.XLOOKUP(Table1188717[[#This Row],[Opp]],Table44[DEF],Table44[REC]))</f>
        <v>#N/A</v>
      </c>
      <c r="N6" s="95" t="e">
        <f>IF(Table1188717[[#This Row],[Pos.]]="RB1",_xlfn.XLOOKUP(Table1188717[[#This Row],[Opp]],Table4[DEF],Table4[Y]),_xlfn.XLOOKUP(Table1188717[[#This Row],[Opp]],Table44[DEF],Table44[Y]))</f>
        <v>#N/A</v>
      </c>
      <c r="O6" s="95" t="e">
        <f>IF(Table1188717[[#This Row],[Pos.]]="RB1",_xlfn.XLOOKUP(Table1188717[[#This Row],[Opp]],Table4[DEF],Table4[R+R]),_xlfn.XLOOKUP(Table1188717[[#This Row],[Opp]],Table44[DEF],Table44[R+R]))</f>
        <v>#N/A</v>
      </c>
      <c r="P6" s="96" t="e">
        <f>IF(Table1188717[[#This Row],[Pos.]]="RB1",_xlfn.XLOOKUP(Table1188717[[#This Row],[Opp]],Table4[DEF],Table4[TD]),_xlfn.XLOOKUP(Table1188717[[#This Row],[Opp]],Table44[DEF],Table44[TD]))</f>
        <v>#N/A</v>
      </c>
      <c r="Q6" s="94" t="e">
        <f>AVERAGE(Table1188717[[#This Row],[*R*]:[*TD*]])</f>
        <v>#N/A</v>
      </c>
    </row>
    <row r="7" spans="2:17" hidden="1" x14ac:dyDescent="0.35">
      <c r="B7" s="6" t="s">
        <v>161</v>
      </c>
      <c r="C7" s="97" t="s">
        <v>31</v>
      </c>
      <c r="D7" s="97" t="s">
        <v>395</v>
      </c>
      <c r="E7" s="23" t="str" cm="1">
        <f t="array" ref="E7">_xlfn.XLOOKUP(Table1188717[[#This Row],[Team]],Table4334[Team],'2425'!$C$3:$C$34)</f>
        <v>n/a</v>
      </c>
      <c r="F7" s="97" t="str">
        <f>'2025'!$E$9</f>
        <v>n/a</v>
      </c>
      <c r="G7" s="94" t="e" cm="1">
        <f t="array" ref="G7">IF(Table1188717[[#This Row],[Pos.]]="RB1",_xlfn.XLOOKUP(Table1188717[[#This Row],[Opp]],Table4[DEF],'2025'!$H$38:$H$69),_xlfn.XLOOKUP(Table1188717[[#This Row],[Opp]],Table44[DEF],'2025'!$U$38:$U$69))</f>
        <v>#N/A</v>
      </c>
      <c r="H7" s="94" t="e" cm="1">
        <f t="array" ref="H7">IF(Table1188717[[#This Row],[Pos.]]="RB1",_xlfn.XLOOKUP(Table1188717[[#This Row],[Opp]],Table4[DEF],'2025'!$I$38:$I$69),_xlfn.XLOOKUP(Table1188717[[#This Row],[Opp]],Table4[DEF],'2025'!$V$38:$V$69))</f>
        <v>#N/A</v>
      </c>
      <c r="I7" s="94" t="e" cm="1">
        <f t="array" ref="I7">IF(Table1188717[[#This Row],[Pos.]]="RB1",_xlfn.XLOOKUP(Table1188717[[#This Row],[Opp]],Table4[DEF],'2025'!$J$38:$J$69),_xlfn.XLOOKUP(Table1188717[[#This Row],[Opp]],Table4[DEF],'2025'!$W$38:$W$69))</f>
        <v>#N/A</v>
      </c>
      <c r="J7" s="94" t="e" cm="1">
        <f t="array" ref="J7">IF(Table1188717[[#This Row],[Pos.]]="RB1",_xlfn.XLOOKUP(Table1188717[[#This Row],[Opp]],Table4[DEF],'2025'!$K$38:$K$69),_xlfn.XLOOKUP(Table1188717[[#This Row],[Opp]],Table4[DEF],'2025'!$X$38:$X$69))</f>
        <v>#N/A</v>
      </c>
      <c r="K7" s="94" t="e" cm="1">
        <f t="array" ref="K7">IF(Table1188717[[#This Row],[Pos.]]="RB1",_xlfn.XLOOKUP(Table1188717[[#This Row],[Opp]],Table4[DEF],'2025'!$L$38:$L$69),_xlfn.XLOOKUP(Table1188717[[#This Row],[Opp]],Table4[DEF],'2025'!$Y$38:$Y$69))</f>
        <v>#N/A</v>
      </c>
      <c r="L7" s="95" t="e">
        <f>IF(Table1188717[[#This Row],[Pos.]]="RB1",_xlfn.XLOOKUP(Table1188717[[#This Row],[Opp]],Table4[DEF],Table4[R]),_xlfn.XLOOKUP(Table1188717[[#This Row],[Opp]],Table44[DEF],Table44[R]))</f>
        <v>#N/A</v>
      </c>
      <c r="M7" s="96" t="e">
        <f>IF(Table1188717[[#This Row],[Pos.]]="RB1",_xlfn.XLOOKUP(Table1188717[[#This Row],[Opp]],Table4[DEF],Table4[REC]),_xlfn.XLOOKUP(Table1188717[[#This Row],[Opp]],Table44[DEF],Table44[REC]))</f>
        <v>#N/A</v>
      </c>
      <c r="N7" s="95" t="e">
        <f>IF(Table1188717[[#This Row],[Pos.]]="RB1",_xlfn.XLOOKUP(Table1188717[[#This Row],[Opp]],Table4[DEF],Table4[Y]),_xlfn.XLOOKUP(Table1188717[[#This Row],[Opp]],Table44[DEF],Table44[Y]))</f>
        <v>#N/A</v>
      </c>
      <c r="O7" s="95" t="e">
        <f>IF(Table1188717[[#This Row],[Pos.]]="RB1",_xlfn.XLOOKUP(Table1188717[[#This Row],[Opp]],Table4[DEF],Table4[R+R]),_xlfn.XLOOKUP(Table1188717[[#This Row],[Opp]],Table44[DEF],Table44[R+R]))</f>
        <v>#N/A</v>
      </c>
      <c r="P7" s="96" t="e">
        <f>IF(Table1188717[[#This Row],[Pos.]]="RB1",_xlfn.XLOOKUP(Table1188717[[#This Row],[Opp]],Table4[DEF],Table4[TD]),_xlfn.XLOOKUP(Table1188717[[#This Row],[Opp]],Table44[DEF],Table44[TD]))</f>
        <v>#N/A</v>
      </c>
      <c r="Q7" s="94" t="e">
        <f>AVERAGE(Table1188717[[#This Row],[*R*]:[*TD*]])</f>
        <v>#N/A</v>
      </c>
    </row>
    <row r="8" spans="2:17" hidden="1" x14ac:dyDescent="0.35">
      <c r="B8" s="6" t="s">
        <v>219</v>
      </c>
      <c r="C8" s="97" t="s">
        <v>37</v>
      </c>
      <c r="D8" s="97" t="s">
        <v>396</v>
      </c>
      <c r="E8" s="23" t="str" cm="1">
        <f t="array" ref="E8">_xlfn.XLOOKUP(Table1188717[[#This Row],[Team]],Table4334[Team],'2425'!$C$3:$C$34)</f>
        <v>n/a</v>
      </c>
      <c r="F8" s="97" t="str">
        <f>'2025'!$E$15</f>
        <v>n/a</v>
      </c>
      <c r="G8" s="94" t="e" cm="1">
        <f t="array" ref="G8">IF(Table1188717[[#This Row],[Pos.]]="RB1",_xlfn.XLOOKUP(Table1188717[[#This Row],[Opp]],Table4[DEF],'2025'!$H$38:$H$69),_xlfn.XLOOKUP(Table1188717[[#This Row],[Opp]],Table44[DEF],'2025'!$U$38:$U$69))</f>
        <v>#N/A</v>
      </c>
      <c r="H8" s="94" t="e" cm="1">
        <f t="array" ref="H8">IF(Table1188717[[#This Row],[Pos.]]="RB1",_xlfn.XLOOKUP(Table1188717[[#This Row],[Opp]],Table4[DEF],'2025'!$I$38:$I$69),_xlfn.XLOOKUP(Table1188717[[#This Row],[Opp]],Table4[DEF],'2025'!$V$38:$V$69))</f>
        <v>#N/A</v>
      </c>
      <c r="I8" s="94" t="e" cm="1">
        <f t="array" ref="I8">IF(Table1188717[[#This Row],[Pos.]]="RB1",_xlfn.XLOOKUP(Table1188717[[#This Row],[Opp]],Table4[DEF],'2025'!$J$38:$J$69),_xlfn.XLOOKUP(Table1188717[[#This Row],[Opp]],Table4[DEF],'2025'!$W$38:$W$69))</f>
        <v>#N/A</v>
      </c>
      <c r="J8" s="94" t="e" cm="1">
        <f t="array" ref="J8">IF(Table1188717[[#This Row],[Pos.]]="RB1",_xlfn.XLOOKUP(Table1188717[[#This Row],[Opp]],Table4[DEF],'2025'!$K$38:$K$69),_xlfn.XLOOKUP(Table1188717[[#This Row],[Opp]],Table4[DEF],'2025'!$X$38:$X$69))</f>
        <v>#N/A</v>
      </c>
      <c r="K8" s="94" t="e" cm="1">
        <f t="array" ref="K8">IF(Table1188717[[#This Row],[Pos.]]="RB1",_xlfn.XLOOKUP(Table1188717[[#This Row],[Opp]],Table4[DEF],'2025'!$L$38:$L$69),_xlfn.XLOOKUP(Table1188717[[#This Row],[Opp]],Table4[DEF],'2025'!$Y$38:$Y$69))</f>
        <v>#N/A</v>
      </c>
      <c r="L8" s="95" t="e">
        <f>IF(Table1188717[[#This Row],[Pos.]]="RB1",_xlfn.XLOOKUP(Table1188717[[#This Row],[Opp]],Table4[DEF],Table4[R]),_xlfn.XLOOKUP(Table1188717[[#This Row],[Opp]],Table44[DEF],Table44[R]))</f>
        <v>#N/A</v>
      </c>
      <c r="M8" s="96" t="e">
        <f>IF(Table1188717[[#This Row],[Pos.]]="RB1",_xlfn.XLOOKUP(Table1188717[[#This Row],[Opp]],Table4[DEF],Table4[REC]),_xlfn.XLOOKUP(Table1188717[[#This Row],[Opp]],Table44[DEF],Table44[REC]))</f>
        <v>#N/A</v>
      </c>
      <c r="N8" s="95" t="e">
        <f>IF(Table1188717[[#This Row],[Pos.]]="RB1",_xlfn.XLOOKUP(Table1188717[[#This Row],[Opp]],Table4[DEF],Table4[Y]),_xlfn.XLOOKUP(Table1188717[[#This Row],[Opp]],Table44[DEF],Table44[Y]))</f>
        <v>#N/A</v>
      </c>
      <c r="O8" s="95" t="e">
        <f>IF(Table1188717[[#This Row],[Pos.]]="RB1",_xlfn.XLOOKUP(Table1188717[[#This Row],[Opp]],Table4[DEF],Table4[R+R]),_xlfn.XLOOKUP(Table1188717[[#This Row],[Opp]],Table44[DEF],Table44[R+R]))</f>
        <v>#N/A</v>
      </c>
      <c r="P8" s="96" t="e">
        <f>IF(Table1188717[[#This Row],[Pos.]]="RB1",_xlfn.XLOOKUP(Table1188717[[#This Row],[Opp]],Table4[DEF],Table4[TD]),_xlfn.XLOOKUP(Table1188717[[#This Row],[Opp]],Table44[DEF],Table44[TD]))</f>
        <v>#N/A</v>
      </c>
      <c r="Q8" s="94" t="e">
        <f>AVERAGE(Table1188717[[#This Row],[*R*]:[*TD*]])</f>
        <v>#N/A</v>
      </c>
    </row>
    <row r="9" spans="2:17" hidden="1" x14ac:dyDescent="0.35">
      <c r="B9" s="6" t="s">
        <v>220</v>
      </c>
      <c r="C9" s="97" t="s">
        <v>37</v>
      </c>
      <c r="D9" s="97" t="s">
        <v>407</v>
      </c>
      <c r="E9" s="23" t="str" cm="1">
        <f t="array" ref="E9">_xlfn.XLOOKUP(Table1188717[[#This Row],[Team]],Table4334[Team],'2425'!$C$3:$C$34)</f>
        <v>n/a</v>
      </c>
      <c r="F9" s="97" t="str">
        <f>'2025'!$E$15</f>
        <v>n/a</v>
      </c>
      <c r="G9" s="94" t="e" cm="1">
        <f t="array" ref="G9">IF(Table1188717[[#This Row],[Pos.]]="RB1",_xlfn.XLOOKUP(Table1188717[[#This Row],[Opp]],Table4[DEF],'2025'!$H$38:$H$69),_xlfn.XLOOKUP(Table1188717[[#This Row],[Opp]],Table44[DEF],'2025'!$U$38:$U$69))</f>
        <v>#N/A</v>
      </c>
      <c r="H9" s="94" t="e" cm="1">
        <f t="array" ref="H9">IF(Table1188717[[#This Row],[Pos.]]="RB1",_xlfn.XLOOKUP(Table1188717[[#This Row],[Opp]],Table4[DEF],'2025'!$I$38:$I$69),_xlfn.XLOOKUP(Table1188717[[#This Row],[Opp]],Table4[DEF],'2025'!$V$38:$V$69))</f>
        <v>#N/A</v>
      </c>
      <c r="I9" s="94" t="e" cm="1">
        <f t="array" ref="I9">IF(Table1188717[[#This Row],[Pos.]]="RB1",_xlfn.XLOOKUP(Table1188717[[#This Row],[Opp]],Table4[DEF],'2025'!$J$38:$J$69),_xlfn.XLOOKUP(Table1188717[[#This Row],[Opp]],Table4[DEF],'2025'!$W$38:$W$69))</f>
        <v>#N/A</v>
      </c>
      <c r="J9" s="94" t="e" cm="1">
        <f t="array" ref="J9">IF(Table1188717[[#This Row],[Pos.]]="RB1",_xlfn.XLOOKUP(Table1188717[[#This Row],[Opp]],Table4[DEF],'2025'!$K$38:$K$69),_xlfn.XLOOKUP(Table1188717[[#This Row],[Opp]],Table4[DEF],'2025'!$X$38:$X$69))</f>
        <v>#N/A</v>
      </c>
      <c r="K9" s="94" t="e" cm="1">
        <f t="array" ref="K9">IF(Table1188717[[#This Row],[Pos.]]="RB1",_xlfn.XLOOKUP(Table1188717[[#This Row],[Opp]],Table4[DEF],'2025'!$L$38:$L$69),_xlfn.XLOOKUP(Table1188717[[#This Row],[Opp]],Table4[DEF],'2025'!$Y$38:$Y$69))</f>
        <v>#N/A</v>
      </c>
      <c r="L9" s="95" t="e">
        <f>IF(Table1188717[[#This Row],[Pos.]]="RB1",_xlfn.XLOOKUP(Table1188717[[#This Row],[Opp]],Table4[DEF],Table4[R]),_xlfn.XLOOKUP(Table1188717[[#This Row],[Opp]],Table44[DEF],Table44[R]))</f>
        <v>#N/A</v>
      </c>
      <c r="M9" s="96" t="e">
        <f>IF(Table1188717[[#This Row],[Pos.]]="RB1",_xlfn.XLOOKUP(Table1188717[[#This Row],[Opp]],Table4[DEF],Table4[REC]),_xlfn.XLOOKUP(Table1188717[[#This Row],[Opp]],Table44[DEF],Table44[REC]))</f>
        <v>#N/A</v>
      </c>
      <c r="N9" s="95" t="e">
        <f>IF(Table1188717[[#This Row],[Pos.]]="RB1",_xlfn.XLOOKUP(Table1188717[[#This Row],[Opp]],Table4[DEF],Table4[Y]),_xlfn.XLOOKUP(Table1188717[[#This Row],[Opp]],Table44[DEF],Table44[Y]))</f>
        <v>#N/A</v>
      </c>
      <c r="O9" s="95" t="e">
        <f>IF(Table1188717[[#This Row],[Pos.]]="RB1",_xlfn.XLOOKUP(Table1188717[[#This Row],[Opp]],Table4[DEF],Table4[R+R]),_xlfn.XLOOKUP(Table1188717[[#This Row],[Opp]],Table44[DEF],Table44[R+R]))</f>
        <v>#N/A</v>
      </c>
      <c r="P9" s="96" t="e">
        <f>IF(Table1188717[[#This Row],[Pos.]]="RB1",_xlfn.XLOOKUP(Table1188717[[#This Row],[Opp]],Table4[DEF],Table4[TD]),_xlfn.XLOOKUP(Table1188717[[#This Row],[Opp]],Table44[DEF],Table44[TD]))</f>
        <v>#N/A</v>
      </c>
      <c r="Q9" s="94" t="e">
        <f>AVERAGE(Table1188717[[#This Row],[*R*]:[*TD*]])</f>
        <v>#N/A</v>
      </c>
    </row>
    <row r="10" spans="2:17" hidden="1" x14ac:dyDescent="0.35">
      <c r="B10" s="6" t="s">
        <v>216</v>
      </c>
      <c r="C10" s="97" t="s">
        <v>37</v>
      </c>
      <c r="D10" s="97" t="s">
        <v>536</v>
      </c>
      <c r="E10" s="23" t="str" cm="1">
        <f t="array" ref="E10">_xlfn.XLOOKUP(Table1188717[[#This Row],[Team]],Table4334[Team],'2425'!$C$3:$C$34)</f>
        <v>n/a</v>
      </c>
      <c r="F10" s="97" t="str">
        <f>'2025'!$E$15</f>
        <v>n/a</v>
      </c>
      <c r="G10" s="94" t="e" cm="1">
        <f t="array" ref="G10">IF(Table1188717[[#This Row],[Pos.]]="RB1",_xlfn.XLOOKUP(Table1188717[[#This Row],[Opp]],Table4[DEF],'2025'!$H$38:$H$69),_xlfn.XLOOKUP(Table1188717[[#This Row],[Opp]],Table44[DEF],'2025'!$U$38:$U$69))</f>
        <v>#N/A</v>
      </c>
      <c r="H10" s="94" t="e" cm="1">
        <f t="array" ref="H10">IF(Table1188717[[#This Row],[Pos.]]="RB1",_xlfn.XLOOKUP(Table1188717[[#This Row],[Opp]],Table4[DEF],'2025'!$I$38:$I$69),_xlfn.XLOOKUP(Table1188717[[#This Row],[Opp]],Table4[DEF],'2025'!$V$38:$V$69))</f>
        <v>#N/A</v>
      </c>
      <c r="I10" s="94" t="e" cm="1">
        <f t="array" ref="I10">IF(Table1188717[[#This Row],[Pos.]]="RB1",_xlfn.XLOOKUP(Table1188717[[#This Row],[Opp]],Table4[DEF],'2025'!$J$38:$J$69),_xlfn.XLOOKUP(Table1188717[[#This Row],[Opp]],Table4[DEF],'2025'!$W$38:$W$69))</f>
        <v>#N/A</v>
      </c>
      <c r="J10" s="94" t="e" cm="1">
        <f t="array" ref="J10">IF(Table1188717[[#This Row],[Pos.]]="RB1",_xlfn.XLOOKUP(Table1188717[[#This Row],[Opp]],Table4[DEF],'2025'!$K$38:$K$69),_xlfn.XLOOKUP(Table1188717[[#This Row],[Opp]],Table4[DEF],'2025'!$X$38:$X$69))</f>
        <v>#N/A</v>
      </c>
      <c r="K10" s="94" t="e" cm="1">
        <f t="array" ref="K10">IF(Table1188717[[#This Row],[Pos.]]="RB1",_xlfn.XLOOKUP(Table1188717[[#This Row],[Opp]],Table4[DEF],'2025'!$L$38:$L$69),_xlfn.XLOOKUP(Table1188717[[#This Row],[Opp]],Table4[DEF],'2025'!$Y$38:$Y$69))</f>
        <v>#N/A</v>
      </c>
      <c r="L10" s="95" t="e">
        <f>IF(Table1188717[[#This Row],[Pos.]]="RB1",_xlfn.XLOOKUP(Table1188717[[#This Row],[Opp]],Table4[DEF],Table4[R]),_xlfn.XLOOKUP(Table1188717[[#This Row],[Opp]],Table44[DEF],Table44[R]))</f>
        <v>#N/A</v>
      </c>
      <c r="M10" s="96" t="e">
        <f>IF(Table1188717[[#This Row],[Pos.]]="RB1",_xlfn.XLOOKUP(Table1188717[[#This Row],[Opp]],Table4[DEF],Table4[REC]),_xlfn.XLOOKUP(Table1188717[[#This Row],[Opp]],Table44[DEF],Table44[REC]))</f>
        <v>#N/A</v>
      </c>
      <c r="N10" s="95" t="e">
        <f>IF(Table1188717[[#This Row],[Pos.]]="RB1",_xlfn.XLOOKUP(Table1188717[[#This Row],[Opp]],Table4[DEF],Table4[Y]),_xlfn.XLOOKUP(Table1188717[[#This Row],[Opp]],Table44[DEF],Table44[Y]))</f>
        <v>#N/A</v>
      </c>
      <c r="O10" s="95" t="e">
        <f>IF(Table1188717[[#This Row],[Pos.]]="RB1",_xlfn.XLOOKUP(Table1188717[[#This Row],[Opp]],Table4[DEF],Table4[R+R]),_xlfn.XLOOKUP(Table1188717[[#This Row],[Opp]],Table44[DEF],Table44[R+R]))</f>
        <v>#N/A</v>
      </c>
      <c r="P10" s="96" t="e">
        <f>IF(Table1188717[[#This Row],[Pos.]]="RB1",_xlfn.XLOOKUP(Table1188717[[#This Row],[Opp]],Table4[DEF],Table4[TD]),_xlfn.XLOOKUP(Table1188717[[#This Row],[Opp]],Table44[DEF],Table44[TD]))</f>
        <v>#N/A</v>
      </c>
      <c r="Q10" s="94" t="e">
        <f>AVERAGE(Table1188717[[#This Row],[*R*]:[*TD*]])</f>
        <v>#N/A</v>
      </c>
    </row>
    <row r="11" spans="2:17" hidden="1" x14ac:dyDescent="0.35">
      <c r="B11" s="6" t="s">
        <v>325</v>
      </c>
      <c r="C11" s="97" t="s">
        <v>48</v>
      </c>
      <c r="D11" s="97" t="s">
        <v>395</v>
      </c>
      <c r="E11" s="23" t="str" cm="1">
        <f t="array" ref="E11">_xlfn.XLOOKUP(Table1188717[[#This Row],[Team]],Table4334[Team],'2425'!$C$3:$C$34)</f>
        <v>n/a</v>
      </c>
      <c r="F11" s="97" t="str">
        <f>'2025'!$E$26</f>
        <v>n/a</v>
      </c>
      <c r="G11" s="94" t="e" cm="1">
        <f t="array" ref="G11">IF(Table1188717[[#This Row],[Pos.]]="RB1",_xlfn.XLOOKUP(Table1188717[[#This Row],[Opp]],Table4[DEF],'2025'!$H$38:$H$69),_xlfn.XLOOKUP(Table1188717[[#This Row],[Opp]],Table44[DEF],'2025'!$U$38:$U$69))</f>
        <v>#N/A</v>
      </c>
      <c r="H11" s="94" t="e" cm="1">
        <f t="array" ref="H11">IF(Table1188717[[#This Row],[Pos.]]="RB1",_xlfn.XLOOKUP(Table1188717[[#This Row],[Opp]],Table4[DEF],'2025'!$I$38:$I$69),_xlfn.XLOOKUP(Table1188717[[#This Row],[Opp]],Table4[DEF],'2025'!$V$38:$V$69))</f>
        <v>#N/A</v>
      </c>
      <c r="I11" s="94" t="e" cm="1">
        <f t="array" ref="I11">IF(Table1188717[[#This Row],[Pos.]]="RB1",_xlfn.XLOOKUP(Table1188717[[#This Row],[Opp]],Table4[DEF],'2025'!$J$38:$J$69),_xlfn.XLOOKUP(Table1188717[[#This Row],[Opp]],Table4[DEF],'2025'!$W$38:$W$69))</f>
        <v>#N/A</v>
      </c>
      <c r="J11" s="94" t="e" cm="1">
        <f t="array" ref="J11">IF(Table1188717[[#This Row],[Pos.]]="RB1",_xlfn.XLOOKUP(Table1188717[[#This Row],[Opp]],Table4[DEF],'2025'!$K$38:$K$69),_xlfn.XLOOKUP(Table1188717[[#This Row],[Opp]],Table4[DEF],'2025'!$X$38:$X$69))</f>
        <v>#N/A</v>
      </c>
      <c r="K11" s="94" t="e" cm="1">
        <f t="array" ref="K11">IF(Table1188717[[#This Row],[Pos.]]="RB1",_xlfn.XLOOKUP(Table1188717[[#This Row],[Opp]],Table4[DEF],'2025'!$L$38:$L$69),_xlfn.XLOOKUP(Table1188717[[#This Row],[Opp]],Table4[DEF],'2025'!$Y$38:$Y$69))</f>
        <v>#N/A</v>
      </c>
      <c r="L11" s="95" t="e">
        <f>IF(Table1188717[[#This Row],[Pos.]]="RB1",_xlfn.XLOOKUP(Table1188717[[#This Row],[Opp]],Table4[DEF],Table4[R]),_xlfn.XLOOKUP(Table1188717[[#This Row],[Opp]],Table44[DEF],Table44[R]))</f>
        <v>#N/A</v>
      </c>
      <c r="M11" s="96" t="e">
        <f>IF(Table1188717[[#This Row],[Pos.]]="RB1",_xlfn.XLOOKUP(Table1188717[[#This Row],[Opp]],Table4[DEF],Table4[REC]),_xlfn.XLOOKUP(Table1188717[[#This Row],[Opp]],Table44[DEF],Table44[REC]))</f>
        <v>#N/A</v>
      </c>
      <c r="N11" s="95" t="e">
        <f>IF(Table1188717[[#This Row],[Pos.]]="RB1",_xlfn.XLOOKUP(Table1188717[[#This Row],[Opp]],Table4[DEF],Table4[Y]),_xlfn.XLOOKUP(Table1188717[[#This Row],[Opp]],Table44[DEF],Table44[Y]))</f>
        <v>#N/A</v>
      </c>
      <c r="O11" s="95" t="e">
        <f>IF(Table1188717[[#This Row],[Pos.]]="RB1",_xlfn.XLOOKUP(Table1188717[[#This Row],[Opp]],Table4[DEF],Table4[R+R]),_xlfn.XLOOKUP(Table1188717[[#This Row],[Opp]],Table44[DEF],Table44[R+R]))</f>
        <v>#N/A</v>
      </c>
      <c r="P11" s="96" t="e">
        <f>IF(Table1188717[[#This Row],[Pos.]]="RB1",_xlfn.XLOOKUP(Table1188717[[#This Row],[Opp]],Table4[DEF],Table4[TD]),_xlfn.XLOOKUP(Table1188717[[#This Row],[Opp]],Table44[DEF],Table44[TD]))</f>
        <v>#N/A</v>
      </c>
      <c r="Q11" s="94" t="e">
        <f>AVERAGE(Table1188717[[#This Row],[*R*]:[*TD*]])</f>
        <v>#N/A</v>
      </c>
    </row>
    <row r="12" spans="2:17" hidden="1" x14ac:dyDescent="0.35">
      <c r="B12" s="6" t="s">
        <v>119</v>
      </c>
      <c r="C12" s="97" t="s">
        <v>15</v>
      </c>
      <c r="D12" s="97" t="s">
        <v>395</v>
      </c>
      <c r="E12" s="23" t="str" cm="1">
        <f t="array" ref="E12">_xlfn.XLOOKUP(Table1188717[[#This Row],[Team]],Table4334[Team],'2425'!$C$3:$C$34)</f>
        <v>n/a</v>
      </c>
      <c r="F12" s="97" t="str">
        <f>'2025'!$E$4</f>
        <v>n/a</v>
      </c>
      <c r="G12" s="94" t="e" cm="1">
        <f t="array" ref="G12">IF(Table1188717[[#This Row],[Pos.]]="RB1",_xlfn.XLOOKUP(Table1188717[[#This Row],[Opp]],Table4[DEF],'2025'!$H$38:$H$69),_xlfn.XLOOKUP(Table1188717[[#This Row],[Opp]],Table44[DEF],'2025'!$U$38:$U$69))</f>
        <v>#N/A</v>
      </c>
      <c r="H12" s="94" t="e" cm="1">
        <f t="array" ref="H12">IF(Table1188717[[#This Row],[Pos.]]="RB1",_xlfn.XLOOKUP(Table1188717[[#This Row],[Opp]],Table4[DEF],'2025'!$I$38:$I$69),_xlfn.XLOOKUP(Table1188717[[#This Row],[Opp]],Table4[DEF],'2025'!$V$38:$V$69))</f>
        <v>#N/A</v>
      </c>
      <c r="I12" s="94" t="e" cm="1">
        <f t="array" ref="I12">IF(Table1188717[[#This Row],[Pos.]]="RB1",_xlfn.XLOOKUP(Table1188717[[#This Row],[Opp]],Table4[DEF],'2025'!$J$38:$J$69),_xlfn.XLOOKUP(Table1188717[[#This Row],[Opp]],Table4[DEF],'2025'!$W$38:$W$69))</f>
        <v>#N/A</v>
      </c>
      <c r="J12" s="94" t="e" cm="1">
        <f t="array" ref="J12">IF(Table1188717[[#This Row],[Pos.]]="RB1",_xlfn.XLOOKUP(Table1188717[[#This Row],[Opp]],Table4[DEF],'2025'!$K$38:$K$69),_xlfn.XLOOKUP(Table1188717[[#This Row],[Opp]],Table4[DEF],'2025'!$X$38:$X$69))</f>
        <v>#N/A</v>
      </c>
      <c r="K12" s="94" t="e" cm="1">
        <f t="array" ref="K12">IF(Table1188717[[#This Row],[Pos.]]="RB1",_xlfn.XLOOKUP(Table1188717[[#This Row],[Opp]],Table4[DEF],'2025'!$L$38:$L$69),_xlfn.XLOOKUP(Table1188717[[#This Row],[Opp]],Table4[DEF],'2025'!$Y$38:$Y$69))</f>
        <v>#N/A</v>
      </c>
      <c r="L12" s="95" t="e">
        <f>IF(Table1188717[[#This Row],[Pos.]]="RB1",_xlfn.XLOOKUP(Table1188717[[#This Row],[Opp]],Table4[DEF],Table4[R]),_xlfn.XLOOKUP(Table1188717[[#This Row],[Opp]],Table44[DEF],Table44[R]))</f>
        <v>#N/A</v>
      </c>
      <c r="M12" s="96" t="e">
        <f>IF(Table1188717[[#This Row],[Pos.]]="RB1",_xlfn.XLOOKUP(Table1188717[[#This Row],[Opp]],Table4[DEF],Table4[REC]),_xlfn.XLOOKUP(Table1188717[[#This Row],[Opp]],Table44[DEF],Table44[REC]))</f>
        <v>#N/A</v>
      </c>
      <c r="N12" s="95" t="e">
        <f>IF(Table1188717[[#This Row],[Pos.]]="RB1",_xlfn.XLOOKUP(Table1188717[[#This Row],[Opp]],Table4[DEF],Table4[Y]),_xlfn.XLOOKUP(Table1188717[[#This Row],[Opp]],Table44[DEF],Table44[Y]))</f>
        <v>#N/A</v>
      </c>
      <c r="O12" s="95" t="e">
        <f>IF(Table1188717[[#This Row],[Pos.]]="RB1",_xlfn.XLOOKUP(Table1188717[[#This Row],[Opp]],Table4[DEF],Table4[R+R]),_xlfn.XLOOKUP(Table1188717[[#This Row],[Opp]],Table44[DEF],Table44[R+R]))</f>
        <v>#N/A</v>
      </c>
      <c r="P12" s="96" t="e">
        <f>IF(Table1188717[[#This Row],[Pos.]]="RB1",_xlfn.XLOOKUP(Table1188717[[#This Row],[Opp]],Table4[DEF],Table4[TD]),_xlfn.XLOOKUP(Table1188717[[#This Row],[Opp]],Table44[DEF],Table44[TD]))</f>
        <v>#N/A</v>
      </c>
      <c r="Q12" s="94" t="e">
        <f>AVERAGE(Table1188717[[#This Row],[*R*]:[*TD*]])</f>
        <v>#N/A</v>
      </c>
    </row>
    <row r="13" spans="2:17" hidden="1" x14ac:dyDescent="0.35">
      <c r="B13" s="6" t="s">
        <v>247</v>
      </c>
      <c r="C13" s="97" t="s">
        <v>40</v>
      </c>
      <c r="D13" s="97" t="s">
        <v>396</v>
      </c>
      <c r="E13" s="23" t="str" cm="1">
        <f t="array" ref="E13">_xlfn.XLOOKUP(Table1188717[[#This Row],[Team]],Table4334[Team],'2425'!$C$3:$C$34)</f>
        <v>n/a</v>
      </c>
      <c r="F13" s="97" t="str">
        <f>'2025'!$E$18</f>
        <v>n/a</v>
      </c>
      <c r="G13" s="94" t="e" cm="1">
        <f t="array" ref="G13">IF(Table1188717[[#This Row],[Pos.]]="RB1",_xlfn.XLOOKUP(Table1188717[[#This Row],[Opp]],Table4[DEF],'2025'!$H$38:$H$69),_xlfn.XLOOKUP(Table1188717[[#This Row],[Opp]],Table44[DEF],'2025'!$U$38:$U$69))</f>
        <v>#N/A</v>
      </c>
      <c r="H13" s="94" t="e" cm="1">
        <f t="array" ref="H13">IF(Table1188717[[#This Row],[Pos.]]="RB1",_xlfn.XLOOKUP(Table1188717[[#This Row],[Opp]],Table4[DEF],'2025'!$I$38:$I$69),_xlfn.XLOOKUP(Table1188717[[#This Row],[Opp]],Table4[DEF],'2025'!$V$38:$V$69))</f>
        <v>#N/A</v>
      </c>
      <c r="I13" s="94" t="e" cm="1">
        <f t="array" ref="I13">IF(Table1188717[[#This Row],[Pos.]]="RB1",_xlfn.XLOOKUP(Table1188717[[#This Row],[Opp]],Table4[DEF],'2025'!$J$38:$J$69),_xlfn.XLOOKUP(Table1188717[[#This Row],[Opp]],Table4[DEF],'2025'!$W$38:$W$69))</f>
        <v>#N/A</v>
      </c>
      <c r="J13" s="94" t="e" cm="1">
        <f t="array" ref="J13">IF(Table1188717[[#This Row],[Pos.]]="RB1",_xlfn.XLOOKUP(Table1188717[[#This Row],[Opp]],Table4[DEF],'2025'!$K$38:$K$69),_xlfn.XLOOKUP(Table1188717[[#This Row],[Opp]],Table4[DEF],'2025'!$X$38:$X$69))</f>
        <v>#N/A</v>
      </c>
      <c r="K13" s="94" t="e" cm="1">
        <f t="array" ref="K13">IF(Table1188717[[#This Row],[Pos.]]="RB1",_xlfn.XLOOKUP(Table1188717[[#This Row],[Opp]],Table4[DEF],'2025'!$L$38:$L$69),_xlfn.XLOOKUP(Table1188717[[#This Row],[Opp]],Table4[DEF],'2025'!$Y$38:$Y$69))</f>
        <v>#N/A</v>
      </c>
      <c r="L13" s="95" t="e">
        <f>IF(Table1188717[[#This Row],[Pos.]]="RB1",_xlfn.XLOOKUP(Table1188717[[#This Row],[Opp]],Table4[DEF],Table4[R]),_xlfn.XLOOKUP(Table1188717[[#This Row],[Opp]],Table44[DEF],Table44[R]))</f>
        <v>#N/A</v>
      </c>
      <c r="M13" s="96" t="e">
        <f>IF(Table1188717[[#This Row],[Pos.]]="RB1",_xlfn.XLOOKUP(Table1188717[[#This Row],[Opp]],Table4[DEF],Table4[REC]),_xlfn.XLOOKUP(Table1188717[[#This Row],[Opp]],Table44[DEF],Table44[REC]))</f>
        <v>#N/A</v>
      </c>
      <c r="N13" s="95" t="e">
        <f>IF(Table1188717[[#This Row],[Pos.]]="RB1",_xlfn.XLOOKUP(Table1188717[[#This Row],[Opp]],Table4[DEF],Table4[Y]),_xlfn.XLOOKUP(Table1188717[[#This Row],[Opp]],Table44[DEF],Table44[Y]))</f>
        <v>#N/A</v>
      </c>
      <c r="O13" s="95" t="e">
        <f>IF(Table1188717[[#This Row],[Pos.]]="RB1",_xlfn.XLOOKUP(Table1188717[[#This Row],[Opp]],Table4[DEF],Table4[R+R]),_xlfn.XLOOKUP(Table1188717[[#This Row],[Opp]],Table44[DEF],Table44[R+R]))</f>
        <v>#N/A</v>
      </c>
      <c r="P13" s="96" t="e">
        <f>IF(Table1188717[[#This Row],[Pos.]]="RB1",_xlfn.XLOOKUP(Table1188717[[#This Row],[Opp]],Table4[DEF],Table4[TD]),_xlfn.XLOOKUP(Table1188717[[#This Row],[Opp]],Table44[DEF],Table44[TD]))</f>
        <v>#N/A</v>
      </c>
      <c r="Q13" s="94" t="e">
        <f>AVERAGE(Table1188717[[#This Row],[*R*]:[*TD*]])</f>
        <v>#N/A</v>
      </c>
    </row>
    <row r="14" spans="2:17" hidden="1" x14ac:dyDescent="0.35">
      <c r="B14" s="6" t="s">
        <v>248</v>
      </c>
      <c r="C14" s="97" t="s">
        <v>40</v>
      </c>
      <c r="D14" s="97" t="s">
        <v>407</v>
      </c>
      <c r="E14" s="23" t="str" cm="1">
        <f t="array" ref="E14">_xlfn.XLOOKUP(Table1188717[[#This Row],[Team]],Table4334[Team],'2425'!$C$3:$C$34)</f>
        <v>n/a</v>
      </c>
      <c r="F14" s="97" t="str">
        <f>'2025'!$E$18</f>
        <v>n/a</v>
      </c>
      <c r="G14" s="94" t="e" cm="1">
        <f t="array" ref="G14">IF(Table1188717[[#This Row],[Pos.]]="RB1",_xlfn.XLOOKUP(Table1188717[[#This Row],[Opp]],Table4[DEF],'2025'!$H$38:$H$69),_xlfn.XLOOKUP(Table1188717[[#This Row],[Opp]],Table44[DEF],'2025'!$U$38:$U$69))</f>
        <v>#N/A</v>
      </c>
      <c r="H14" s="94" t="e" cm="1">
        <f t="array" ref="H14">IF(Table1188717[[#This Row],[Pos.]]="RB1",_xlfn.XLOOKUP(Table1188717[[#This Row],[Opp]],Table4[DEF],'2025'!$I$38:$I$69),_xlfn.XLOOKUP(Table1188717[[#This Row],[Opp]],Table4[DEF],'2025'!$V$38:$V$69))</f>
        <v>#N/A</v>
      </c>
      <c r="I14" s="94" t="e" cm="1">
        <f t="array" ref="I14">IF(Table1188717[[#This Row],[Pos.]]="RB1",_xlfn.XLOOKUP(Table1188717[[#This Row],[Opp]],Table4[DEF],'2025'!$J$38:$J$69),_xlfn.XLOOKUP(Table1188717[[#This Row],[Opp]],Table4[DEF],'2025'!$W$38:$W$69))</f>
        <v>#N/A</v>
      </c>
      <c r="J14" s="94" t="e" cm="1">
        <f t="array" ref="J14">IF(Table1188717[[#This Row],[Pos.]]="RB1",_xlfn.XLOOKUP(Table1188717[[#This Row],[Opp]],Table4[DEF],'2025'!$K$38:$K$69),_xlfn.XLOOKUP(Table1188717[[#This Row],[Opp]],Table4[DEF],'2025'!$X$38:$X$69))</f>
        <v>#N/A</v>
      </c>
      <c r="K14" s="94" t="e" cm="1">
        <f t="array" ref="K14">IF(Table1188717[[#This Row],[Pos.]]="RB1",_xlfn.XLOOKUP(Table1188717[[#This Row],[Opp]],Table4[DEF],'2025'!$L$38:$L$69),_xlfn.XLOOKUP(Table1188717[[#This Row],[Opp]],Table4[DEF],'2025'!$Y$38:$Y$69))</f>
        <v>#N/A</v>
      </c>
      <c r="L14" s="95" t="e">
        <f>IF(Table1188717[[#This Row],[Pos.]]="RB1",_xlfn.XLOOKUP(Table1188717[[#This Row],[Opp]],Table4[DEF],Table4[R]),_xlfn.XLOOKUP(Table1188717[[#This Row],[Opp]],Table44[DEF],Table44[R]))</f>
        <v>#N/A</v>
      </c>
      <c r="M14" s="96" t="e">
        <f>IF(Table1188717[[#This Row],[Pos.]]="RB1",_xlfn.XLOOKUP(Table1188717[[#This Row],[Opp]],Table4[DEF],Table4[REC]),_xlfn.XLOOKUP(Table1188717[[#This Row],[Opp]],Table44[DEF],Table44[REC]))</f>
        <v>#N/A</v>
      </c>
      <c r="N14" s="95" t="e">
        <f>IF(Table1188717[[#This Row],[Pos.]]="RB1",_xlfn.XLOOKUP(Table1188717[[#This Row],[Opp]],Table4[DEF],Table4[Y]),_xlfn.XLOOKUP(Table1188717[[#This Row],[Opp]],Table44[DEF],Table44[Y]))</f>
        <v>#N/A</v>
      </c>
      <c r="O14" s="95" t="e">
        <f>IF(Table1188717[[#This Row],[Pos.]]="RB1",_xlfn.XLOOKUP(Table1188717[[#This Row],[Opp]],Table4[DEF],Table4[R+R]),_xlfn.XLOOKUP(Table1188717[[#This Row],[Opp]],Table44[DEF],Table44[R+R]))</f>
        <v>#N/A</v>
      </c>
      <c r="P14" s="96" t="e">
        <f>IF(Table1188717[[#This Row],[Pos.]]="RB1",_xlfn.XLOOKUP(Table1188717[[#This Row],[Opp]],Table4[DEF],Table4[TD]),_xlfn.XLOOKUP(Table1188717[[#This Row],[Opp]],Table44[DEF],Table44[TD]))</f>
        <v>#N/A</v>
      </c>
      <c r="Q14" s="94" t="e">
        <f>AVERAGE(Table1188717[[#This Row],[*R*]:[*TD*]])</f>
        <v>#N/A</v>
      </c>
    </row>
    <row r="15" spans="2:17" hidden="1" x14ac:dyDescent="0.35">
      <c r="B15" s="6" t="s">
        <v>184</v>
      </c>
      <c r="C15" s="97" t="s">
        <v>33</v>
      </c>
      <c r="D15" s="97" t="s">
        <v>395</v>
      </c>
      <c r="E15" s="23" t="str" cm="1">
        <f t="array" ref="E15">_xlfn.XLOOKUP(Table1188717[[#This Row],[Team]],Table4334[Team],'2425'!$C$3:$C$34)</f>
        <v>n/a</v>
      </c>
      <c r="F15" s="97" t="str">
        <f>'2025'!$E$11</f>
        <v>n/a</v>
      </c>
      <c r="G15" s="94" t="e" cm="1">
        <f t="array" ref="G15">IF(Table1188717[[#This Row],[Pos.]]="RB1",_xlfn.XLOOKUP(Table1188717[[#This Row],[Opp]],Table4[DEF],'2025'!$H$38:$H$69),_xlfn.XLOOKUP(Table1188717[[#This Row],[Opp]],Table44[DEF],'2025'!$U$38:$U$69))</f>
        <v>#N/A</v>
      </c>
      <c r="H15" s="94" t="e" cm="1">
        <f t="array" ref="H15">IF(Table1188717[[#This Row],[Pos.]]="RB1",_xlfn.XLOOKUP(Table1188717[[#This Row],[Opp]],Table4[DEF],'2025'!$I$38:$I$69),_xlfn.XLOOKUP(Table1188717[[#This Row],[Opp]],Table4[DEF],'2025'!$V$38:$V$69))</f>
        <v>#N/A</v>
      </c>
      <c r="I15" s="94" t="e" cm="1">
        <f t="array" ref="I15">IF(Table1188717[[#This Row],[Pos.]]="RB1",_xlfn.XLOOKUP(Table1188717[[#This Row],[Opp]],Table4[DEF],'2025'!$J$38:$J$69),_xlfn.XLOOKUP(Table1188717[[#This Row],[Opp]],Table4[DEF],'2025'!$W$38:$W$69))</f>
        <v>#N/A</v>
      </c>
      <c r="J15" s="94" t="e" cm="1">
        <f t="array" ref="J15">IF(Table1188717[[#This Row],[Pos.]]="RB1",_xlfn.XLOOKUP(Table1188717[[#This Row],[Opp]],Table4[DEF],'2025'!$K$38:$K$69),_xlfn.XLOOKUP(Table1188717[[#This Row],[Opp]],Table4[DEF],'2025'!$X$38:$X$69))</f>
        <v>#N/A</v>
      </c>
      <c r="K15" s="94" t="e" cm="1">
        <f t="array" ref="K15">IF(Table1188717[[#This Row],[Pos.]]="RB1",_xlfn.XLOOKUP(Table1188717[[#This Row],[Opp]],Table4[DEF],'2025'!$L$38:$L$69),_xlfn.XLOOKUP(Table1188717[[#This Row],[Opp]],Table4[DEF],'2025'!$Y$38:$Y$69))</f>
        <v>#N/A</v>
      </c>
      <c r="L15" s="95" t="e">
        <f>IF(Table1188717[[#This Row],[Pos.]]="RB1",_xlfn.XLOOKUP(Table1188717[[#This Row],[Opp]],Table4[DEF],Table4[R]),_xlfn.XLOOKUP(Table1188717[[#This Row],[Opp]],Table44[DEF],Table44[R]))</f>
        <v>#N/A</v>
      </c>
      <c r="M15" s="96" t="e">
        <f>IF(Table1188717[[#This Row],[Pos.]]="RB1",_xlfn.XLOOKUP(Table1188717[[#This Row],[Opp]],Table4[DEF],Table4[REC]),_xlfn.XLOOKUP(Table1188717[[#This Row],[Opp]],Table44[DEF],Table44[REC]))</f>
        <v>#N/A</v>
      </c>
      <c r="N15" s="95" t="e">
        <f>IF(Table1188717[[#This Row],[Pos.]]="RB1",_xlfn.XLOOKUP(Table1188717[[#This Row],[Opp]],Table4[DEF],Table4[Y]),_xlfn.XLOOKUP(Table1188717[[#This Row],[Opp]],Table44[DEF],Table44[Y]))</f>
        <v>#N/A</v>
      </c>
      <c r="O15" s="95" t="e">
        <f>IF(Table1188717[[#This Row],[Pos.]]="RB1",_xlfn.XLOOKUP(Table1188717[[#This Row],[Opp]],Table4[DEF],Table4[R+R]),_xlfn.XLOOKUP(Table1188717[[#This Row],[Opp]],Table44[DEF],Table44[R+R]))</f>
        <v>#N/A</v>
      </c>
      <c r="P15" s="96" t="e">
        <f>IF(Table1188717[[#This Row],[Pos.]]="RB1",_xlfn.XLOOKUP(Table1188717[[#This Row],[Opp]],Table4[DEF],Table4[TD]),_xlfn.XLOOKUP(Table1188717[[#This Row],[Opp]],Table44[DEF],Table44[TD]))</f>
        <v>#N/A</v>
      </c>
      <c r="Q15" s="94" t="e">
        <f>AVERAGE(Table1188717[[#This Row],[*R*]:[*TD*]])</f>
        <v>#N/A</v>
      </c>
    </row>
    <row r="16" spans="2:17" hidden="1" x14ac:dyDescent="0.35">
      <c r="B16" s="6" t="s">
        <v>258</v>
      </c>
      <c r="C16" s="97" t="s">
        <v>41</v>
      </c>
      <c r="D16" s="97" t="s">
        <v>396</v>
      </c>
      <c r="E16" s="23" t="str" cm="1">
        <f t="array" ref="E16">_xlfn.XLOOKUP(Table1188717[[#This Row],[Team]],Table4334[Team],'2425'!$C$3:$C$34)</f>
        <v>n/a</v>
      </c>
      <c r="F16" s="97" t="str">
        <f>'2025'!$E$19</f>
        <v>n/a</v>
      </c>
      <c r="G16" s="94" t="e" cm="1">
        <f t="array" ref="G16">IF(Table1188717[[#This Row],[Pos.]]="RB1",_xlfn.XLOOKUP(Table1188717[[#This Row],[Opp]],Table4[DEF],'2025'!$H$38:$H$69),_xlfn.XLOOKUP(Table1188717[[#This Row],[Opp]],Table44[DEF],'2025'!$U$38:$U$69))</f>
        <v>#N/A</v>
      </c>
      <c r="H16" s="94" t="e" cm="1">
        <f t="array" ref="H16">IF(Table1188717[[#This Row],[Pos.]]="RB1",_xlfn.XLOOKUP(Table1188717[[#This Row],[Opp]],Table4[DEF],'2025'!$I$38:$I$69),_xlfn.XLOOKUP(Table1188717[[#This Row],[Opp]],Table4[DEF],'2025'!$V$38:$V$69))</f>
        <v>#N/A</v>
      </c>
      <c r="I16" s="94" t="e" cm="1">
        <f t="array" ref="I16">IF(Table1188717[[#This Row],[Pos.]]="RB1",_xlfn.XLOOKUP(Table1188717[[#This Row],[Opp]],Table4[DEF],'2025'!$J$38:$J$69),_xlfn.XLOOKUP(Table1188717[[#This Row],[Opp]],Table4[DEF],'2025'!$W$38:$W$69))</f>
        <v>#N/A</v>
      </c>
      <c r="J16" s="94" t="e" cm="1">
        <f t="array" ref="J16">IF(Table1188717[[#This Row],[Pos.]]="RB1",_xlfn.XLOOKUP(Table1188717[[#This Row],[Opp]],Table4[DEF],'2025'!$K$38:$K$69),_xlfn.XLOOKUP(Table1188717[[#This Row],[Opp]],Table4[DEF],'2025'!$X$38:$X$69))</f>
        <v>#N/A</v>
      </c>
      <c r="K16" s="94" t="e" cm="1">
        <f t="array" ref="K16">IF(Table1188717[[#This Row],[Pos.]]="RB1",_xlfn.XLOOKUP(Table1188717[[#This Row],[Opp]],Table4[DEF],'2025'!$L$38:$L$69),_xlfn.XLOOKUP(Table1188717[[#This Row],[Opp]],Table4[DEF],'2025'!$Y$38:$Y$69))</f>
        <v>#N/A</v>
      </c>
      <c r="L16" s="95" t="e">
        <f>IF(Table1188717[[#This Row],[Pos.]]="RB1",_xlfn.XLOOKUP(Table1188717[[#This Row],[Opp]],Table4[DEF],Table4[R]),_xlfn.XLOOKUP(Table1188717[[#This Row],[Opp]],Table44[DEF],Table44[R]))</f>
        <v>#N/A</v>
      </c>
      <c r="M16" s="96" t="e">
        <f>IF(Table1188717[[#This Row],[Pos.]]="RB1",_xlfn.XLOOKUP(Table1188717[[#This Row],[Opp]],Table4[DEF],Table4[REC]),_xlfn.XLOOKUP(Table1188717[[#This Row],[Opp]],Table44[DEF],Table44[REC]))</f>
        <v>#N/A</v>
      </c>
      <c r="N16" s="95" t="e">
        <f>IF(Table1188717[[#This Row],[Pos.]]="RB1",_xlfn.XLOOKUP(Table1188717[[#This Row],[Opp]],Table4[DEF],Table4[Y]),_xlfn.XLOOKUP(Table1188717[[#This Row],[Opp]],Table44[DEF],Table44[Y]))</f>
        <v>#N/A</v>
      </c>
      <c r="O16" s="95" t="e">
        <f>IF(Table1188717[[#This Row],[Pos.]]="RB1",_xlfn.XLOOKUP(Table1188717[[#This Row],[Opp]],Table4[DEF],Table4[R+R]),_xlfn.XLOOKUP(Table1188717[[#This Row],[Opp]],Table44[DEF],Table44[R+R]))</f>
        <v>#N/A</v>
      </c>
      <c r="P16" s="96" t="e">
        <f>IF(Table1188717[[#This Row],[Pos.]]="RB1",_xlfn.XLOOKUP(Table1188717[[#This Row],[Opp]],Table4[DEF],Table4[TD]),_xlfn.XLOOKUP(Table1188717[[#This Row],[Opp]],Table44[DEF],Table44[TD]))</f>
        <v>#N/A</v>
      </c>
      <c r="Q16" s="94" t="e">
        <f>AVERAGE(Table1188717[[#This Row],[*R*]:[*TD*]])</f>
        <v>#N/A</v>
      </c>
    </row>
    <row r="17" spans="2:17" hidden="1" x14ac:dyDescent="0.35">
      <c r="B17" s="6" t="s">
        <v>257</v>
      </c>
      <c r="C17" s="97" t="s">
        <v>41</v>
      </c>
      <c r="D17" s="97" t="s">
        <v>407</v>
      </c>
      <c r="E17" s="23" t="str" cm="1">
        <f t="array" ref="E17">_xlfn.XLOOKUP(Table1188717[[#This Row],[Team]],Table4334[Team],'2425'!$C$3:$C$34)</f>
        <v>n/a</v>
      </c>
      <c r="F17" s="97" t="str">
        <f>'2025'!$E$19</f>
        <v>n/a</v>
      </c>
      <c r="G17" s="94" t="e" cm="1">
        <f t="array" ref="G17">IF(Table1188717[[#This Row],[Pos.]]="RB1",_xlfn.XLOOKUP(Table1188717[[#This Row],[Opp]],Table4[DEF],'2025'!$H$38:$H$69),_xlfn.XLOOKUP(Table1188717[[#This Row],[Opp]],Table44[DEF],'2025'!$U$38:$U$69))</f>
        <v>#N/A</v>
      </c>
      <c r="H17" s="94" t="e" cm="1">
        <f t="array" ref="H17">IF(Table1188717[[#This Row],[Pos.]]="RB1",_xlfn.XLOOKUP(Table1188717[[#This Row],[Opp]],Table4[DEF],'2025'!$I$38:$I$69),_xlfn.XLOOKUP(Table1188717[[#This Row],[Opp]],Table4[DEF],'2025'!$V$38:$V$69))</f>
        <v>#N/A</v>
      </c>
      <c r="I17" s="94" t="e" cm="1">
        <f t="array" ref="I17">IF(Table1188717[[#This Row],[Pos.]]="RB1",_xlfn.XLOOKUP(Table1188717[[#This Row],[Opp]],Table4[DEF],'2025'!$J$38:$J$69),_xlfn.XLOOKUP(Table1188717[[#This Row],[Opp]],Table4[DEF],'2025'!$W$38:$W$69))</f>
        <v>#N/A</v>
      </c>
      <c r="J17" s="94" t="e" cm="1">
        <f t="array" ref="J17">IF(Table1188717[[#This Row],[Pos.]]="RB1",_xlfn.XLOOKUP(Table1188717[[#This Row],[Opp]],Table4[DEF],'2025'!$K$38:$K$69),_xlfn.XLOOKUP(Table1188717[[#This Row],[Opp]],Table4[DEF],'2025'!$X$38:$X$69))</f>
        <v>#N/A</v>
      </c>
      <c r="K17" s="94" t="e" cm="1">
        <f t="array" ref="K17">IF(Table1188717[[#This Row],[Pos.]]="RB1",_xlfn.XLOOKUP(Table1188717[[#This Row],[Opp]],Table4[DEF],'2025'!$L$38:$L$69),_xlfn.XLOOKUP(Table1188717[[#This Row],[Opp]],Table4[DEF],'2025'!$Y$38:$Y$69))</f>
        <v>#N/A</v>
      </c>
      <c r="L17" s="95" t="e">
        <f>IF(Table1188717[[#This Row],[Pos.]]="RB1",_xlfn.XLOOKUP(Table1188717[[#This Row],[Opp]],Table4[DEF],Table4[R]),_xlfn.XLOOKUP(Table1188717[[#This Row],[Opp]],Table44[DEF],Table44[R]))</f>
        <v>#N/A</v>
      </c>
      <c r="M17" s="96" t="e">
        <f>IF(Table1188717[[#This Row],[Pos.]]="RB1",_xlfn.XLOOKUP(Table1188717[[#This Row],[Opp]],Table4[DEF],Table4[REC]),_xlfn.XLOOKUP(Table1188717[[#This Row],[Opp]],Table44[DEF],Table44[REC]))</f>
        <v>#N/A</v>
      </c>
      <c r="N17" s="95" t="e">
        <f>IF(Table1188717[[#This Row],[Pos.]]="RB1",_xlfn.XLOOKUP(Table1188717[[#This Row],[Opp]],Table4[DEF],Table4[Y]),_xlfn.XLOOKUP(Table1188717[[#This Row],[Opp]],Table44[DEF],Table44[Y]))</f>
        <v>#N/A</v>
      </c>
      <c r="O17" s="95" t="e">
        <f>IF(Table1188717[[#This Row],[Pos.]]="RB1",_xlfn.XLOOKUP(Table1188717[[#This Row],[Opp]],Table4[DEF],Table4[R+R]),_xlfn.XLOOKUP(Table1188717[[#This Row],[Opp]],Table44[DEF],Table44[R+R]))</f>
        <v>#N/A</v>
      </c>
      <c r="P17" s="96" t="e">
        <f>IF(Table1188717[[#This Row],[Pos.]]="RB1",_xlfn.XLOOKUP(Table1188717[[#This Row],[Opp]],Table4[DEF],Table4[TD]),_xlfn.XLOOKUP(Table1188717[[#This Row],[Opp]],Table44[DEF],Table44[TD]))</f>
        <v>#N/A</v>
      </c>
      <c r="Q17" s="94" t="e">
        <f>AVERAGE(Table1188717[[#This Row],[*R*]:[*TD*]])</f>
        <v>#N/A</v>
      </c>
    </row>
    <row r="18" spans="2:17" hidden="1" x14ac:dyDescent="0.35">
      <c r="B18" s="6" t="s">
        <v>378</v>
      </c>
      <c r="C18" s="97" t="s">
        <v>55</v>
      </c>
      <c r="D18" s="97" t="s">
        <v>395</v>
      </c>
      <c r="E18" s="23" t="str" cm="1">
        <f t="array" ref="E18">_xlfn.XLOOKUP(Table1188717[[#This Row],[Team]],Table4334[Team],'2425'!$C$3:$C$34)</f>
        <v>n/a</v>
      </c>
      <c r="F18" s="97" t="str">
        <f>'2025'!$E$33</f>
        <v>n/a</v>
      </c>
      <c r="G18" s="94" t="e" cm="1">
        <f t="array" ref="G18">IF(Table1188717[[#This Row],[Pos.]]="RB1",_xlfn.XLOOKUP(Table1188717[[#This Row],[Opp]],Table4[DEF],'2025'!$H$38:$H$69),_xlfn.XLOOKUP(Table1188717[[#This Row],[Opp]],Table44[DEF],'2025'!$U$38:$U$69))</f>
        <v>#N/A</v>
      </c>
      <c r="H18" s="94" t="e" cm="1">
        <f t="array" ref="H18">IF(Table1188717[[#This Row],[Pos.]]="RB1",_xlfn.XLOOKUP(Table1188717[[#This Row],[Opp]],Table4[DEF],'2025'!$I$38:$I$69),_xlfn.XLOOKUP(Table1188717[[#This Row],[Opp]],Table4[DEF],'2025'!$V$38:$V$69))</f>
        <v>#N/A</v>
      </c>
      <c r="I18" s="94" t="e" cm="1">
        <f t="array" ref="I18">IF(Table1188717[[#This Row],[Pos.]]="RB1",_xlfn.XLOOKUP(Table1188717[[#This Row],[Opp]],Table4[DEF],'2025'!$J$38:$J$69),_xlfn.XLOOKUP(Table1188717[[#This Row],[Opp]],Table4[DEF],'2025'!$W$38:$W$69))</f>
        <v>#N/A</v>
      </c>
      <c r="J18" s="94" t="e" cm="1">
        <f t="array" ref="J18">IF(Table1188717[[#This Row],[Pos.]]="RB1",_xlfn.XLOOKUP(Table1188717[[#This Row],[Opp]],Table4[DEF],'2025'!$K$38:$K$69),_xlfn.XLOOKUP(Table1188717[[#This Row],[Opp]],Table4[DEF],'2025'!$X$38:$X$69))</f>
        <v>#N/A</v>
      </c>
      <c r="K18" s="94" t="e" cm="1">
        <f t="array" ref="K18">IF(Table1188717[[#This Row],[Pos.]]="RB1",_xlfn.XLOOKUP(Table1188717[[#This Row],[Opp]],Table4[DEF],'2025'!$L$38:$L$69),_xlfn.XLOOKUP(Table1188717[[#This Row],[Opp]],Table4[DEF],'2025'!$Y$38:$Y$69))</f>
        <v>#N/A</v>
      </c>
      <c r="L18" s="95" t="e">
        <f>IF(Table1188717[[#This Row],[Pos.]]="RB1",_xlfn.XLOOKUP(Table1188717[[#This Row],[Opp]],Table4[DEF],Table4[R]),_xlfn.XLOOKUP(Table1188717[[#This Row],[Opp]],Table44[DEF],Table44[R]))</f>
        <v>#N/A</v>
      </c>
      <c r="M18" s="96" t="e">
        <f>IF(Table1188717[[#This Row],[Pos.]]="RB1",_xlfn.XLOOKUP(Table1188717[[#This Row],[Opp]],Table4[DEF],Table4[REC]),_xlfn.XLOOKUP(Table1188717[[#This Row],[Opp]],Table44[DEF],Table44[REC]))</f>
        <v>#N/A</v>
      </c>
      <c r="N18" s="95" t="e">
        <f>IF(Table1188717[[#This Row],[Pos.]]="RB1",_xlfn.XLOOKUP(Table1188717[[#This Row],[Opp]],Table4[DEF],Table4[Y]),_xlfn.XLOOKUP(Table1188717[[#This Row],[Opp]],Table44[DEF],Table44[Y]))</f>
        <v>#N/A</v>
      </c>
      <c r="O18" s="95" t="e">
        <f>IF(Table1188717[[#This Row],[Pos.]]="RB1",_xlfn.XLOOKUP(Table1188717[[#This Row],[Opp]],Table4[DEF],Table4[R+R]),_xlfn.XLOOKUP(Table1188717[[#This Row],[Opp]],Table44[DEF],Table44[R+R]))</f>
        <v>#N/A</v>
      </c>
      <c r="P18" s="96" t="e">
        <f>IF(Table1188717[[#This Row],[Pos.]]="RB1",_xlfn.XLOOKUP(Table1188717[[#This Row],[Opp]],Table4[DEF],Table4[TD]),_xlfn.XLOOKUP(Table1188717[[#This Row],[Opp]],Table44[DEF],Table44[TD]))</f>
        <v>#N/A</v>
      </c>
      <c r="Q18" s="94" t="e">
        <f>AVERAGE(Table1188717[[#This Row],[*R*]:[*TD*]])</f>
        <v>#N/A</v>
      </c>
    </row>
    <row r="19" spans="2:17" hidden="1" x14ac:dyDescent="0.35">
      <c r="B19" s="6" t="s">
        <v>174</v>
      </c>
      <c r="C19" s="97" t="s">
        <v>32</v>
      </c>
      <c r="D19" s="97" t="s">
        <v>395</v>
      </c>
      <c r="E19" s="23" t="str" cm="1">
        <f t="array" ref="E19">_xlfn.XLOOKUP(Table1188717[[#This Row],[Team]],Table4334[Team],'2425'!$C$3:$C$34)</f>
        <v>n/a</v>
      </c>
      <c r="F19" s="97" t="str">
        <f>'2025'!$E$10</f>
        <v>n/a</v>
      </c>
      <c r="G19" s="94" t="e" cm="1">
        <f t="array" ref="G19">IF(Table1188717[[#This Row],[Pos.]]="RB1",_xlfn.XLOOKUP(Table1188717[[#This Row],[Opp]],Table4[DEF],'2025'!$H$38:$H$69),_xlfn.XLOOKUP(Table1188717[[#This Row],[Opp]],Table44[DEF],'2025'!$U$38:$U$69))</f>
        <v>#N/A</v>
      </c>
      <c r="H19" s="94" t="e" cm="1">
        <f t="array" ref="H19">IF(Table1188717[[#This Row],[Pos.]]="RB1",_xlfn.XLOOKUP(Table1188717[[#This Row],[Opp]],Table4[DEF],'2025'!$I$38:$I$69),_xlfn.XLOOKUP(Table1188717[[#This Row],[Opp]],Table4[DEF],'2025'!$V$38:$V$69))</f>
        <v>#N/A</v>
      </c>
      <c r="I19" s="94" t="e" cm="1">
        <f t="array" ref="I19">IF(Table1188717[[#This Row],[Pos.]]="RB1",_xlfn.XLOOKUP(Table1188717[[#This Row],[Opp]],Table4[DEF],'2025'!$J$38:$J$69),_xlfn.XLOOKUP(Table1188717[[#This Row],[Opp]],Table4[DEF],'2025'!$W$38:$W$69))</f>
        <v>#N/A</v>
      </c>
      <c r="J19" s="94" t="e" cm="1">
        <f t="array" ref="J19">IF(Table1188717[[#This Row],[Pos.]]="RB1",_xlfn.XLOOKUP(Table1188717[[#This Row],[Opp]],Table4[DEF],'2025'!$K$38:$K$69),_xlfn.XLOOKUP(Table1188717[[#This Row],[Opp]],Table4[DEF],'2025'!$X$38:$X$69))</f>
        <v>#N/A</v>
      </c>
      <c r="K19" s="94" t="e" cm="1">
        <f t="array" ref="K19">IF(Table1188717[[#This Row],[Pos.]]="RB1",_xlfn.XLOOKUP(Table1188717[[#This Row],[Opp]],Table4[DEF],'2025'!$L$38:$L$69),_xlfn.XLOOKUP(Table1188717[[#This Row],[Opp]],Table4[DEF],'2025'!$Y$38:$Y$69))</f>
        <v>#N/A</v>
      </c>
      <c r="L19" s="95" t="e">
        <f>IF(Table1188717[[#This Row],[Pos.]]="RB1",_xlfn.XLOOKUP(Table1188717[[#This Row],[Opp]],Table4[DEF],Table4[R]),_xlfn.XLOOKUP(Table1188717[[#This Row],[Opp]],Table44[DEF],Table44[R]))</f>
        <v>#N/A</v>
      </c>
      <c r="M19" s="96" t="e">
        <f>IF(Table1188717[[#This Row],[Pos.]]="RB1",_xlfn.XLOOKUP(Table1188717[[#This Row],[Opp]],Table4[DEF],Table4[REC]),_xlfn.XLOOKUP(Table1188717[[#This Row],[Opp]],Table44[DEF],Table44[REC]))</f>
        <v>#N/A</v>
      </c>
      <c r="N19" s="95" t="e">
        <f>IF(Table1188717[[#This Row],[Pos.]]="RB1",_xlfn.XLOOKUP(Table1188717[[#This Row],[Opp]],Table4[DEF],Table4[Y]),_xlfn.XLOOKUP(Table1188717[[#This Row],[Opp]],Table44[DEF],Table44[Y]))</f>
        <v>#N/A</v>
      </c>
      <c r="O19" s="95" t="e">
        <f>IF(Table1188717[[#This Row],[Pos.]]="RB1",_xlfn.XLOOKUP(Table1188717[[#This Row],[Opp]],Table4[DEF],Table4[R+R]),_xlfn.XLOOKUP(Table1188717[[#This Row],[Opp]],Table44[DEF],Table44[R+R]))</f>
        <v>#N/A</v>
      </c>
      <c r="P19" s="96" t="e">
        <f>IF(Table1188717[[#This Row],[Pos.]]="RB1",_xlfn.XLOOKUP(Table1188717[[#This Row],[Opp]],Table4[DEF],Table4[TD]),_xlfn.XLOOKUP(Table1188717[[#This Row],[Opp]],Table44[DEF],Table44[TD]))</f>
        <v>#N/A</v>
      </c>
      <c r="Q19" s="94" t="e">
        <f>AVERAGE(Table1188717[[#This Row],[*R*]:[*TD*]])</f>
        <v>#N/A</v>
      </c>
    </row>
    <row r="20" spans="2:17" hidden="1" x14ac:dyDescent="0.35">
      <c r="B20" s="6" t="s">
        <v>306</v>
      </c>
      <c r="C20" s="97" t="s">
        <v>46</v>
      </c>
      <c r="D20" s="97" t="s">
        <v>396</v>
      </c>
      <c r="E20" s="23" t="str" cm="1">
        <f t="array" ref="E20">_xlfn.XLOOKUP(Table1188717[[#This Row],[Team]],Table4334[Team],'2425'!$C$3:$C$34)</f>
        <v>SB LX</v>
      </c>
      <c r="F20" s="97" t="str">
        <f>'2025'!$E$24</f>
        <v>SEA</v>
      </c>
      <c r="G20" s="94" cm="1">
        <f t="array" ref="G20">IF(Table1188717[[#This Row],[Pos.]]="RB1",_xlfn.XLOOKUP(Table1188717[[#This Row],[Opp]],Table4[DEF],'2025'!$H$38:$H$69),_xlfn.XLOOKUP(Table1188717[[#This Row],[Opp]],Table44[DEF],'2025'!$U$38:$U$69))</f>
        <v>28</v>
      </c>
      <c r="H20" s="94" cm="1">
        <f t="array" ref="H20">IF(Table1188717[[#This Row],[Pos.]]="RB1",_xlfn.XLOOKUP(Table1188717[[#This Row],[Opp]],Table4[DEF],'2025'!$I$38:$I$69),_xlfn.XLOOKUP(Table1188717[[#This Row],[Opp]],Table4[DEF],'2025'!$V$38:$V$69))</f>
        <v>2.5</v>
      </c>
      <c r="I20" s="94" cm="1">
        <f t="array" ref="I20">IF(Table1188717[[#This Row],[Pos.]]="RB1",_xlfn.XLOOKUP(Table1188717[[#This Row],[Opp]],Table4[DEF],'2025'!$J$38:$J$69),_xlfn.XLOOKUP(Table1188717[[#This Row],[Opp]],Table4[DEF],'2025'!$W$38:$W$69))</f>
        <v>10</v>
      </c>
      <c r="J20" s="94" cm="1">
        <f t="array" ref="J20">IF(Table1188717[[#This Row],[Pos.]]="RB1",_xlfn.XLOOKUP(Table1188717[[#This Row],[Opp]],Table4[DEF],'2025'!$K$38:$K$69),_xlfn.XLOOKUP(Table1188717[[#This Row],[Opp]],Table4[DEF],'2025'!$X$38:$X$69))</f>
        <v>28</v>
      </c>
      <c r="K20" s="94" cm="1">
        <f t="array" ref="K20">IF(Table1188717[[#This Row],[Pos.]]="RB1",_xlfn.XLOOKUP(Table1188717[[#This Row],[Opp]],Table4[DEF],'2025'!$L$38:$L$69),_xlfn.XLOOKUP(Table1188717[[#This Row],[Opp]],Table4[DEF],'2025'!$Y$38:$Y$69))</f>
        <v>27.5</v>
      </c>
      <c r="L20" s="95">
        <f>IF(Table1188717[[#This Row],[Pos.]]="RB1",_xlfn.XLOOKUP(Table1188717[[#This Row],[Opp]],Table4[DEF],Table4[R]),_xlfn.XLOOKUP(Table1188717[[#This Row],[Opp]],Table44[DEF],Table44[R]))</f>
        <v>20.588235294117649</v>
      </c>
      <c r="M20" s="96">
        <f>IF(Table1188717[[#This Row],[Pos.]]="RB1",_xlfn.XLOOKUP(Table1188717[[#This Row],[Opp]],Table4[DEF],Table4[REC]),_xlfn.XLOOKUP(Table1188717[[#This Row],[Opp]],Table44[DEF],Table44[REC]))</f>
        <v>2.1764705882352939</v>
      </c>
      <c r="N20" s="95">
        <f>IF(Table1188717[[#This Row],[Pos.]]="RB1",_xlfn.XLOOKUP(Table1188717[[#This Row],[Opp]],Table4[DEF],Table4[Y]),_xlfn.XLOOKUP(Table1188717[[#This Row],[Opp]],Table44[DEF],Table44[Y]))</f>
        <v>12</v>
      </c>
      <c r="O20" s="95">
        <f>IF(Table1188717[[#This Row],[Pos.]]="RB1",_xlfn.XLOOKUP(Table1188717[[#This Row],[Opp]],Table4[DEF],Table4[R+R]),_xlfn.XLOOKUP(Table1188717[[#This Row],[Opp]],Table44[DEF],Table44[R+R]))</f>
        <v>32.588235294117652</v>
      </c>
      <c r="P20" s="96">
        <f>IF(Table1188717[[#This Row],[Pos.]]="RB1",_xlfn.XLOOKUP(Table1188717[[#This Row],[Opp]],Table4[DEF],Table4[TD]),_xlfn.XLOOKUP(Table1188717[[#This Row],[Opp]],Table44[DEF],Table44[TD]))</f>
        <v>0.11764705882352941</v>
      </c>
      <c r="Q20" s="94">
        <f>AVERAGE(Table1188717[[#This Row],[*R*]:[*TD*]])</f>
        <v>19.2</v>
      </c>
    </row>
    <row r="21" spans="2:17" hidden="1" x14ac:dyDescent="0.35">
      <c r="B21" s="6" t="s">
        <v>449</v>
      </c>
      <c r="C21" s="97" t="s">
        <v>46</v>
      </c>
      <c r="D21" s="97" t="s">
        <v>407</v>
      </c>
      <c r="E21" s="23" t="str" cm="1">
        <f t="array" ref="E21">_xlfn.XLOOKUP(Table1188717[[#This Row],[Team]],Table4334[Team],'2425'!$C$3:$C$34)</f>
        <v>SB LX</v>
      </c>
      <c r="F21" s="97" t="str">
        <f>'2025'!$E$24</f>
        <v>SEA</v>
      </c>
      <c r="G21" s="94" cm="1">
        <f t="array" ref="G21">IF(Table1188717[[#This Row],[Pos.]]="RB1",_xlfn.XLOOKUP(Table1188717[[#This Row],[Opp]],Table4[DEF],'2025'!$H$38:$H$69),_xlfn.XLOOKUP(Table1188717[[#This Row],[Opp]],Table44[DEF],'2025'!$U$38:$U$69))</f>
        <v>28</v>
      </c>
      <c r="H21" s="94" cm="1">
        <f t="array" ref="H21">IF(Table1188717[[#This Row],[Pos.]]="RB1",_xlfn.XLOOKUP(Table1188717[[#This Row],[Opp]],Table4[DEF],'2025'!$I$38:$I$69),_xlfn.XLOOKUP(Table1188717[[#This Row],[Opp]],Table4[DEF],'2025'!$V$38:$V$69))</f>
        <v>2.5</v>
      </c>
      <c r="I21" s="94" cm="1">
        <f t="array" ref="I21">IF(Table1188717[[#This Row],[Pos.]]="RB1",_xlfn.XLOOKUP(Table1188717[[#This Row],[Opp]],Table4[DEF],'2025'!$J$38:$J$69),_xlfn.XLOOKUP(Table1188717[[#This Row],[Opp]],Table4[DEF],'2025'!$W$38:$W$69))</f>
        <v>10</v>
      </c>
      <c r="J21" s="94" cm="1">
        <f t="array" ref="J21">IF(Table1188717[[#This Row],[Pos.]]="RB1",_xlfn.XLOOKUP(Table1188717[[#This Row],[Opp]],Table4[DEF],'2025'!$K$38:$K$69),_xlfn.XLOOKUP(Table1188717[[#This Row],[Opp]],Table4[DEF],'2025'!$X$38:$X$69))</f>
        <v>28</v>
      </c>
      <c r="K21" s="94" cm="1">
        <f t="array" ref="K21">IF(Table1188717[[#This Row],[Pos.]]="RB1",_xlfn.XLOOKUP(Table1188717[[#This Row],[Opp]],Table4[DEF],'2025'!$L$38:$L$69),_xlfn.XLOOKUP(Table1188717[[#This Row],[Opp]],Table4[DEF],'2025'!$Y$38:$Y$69))</f>
        <v>27.5</v>
      </c>
      <c r="L21" s="95">
        <f>IF(Table1188717[[#This Row],[Pos.]]="RB1",_xlfn.XLOOKUP(Table1188717[[#This Row],[Opp]],Table4[DEF],Table4[R]),_xlfn.XLOOKUP(Table1188717[[#This Row],[Opp]],Table44[DEF],Table44[R]))</f>
        <v>20.588235294117649</v>
      </c>
      <c r="M21" s="96">
        <f>IF(Table1188717[[#This Row],[Pos.]]="RB1",_xlfn.XLOOKUP(Table1188717[[#This Row],[Opp]],Table4[DEF],Table4[REC]),_xlfn.XLOOKUP(Table1188717[[#This Row],[Opp]],Table44[DEF],Table44[REC]))</f>
        <v>2.1764705882352939</v>
      </c>
      <c r="N21" s="95">
        <f>IF(Table1188717[[#This Row],[Pos.]]="RB1",_xlfn.XLOOKUP(Table1188717[[#This Row],[Opp]],Table4[DEF],Table4[Y]),_xlfn.XLOOKUP(Table1188717[[#This Row],[Opp]],Table44[DEF],Table44[Y]))</f>
        <v>12</v>
      </c>
      <c r="O21" s="95">
        <f>IF(Table1188717[[#This Row],[Pos.]]="RB1",_xlfn.XLOOKUP(Table1188717[[#This Row],[Opp]],Table4[DEF],Table4[R+R]),_xlfn.XLOOKUP(Table1188717[[#This Row],[Opp]],Table44[DEF],Table44[R+R]))</f>
        <v>32.588235294117652</v>
      </c>
      <c r="P21" s="96">
        <f>IF(Table1188717[[#This Row],[Pos.]]="RB1",_xlfn.XLOOKUP(Table1188717[[#This Row],[Opp]],Table4[DEF],Table4[TD]),_xlfn.XLOOKUP(Table1188717[[#This Row],[Opp]],Table44[DEF],Table44[TD]))</f>
        <v>0.11764705882352941</v>
      </c>
      <c r="Q21" s="94">
        <f>AVERAGE(Table1188717[[#This Row],[*R*]:[*TD*]])</f>
        <v>19.2</v>
      </c>
    </row>
    <row r="22" spans="2:17" hidden="1" x14ac:dyDescent="0.35">
      <c r="B22" s="6" t="s">
        <v>295</v>
      </c>
      <c r="C22" s="97" t="s">
        <v>45</v>
      </c>
      <c r="D22" s="97" t="s">
        <v>395</v>
      </c>
      <c r="E22" s="23" t="str" cm="1">
        <f t="array" ref="E22">_xlfn.XLOOKUP(Table1188717[[#This Row],[Team]],Table4334[Team],'2425'!$C$3:$C$34)</f>
        <v>n/a</v>
      </c>
      <c r="F22" s="97" t="str">
        <f>'2025'!$E$23</f>
        <v>n/a</v>
      </c>
      <c r="G22" s="94" t="e" cm="1">
        <f t="array" ref="G22">IF(Table1188717[[#This Row],[Pos.]]="RB1",_xlfn.XLOOKUP(Table1188717[[#This Row],[Opp]],Table4[DEF],'2025'!$H$38:$H$69),_xlfn.XLOOKUP(Table1188717[[#This Row],[Opp]],Table44[DEF],'2025'!$U$38:$U$69))</f>
        <v>#N/A</v>
      </c>
      <c r="H22" s="94" t="e" cm="1">
        <f t="array" ref="H22">IF(Table1188717[[#This Row],[Pos.]]="RB1",_xlfn.XLOOKUP(Table1188717[[#This Row],[Opp]],Table4[DEF],'2025'!$I$38:$I$69),_xlfn.XLOOKUP(Table1188717[[#This Row],[Opp]],Table4[DEF],'2025'!$V$38:$V$69))</f>
        <v>#N/A</v>
      </c>
      <c r="I22" s="94" t="e" cm="1">
        <f t="array" ref="I22">IF(Table1188717[[#This Row],[Pos.]]="RB1",_xlfn.XLOOKUP(Table1188717[[#This Row],[Opp]],Table4[DEF],'2025'!$J$38:$J$69),_xlfn.XLOOKUP(Table1188717[[#This Row],[Opp]],Table4[DEF],'2025'!$W$38:$W$69))</f>
        <v>#N/A</v>
      </c>
      <c r="J22" s="94" t="e" cm="1">
        <f t="array" ref="J22">IF(Table1188717[[#This Row],[Pos.]]="RB1",_xlfn.XLOOKUP(Table1188717[[#This Row],[Opp]],Table4[DEF],'2025'!$K$38:$K$69),_xlfn.XLOOKUP(Table1188717[[#This Row],[Opp]],Table4[DEF],'2025'!$X$38:$X$69))</f>
        <v>#N/A</v>
      </c>
      <c r="K22" s="94" t="e" cm="1">
        <f t="array" ref="K22">IF(Table1188717[[#This Row],[Pos.]]="RB1",_xlfn.XLOOKUP(Table1188717[[#This Row],[Opp]],Table4[DEF],'2025'!$L$38:$L$69),_xlfn.XLOOKUP(Table1188717[[#This Row],[Opp]],Table4[DEF],'2025'!$Y$38:$Y$69))</f>
        <v>#N/A</v>
      </c>
      <c r="L22" s="95" t="e">
        <f>IF(Table1188717[[#This Row],[Pos.]]="RB1",_xlfn.XLOOKUP(Table1188717[[#This Row],[Opp]],Table4[DEF],Table4[R]),_xlfn.XLOOKUP(Table1188717[[#This Row],[Opp]],Table44[DEF],Table44[R]))</f>
        <v>#N/A</v>
      </c>
      <c r="M22" s="96" t="e">
        <f>IF(Table1188717[[#This Row],[Pos.]]="RB1",_xlfn.XLOOKUP(Table1188717[[#This Row],[Opp]],Table4[DEF],Table4[REC]),_xlfn.XLOOKUP(Table1188717[[#This Row],[Opp]],Table44[DEF],Table44[REC]))</f>
        <v>#N/A</v>
      </c>
      <c r="N22" s="95" t="e">
        <f>IF(Table1188717[[#This Row],[Pos.]]="RB1",_xlfn.XLOOKUP(Table1188717[[#This Row],[Opp]],Table4[DEF],Table4[Y]),_xlfn.XLOOKUP(Table1188717[[#This Row],[Opp]],Table44[DEF],Table44[Y]))</f>
        <v>#N/A</v>
      </c>
      <c r="O22" s="95" t="e">
        <f>IF(Table1188717[[#This Row],[Pos.]]="RB1",_xlfn.XLOOKUP(Table1188717[[#This Row],[Opp]],Table4[DEF],Table4[R+R]),_xlfn.XLOOKUP(Table1188717[[#This Row],[Opp]],Table44[DEF],Table44[R+R]))</f>
        <v>#N/A</v>
      </c>
      <c r="P22" s="96" t="e">
        <f>IF(Table1188717[[#This Row],[Pos.]]="RB1",_xlfn.XLOOKUP(Table1188717[[#This Row],[Opp]],Table4[DEF],Table4[TD]),_xlfn.XLOOKUP(Table1188717[[#This Row],[Opp]],Table44[DEF],Table44[TD]))</f>
        <v>#N/A</v>
      </c>
      <c r="Q22" s="94" t="e">
        <f>AVERAGE(Table1188717[[#This Row],[*R*]:[*TD*]])</f>
        <v>#N/A</v>
      </c>
    </row>
    <row r="23" spans="2:17" hidden="1" x14ac:dyDescent="0.35">
      <c r="B23" s="6" t="s">
        <v>227</v>
      </c>
      <c r="C23" s="97" t="s">
        <v>38</v>
      </c>
      <c r="D23" s="97" t="s">
        <v>395</v>
      </c>
      <c r="E23" s="23" t="str" cm="1">
        <f t="array" ref="E23">_xlfn.XLOOKUP(Table1188717[[#This Row],[Team]],Table4334[Team],'2425'!$C$3:$C$34)</f>
        <v>n/a</v>
      </c>
      <c r="F23" s="97" t="str">
        <f>'2025'!$E$16</f>
        <v>n/a</v>
      </c>
      <c r="G23" s="94" t="e" cm="1">
        <f t="array" ref="G23">IF(Table1188717[[#This Row],[Pos.]]="RB1",_xlfn.XLOOKUP(Table1188717[[#This Row],[Opp]],Table4[DEF],'2025'!$H$38:$H$69),_xlfn.XLOOKUP(Table1188717[[#This Row],[Opp]],Table44[DEF],'2025'!$U$38:$U$69))</f>
        <v>#N/A</v>
      </c>
      <c r="H23" s="94" t="e" cm="1">
        <f t="array" ref="H23">IF(Table1188717[[#This Row],[Pos.]]="RB1",_xlfn.XLOOKUP(Table1188717[[#This Row],[Opp]],Table4[DEF],'2025'!$I$38:$I$69),_xlfn.XLOOKUP(Table1188717[[#This Row],[Opp]],Table4[DEF],'2025'!$V$38:$V$69))</f>
        <v>#N/A</v>
      </c>
      <c r="I23" s="94" t="e" cm="1">
        <f t="array" ref="I23">IF(Table1188717[[#This Row],[Pos.]]="RB1",_xlfn.XLOOKUP(Table1188717[[#This Row],[Opp]],Table4[DEF],'2025'!$J$38:$J$69),_xlfn.XLOOKUP(Table1188717[[#This Row],[Opp]],Table4[DEF],'2025'!$W$38:$W$69))</f>
        <v>#N/A</v>
      </c>
      <c r="J23" s="94" t="e" cm="1">
        <f t="array" ref="J23">IF(Table1188717[[#This Row],[Pos.]]="RB1",_xlfn.XLOOKUP(Table1188717[[#This Row],[Opp]],Table4[DEF],'2025'!$K$38:$K$69),_xlfn.XLOOKUP(Table1188717[[#This Row],[Opp]],Table4[DEF],'2025'!$X$38:$X$69))</f>
        <v>#N/A</v>
      </c>
      <c r="K23" s="94" t="e" cm="1">
        <f t="array" ref="K23">IF(Table1188717[[#This Row],[Pos.]]="RB1",_xlfn.XLOOKUP(Table1188717[[#This Row],[Opp]],Table4[DEF],'2025'!$L$38:$L$69),_xlfn.XLOOKUP(Table1188717[[#This Row],[Opp]],Table4[DEF],'2025'!$Y$38:$Y$69))</f>
        <v>#N/A</v>
      </c>
      <c r="L23" s="95" t="e">
        <f>IF(Table1188717[[#This Row],[Pos.]]="RB1",_xlfn.XLOOKUP(Table1188717[[#This Row],[Opp]],Table4[DEF],Table4[R]),_xlfn.XLOOKUP(Table1188717[[#This Row],[Opp]],Table44[DEF],Table44[R]))</f>
        <v>#N/A</v>
      </c>
      <c r="M23" s="96" t="e">
        <f>IF(Table1188717[[#This Row],[Pos.]]="RB1",_xlfn.XLOOKUP(Table1188717[[#This Row],[Opp]],Table4[DEF],Table4[REC]),_xlfn.XLOOKUP(Table1188717[[#This Row],[Opp]],Table44[DEF],Table44[REC]))</f>
        <v>#N/A</v>
      </c>
      <c r="N23" s="95" t="e">
        <f>IF(Table1188717[[#This Row],[Pos.]]="RB1",_xlfn.XLOOKUP(Table1188717[[#This Row],[Opp]],Table4[DEF],Table4[Y]),_xlfn.XLOOKUP(Table1188717[[#This Row],[Opp]],Table44[DEF],Table44[Y]))</f>
        <v>#N/A</v>
      </c>
      <c r="O23" s="95" t="e">
        <f>IF(Table1188717[[#This Row],[Pos.]]="RB1",_xlfn.XLOOKUP(Table1188717[[#This Row],[Opp]],Table4[DEF],Table4[R+R]),_xlfn.XLOOKUP(Table1188717[[#This Row],[Opp]],Table44[DEF],Table44[R+R]))</f>
        <v>#N/A</v>
      </c>
      <c r="P23" s="96" t="e">
        <f>IF(Table1188717[[#This Row],[Pos.]]="RB1",_xlfn.XLOOKUP(Table1188717[[#This Row],[Opp]],Table4[DEF],Table4[TD]),_xlfn.XLOOKUP(Table1188717[[#This Row],[Opp]],Table44[DEF],Table44[TD]))</f>
        <v>#N/A</v>
      </c>
      <c r="Q23" s="94" t="e">
        <f>AVERAGE(Table1188717[[#This Row],[*R*]:[*TD*]])</f>
        <v>#N/A</v>
      </c>
    </row>
    <row r="24" spans="2:17" hidden="1" x14ac:dyDescent="0.35">
      <c r="B24" s="6" t="s">
        <v>314</v>
      </c>
      <c r="C24" s="97" t="s">
        <v>47</v>
      </c>
      <c r="D24" s="97" t="s">
        <v>395</v>
      </c>
      <c r="E24" s="23" t="str" cm="1">
        <f t="array" ref="E24">_xlfn.XLOOKUP(Table1188717[[#This Row],[Team]],Table4334[Team],'2425'!$C$3:$C$34)</f>
        <v>n/a</v>
      </c>
      <c r="F24" s="97" t="str">
        <f>'2025'!$E$25</f>
        <v>n/a</v>
      </c>
      <c r="G24" s="94" t="e" cm="1">
        <f t="array" ref="G24">IF(Table1188717[[#This Row],[Pos.]]="RB1",_xlfn.XLOOKUP(Table1188717[[#This Row],[Opp]],Table4[DEF],'2025'!$H$38:$H$69),_xlfn.XLOOKUP(Table1188717[[#This Row],[Opp]],Table44[DEF],'2025'!$U$38:$U$69))</f>
        <v>#N/A</v>
      </c>
      <c r="H24" s="94" t="e" cm="1">
        <f t="array" ref="H24">IF(Table1188717[[#This Row],[Pos.]]="RB1",_xlfn.XLOOKUP(Table1188717[[#This Row],[Opp]],Table4[DEF],'2025'!$I$38:$I$69),_xlfn.XLOOKUP(Table1188717[[#This Row],[Opp]],Table4[DEF],'2025'!$V$38:$V$69))</f>
        <v>#N/A</v>
      </c>
      <c r="I24" s="94" t="e" cm="1">
        <f t="array" ref="I24">IF(Table1188717[[#This Row],[Pos.]]="RB1",_xlfn.XLOOKUP(Table1188717[[#This Row],[Opp]],Table4[DEF],'2025'!$J$38:$J$69),_xlfn.XLOOKUP(Table1188717[[#This Row],[Opp]],Table4[DEF],'2025'!$W$38:$W$69))</f>
        <v>#N/A</v>
      </c>
      <c r="J24" s="94" t="e" cm="1">
        <f t="array" ref="J24">IF(Table1188717[[#This Row],[Pos.]]="RB1",_xlfn.XLOOKUP(Table1188717[[#This Row],[Opp]],Table4[DEF],'2025'!$K$38:$K$69),_xlfn.XLOOKUP(Table1188717[[#This Row],[Opp]],Table4[DEF],'2025'!$X$38:$X$69))</f>
        <v>#N/A</v>
      </c>
      <c r="K24" s="94" t="e" cm="1">
        <f t="array" ref="K24">IF(Table1188717[[#This Row],[Pos.]]="RB1",_xlfn.XLOOKUP(Table1188717[[#This Row],[Opp]],Table4[DEF],'2025'!$L$38:$L$69),_xlfn.XLOOKUP(Table1188717[[#This Row],[Opp]],Table4[DEF],'2025'!$Y$38:$Y$69))</f>
        <v>#N/A</v>
      </c>
      <c r="L24" s="95" t="e">
        <f>IF(Table1188717[[#This Row],[Pos.]]="RB1",_xlfn.XLOOKUP(Table1188717[[#This Row],[Opp]],Table4[DEF],Table4[R]),_xlfn.XLOOKUP(Table1188717[[#This Row],[Opp]],Table44[DEF],Table44[R]))</f>
        <v>#N/A</v>
      </c>
      <c r="M24" s="96" t="e">
        <f>IF(Table1188717[[#This Row],[Pos.]]="RB1",_xlfn.XLOOKUP(Table1188717[[#This Row],[Opp]],Table4[DEF],Table4[REC]),_xlfn.XLOOKUP(Table1188717[[#This Row],[Opp]],Table44[DEF],Table44[REC]))</f>
        <v>#N/A</v>
      </c>
      <c r="N24" s="95" t="e">
        <f>IF(Table1188717[[#This Row],[Pos.]]="RB1",_xlfn.XLOOKUP(Table1188717[[#This Row],[Opp]],Table4[DEF],Table4[Y]),_xlfn.XLOOKUP(Table1188717[[#This Row],[Opp]],Table44[DEF],Table44[Y]))</f>
        <v>#N/A</v>
      </c>
      <c r="O24" s="95" t="e">
        <f>IF(Table1188717[[#This Row],[Pos.]]="RB1",_xlfn.XLOOKUP(Table1188717[[#This Row],[Opp]],Table4[DEF],Table4[R+R]),_xlfn.XLOOKUP(Table1188717[[#This Row],[Opp]],Table44[DEF],Table44[R+R]))</f>
        <v>#N/A</v>
      </c>
      <c r="P24" s="96" t="e">
        <f>IF(Table1188717[[#This Row],[Pos.]]="RB1",_xlfn.XLOOKUP(Table1188717[[#This Row],[Opp]],Table4[DEF],Table4[TD]),_xlfn.XLOOKUP(Table1188717[[#This Row],[Opp]],Table44[DEF],Table44[TD]))</f>
        <v>#N/A</v>
      </c>
      <c r="Q24" s="94" t="e">
        <f>AVERAGE(Table1188717[[#This Row],[*R*]:[*TD*]])</f>
        <v>#N/A</v>
      </c>
    </row>
    <row r="25" spans="2:17" hidden="1" x14ac:dyDescent="0.35">
      <c r="B25" s="6" t="s">
        <v>332</v>
      </c>
      <c r="C25" s="97" t="s">
        <v>49</v>
      </c>
      <c r="D25" s="97" t="s">
        <v>395</v>
      </c>
      <c r="E25" s="23" t="str" cm="1">
        <f t="array" ref="E25">_xlfn.XLOOKUP(Table1188717[[#This Row],[Team]],Table4334[Team],'2425'!$C$3:$C$34)</f>
        <v>n/a</v>
      </c>
      <c r="F25" s="97" t="str">
        <f>'2025'!$E$27</f>
        <v>n/a</v>
      </c>
      <c r="G25" s="94" t="e" cm="1">
        <f t="array" ref="G25">IF(Table1188717[[#This Row],[Pos.]]="RB1",_xlfn.XLOOKUP(Table1188717[[#This Row],[Opp]],Table4[DEF],'2025'!$H$38:$H$69),_xlfn.XLOOKUP(Table1188717[[#This Row],[Opp]],Table44[DEF],'2025'!$U$38:$U$69))</f>
        <v>#N/A</v>
      </c>
      <c r="H25" s="94" t="e" cm="1">
        <f t="array" ref="H25">IF(Table1188717[[#This Row],[Pos.]]="RB1",_xlfn.XLOOKUP(Table1188717[[#This Row],[Opp]],Table4[DEF],'2025'!$I$38:$I$69),_xlfn.XLOOKUP(Table1188717[[#This Row],[Opp]],Table4[DEF],'2025'!$V$38:$V$69))</f>
        <v>#N/A</v>
      </c>
      <c r="I25" s="94" t="e" cm="1">
        <f t="array" ref="I25">IF(Table1188717[[#This Row],[Pos.]]="RB1",_xlfn.XLOOKUP(Table1188717[[#This Row],[Opp]],Table4[DEF],'2025'!$J$38:$J$69),_xlfn.XLOOKUP(Table1188717[[#This Row],[Opp]],Table4[DEF],'2025'!$W$38:$W$69))</f>
        <v>#N/A</v>
      </c>
      <c r="J25" s="94" t="e" cm="1">
        <f t="array" ref="J25">IF(Table1188717[[#This Row],[Pos.]]="RB1",_xlfn.XLOOKUP(Table1188717[[#This Row],[Opp]],Table4[DEF],'2025'!$K$38:$K$69),_xlfn.XLOOKUP(Table1188717[[#This Row],[Opp]],Table4[DEF],'2025'!$X$38:$X$69))</f>
        <v>#N/A</v>
      </c>
      <c r="K25" s="94" t="e" cm="1">
        <f t="array" ref="K25">IF(Table1188717[[#This Row],[Pos.]]="RB1",_xlfn.XLOOKUP(Table1188717[[#This Row],[Opp]],Table4[DEF],'2025'!$L$38:$L$69),_xlfn.XLOOKUP(Table1188717[[#This Row],[Opp]],Table4[DEF],'2025'!$Y$38:$Y$69))</f>
        <v>#N/A</v>
      </c>
      <c r="L25" s="95" t="e">
        <f>IF(Table1188717[[#This Row],[Pos.]]="RB1",_xlfn.XLOOKUP(Table1188717[[#This Row],[Opp]],Table4[DEF],Table4[R]),_xlfn.XLOOKUP(Table1188717[[#This Row],[Opp]],Table44[DEF],Table44[R]))</f>
        <v>#N/A</v>
      </c>
      <c r="M25" s="96" t="e">
        <f>IF(Table1188717[[#This Row],[Pos.]]="RB1",_xlfn.XLOOKUP(Table1188717[[#This Row],[Opp]],Table4[DEF],Table4[REC]),_xlfn.XLOOKUP(Table1188717[[#This Row],[Opp]],Table44[DEF],Table44[REC]))</f>
        <v>#N/A</v>
      </c>
      <c r="N25" s="95" t="e">
        <f>IF(Table1188717[[#This Row],[Pos.]]="RB1",_xlfn.XLOOKUP(Table1188717[[#This Row],[Opp]],Table4[DEF],Table4[Y]),_xlfn.XLOOKUP(Table1188717[[#This Row],[Opp]],Table44[DEF],Table44[Y]))</f>
        <v>#N/A</v>
      </c>
      <c r="O25" s="95" t="e">
        <f>IF(Table1188717[[#This Row],[Pos.]]="RB1",_xlfn.XLOOKUP(Table1188717[[#This Row],[Opp]],Table4[DEF],Table4[R+R]),_xlfn.XLOOKUP(Table1188717[[#This Row],[Opp]],Table44[DEF],Table44[R+R]))</f>
        <v>#N/A</v>
      </c>
      <c r="P25" s="96" t="e">
        <f>IF(Table1188717[[#This Row],[Pos.]]="RB1",_xlfn.XLOOKUP(Table1188717[[#This Row],[Opp]],Table4[DEF],Table4[TD]),_xlfn.XLOOKUP(Table1188717[[#This Row],[Opp]],Table44[DEF],Table44[TD]))</f>
        <v>#N/A</v>
      </c>
      <c r="Q25" s="94" t="e">
        <f>AVERAGE(Table1188717[[#This Row],[*R*]:[*TD*]])</f>
        <v>#N/A</v>
      </c>
    </row>
    <row r="26" spans="2:17" hidden="1" x14ac:dyDescent="0.35">
      <c r="B26" s="6" t="s">
        <v>163</v>
      </c>
      <c r="C26" s="97" t="s">
        <v>31</v>
      </c>
      <c r="D26" s="97" t="s">
        <v>396</v>
      </c>
      <c r="E26" s="23" t="str" cm="1">
        <f t="array" ref="E26">_xlfn.XLOOKUP(Table1188717[[#This Row],[Team]],Table4334[Team],'2425'!$C$3:$C$34)</f>
        <v>n/a</v>
      </c>
      <c r="F26" s="97" t="str">
        <f>'2025'!$E$9</f>
        <v>n/a</v>
      </c>
      <c r="G26" s="94" t="e" cm="1">
        <f t="array" ref="G26">IF(Table1188717[[#This Row],[Pos.]]="RB1",_xlfn.XLOOKUP(Table1188717[[#This Row],[Opp]],Table4[DEF],'2025'!$H$38:$H$69),_xlfn.XLOOKUP(Table1188717[[#This Row],[Opp]],Table44[DEF],'2025'!$U$38:$U$69))</f>
        <v>#N/A</v>
      </c>
      <c r="H26" s="94" t="e" cm="1">
        <f t="array" ref="H26">IF(Table1188717[[#This Row],[Pos.]]="RB1",_xlfn.XLOOKUP(Table1188717[[#This Row],[Opp]],Table4[DEF],'2025'!$I$38:$I$69),_xlfn.XLOOKUP(Table1188717[[#This Row],[Opp]],Table4[DEF],'2025'!$V$38:$V$69))</f>
        <v>#N/A</v>
      </c>
      <c r="I26" s="94" t="e" cm="1">
        <f t="array" ref="I26">IF(Table1188717[[#This Row],[Pos.]]="RB1",_xlfn.XLOOKUP(Table1188717[[#This Row],[Opp]],Table4[DEF],'2025'!$J$38:$J$69),_xlfn.XLOOKUP(Table1188717[[#This Row],[Opp]],Table4[DEF],'2025'!$W$38:$W$69))</f>
        <v>#N/A</v>
      </c>
      <c r="J26" s="94" t="e" cm="1">
        <f t="array" ref="J26">IF(Table1188717[[#This Row],[Pos.]]="RB1",_xlfn.XLOOKUP(Table1188717[[#This Row],[Opp]],Table4[DEF],'2025'!$K$38:$K$69),_xlfn.XLOOKUP(Table1188717[[#This Row],[Opp]],Table4[DEF],'2025'!$X$38:$X$69))</f>
        <v>#N/A</v>
      </c>
      <c r="K26" s="94" t="e" cm="1">
        <f t="array" ref="K26">IF(Table1188717[[#This Row],[Pos.]]="RB1",_xlfn.XLOOKUP(Table1188717[[#This Row],[Opp]],Table4[DEF],'2025'!$L$38:$L$69),_xlfn.XLOOKUP(Table1188717[[#This Row],[Opp]],Table4[DEF],'2025'!$Y$38:$Y$69))</f>
        <v>#N/A</v>
      </c>
      <c r="L26" s="95" t="e">
        <f>IF(Table1188717[[#This Row],[Pos.]]="RB1",_xlfn.XLOOKUP(Table1188717[[#This Row],[Opp]],Table4[DEF],Table4[R]),_xlfn.XLOOKUP(Table1188717[[#This Row],[Opp]],Table44[DEF],Table44[R]))</f>
        <v>#N/A</v>
      </c>
      <c r="M26" s="96" t="e">
        <f>IF(Table1188717[[#This Row],[Pos.]]="RB1",_xlfn.XLOOKUP(Table1188717[[#This Row],[Opp]],Table4[DEF],Table4[REC]),_xlfn.XLOOKUP(Table1188717[[#This Row],[Opp]],Table44[DEF],Table44[REC]))</f>
        <v>#N/A</v>
      </c>
      <c r="N26" s="95" t="e">
        <f>IF(Table1188717[[#This Row],[Pos.]]="RB1",_xlfn.XLOOKUP(Table1188717[[#This Row],[Opp]],Table4[DEF],Table4[Y]),_xlfn.XLOOKUP(Table1188717[[#This Row],[Opp]],Table44[DEF],Table44[Y]))</f>
        <v>#N/A</v>
      </c>
      <c r="O26" s="95" t="e">
        <f>IF(Table1188717[[#This Row],[Pos.]]="RB1",_xlfn.XLOOKUP(Table1188717[[#This Row],[Opp]],Table4[DEF],Table4[R+R]),_xlfn.XLOOKUP(Table1188717[[#This Row],[Opp]],Table44[DEF],Table44[R+R]))</f>
        <v>#N/A</v>
      </c>
      <c r="P26" s="96" t="e">
        <f>IF(Table1188717[[#This Row],[Pos.]]="RB1",_xlfn.XLOOKUP(Table1188717[[#This Row],[Opp]],Table4[DEF],Table4[TD]),_xlfn.XLOOKUP(Table1188717[[#This Row],[Opp]],Table44[DEF],Table44[TD]))</f>
        <v>#N/A</v>
      </c>
      <c r="Q26" s="94" t="e">
        <f>AVERAGE(Table1188717[[#This Row],[*R*]:[*TD*]])</f>
        <v>#N/A</v>
      </c>
    </row>
    <row r="27" spans="2:17" hidden="1" x14ac:dyDescent="0.35">
      <c r="B27" s="6" t="s">
        <v>386</v>
      </c>
      <c r="C27" s="97" t="s">
        <v>56</v>
      </c>
      <c r="D27" s="97" t="s">
        <v>395</v>
      </c>
      <c r="E27" s="23" t="str" cm="1">
        <f t="array" ref="E27">_xlfn.XLOOKUP(Table1188717[[#This Row],[Team]],Table4334[Team],'2425'!$C$3:$C$34)</f>
        <v>n/a</v>
      </c>
      <c r="F27" s="97" t="str">
        <f>'2025'!$E$34</f>
        <v>n/a</v>
      </c>
      <c r="G27" s="94" t="e" cm="1">
        <f t="array" ref="G27">IF(Table1188717[[#This Row],[Pos.]]="RB1",_xlfn.XLOOKUP(Table1188717[[#This Row],[Opp]],Table4[DEF],'2025'!$H$38:$H$69),_xlfn.XLOOKUP(Table1188717[[#This Row],[Opp]],Table44[DEF],'2025'!$U$38:$U$69))</f>
        <v>#N/A</v>
      </c>
      <c r="H27" s="94" t="e" cm="1">
        <f t="array" ref="H27">IF(Table1188717[[#This Row],[Pos.]]="RB1",_xlfn.XLOOKUP(Table1188717[[#This Row],[Opp]],Table4[DEF],'2025'!$I$38:$I$69),_xlfn.XLOOKUP(Table1188717[[#This Row],[Opp]],Table4[DEF],'2025'!$V$38:$V$69))</f>
        <v>#N/A</v>
      </c>
      <c r="I27" s="94" t="e" cm="1">
        <f t="array" ref="I27">IF(Table1188717[[#This Row],[Pos.]]="RB1",_xlfn.XLOOKUP(Table1188717[[#This Row],[Opp]],Table4[DEF],'2025'!$J$38:$J$69),_xlfn.XLOOKUP(Table1188717[[#This Row],[Opp]],Table4[DEF],'2025'!$W$38:$W$69))</f>
        <v>#N/A</v>
      </c>
      <c r="J27" s="94" t="e" cm="1">
        <f t="array" ref="J27">IF(Table1188717[[#This Row],[Pos.]]="RB1",_xlfn.XLOOKUP(Table1188717[[#This Row],[Opp]],Table4[DEF],'2025'!$K$38:$K$69),_xlfn.XLOOKUP(Table1188717[[#This Row],[Opp]],Table4[DEF],'2025'!$X$38:$X$69))</f>
        <v>#N/A</v>
      </c>
      <c r="K27" s="94" t="e" cm="1">
        <f t="array" ref="K27">IF(Table1188717[[#This Row],[Pos.]]="RB1",_xlfn.XLOOKUP(Table1188717[[#This Row],[Opp]],Table4[DEF],'2025'!$L$38:$L$69),_xlfn.XLOOKUP(Table1188717[[#This Row],[Opp]],Table4[DEF],'2025'!$Y$38:$Y$69))</f>
        <v>#N/A</v>
      </c>
      <c r="L27" s="95" t="e">
        <f>IF(Table1188717[[#This Row],[Pos.]]="RB1",_xlfn.XLOOKUP(Table1188717[[#This Row],[Opp]],Table4[DEF],Table4[R]),_xlfn.XLOOKUP(Table1188717[[#This Row],[Opp]],Table44[DEF],Table44[R]))</f>
        <v>#N/A</v>
      </c>
      <c r="M27" s="96" t="e">
        <f>IF(Table1188717[[#This Row],[Pos.]]="RB1",_xlfn.XLOOKUP(Table1188717[[#This Row],[Opp]],Table4[DEF],Table4[REC]),_xlfn.XLOOKUP(Table1188717[[#This Row],[Opp]],Table44[DEF],Table44[REC]))</f>
        <v>#N/A</v>
      </c>
      <c r="N27" s="95" t="e">
        <f>IF(Table1188717[[#This Row],[Pos.]]="RB1",_xlfn.XLOOKUP(Table1188717[[#This Row],[Opp]],Table4[DEF],Table4[Y]),_xlfn.XLOOKUP(Table1188717[[#This Row],[Opp]],Table44[DEF],Table44[Y]))</f>
        <v>#N/A</v>
      </c>
      <c r="O27" s="95" t="e">
        <f>IF(Table1188717[[#This Row],[Pos.]]="RB1",_xlfn.XLOOKUP(Table1188717[[#This Row],[Opp]],Table4[DEF],Table4[R+R]),_xlfn.XLOOKUP(Table1188717[[#This Row],[Opp]],Table44[DEF],Table44[R+R]))</f>
        <v>#N/A</v>
      </c>
      <c r="P27" s="96" t="e">
        <f>IF(Table1188717[[#This Row],[Pos.]]="RB1",_xlfn.XLOOKUP(Table1188717[[#This Row],[Opp]],Table4[DEF],Table4[TD]),_xlfn.XLOOKUP(Table1188717[[#This Row],[Opp]],Table44[DEF],Table44[TD]))</f>
        <v>#N/A</v>
      </c>
      <c r="Q27" s="94" t="e">
        <f>AVERAGE(Table1188717[[#This Row],[*R*]:[*TD*]])</f>
        <v>#N/A</v>
      </c>
    </row>
    <row r="28" spans="2:17" hidden="1" x14ac:dyDescent="0.35">
      <c r="B28" s="6" t="s">
        <v>245</v>
      </c>
      <c r="C28" s="97" t="s">
        <v>40</v>
      </c>
      <c r="D28" s="97" t="s">
        <v>395</v>
      </c>
      <c r="E28" s="23" t="str" cm="1">
        <f t="array" ref="E28">_xlfn.XLOOKUP(Table1188717[[#This Row],[Team]],Table4334[Team],'2425'!$C$3:$C$34)</f>
        <v>n/a</v>
      </c>
      <c r="F28" s="97" t="str">
        <f>'2025'!$E$18</f>
        <v>n/a</v>
      </c>
      <c r="G28" s="94" t="e" cm="1">
        <f t="array" ref="G28">IF(Table1188717[[#This Row],[Pos.]]="RB1",_xlfn.XLOOKUP(Table1188717[[#This Row],[Opp]],Table4[DEF],'2025'!$H$38:$H$69),_xlfn.XLOOKUP(Table1188717[[#This Row],[Opp]],Table44[DEF],'2025'!$U$38:$U$69))</f>
        <v>#N/A</v>
      </c>
      <c r="H28" s="94" t="e" cm="1">
        <f t="array" ref="H28">IF(Table1188717[[#This Row],[Pos.]]="RB1",_xlfn.XLOOKUP(Table1188717[[#This Row],[Opp]],Table4[DEF],'2025'!$I$38:$I$69),_xlfn.XLOOKUP(Table1188717[[#This Row],[Opp]],Table4[DEF],'2025'!$V$38:$V$69))</f>
        <v>#N/A</v>
      </c>
      <c r="I28" s="94" t="e" cm="1">
        <f t="array" ref="I28">IF(Table1188717[[#This Row],[Pos.]]="RB1",_xlfn.XLOOKUP(Table1188717[[#This Row],[Opp]],Table4[DEF],'2025'!$J$38:$J$69),_xlfn.XLOOKUP(Table1188717[[#This Row],[Opp]],Table4[DEF],'2025'!$W$38:$W$69))</f>
        <v>#N/A</v>
      </c>
      <c r="J28" s="94" t="e" cm="1">
        <f t="array" ref="J28">IF(Table1188717[[#This Row],[Pos.]]="RB1",_xlfn.XLOOKUP(Table1188717[[#This Row],[Opp]],Table4[DEF],'2025'!$K$38:$K$69),_xlfn.XLOOKUP(Table1188717[[#This Row],[Opp]],Table4[DEF],'2025'!$X$38:$X$69))</f>
        <v>#N/A</v>
      </c>
      <c r="K28" s="94" t="e" cm="1">
        <f t="array" ref="K28">IF(Table1188717[[#This Row],[Pos.]]="RB1",_xlfn.XLOOKUP(Table1188717[[#This Row],[Opp]],Table4[DEF],'2025'!$L$38:$L$69),_xlfn.XLOOKUP(Table1188717[[#This Row],[Opp]],Table4[DEF],'2025'!$Y$38:$Y$69))</f>
        <v>#N/A</v>
      </c>
      <c r="L28" s="95" t="e">
        <f>IF(Table1188717[[#This Row],[Pos.]]="RB1",_xlfn.XLOOKUP(Table1188717[[#This Row],[Opp]],Table4[DEF],Table4[R]),_xlfn.XLOOKUP(Table1188717[[#This Row],[Opp]],Table44[DEF],Table44[R]))</f>
        <v>#N/A</v>
      </c>
      <c r="M28" s="96" t="e">
        <f>IF(Table1188717[[#This Row],[Pos.]]="RB1",_xlfn.XLOOKUP(Table1188717[[#This Row],[Opp]],Table4[DEF],Table4[REC]),_xlfn.XLOOKUP(Table1188717[[#This Row],[Opp]],Table44[DEF],Table44[REC]))</f>
        <v>#N/A</v>
      </c>
      <c r="N28" s="95" t="e">
        <f>IF(Table1188717[[#This Row],[Pos.]]="RB1",_xlfn.XLOOKUP(Table1188717[[#This Row],[Opp]],Table4[DEF],Table4[Y]),_xlfn.XLOOKUP(Table1188717[[#This Row],[Opp]],Table44[DEF],Table44[Y]))</f>
        <v>#N/A</v>
      </c>
      <c r="O28" s="95" t="e">
        <f>IF(Table1188717[[#This Row],[Pos.]]="RB1",_xlfn.XLOOKUP(Table1188717[[#This Row],[Opp]],Table4[DEF],Table4[R+R]),_xlfn.XLOOKUP(Table1188717[[#This Row],[Opp]],Table44[DEF],Table44[R+R]))</f>
        <v>#N/A</v>
      </c>
      <c r="P28" s="96" t="e">
        <f>IF(Table1188717[[#This Row],[Pos.]]="RB1",_xlfn.XLOOKUP(Table1188717[[#This Row],[Opp]],Table4[DEF],Table4[TD]),_xlfn.XLOOKUP(Table1188717[[#This Row],[Opp]],Table44[DEF],Table44[TD]))</f>
        <v>#N/A</v>
      </c>
      <c r="Q28" s="94" t="e">
        <f>AVERAGE(Table1188717[[#This Row],[*R*]:[*TD*]])</f>
        <v>#N/A</v>
      </c>
    </row>
    <row r="29" spans="2:17" x14ac:dyDescent="0.35">
      <c r="B29" s="6" t="s">
        <v>351</v>
      </c>
      <c r="C29" s="97" t="s">
        <v>52</v>
      </c>
      <c r="D29" s="97" t="s">
        <v>395</v>
      </c>
      <c r="E29" s="23" t="str" cm="1">
        <f t="array" ref="E29">_xlfn.XLOOKUP(Table1188717[[#This Row],[Team]],Table4334[Team],'2425'!$C$3:$C$34)</f>
        <v>SB LX</v>
      </c>
      <c r="F29" s="97" t="str">
        <f>'2025'!$E$30</f>
        <v>NE</v>
      </c>
      <c r="G29" s="94" cm="1">
        <f t="array" ref="G29">IF(Table1188717[[#This Row],[Pos.]]="RB1",_xlfn.XLOOKUP(Table1188717[[#This Row],[Opp]],Table4[DEF],'2025'!$H$38:$H$69),_xlfn.XLOOKUP(Table1188717[[#This Row],[Opp]],Table44[DEF],'2025'!$U$38:$U$69))</f>
        <v>28</v>
      </c>
      <c r="H29" s="94" cm="1">
        <f t="array" ref="H29">IF(Table1188717[[#This Row],[Pos.]]="RB1",_xlfn.XLOOKUP(Table1188717[[#This Row],[Opp]],Table4[DEF],'2025'!$I$38:$I$69),_xlfn.XLOOKUP(Table1188717[[#This Row],[Opp]],Table4[DEF],'2025'!$V$38:$V$69))</f>
        <v>2</v>
      </c>
      <c r="I29" s="94" cm="1">
        <f t="array" ref="I29">IF(Table1188717[[#This Row],[Pos.]]="RB1",_xlfn.XLOOKUP(Table1188717[[#This Row],[Opp]],Table4[DEF],'2025'!$J$38:$J$69),_xlfn.XLOOKUP(Table1188717[[#This Row],[Opp]],Table4[DEF],'2025'!$W$38:$W$69))</f>
        <v>9</v>
      </c>
      <c r="J29" s="94" cm="1">
        <f t="array" ref="J29">IF(Table1188717[[#This Row],[Pos.]]="RB1",_xlfn.XLOOKUP(Table1188717[[#This Row],[Opp]],Table4[DEF],'2025'!$K$38:$K$69),_xlfn.XLOOKUP(Table1188717[[#This Row],[Opp]],Table4[DEF],'2025'!$X$38:$X$69))</f>
        <v>22</v>
      </c>
      <c r="K29" s="94" cm="1">
        <f t="array" ref="K29">IF(Table1188717[[#This Row],[Pos.]]="RB1",_xlfn.XLOOKUP(Table1188717[[#This Row],[Opp]],Table4[DEF],'2025'!$L$38:$L$69),_xlfn.XLOOKUP(Table1188717[[#This Row],[Opp]],Table4[DEF],'2025'!$Y$38:$Y$69))</f>
        <v>25</v>
      </c>
      <c r="L29" s="95">
        <f>IF(Table1188717[[#This Row],[Pos.]]="RB1",_xlfn.XLOOKUP(Table1188717[[#This Row],[Opp]],Table4[DEF],Table4[R]),_xlfn.XLOOKUP(Table1188717[[#This Row],[Opp]],Table44[DEF],Table44[R]))</f>
        <v>57.117647058823529</v>
      </c>
      <c r="M29" s="96">
        <f>IF(Table1188717[[#This Row],[Pos.]]="RB1",_xlfn.XLOOKUP(Table1188717[[#This Row],[Opp]],Table4[DEF],Table4[REC]),_xlfn.XLOOKUP(Table1188717[[#This Row],[Opp]],Table44[DEF],Table44[REC]))</f>
        <v>3.5294117647058822</v>
      </c>
      <c r="N29" s="95">
        <f>IF(Table1188717[[#This Row],[Pos.]]="RB1",_xlfn.XLOOKUP(Table1188717[[#This Row],[Opp]],Table4[DEF],Table4[Y]),_xlfn.XLOOKUP(Table1188717[[#This Row],[Opp]],Table44[DEF],Table44[Y]))</f>
        <v>25.470588235294116</v>
      </c>
      <c r="O29" s="95">
        <f>IF(Table1188717[[#This Row],[Pos.]]="RB1",_xlfn.XLOOKUP(Table1188717[[#This Row],[Opp]],Table4[DEF],Table4[R+R]),_xlfn.XLOOKUP(Table1188717[[#This Row],[Opp]],Table44[DEF],Table44[R+R]))</f>
        <v>82.588235294117652</v>
      </c>
      <c r="P29" s="96">
        <f>IF(Table1188717[[#This Row],[Pos.]]="RB1",_xlfn.XLOOKUP(Table1188717[[#This Row],[Opp]],Table4[DEF],Table4[TD]),_xlfn.XLOOKUP(Table1188717[[#This Row],[Opp]],Table44[DEF],Table44[TD]))</f>
        <v>0.52941176470588236</v>
      </c>
      <c r="Q29" s="94">
        <f>AVERAGE(Table1188717[[#This Row],[*R*]:[*TD*]])</f>
        <v>17.2</v>
      </c>
    </row>
    <row r="30" spans="2:17" hidden="1" x14ac:dyDescent="0.35">
      <c r="B30" s="6" t="s">
        <v>200</v>
      </c>
      <c r="C30" s="97" t="s">
        <v>35</v>
      </c>
      <c r="D30" s="97" t="s">
        <v>395</v>
      </c>
      <c r="E30" s="23" t="str" cm="1">
        <f t="array" ref="E30">_xlfn.XLOOKUP(Table1188717[[#This Row],[Team]],Table4334[Team],'2425'!$C$3:$C$34)</f>
        <v>n/a</v>
      </c>
      <c r="F30" s="97" t="str">
        <f>'2025'!$E$13</f>
        <v>n/a</v>
      </c>
      <c r="G30" s="94" t="e" cm="1">
        <f t="array" ref="G30">IF(Table1188717[[#This Row],[Pos.]]="RB1",_xlfn.XLOOKUP(Table1188717[[#This Row],[Opp]],Table4[DEF],'2025'!$H$38:$H$69),_xlfn.XLOOKUP(Table1188717[[#This Row],[Opp]],Table44[DEF],'2025'!$U$38:$U$69))</f>
        <v>#N/A</v>
      </c>
      <c r="H30" s="94" t="e" cm="1">
        <f t="array" ref="H30">IF(Table1188717[[#This Row],[Pos.]]="RB1",_xlfn.XLOOKUP(Table1188717[[#This Row],[Opp]],Table4[DEF],'2025'!$I$38:$I$69),_xlfn.XLOOKUP(Table1188717[[#This Row],[Opp]],Table4[DEF],'2025'!$V$38:$V$69))</f>
        <v>#N/A</v>
      </c>
      <c r="I30" s="94" t="e" cm="1">
        <f t="array" ref="I30">IF(Table1188717[[#This Row],[Pos.]]="RB1",_xlfn.XLOOKUP(Table1188717[[#This Row],[Opp]],Table4[DEF],'2025'!$J$38:$J$69),_xlfn.XLOOKUP(Table1188717[[#This Row],[Opp]],Table4[DEF],'2025'!$W$38:$W$69))</f>
        <v>#N/A</v>
      </c>
      <c r="J30" s="94" t="e" cm="1">
        <f t="array" ref="J30">IF(Table1188717[[#This Row],[Pos.]]="RB1",_xlfn.XLOOKUP(Table1188717[[#This Row],[Opp]],Table4[DEF],'2025'!$K$38:$K$69),_xlfn.XLOOKUP(Table1188717[[#This Row],[Opp]],Table4[DEF],'2025'!$X$38:$X$69))</f>
        <v>#N/A</v>
      </c>
      <c r="K30" s="94" t="e" cm="1">
        <f t="array" ref="K30">IF(Table1188717[[#This Row],[Pos.]]="RB1",_xlfn.XLOOKUP(Table1188717[[#This Row],[Opp]],Table4[DEF],'2025'!$L$38:$L$69),_xlfn.XLOOKUP(Table1188717[[#This Row],[Opp]],Table4[DEF],'2025'!$Y$38:$Y$69))</f>
        <v>#N/A</v>
      </c>
      <c r="L30" s="95" t="e">
        <f>IF(Table1188717[[#This Row],[Pos.]]="RB1",_xlfn.XLOOKUP(Table1188717[[#This Row],[Opp]],Table4[DEF],Table4[R]),_xlfn.XLOOKUP(Table1188717[[#This Row],[Opp]],Table44[DEF],Table44[R]))</f>
        <v>#N/A</v>
      </c>
      <c r="M30" s="96" t="e">
        <f>IF(Table1188717[[#This Row],[Pos.]]="RB1",_xlfn.XLOOKUP(Table1188717[[#This Row],[Opp]],Table4[DEF],Table4[REC]),_xlfn.XLOOKUP(Table1188717[[#This Row],[Opp]],Table44[DEF],Table44[REC]))</f>
        <v>#N/A</v>
      </c>
      <c r="N30" s="95" t="e">
        <f>IF(Table1188717[[#This Row],[Pos.]]="RB1",_xlfn.XLOOKUP(Table1188717[[#This Row],[Opp]],Table4[DEF],Table4[Y]),_xlfn.XLOOKUP(Table1188717[[#This Row],[Opp]],Table44[DEF],Table44[Y]))</f>
        <v>#N/A</v>
      </c>
      <c r="O30" s="95" t="e">
        <f>IF(Table1188717[[#This Row],[Pos.]]="RB1",_xlfn.XLOOKUP(Table1188717[[#This Row],[Opp]],Table4[DEF],Table4[R+R]),_xlfn.XLOOKUP(Table1188717[[#This Row],[Opp]],Table44[DEF],Table44[R+R]))</f>
        <v>#N/A</v>
      </c>
      <c r="P30" s="96" t="e">
        <f>IF(Table1188717[[#This Row],[Pos.]]="RB1",_xlfn.XLOOKUP(Table1188717[[#This Row],[Opp]],Table4[DEF],Table4[TD]),_xlfn.XLOOKUP(Table1188717[[#This Row],[Opp]],Table44[DEF],Table44[TD]))</f>
        <v>#N/A</v>
      </c>
      <c r="Q30" s="94" t="e">
        <f>AVERAGE(Table1188717[[#This Row],[*R*]:[*TD*]])</f>
        <v>#N/A</v>
      </c>
    </row>
    <row r="31" spans="2:17" hidden="1" x14ac:dyDescent="0.35">
      <c r="B31" s="6" t="s">
        <v>286</v>
      </c>
      <c r="C31" s="97" t="s">
        <v>44</v>
      </c>
      <c r="D31" s="97" t="s">
        <v>395</v>
      </c>
      <c r="E31" s="23" t="str" cm="1">
        <f t="array" ref="E31">_xlfn.XLOOKUP(Table1188717[[#This Row],[Team]],Table4334[Team],'2425'!$C$3:$C$34)</f>
        <v>n/a</v>
      </c>
      <c r="F31" s="97" t="str">
        <f>'2025'!$E$22</f>
        <v>n/a</v>
      </c>
      <c r="G31" s="94" t="e" cm="1">
        <f t="array" ref="G31">IF(Table1188717[[#This Row],[Pos.]]="RB1",_xlfn.XLOOKUP(Table1188717[[#This Row],[Opp]],Table4[DEF],'2025'!$H$38:$H$69),_xlfn.XLOOKUP(Table1188717[[#This Row],[Opp]],Table44[DEF],'2025'!$U$38:$U$69))</f>
        <v>#N/A</v>
      </c>
      <c r="H31" s="94" t="e" cm="1">
        <f t="array" ref="H31">IF(Table1188717[[#This Row],[Pos.]]="RB1",_xlfn.XLOOKUP(Table1188717[[#This Row],[Opp]],Table4[DEF],'2025'!$I$38:$I$69),_xlfn.XLOOKUP(Table1188717[[#This Row],[Opp]],Table4[DEF],'2025'!$V$38:$V$69))</f>
        <v>#N/A</v>
      </c>
      <c r="I31" s="94" t="e" cm="1">
        <f t="array" ref="I31">IF(Table1188717[[#This Row],[Pos.]]="RB1",_xlfn.XLOOKUP(Table1188717[[#This Row],[Opp]],Table4[DEF],'2025'!$J$38:$J$69),_xlfn.XLOOKUP(Table1188717[[#This Row],[Opp]],Table4[DEF],'2025'!$W$38:$W$69))</f>
        <v>#N/A</v>
      </c>
      <c r="J31" s="94" t="e" cm="1">
        <f t="array" ref="J31">IF(Table1188717[[#This Row],[Pos.]]="RB1",_xlfn.XLOOKUP(Table1188717[[#This Row],[Opp]],Table4[DEF],'2025'!$K$38:$K$69),_xlfn.XLOOKUP(Table1188717[[#This Row],[Opp]],Table4[DEF],'2025'!$X$38:$X$69))</f>
        <v>#N/A</v>
      </c>
      <c r="K31" s="94" t="e" cm="1">
        <f t="array" ref="K31">IF(Table1188717[[#This Row],[Pos.]]="RB1",_xlfn.XLOOKUP(Table1188717[[#This Row],[Opp]],Table4[DEF],'2025'!$L$38:$L$69),_xlfn.XLOOKUP(Table1188717[[#This Row],[Opp]],Table4[DEF],'2025'!$Y$38:$Y$69))</f>
        <v>#N/A</v>
      </c>
      <c r="L31" s="95" t="e">
        <f>IF(Table1188717[[#This Row],[Pos.]]="RB1",_xlfn.XLOOKUP(Table1188717[[#This Row],[Opp]],Table4[DEF],Table4[R]),_xlfn.XLOOKUP(Table1188717[[#This Row],[Opp]],Table44[DEF],Table44[R]))</f>
        <v>#N/A</v>
      </c>
      <c r="M31" s="96" t="e">
        <f>IF(Table1188717[[#This Row],[Pos.]]="RB1",_xlfn.XLOOKUP(Table1188717[[#This Row],[Opp]],Table4[DEF],Table4[REC]),_xlfn.XLOOKUP(Table1188717[[#This Row],[Opp]],Table44[DEF],Table44[REC]))</f>
        <v>#N/A</v>
      </c>
      <c r="N31" s="95" t="e">
        <f>IF(Table1188717[[#This Row],[Pos.]]="RB1",_xlfn.XLOOKUP(Table1188717[[#This Row],[Opp]],Table4[DEF],Table4[Y]),_xlfn.XLOOKUP(Table1188717[[#This Row],[Opp]],Table44[DEF],Table44[Y]))</f>
        <v>#N/A</v>
      </c>
      <c r="O31" s="95" t="e">
        <f>IF(Table1188717[[#This Row],[Pos.]]="RB1",_xlfn.XLOOKUP(Table1188717[[#This Row],[Opp]],Table4[DEF],Table4[R+R]),_xlfn.XLOOKUP(Table1188717[[#This Row],[Opp]],Table44[DEF],Table44[R+R]))</f>
        <v>#N/A</v>
      </c>
      <c r="P31" s="96" t="e">
        <f>IF(Table1188717[[#This Row],[Pos.]]="RB1",_xlfn.XLOOKUP(Table1188717[[#This Row],[Opp]],Table4[DEF],Table4[TD]),_xlfn.XLOOKUP(Table1188717[[#This Row],[Opp]],Table44[DEF],Table44[TD]))</f>
        <v>#N/A</v>
      </c>
      <c r="Q31" s="94" t="e">
        <f>AVERAGE(Table1188717[[#This Row],[*R*]:[*TD*]])</f>
        <v>#N/A</v>
      </c>
    </row>
    <row r="32" spans="2:17" hidden="1" x14ac:dyDescent="0.35">
      <c r="B32" s="6" t="s">
        <v>228</v>
      </c>
      <c r="C32" s="97" t="s">
        <v>38</v>
      </c>
      <c r="D32" s="97" t="s">
        <v>396</v>
      </c>
      <c r="E32" s="23" t="str" cm="1">
        <f t="array" ref="E32">_xlfn.XLOOKUP(Table1188717[[#This Row],[Team]],Table4334[Team],'2425'!$C$3:$C$34)</f>
        <v>n/a</v>
      </c>
      <c r="F32" s="97" t="str">
        <f>'2025'!$E$16</f>
        <v>n/a</v>
      </c>
      <c r="G32" s="94" t="e" cm="1">
        <f t="array" ref="G32">IF(Table1188717[[#This Row],[Pos.]]="RB1",_xlfn.XLOOKUP(Table1188717[[#This Row],[Opp]],Table4[DEF],'2025'!$H$38:$H$69),_xlfn.XLOOKUP(Table1188717[[#This Row],[Opp]],Table44[DEF],'2025'!$U$38:$U$69))</f>
        <v>#N/A</v>
      </c>
      <c r="H32" s="94" t="e" cm="1">
        <f t="array" ref="H32">IF(Table1188717[[#This Row],[Pos.]]="RB1",_xlfn.XLOOKUP(Table1188717[[#This Row],[Opp]],Table4[DEF],'2025'!$I$38:$I$69),_xlfn.XLOOKUP(Table1188717[[#This Row],[Opp]],Table4[DEF],'2025'!$V$38:$V$69))</f>
        <v>#N/A</v>
      </c>
      <c r="I32" s="94" t="e" cm="1">
        <f t="array" ref="I32">IF(Table1188717[[#This Row],[Pos.]]="RB1",_xlfn.XLOOKUP(Table1188717[[#This Row],[Opp]],Table4[DEF],'2025'!$J$38:$J$69),_xlfn.XLOOKUP(Table1188717[[#This Row],[Opp]],Table4[DEF],'2025'!$W$38:$W$69))</f>
        <v>#N/A</v>
      </c>
      <c r="J32" s="94" t="e" cm="1">
        <f t="array" ref="J32">IF(Table1188717[[#This Row],[Pos.]]="RB1",_xlfn.XLOOKUP(Table1188717[[#This Row],[Opp]],Table4[DEF],'2025'!$K$38:$K$69),_xlfn.XLOOKUP(Table1188717[[#This Row],[Opp]],Table4[DEF],'2025'!$X$38:$X$69))</f>
        <v>#N/A</v>
      </c>
      <c r="K32" s="94" t="e" cm="1">
        <f t="array" ref="K32">IF(Table1188717[[#This Row],[Pos.]]="RB1",_xlfn.XLOOKUP(Table1188717[[#This Row],[Opp]],Table4[DEF],'2025'!$L$38:$L$69),_xlfn.XLOOKUP(Table1188717[[#This Row],[Opp]],Table4[DEF],'2025'!$Y$38:$Y$69))</f>
        <v>#N/A</v>
      </c>
      <c r="L32" s="95" t="e">
        <f>IF(Table1188717[[#This Row],[Pos.]]="RB1",_xlfn.XLOOKUP(Table1188717[[#This Row],[Opp]],Table4[DEF],Table4[R]),_xlfn.XLOOKUP(Table1188717[[#This Row],[Opp]],Table44[DEF],Table44[R]))</f>
        <v>#N/A</v>
      </c>
      <c r="M32" s="96" t="e">
        <f>IF(Table1188717[[#This Row],[Pos.]]="RB1",_xlfn.XLOOKUP(Table1188717[[#This Row],[Opp]],Table4[DEF],Table4[REC]),_xlfn.XLOOKUP(Table1188717[[#This Row],[Opp]],Table44[DEF],Table44[REC]))</f>
        <v>#N/A</v>
      </c>
      <c r="N32" s="95" t="e">
        <f>IF(Table1188717[[#This Row],[Pos.]]="RB1",_xlfn.XLOOKUP(Table1188717[[#This Row],[Opp]],Table4[DEF],Table4[Y]),_xlfn.XLOOKUP(Table1188717[[#This Row],[Opp]],Table44[DEF],Table44[Y]))</f>
        <v>#N/A</v>
      </c>
      <c r="O32" s="95" t="e">
        <f>IF(Table1188717[[#This Row],[Pos.]]="RB1",_xlfn.XLOOKUP(Table1188717[[#This Row],[Opp]],Table4[DEF],Table4[R+R]),_xlfn.XLOOKUP(Table1188717[[#This Row],[Opp]],Table44[DEF],Table44[R+R]))</f>
        <v>#N/A</v>
      </c>
      <c r="P32" s="96" t="e">
        <f>IF(Table1188717[[#This Row],[Pos.]]="RB1",_xlfn.XLOOKUP(Table1188717[[#This Row],[Opp]],Table4[DEF],Table4[TD]),_xlfn.XLOOKUP(Table1188717[[#This Row],[Opp]],Table44[DEF],Table44[TD]))</f>
        <v>#N/A</v>
      </c>
      <c r="Q32" s="94" t="e">
        <f>AVERAGE(Table1188717[[#This Row],[*R*]:[*TD*]])</f>
        <v>#N/A</v>
      </c>
    </row>
    <row r="33" spans="2:17" hidden="1" x14ac:dyDescent="0.35">
      <c r="B33" s="6" t="s">
        <v>640</v>
      </c>
      <c r="C33" s="97" t="s">
        <v>38</v>
      </c>
      <c r="D33" s="97" t="s">
        <v>407</v>
      </c>
      <c r="E33" s="23" t="str" cm="1">
        <f t="array" ref="E33">_xlfn.XLOOKUP(Table1188717[[#This Row],[Team]],Table4334[Team],'2425'!$C$3:$C$34)</f>
        <v>n/a</v>
      </c>
      <c r="F33" s="97" t="str">
        <f>'2025'!$E$16</f>
        <v>n/a</v>
      </c>
      <c r="G33" s="94" t="e" cm="1">
        <f t="array" ref="G33">IF(Table1188717[[#This Row],[Pos.]]="RB1",_xlfn.XLOOKUP(Table1188717[[#This Row],[Opp]],Table4[DEF],'2025'!$H$38:$H$69),_xlfn.XLOOKUP(Table1188717[[#This Row],[Opp]],Table44[DEF],'2025'!$U$38:$U$69))</f>
        <v>#N/A</v>
      </c>
      <c r="H33" s="94" t="e" cm="1">
        <f t="array" ref="H33">IF(Table1188717[[#This Row],[Pos.]]="RB1",_xlfn.XLOOKUP(Table1188717[[#This Row],[Opp]],Table4[DEF],'2025'!$I$38:$I$69),_xlfn.XLOOKUP(Table1188717[[#This Row],[Opp]],Table4[DEF],'2025'!$V$38:$V$69))</f>
        <v>#N/A</v>
      </c>
      <c r="I33" s="94" t="e" cm="1">
        <f t="array" ref="I33">IF(Table1188717[[#This Row],[Pos.]]="RB1",_xlfn.XLOOKUP(Table1188717[[#This Row],[Opp]],Table4[DEF],'2025'!$J$38:$J$69),_xlfn.XLOOKUP(Table1188717[[#This Row],[Opp]],Table4[DEF],'2025'!$W$38:$W$69))</f>
        <v>#N/A</v>
      </c>
      <c r="J33" s="94" t="e" cm="1">
        <f t="array" ref="J33">IF(Table1188717[[#This Row],[Pos.]]="RB1",_xlfn.XLOOKUP(Table1188717[[#This Row],[Opp]],Table4[DEF],'2025'!$K$38:$K$69),_xlfn.XLOOKUP(Table1188717[[#This Row],[Opp]],Table4[DEF],'2025'!$X$38:$X$69))</f>
        <v>#N/A</v>
      </c>
      <c r="K33" s="94" t="e" cm="1">
        <f t="array" ref="K33">IF(Table1188717[[#This Row],[Pos.]]="RB1",_xlfn.XLOOKUP(Table1188717[[#This Row],[Opp]],Table4[DEF],'2025'!$L$38:$L$69),_xlfn.XLOOKUP(Table1188717[[#This Row],[Opp]],Table4[DEF],'2025'!$Y$38:$Y$69))</f>
        <v>#N/A</v>
      </c>
      <c r="L33" s="95" t="e">
        <f>IF(Table1188717[[#This Row],[Pos.]]="RB1",_xlfn.XLOOKUP(Table1188717[[#This Row],[Opp]],Table4[DEF],Table4[R]),_xlfn.XLOOKUP(Table1188717[[#This Row],[Opp]],Table44[DEF],Table44[R]))</f>
        <v>#N/A</v>
      </c>
      <c r="M33" s="96" t="e">
        <f>IF(Table1188717[[#This Row],[Pos.]]="RB1",_xlfn.XLOOKUP(Table1188717[[#This Row],[Opp]],Table4[DEF],Table4[REC]),_xlfn.XLOOKUP(Table1188717[[#This Row],[Opp]],Table44[DEF],Table44[REC]))</f>
        <v>#N/A</v>
      </c>
      <c r="N33" s="95" t="e">
        <f>IF(Table1188717[[#This Row],[Pos.]]="RB1",_xlfn.XLOOKUP(Table1188717[[#This Row],[Opp]],Table4[DEF],Table4[Y]),_xlfn.XLOOKUP(Table1188717[[#This Row],[Opp]],Table44[DEF],Table44[Y]))</f>
        <v>#N/A</v>
      </c>
      <c r="O33" s="95" t="e">
        <f>IF(Table1188717[[#This Row],[Pos.]]="RB1",_xlfn.XLOOKUP(Table1188717[[#This Row],[Opp]],Table4[DEF],Table4[R+R]),_xlfn.XLOOKUP(Table1188717[[#This Row],[Opp]],Table44[DEF],Table44[R+R]))</f>
        <v>#N/A</v>
      </c>
      <c r="P33" s="96" t="e">
        <f>IF(Table1188717[[#This Row],[Pos.]]="RB1",_xlfn.XLOOKUP(Table1188717[[#This Row],[Opp]],Table4[DEF],Table4[TD]),_xlfn.XLOOKUP(Table1188717[[#This Row],[Opp]],Table44[DEF],Table44[TD]))</f>
        <v>#N/A</v>
      </c>
      <c r="Q33" s="94" t="e">
        <f>AVERAGE(Table1188717[[#This Row],[*R*]:[*TD*]])</f>
        <v>#N/A</v>
      </c>
    </row>
    <row r="34" spans="2:17" hidden="1" x14ac:dyDescent="0.35">
      <c r="B34" s="6" t="s">
        <v>696</v>
      </c>
      <c r="C34" s="97" t="s">
        <v>0</v>
      </c>
      <c r="D34" s="97" t="s">
        <v>395</v>
      </c>
      <c r="E34" s="23" t="str" cm="1">
        <f t="array" ref="E34">_xlfn.XLOOKUP(Table1188717[[#This Row],[Team]],Table4334[Team],'2425'!$C$3:$C$34)</f>
        <v>n/a</v>
      </c>
      <c r="F34" s="97" t="str">
        <f>'2025'!$E$3</f>
        <v>n/a</v>
      </c>
      <c r="G34" s="94" t="e" cm="1">
        <f t="array" ref="G34">IF(Table1188717[[#This Row],[Pos.]]="RB1",_xlfn.XLOOKUP(Table1188717[[#This Row],[Opp]],Table4[DEF],'2025'!$H$38:$H$69),_xlfn.XLOOKUP(Table1188717[[#This Row],[Opp]],Table44[DEF],'2025'!$U$38:$U$69))</f>
        <v>#N/A</v>
      </c>
      <c r="H34" s="94" t="e" cm="1">
        <f t="array" ref="H34">IF(Table1188717[[#This Row],[Pos.]]="RB1",_xlfn.XLOOKUP(Table1188717[[#This Row],[Opp]],Table4[DEF],'2025'!$I$38:$I$69),_xlfn.XLOOKUP(Table1188717[[#This Row],[Opp]],Table4[DEF],'2025'!$V$38:$V$69))</f>
        <v>#N/A</v>
      </c>
      <c r="I34" s="94" t="e" cm="1">
        <f t="array" ref="I34">IF(Table1188717[[#This Row],[Pos.]]="RB1",_xlfn.XLOOKUP(Table1188717[[#This Row],[Opp]],Table4[DEF],'2025'!$J$38:$J$69),_xlfn.XLOOKUP(Table1188717[[#This Row],[Opp]],Table4[DEF],'2025'!$W$38:$W$69))</f>
        <v>#N/A</v>
      </c>
      <c r="J34" s="94" t="e" cm="1">
        <f t="array" ref="J34">IF(Table1188717[[#This Row],[Pos.]]="RB1",_xlfn.XLOOKUP(Table1188717[[#This Row],[Opp]],Table4[DEF],'2025'!$K$38:$K$69),_xlfn.XLOOKUP(Table1188717[[#This Row],[Opp]],Table4[DEF],'2025'!$X$38:$X$69))</f>
        <v>#N/A</v>
      </c>
      <c r="K34" s="94" t="e" cm="1">
        <f t="array" ref="K34">IF(Table1188717[[#This Row],[Pos.]]="RB1",_xlfn.XLOOKUP(Table1188717[[#This Row],[Opp]],Table4[DEF],'2025'!$L$38:$L$69),_xlfn.XLOOKUP(Table1188717[[#This Row],[Opp]],Table4[DEF],'2025'!$Y$38:$Y$69))</f>
        <v>#N/A</v>
      </c>
      <c r="L34" s="95" t="e">
        <f>IF(Table1188717[[#This Row],[Pos.]]="RB1",_xlfn.XLOOKUP(Table1188717[[#This Row],[Opp]],Table4[DEF],Table4[R]),_xlfn.XLOOKUP(Table1188717[[#This Row],[Opp]],Table44[DEF],Table44[R]))</f>
        <v>#N/A</v>
      </c>
      <c r="M34" s="96" t="e">
        <f>IF(Table1188717[[#This Row],[Pos.]]="RB1",_xlfn.XLOOKUP(Table1188717[[#This Row],[Opp]],Table4[DEF],Table4[REC]),_xlfn.XLOOKUP(Table1188717[[#This Row],[Opp]],Table44[DEF],Table44[REC]))</f>
        <v>#N/A</v>
      </c>
      <c r="N34" s="95" t="e">
        <f>IF(Table1188717[[#This Row],[Pos.]]="RB1",_xlfn.XLOOKUP(Table1188717[[#This Row],[Opp]],Table4[DEF],Table4[Y]),_xlfn.XLOOKUP(Table1188717[[#This Row],[Opp]],Table44[DEF],Table44[Y]))</f>
        <v>#N/A</v>
      </c>
      <c r="O34" s="95" t="e">
        <f>IF(Table1188717[[#This Row],[Pos.]]="RB1",_xlfn.XLOOKUP(Table1188717[[#This Row],[Opp]],Table4[DEF],Table4[R+R]),_xlfn.XLOOKUP(Table1188717[[#This Row],[Opp]],Table44[DEF],Table44[R+R]))</f>
        <v>#N/A</v>
      </c>
      <c r="P34" s="96" t="e">
        <f>IF(Table1188717[[#This Row],[Pos.]]="RB1",_xlfn.XLOOKUP(Table1188717[[#This Row],[Opp]],Table4[DEF],Table4[TD]),_xlfn.XLOOKUP(Table1188717[[#This Row],[Opp]],Table44[DEF],Table44[TD]))</f>
        <v>#N/A</v>
      </c>
      <c r="Q34" s="94" t="e">
        <f>AVERAGE(Table1188717[[#This Row],[*R*]:[*TD*]])</f>
        <v>#N/A</v>
      </c>
    </row>
    <row r="35" spans="2:17" hidden="1" x14ac:dyDescent="0.35">
      <c r="B35" s="6" t="s">
        <v>577</v>
      </c>
      <c r="C35" s="97" t="s">
        <v>34</v>
      </c>
      <c r="D35" s="97" t="s">
        <v>396</v>
      </c>
      <c r="E35" s="23" t="str" cm="1">
        <f t="array" ref="E35">_xlfn.XLOOKUP(Table1188717[[#This Row],[Team]],Table4334[Team],'2425'!$C$3:$C$34)</f>
        <v>n/a</v>
      </c>
      <c r="F35" s="97" t="str">
        <f>'2025'!$E$12</f>
        <v>n/a</v>
      </c>
      <c r="G35" s="94" t="e" cm="1">
        <f t="array" ref="G35">IF(Table1188717[[#This Row],[Pos.]]="RB1",_xlfn.XLOOKUP(Table1188717[[#This Row],[Opp]],Table4[DEF],'2025'!$H$38:$H$69),_xlfn.XLOOKUP(Table1188717[[#This Row],[Opp]],Table44[DEF],'2025'!$U$38:$U$69))</f>
        <v>#N/A</v>
      </c>
      <c r="H35" s="94" t="e" cm="1">
        <f t="array" ref="H35">IF(Table1188717[[#This Row],[Pos.]]="RB1",_xlfn.XLOOKUP(Table1188717[[#This Row],[Opp]],Table4[DEF],'2025'!$I$38:$I$69),_xlfn.XLOOKUP(Table1188717[[#This Row],[Opp]],Table4[DEF],'2025'!$V$38:$V$69))</f>
        <v>#N/A</v>
      </c>
      <c r="I35" s="94" t="e" cm="1">
        <f t="array" ref="I35">IF(Table1188717[[#This Row],[Pos.]]="RB1",_xlfn.XLOOKUP(Table1188717[[#This Row],[Opp]],Table4[DEF],'2025'!$J$38:$J$69),_xlfn.XLOOKUP(Table1188717[[#This Row],[Opp]],Table4[DEF],'2025'!$W$38:$W$69))</f>
        <v>#N/A</v>
      </c>
      <c r="J35" s="94" t="e" cm="1">
        <f t="array" ref="J35">IF(Table1188717[[#This Row],[Pos.]]="RB1",_xlfn.XLOOKUP(Table1188717[[#This Row],[Opp]],Table4[DEF],'2025'!$K$38:$K$69),_xlfn.XLOOKUP(Table1188717[[#This Row],[Opp]],Table4[DEF],'2025'!$X$38:$X$69))</f>
        <v>#N/A</v>
      </c>
      <c r="K35" s="94" t="e" cm="1">
        <f t="array" ref="K35">IF(Table1188717[[#This Row],[Pos.]]="RB1",_xlfn.XLOOKUP(Table1188717[[#This Row],[Opp]],Table4[DEF],'2025'!$L$38:$L$69),_xlfn.XLOOKUP(Table1188717[[#This Row],[Opp]],Table4[DEF],'2025'!$Y$38:$Y$69))</f>
        <v>#N/A</v>
      </c>
      <c r="L35" s="95" t="e">
        <f>IF(Table1188717[[#This Row],[Pos.]]="RB1",_xlfn.XLOOKUP(Table1188717[[#This Row],[Opp]],Table4[DEF],Table4[R]),_xlfn.XLOOKUP(Table1188717[[#This Row],[Opp]],Table44[DEF],Table44[R]))</f>
        <v>#N/A</v>
      </c>
      <c r="M35" s="96" t="e">
        <f>IF(Table1188717[[#This Row],[Pos.]]="RB1",_xlfn.XLOOKUP(Table1188717[[#This Row],[Opp]],Table4[DEF],Table4[REC]),_xlfn.XLOOKUP(Table1188717[[#This Row],[Opp]],Table44[DEF],Table44[REC]))</f>
        <v>#N/A</v>
      </c>
      <c r="N35" s="95" t="e">
        <f>IF(Table1188717[[#This Row],[Pos.]]="RB1",_xlfn.XLOOKUP(Table1188717[[#This Row],[Opp]],Table4[DEF],Table4[Y]),_xlfn.XLOOKUP(Table1188717[[#This Row],[Opp]],Table44[DEF],Table44[Y]))</f>
        <v>#N/A</v>
      </c>
      <c r="O35" s="95" t="e">
        <f>IF(Table1188717[[#This Row],[Pos.]]="RB1",_xlfn.XLOOKUP(Table1188717[[#This Row],[Opp]],Table4[DEF],Table4[R+R]),_xlfn.XLOOKUP(Table1188717[[#This Row],[Opp]],Table44[DEF],Table44[R+R]))</f>
        <v>#N/A</v>
      </c>
      <c r="P35" s="96" t="e">
        <f>IF(Table1188717[[#This Row],[Pos.]]="RB1",_xlfn.XLOOKUP(Table1188717[[#This Row],[Opp]],Table4[DEF],Table4[TD]),_xlfn.XLOOKUP(Table1188717[[#This Row],[Opp]],Table44[DEF],Table44[TD]))</f>
        <v>#N/A</v>
      </c>
      <c r="Q35" s="94" t="e">
        <f>AVERAGE(Table1188717[[#This Row],[*R*]:[*TD*]])</f>
        <v>#N/A</v>
      </c>
    </row>
    <row r="36" spans="2:17" hidden="1" x14ac:dyDescent="0.35">
      <c r="B36" s="6" t="s">
        <v>194</v>
      </c>
      <c r="C36" s="97" t="s">
        <v>34</v>
      </c>
      <c r="D36" s="97" t="s">
        <v>407</v>
      </c>
      <c r="E36" s="23" t="str" cm="1">
        <f t="array" ref="E36">_xlfn.XLOOKUP(Table1188717[[#This Row],[Team]],Table4334[Team],'2425'!$C$3:$C$34)</f>
        <v>n/a</v>
      </c>
      <c r="F36" s="97" t="str">
        <f>'2025'!$E$12</f>
        <v>n/a</v>
      </c>
      <c r="G36" s="94" t="e" cm="1">
        <f t="array" ref="G36">IF(Table1188717[[#This Row],[Pos.]]="RB1",_xlfn.XLOOKUP(Table1188717[[#This Row],[Opp]],Table4[DEF],'2025'!$H$38:$H$69),_xlfn.XLOOKUP(Table1188717[[#This Row],[Opp]],Table44[DEF],'2025'!$U$38:$U$69))</f>
        <v>#N/A</v>
      </c>
      <c r="H36" s="94" t="e" cm="1">
        <f t="array" ref="H36">IF(Table1188717[[#This Row],[Pos.]]="RB1",_xlfn.XLOOKUP(Table1188717[[#This Row],[Opp]],Table4[DEF],'2025'!$I$38:$I$69),_xlfn.XLOOKUP(Table1188717[[#This Row],[Opp]],Table4[DEF],'2025'!$V$38:$V$69))</f>
        <v>#N/A</v>
      </c>
      <c r="I36" s="94" t="e" cm="1">
        <f t="array" ref="I36">IF(Table1188717[[#This Row],[Pos.]]="RB1",_xlfn.XLOOKUP(Table1188717[[#This Row],[Opp]],Table4[DEF],'2025'!$J$38:$J$69),_xlfn.XLOOKUP(Table1188717[[#This Row],[Opp]],Table4[DEF],'2025'!$W$38:$W$69))</f>
        <v>#N/A</v>
      </c>
      <c r="J36" s="94" t="e" cm="1">
        <f t="array" ref="J36">IF(Table1188717[[#This Row],[Pos.]]="RB1",_xlfn.XLOOKUP(Table1188717[[#This Row],[Opp]],Table4[DEF],'2025'!$K$38:$K$69),_xlfn.XLOOKUP(Table1188717[[#This Row],[Opp]],Table4[DEF],'2025'!$X$38:$X$69))</f>
        <v>#N/A</v>
      </c>
      <c r="K36" s="94" t="e" cm="1">
        <f t="array" ref="K36">IF(Table1188717[[#This Row],[Pos.]]="RB1",_xlfn.XLOOKUP(Table1188717[[#This Row],[Opp]],Table4[DEF],'2025'!$L$38:$L$69),_xlfn.XLOOKUP(Table1188717[[#This Row],[Opp]],Table4[DEF],'2025'!$Y$38:$Y$69))</f>
        <v>#N/A</v>
      </c>
      <c r="L36" s="95" t="e">
        <f>IF(Table1188717[[#This Row],[Pos.]]="RB1",_xlfn.XLOOKUP(Table1188717[[#This Row],[Opp]],Table4[DEF],Table4[R]),_xlfn.XLOOKUP(Table1188717[[#This Row],[Opp]],Table44[DEF],Table44[R]))</f>
        <v>#N/A</v>
      </c>
      <c r="M36" s="96" t="e">
        <f>IF(Table1188717[[#This Row],[Pos.]]="RB1",_xlfn.XLOOKUP(Table1188717[[#This Row],[Opp]],Table4[DEF],Table4[REC]),_xlfn.XLOOKUP(Table1188717[[#This Row],[Opp]],Table44[DEF],Table44[REC]))</f>
        <v>#N/A</v>
      </c>
      <c r="N36" s="95" t="e">
        <f>IF(Table1188717[[#This Row],[Pos.]]="RB1",_xlfn.XLOOKUP(Table1188717[[#This Row],[Opp]],Table4[DEF],Table4[Y]),_xlfn.XLOOKUP(Table1188717[[#This Row],[Opp]],Table44[DEF],Table44[Y]))</f>
        <v>#N/A</v>
      </c>
      <c r="O36" s="95" t="e">
        <f>IF(Table1188717[[#This Row],[Pos.]]="RB1",_xlfn.XLOOKUP(Table1188717[[#This Row],[Opp]],Table4[DEF],Table4[R+R]),_xlfn.XLOOKUP(Table1188717[[#This Row],[Opp]],Table44[DEF],Table44[R+R]))</f>
        <v>#N/A</v>
      </c>
      <c r="P36" s="96" t="e">
        <f>IF(Table1188717[[#This Row],[Pos.]]="RB1",_xlfn.XLOOKUP(Table1188717[[#This Row],[Opp]],Table4[DEF],Table4[TD]),_xlfn.XLOOKUP(Table1188717[[#This Row],[Opp]],Table44[DEF],Table44[TD]))</f>
        <v>#N/A</v>
      </c>
      <c r="Q36" s="94" t="e">
        <f>AVERAGE(Table1188717[[#This Row],[*R*]:[*TD*]])</f>
        <v>#N/A</v>
      </c>
    </row>
    <row r="37" spans="2:17" hidden="1" x14ac:dyDescent="0.35">
      <c r="B37" s="6" t="s">
        <v>276</v>
      </c>
      <c r="C37" s="97" t="s">
        <v>43</v>
      </c>
      <c r="D37" s="97" t="s">
        <v>395</v>
      </c>
      <c r="E37" s="23" t="str" cm="1">
        <f t="array" ref="E37">_xlfn.XLOOKUP(Table1188717[[#This Row],[Team]],Table4334[Team],'2425'!$C$3:$C$34)</f>
        <v>n/a</v>
      </c>
      <c r="F37" s="97" t="str">
        <f>'2025'!$E$21</f>
        <v>n/a</v>
      </c>
      <c r="G37" s="94" t="e" cm="1">
        <f t="array" ref="G37">IF(Table1188717[[#This Row],[Pos.]]="RB1",_xlfn.XLOOKUP(Table1188717[[#This Row],[Opp]],Table4[DEF],'2025'!$H$38:$H$69),_xlfn.XLOOKUP(Table1188717[[#This Row],[Opp]],Table44[DEF],'2025'!$U$38:$U$69))</f>
        <v>#N/A</v>
      </c>
      <c r="H37" s="94" t="e" cm="1">
        <f t="array" ref="H37">IF(Table1188717[[#This Row],[Pos.]]="RB1",_xlfn.XLOOKUP(Table1188717[[#This Row],[Opp]],Table4[DEF],'2025'!$I$38:$I$69),_xlfn.XLOOKUP(Table1188717[[#This Row],[Opp]],Table4[DEF],'2025'!$V$38:$V$69))</f>
        <v>#N/A</v>
      </c>
      <c r="I37" s="94" t="e" cm="1">
        <f t="array" ref="I37">IF(Table1188717[[#This Row],[Pos.]]="RB1",_xlfn.XLOOKUP(Table1188717[[#This Row],[Opp]],Table4[DEF],'2025'!$J$38:$J$69),_xlfn.XLOOKUP(Table1188717[[#This Row],[Opp]],Table4[DEF],'2025'!$W$38:$W$69))</f>
        <v>#N/A</v>
      </c>
      <c r="J37" s="94" t="e" cm="1">
        <f t="array" ref="J37">IF(Table1188717[[#This Row],[Pos.]]="RB1",_xlfn.XLOOKUP(Table1188717[[#This Row],[Opp]],Table4[DEF],'2025'!$K$38:$K$69),_xlfn.XLOOKUP(Table1188717[[#This Row],[Opp]],Table4[DEF],'2025'!$X$38:$X$69))</f>
        <v>#N/A</v>
      </c>
      <c r="K37" s="94" t="e" cm="1">
        <f t="array" ref="K37">IF(Table1188717[[#This Row],[Pos.]]="RB1",_xlfn.XLOOKUP(Table1188717[[#This Row],[Opp]],Table4[DEF],'2025'!$L$38:$L$69),_xlfn.XLOOKUP(Table1188717[[#This Row],[Opp]],Table4[DEF],'2025'!$Y$38:$Y$69))</f>
        <v>#N/A</v>
      </c>
      <c r="L37" s="95" t="e">
        <f>IF(Table1188717[[#This Row],[Pos.]]="RB1",_xlfn.XLOOKUP(Table1188717[[#This Row],[Opp]],Table4[DEF],Table4[R]),_xlfn.XLOOKUP(Table1188717[[#This Row],[Opp]],Table44[DEF],Table44[R]))</f>
        <v>#N/A</v>
      </c>
      <c r="M37" s="96" t="e">
        <f>IF(Table1188717[[#This Row],[Pos.]]="RB1",_xlfn.XLOOKUP(Table1188717[[#This Row],[Opp]],Table4[DEF],Table4[REC]),_xlfn.XLOOKUP(Table1188717[[#This Row],[Opp]],Table44[DEF],Table44[REC]))</f>
        <v>#N/A</v>
      </c>
      <c r="N37" s="95" t="e">
        <f>IF(Table1188717[[#This Row],[Pos.]]="RB1",_xlfn.XLOOKUP(Table1188717[[#This Row],[Opp]],Table4[DEF],Table4[Y]),_xlfn.XLOOKUP(Table1188717[[#This Row],[Opp]],Table44[DEF],Table44[Y]))</f>
        <v>#N/A</v>
      </c>
      <c r="O37" s="95" t="e">
        <f>IF(Table1188717[[#This Row],[Pos.]]="RB1",_xlfn.XLOOKUP(Table1188717[[#This Row],[Opp]],Table4[DEF],Table4[R+R]),_xlfn.XLOOKUP(Table1188717[[#This Row],[Opp]],Table44[DEF],Table44[R+R]))</f>
        <v>#N/A</v>
      </c>
      <c r="P37" s="96" t="e">
        <f>IF(Table1188717[[#This Row],[Pos.]]="RB1",_xlfn.XLOOKUP(Table1188717[[#This Row],[Opp]],Table4[DEF],Table4[TD]),_xlfn.XLOOKUP(Table1188717[[#This Row],[Opp]],Table44[DEF],Table44[TD]))</f>
        <v>#N/A</v>
      </c>
      <c r="Q37" s="94" t="e">
        <f>AVERAGE(Table1188717[[#This Row],[*R*]:[*TD*]])</f>
        <v>#N/A</v>
      </c>
    </row>
    <row r="38" spans="2:17" hidden="1" x14ac:dyDescent="0.35">
      <c r="B38" s="6" t="s">
        <v>115</v>
      </c>
      <c r="C38" s="97" t="s">
        <v>16</v>
      </c>
      <c r="D38" s="97" t="s">
        <v>395</v>
      </c>
      <c r="E38" s="23" t="str" cm="1">
        <f t="array" ref="E38">_xlfn.XLOOKUP(Table1188717[[#This Row],[Team]],Table4334[Team],'2425'!$C$3:$C$34)</f>
        <v>n/a</v>
      </c>
      <c r="F38" s="97" t="str">
        <f>'2025'!$E$5</f>
        <v>n/a</v>
      </c>
      <c r="G38" s="94" t="e" cm="1">
        <f t="array" ref="G38">IF(Table1188717[[#This Row],[Pos.]]="RB1",_xlfn.XLOOKUP(Table1188717[[#This Row],[Opp]],Table4[DEF],'2025'!$H$38:$H$69),_xlfn.XLOOKUP(Table1188717[[#This Row],[Opp]],Table44[DEF],'2025'!$U$38:$U$69))</f>
        <v>#N/A</v>
      </c>
      <c r="H38" s="94" t="e" cm="1">
        <f t="array" ref="H38">IF(Table1188717[[#This Row],[Pos.]]="RB1",_xlfn.XLOOKUP(Table1188717[[#This Row],[Opp]],Table4[DEF],'2025'!$I$38:$I$69),_xlfn.XLOOKUP(Table1188717[[#This Row],[Opp]],Table4[DEF],'2025'!$V$38:$V$69))</f>
        <v>#N/A</v>
      </c>
      <c r="I38" s="94" t="e" cm="1">
        <f t="array" ref="I38">IF(Table1188717[[#This Row],[Pos.]]="RB1",_xlfn.XLOOKUP(Table1188717[[#This Row],[Opp]],Table4[DEF],'2025'!$J$38:$J$69),_xlfn.XLOOKUP(Table1188717[[#This Row],[Opp]],Table4[DEF],'2025'!$W$38:$W$69))</f>
        <v>#N/A</v>
      </c>
      <c r="J38" s="94" t="e" cm="1">
        <f t="array" ref="J38">IF(Table1188717[[#This Row],[Pos.]]="RB1",_xlfn.XLOOKUP(Table1188717[[#This Row],[Opp]],Table4[DEF],'2025'!$K$38:$K$69),_xlfn.XLOOKUP(Table1188717[[#This Row],[Opp]],Table4[DEF],'2025'!$X$38:$X$69))</f>
        <v>#N/A</v>
      </c>
      <c r="K38" s="94" t="e" cm="1">
        <f t="array" ref="K38">IF(Table1188717[[#This Row],[Pos.]]="RB1",_xlfn.XLOOKUP(Table1188717[[#This Row],[Opp]],Table4[DEF],'2025'!$L$38:$L$69),_xlfn.XLOOKUP(Table1188717[[#This Row],[Opp]],Table4[DEF],'2025'!$Y$38:$Y$69))</f>
        <v>#N/A</v>
      </c>
      <c r="L38" s="95" t="e">
        <f>IF(Table1188717[[#This Row],[Pos.]]="RB1",_xlfn.XLOOKUP(Table1188717[[#This Row],[Opp]],Table4[DEF],Table4[R]),_xlfn.XLOOKUP(Table1188717[[#This Row],[Opp]],Table44[DEF],Table44[R]))</f>
        <v>#N/A</v>
      </c>
      <c r="M38" s="96" t="e">
        <f>IF(Table1188717[[#This Row],[Pos.]]="RB1",_xlfn.XLOOKUP(Table1188717[[#This Row],[Opp]],Table4[DEF],Table4[REC]),_xlfn.XLOOKUP(Table1188717[[#This Row],[Opp]],Table44[DEF],Table44[REC]))</f>
        <v>#N/A</v>
      </c>
      <c r="N38" s="95" t="e">
        <f>IF(Table1188717[[#This Row],[Pos.]]="RB1",_xlfn.XLOOKUP(Table1188717[[#This Row],[Opp]],Table4[DEF],Table4[Y]),_xlfn.XLOOKUP(Table1188717[[#This Row],[Opp]],Table44[DEF],Table44[Y]))</f>
        <v>#N/A</v>
      </c>
      <c r="O38" s="95" t="e">
        <f>IF(Table1188717[[#This Row],[Pos.]]="RB1",_xlfn.XLOOKUP(Table1188717[[#This Row],[Opp]],Table4[DEF],Table4[R+R]),_xlfn.XLOOKUP(Table1188717[[#This Row],[Opp]],Table44[DEF],Table44[R+R]))</f>
        <v>#N/A</v>
      </c>
      <c r="P38" s="96" t="e">
        <f>IF(Table1188717[[#This Row],[Pos.]]="RB1",_xlfn.XLOOKUP(Table1188717[[#This Row],[Opp]],Table4[DEF],Table4[TD]),_xlfn.XLOOKUP(Table1188717[[#This Row],[Opp]],Table44[DEF],Table44[TD]))</f>
        <v>#N/A</v>
      </c>
      <c r="Q38" s="94" t="e">
        <f>AVERAGE(Table1188717[[#This Row],[*R*]:[*TD*]])</f>
        <v>#N/A</v>
      </c>
    </row>
    <row r="39" spans="2:17" hidden="1" x14ac:dyDescent="0.35">
      <c r="B39" s="6" t="s">
        <v>236</v>
      </c>
      <c r="C39" s="97" t="s">
        <v>39</v>
      </c>
      <c r="D39" s="97" t="s">
        <v>395</v>
      </c>
      <c r="E39" s="23" t="str" cm="1">
        <f t="array" ref="E39">_xlfn.XLOOKUP(Table1188717[[#This Row],[Team]],Table4334[Team],'2425'!$C$3:$C$34)</f>
        <v>n/a</v>
      </c>
      <c r="F39" s="97" t="str">
        <f>'2025'!$E$17</f>
        <v>n/a</v>
      </c>
      <c r="G39" s="94" t="e" cm="1">
        <f t="array" ref="G39">IF(Table1188717[[#This Row],[Pos.]]="RB1",_xlfn.XLOOKUP(Table1188717[[#This Row],[Opp]],Table4[DEF],'2025'!$H$38:$H$69),_xlfn.XLOOKUP(Table1188717[[#This Row],[Opp]],Table44[DEF],'2025'!$U$38:$U$69))</f>
        <v>#N/A</v>
      </c>
      <c r="H39" s="94" t="e" cm="1">
        <f t="array" ref="H39">IF(Table1188717[[#This Row],[Pos.]]="RB1",_xlfn.XLOOKUP(Table1188717[[#This Row],[Opp]],Table4[DEF],'2025'!$I$38:$I$69),_xlfn.XLOOKUP(Table1188717[[#This Row],[Opp]],Table4[DEF],'2025'!$V$38:$V$69))</f>
        <v>#N/A</v>
      </c>
      <c r="I39" s="94" t="e" cm="1">
        <f t="array" ref="I39">IF(Table1188717[[#This Row],[Pos.]]="RB1",_xlfn.XLOOKUP(Table1188717[[#This Row],[Opp]],Table4[DEF],'2025'!$J$38:$J$69),_xlfn.XLOOKUP(Table1188717[[#This Row],[Opp]],Table4[DEF],'2025'!$W$38:$W$69))</f>
        <v>#N/A</v>
      </c>
      <c r="J39" s="94" t="e" cm="1">
        <f t="array" ref="J39">IF(Table1188717[[#This Row],[Pos.]]="RB1",_xlfn.XLOOKUP(Table1188717[[#This Row],[Opp]],Table4[DEF],'2025'!$K$38:$K$69),_xlfn.XLOOKUP(Table1188717[[#This Row],[Opp]],Table4[DEF],'2025'!$X$38:$X$69))</f>
        <v>#N/A</v>
      </c>
      <c r="K39" s="94" t="e" cm="1">
        <f t="array" ref="K39">IF(Table1188717[[#This Row],[Pos.]]="RB1",_xlfn.XLOOKUP(Table1188717[[#This Row],[Opp]],Table4[DEF],'2025'!$L$38:$L$69),_xlfn.XLOOKUP(Table1188717[[#This Row],[Opp]],Table4[DEF],'2025'!$Y$38:$Y$69))</f>
        <v>#N/A</v>
      </c>
      <c r="L39" s="95" t="e">
        <f>IF(Table1188717[[#This Row],[Pos.]]="RB1",_xlfn.XLOOKUP(Table1188717[[#This Row],[Opp]],Table4[DEF],Table4[R]),_xlfn.XLOOKUP(Table1188717[[#This Row],[Opp]],Table44[DEF],Table44[R]))</f>
        <v>#N/A</v>
      </c>
      <c r="M39" s="96" t="e">
        <f>IF(Table1188717[[#This Row],[Pos.]]="RB1",_xlfn.XLOOKUP(Table1188717[[#This Row],[Opp]],Table4[DEF],Table4[REC]),_xlfn.XLOOKUP(Table1188717[[#This Row],[Opp]],Table44[DEF],Table44[REC]))</f>
        <v>#N/A</v>
      </c>
      <c r="N39" s="95" t="e">
        <f>IF(Table1188717[[#This Row],[Pos.]]="RB1",_xlfn.XLOOKUP(Table1188717[[#This Row],[Opp]],Table4[DEF],Table4[Y]),_xlfn.XLOOKUP(Table1188717[[#This Row],[Opp]],Table44[DEF],Table44[Y]))</f>
        <v>#N/A</v>
      </c>
      <c r="O39" s="95" t="e">
        <f>IF(Table1188717[[#This Row],[Pos.]]="RB1",_xlfn.XLOOKUP(Table1188717[[#This Row],[Opp]],Table4[DEF],Table4[R+R]),_xlfn.XLOOKUP(Table1188717[[#This Row],[Opp]],Table44[DEF],Table44[R+R]))</f>
        <v>#N/A</v>
      </c>
      <c r="P39" s="96" t="e">
        <f>IF(Table1188717[[#This Row],[Pos.]]="RB1",_xlfn.XLOOKUP(Table1188717[[#This Row],[Opp]],Table4[DEF],Table4[TD]),_xlfn.XLOOKUP(Table1188717[[#This Row],[Opp]],Table44[DEF],Table44[TD]))</f>
        <v>#N/A</v>
      </c>
      <c r="Q39" s="94" t="e">
        <f>AVERAGE(Table1188717[[#This Row],[*R*]:[*TD*]])</f>
        <v>#N/A</v>
      </c>
    </row>
    <row r="40" spans="2:17" hidden="1" x14ac:dyDescent="0.35">
      <c r="B40" s="6" t="s">
        <v>175</v>
      </c>
      <c r="C40" s="97" t="s">
        <v>32</v>
      </c>
      <c r="D40" s="97" t="s">
        <v>396</v>
      </c>
      <c r="E40" s="23" t="str" cm="1">
        <f t="array" ref="E40">_xlfn.XLOOKUP(Table1188717[[#This Row],[Team]],Table4334[Team],'2425'!$C$3:$C$34)</f>
        <v>n/a</v>
      </c>
      <c r="F40" s="97" t="str">
        <f>'2025'!$E$10</f>
        <v>n/a</v>
      </c>
      <c r="G40" s="94" t="e" cm="1">
        <f t="array" ref="G40">IF(Table1188717[[#This Row],[Pos.]]="RB1",_xlfn.XLOOKUP(Table1188717[[#This Row],[Opp]],Table4[DEF],'2025'!$H$38:$H$69),_xlfn.XLOOKUP(Table1188717[[#This Row],[Opp]],Table44[DEF],'2025'!$U$38:$U$69))</f>
        <v>#N/A</v>
      </c>
      <c r="H40" s="94" t="e" cm="1">
        <f t="array" ref="H40">IF(Table1188717[[#This Row],[Pos.]]="RB1",_xlfn.XLOOKUP(Table1188717[[#This Row],[Opp]],Table4[DEF],'2025'!$I$38:$I$69),_xlfn.XLOOKUP(Table1188717[[#This Row],[Opp]],Table4[DEF],'2025'!$V$38:$V$69))</f>
        <v>#N/A</v>
      </c>
      <c r="I40" s="94" t="e" cm="1">
        <f t="array" ref="I40">IF(Table1188717[[#This Row],[Pos.]]="RB1",_xlfn.XLOOKUP(Table1188717[[#This Row],[Opp]],Table4[DEF],'2025'!$J$38:$J$69),_xlfn.XLOOKUP(Table1188717[[#This Row],[Opp]],Table4[DEF],'2025'!$W$38:$W$69))</f>
        <v>#N/A</v>
      </c>
      <c r="J40" s="94" t="e" cm="1">
        <f t="array" ref="J40">IF(Table1188717[[#This Row],[Pos.]]="RB1",_xlfn.XLOOKUP(Table1188717[[#This Row],[Opp]],Table4[DEF],'2025'!$K$38:$K$69),_xlfn.XLOOKUP(Table1188717[[#This Row],[Opp]],Table4[DEF],'2025'!$X$38:$X$69))</f>
        <v>#N/A</v>
      </c>
      <c r="K40" s="94" t="e" cm="1">
        <f t="array" ref="K40">IF(Table1188717[[#This Row],[Pos.]]="RB1",_xlfn.XLOOKUP(Table1188717[[#This Row],[Opp]],Table4[DEF],'2025'!$L$38:$L$69),_xlfn.XLOOKUP(Table1188717[[#This Row],[Opp]],Table4[DEF],'2025'!$Y$38:$Y$69))</f>
        <v>#N/A</v>
      </c>
      <c r="L40" s="95" t="e">
        <f>IF(Table1188717[[#This Row],[Pos.]]="RB1",_xlfn.XLOOKUP(Table1188717[[#This Row],[Opp]],Table4[DEF],Table4[R]),_xlfn.XLOOKUP(Table1188717[[#This Row],[Opp]],Table44[DEF],Table44[R]))</f>
        <v>#N/A</v>
      </c>
      <c r="M40" s="96" t="e">
        <f>IF(Table1188717[[#This Row],[Pos.]]="RB1",_xlfn.XLOOKUP(Table1188717[[#This Row],[Opp]],Table4[DEF],Table4[REC]),_xlfn.XLOOKUP(Table1188717[[#This Row],[Opp]],Table44[DEF],Table44[REC]))</f>
        <v>#N/A</v>
      </c>
      <c r="N40" s="95" t="e">
        <f>IF(Table1188717[[#This Row],[Pos.]]="RB1",_xlfn.XLOOKUP(Table1188717[[#This Row],[Opp]],Table4[DEF],Table4[Y]),_xlfn.XLOOKUP(Table1188717[[#This Row],[Opp]],Table44[DEF],Table44[Y]))</f>
        <v>#N/A</v>
      </c>
      <c r="O40" s="95" t="e">
        <f>IF(Table1188717[[#This Row],[Pos.]]="RB1",_xlfn.XLOOKUP(Table1188717[[#This Row],[Opp]],Table4[DEF],Table4[R+R]),_xlfn.XLOOKUP(Table1188717[[#This Row],[Opp]],Table44[DEF],Table44[R+R]))</f>
        <v>#N/A</v>
      </c>
      <c r="P40" s="96" t="e">
        <f>IF(Table1188717[[#This Row],[Pos.]]="RB1",_xlfn.XLOOKUP(Table1188717[[#This Row],[Opp]],Table4[DEF],Table4[TD]),_xlfn.XLOOKUP(Table1188717[[#This Row],[Opp]],Table44[DEF],Table44[TD]))</f>
        <v>#N/A</v>
      </c>
      <c r="Q40" s="94" t="e">
        <f>AVERAGE(Table1188717[[#This Row],[*R*]:[*TD*]])</f>
        <v>#N/A</v>
      </c>
    </row>
    <row r="41" spans="2:17" hidden="1" x14ac:dyDescent="0.35">
      <c r="B41" s="6" t="s">
        <v>481</v>
      </c>
      <c r="C41" s="97" t="s">
        <v>32</v>
      </c>
      <c r="D41" s="97" t="s">
        <v>407</v>
      </c>
      <c r="E41" s="23" t="str" cm="1">
        <f t="array" ref="E41">_xlfn.XLOOKUP(Table1188717[[#This Row],[Team]],Table4334[Team],'2425'!$C$3:$C$34)</f>
        <v>n/a</v>
      </c>
      <c r="F41" s="97" t="str">
        <f>'2025'!$E$10</f>
        <v>n/a</v>
      </c>
      <c r="G41" s="94" t="e" cm="1">
        <f t="array" ref="G41">IF(Table1188717[[#This Row],[Pos.]]="RB1",_xlfn.XLOOKUP(Table1188717[[#This Row],[Opp]],Table4[DEF],'2025'!$H$38:$H$69),_xlfn.XLOOKUP(Table1188717[[#This Row],[Opp]],Table44[DEF],'2025'!$U$38:$U$69))</f>
        <v>#N/A</v>
      </c>
      <c r="H41" s="94" t="e" cm="1">
        <f t="array" ref="H41">IF(Table1188717[[#This Row],[Pos.]]="RB1",_xlfn.XLOOKUP(Table1188717[[#This Row],[Opp]],Table4[DEF],'2025'!$I$38:$I$69),_xlfn.XLOOKUP(Table1188717[[#This Row],[Opp]],Table4[DEF],'2025'!$V$38:$V$69))</f>
        <v>#N/A</v>
      </c>
      <c r="I41" s="94" t="e" cm="1">
        <f t="array" ref="I41">IF(Table1188717[[#This Row],[Pos.]]="RB1",_xlfn.XLOOKUP(Table1188717[[#This Row],[Opp]],Table4[DEF],'2025'!$J$38:$J$69),_xlfn.XLOOKUP(Table1188717[[#This Row],[Opp]],Table4[DEF],'2025'!$W$38:$W$69))</f>
        <v>#N/A</v>
      </c>
      <c r="J41" s="94" t="e" cm="1">
        <f t="array" ref="J41">IF(Table1188717[[#This Row],[Pos.]]="RB1",_xlfn.XLOOKUP(Table1188717[[#This Row],[Opp]],Table4[DEF],'2025'!$K$38:$K$69),_xlfn.XLOOKUP(Table1188717[[#This Row],[Opp]],Table4[DEF],'2025'!$X$38:$X$69))</f>
        <v>#N/A</v>
      </c>
      <c r="K41" s="94" t="e" cm="1">
        <f t="array" ref="K41">IF(Table1188717[[#This Row],[Pos.]]="RB1",_xlfn.XLOOKUP(Table1188717[[#This Row],[Opp]],Table4[DEF],'2025'!$L$38:$L$69),_xlfn.XLOOKUP(Table1188717[[#This Row],[Opp]],Table4[DEF],'2025'!$Y$38:$Y$69))</f>
        <v>#N/A</v>
      </c>
      <c r="L41" s="95" t="e">
        <f>IF(Table1188717[[#This Row],[Pos.]]="RB1",_xlfn.XLOOKUP(Table1188717[[#This Row],[Opp]],Table4[DEF],Table4[R]),_xlfn.XLOOKUP(Table1188717[[#This Row],[Opp]],Table44[DEF],Table44[R]))</f>
        <v>#N/A</v>
      </c>
      <c r="M41" s="96" t="e">
        <f>IF(Table1188717[[#This Row],[Pos.]]="RB1",_xlfn.XLOOKUP(Table1188717[[#This Row],[Opp]],Table4[DEF],Table4[REC]),_xlfn.XLOOKUP(Table1188717[[#This Row],[Opp]],Table44[DEF],Table44[REC]))</f>
        <v>#N/A</v>
      </c>
      <c r="N41" s="95" t="e">
        <f>IF(Table1188717[[#This Row],[Pos.]]="RB1",_xlfn.XLOOKUP(Table1188717[[#This Row],[Opp]],Table4[DEF],Table4[Y]),_xlfn.XLOOKUP(Table1188717[[#This Row],[Opp]],Table44[DEF],Table44[Y]))</f>
        <v>#N/A</v>
      </c>
      <c r="O41" s="95" t="e">
        <f>IF(Table1188717[[#This Row],[Pos.]]="RB1",_xlfn.XLOOKUP(Table1188717[[#This Row],[Opp]],Table4[DEF],Table4[R+R]),_xlfn.XLOOKUP(Table1188717[[#This Row],[Opp]],Table44[DEF],Table44[R+R]))</f>
        <v>#N/A</v>
      </c>
      <c r="P41" s="96" t="e">
        <f>IF(Table1188717[[#This Row],[Pos.]]="RB1",_xlfn.XLOOKUP(Table1188717[[#This Row],[Opp]],Table4[DEF],Table4[TD]),_xlfn.XLOOKUP(Table1188717[[#This Row],[Opp]],Table44[DEF],Table44[TD]))</f>
        <v>#N/A</v>
      </c>
      <c r="Q41" s="94" t="e">
        <f>AVERAGE(Table1188717[[#This Row],[*R*]:[*TD*]])</f>
        <v>#N/A</v>
      </c>
    </row>
    <row r="42" spans="2:17" x14ac:dyDescent="0.35">
      <c r="B42" s="6" t="s">
        <v>121</v>
      </c>
      <c r="C42" s="97" t="s">
        <v>17</v>
      </c>
      <c r="D42" s="97" t="s">
        <v>395</v>
      </c>
      <c r="E42" s="23" t="str" cm="1">
        <f t="array" ref="E42">_xlfn.XLOOKUP(Table1188717[[#This Row],[Team]],Table4334[Team],'2425'!$C$3:$C$34)</f>
        <v>n/a</v>
      </c>
      <c r="F42" s="97" t="str">
        <f>'2025'!$E$6</f>
        <v>n/a</v>
      </c>
      <c r="G42" s="94" t="e" cm="1">
        <f t="array" ref="G42">IF(Table1188717[[#This Row],[Pos.]]="RB1",_xlfn.XLOOKUP(Table1188717[[#This Row],[Opp]],Table4[DEF],'2025'!$H$38:$H$69),_xlfn.XLOOKUP(Table1188717[[#This Row],[Opp]],Table44[DEF],'2025'!$U$38:$U$69))</f>
        <v>#N/A</v>
      </c>
      <c r="H42" s="94" t="e" cm="1">
        <f t="array" ref="H42">IF(Table1188717[[#This Row],[Pos.]]="RB1",_xlfn.XLOOKUP(Table1188717[[#This Row],[Opp]],Table4[DEF],'2025'!$I$38:$I$69),_xlfn.XLOOKUP(Table1188717[[#This Row],[Opp]],Table4[DEF],'2025'!$V$38:$V$69))</f>
        <v>#N/A</v>
      </c>
      <c r="I42" s="94" t="e" cm="1">
        <f t="array" ref="I42">IF(Table1188717[[#This Row],[Pos.]]="RB1",_xlfn.XLOOKUP(Table1188717[[#This Row],[Opp]],Table4[DEF],'2025'!$J$38:$J$69),_xlfn.XLOOKUP(Table1188717[[#This Row],[Opp]],Table4[DEF],'2025'!$W$38:$W$69))</f>
        <v>#N/A</v>
      </c>
      <c r="J42" s="94" t="e" cm="1">
        <f t="array" ref="J42">IF(Table1188717[[#This Row],[Pos.]]="RB1",_xlfn.XLOOKUP(Table1188717[[#This Row],[Opp]],Table4[DEF],'2025'!$K$38:$K$69),_xlfn.XLOOKUP(Table1188717[[#This Row],[Opp]],Table4[DEF],'2025'!$X$38:$X$69))</f>
        <v>#N/A</v>
      </c>
      <c r="K42" s="94" t="e" cm="1">
        <f t="array" ref="K42">IF(Table1188717[[#This Row],[Pos.]]="RB1",_xlfn.XLOOKUP(Table1188717[[#This Row],[Opp]],Table4[DEF],'2025'!$L$38:$L$69),_xlfn.XLOOKUP(Table1188717[[#This Row],[Opp]],Table4[DEF],'2025'!$Y$38:$Y$69))</f>
        <v>#N/A</v>
      </c>
      <c r="L42" s="95" t="e">
        <f>IF(Table1188717[[#This Row],[Pos.]]="RB1",_xlfn.XLOOKUP(Table1188717[[#This Row],[Opp]],Table4[DEF],Table4[R]),_xlfn.XLOOKUP(Table1188717[[#This Row],[Opp]],Table44[DEF],Table44[R]))</f>
        <v>#N/A</v>
      </c>
      <c r="M42" s="96" t="e">
        <f>IF(Table1188717[[#This Row],[Pos.]]="RB1",_xlfn.XLOOKUP(Table1188717[[#This Row],[Opp]],Table4[DEF],Table4[REC]),_xlfn.XLOOKUP(Table1188717[[#This Row],[Opp]],Table44[DEF],Table44[REC]))</f>
        <v>#N/A</v>
      </c>
      <c r="N42" s="95" t="e">
        <f>IF(Table1188717[[#This Row],[Pos.]]="RB1",_xlfn.XLOOKUP(Table1188717[[#This Row],[Opp]],Table4[DEF],Table4[Y]),_xlfn.XLOOKUP(Table1188717[[#This Row],[Opp]],Table44[DEF],Table44[Y]))</f>
        <v>#N/A</v>
      </c>
      <c r="O42" s="95" t="e">
        <f>IF(Table1188717[[#This Row],[Pos.]]="RB1",_xlfn.XLOOKUP(Table1188717[[#This Row],[Opp]],Table4[DEF],Table4[R+R]),_xlfn.XLOOKUP(Table1188717[[#This Row],[Opp]],Table44[DEF],Table44[R+R]))</f>
        <v>#N/A</v>
      </c>
      <c r="P42" s="96" t="e">
        <f>IF(Table1188717[[#This Row],[Pos.]]="RB1",_xlfn.XLOOKUP(Table1188717[[#This Row],[Opp]],Table4[DEF],Table4[TD]),_xlfn.XLOOKUP(Table1188717[[#This Row],[Opp]],Table44[DEF],Table44[TD]))</f>
        <v>#N/A</v>
      </c>
      <c r="Q42" s="94" t="e">
        <f>AVERAGE(Table1188717[[#This Row],[*R*]:[*TD*]])</f>
        <v>#N/A</v>
      </c>
    </row>
    <row r="43" spans="2:17" hidden="1" x14ac:dyDescent="0.35">
      <c r="B43" s="6" t="s">
        <v>589</v>
      </c>
      <c r="C43" s="97" t="s">
        <v>55</v>
      </c>
      <c r="D43" s="97" t="s">
        <v>396</v>
      </c>
      <c r="E43" s="23" t="str" cm="1">
        <f t="array" ref="E43">_xlfn.XLOOKUP(Table1188717[[#This Row],[Team]],Table4334[Team],'2425'!$C$3:$C$34)</f>
        <v>n/a</v>
      </c>
      <c r="F43" s="97" t="str">
        <f>'2025'!$E$33</f>
        <v>n/a</v>
      </c>
      <c r="G43" s="94" t="e" cm="1">
        <f t="array" ref="G43">IF(Table1188717[[#This Row],[Pos.]]="RB1",_xlfn.XLOOKUP(Table1188717[[#This Row],[Opp]],Table4[DEF],'2025'!$H$38:$H$69),_xlfn.XLOOKUP(Table1188717[[#This Row],[Opp]],Table44[DEF],'2025'!$U$38:$U$69))</f>
        <v>#N/A</v>
      </c>
      <c r="H43" s="94" t="e" cm="1">
        <f t="array" ref="H43">IF(Table1188717[[#This Row],[Pos.]]="RB1",_xlfn.XLOOKUP(Table1188717[[#This Row],[Opp]],Table4[DEF],'2025'!$I$38:$I$69),_xlfn.XLOOKUP(Table1188717[[#This Row],[Opp]],Table4[DEF],'2025'!$V$38:$V$69))</f>
        <v>#N/A</v>
      </c>
      <c r="I43" s="94" t="e" cm="1">
        <f t="array" ref="I43">IF(Table1188717[[#This Row],[Pos.]]="RB1",_xlfn.XLOOKUP(Table1188717[[#This Row],[Opp]],Table4[DEF],'2025'!$J$38:$J$69),_xlfn.XLOOKUP(Table1188717[[#This Row],[Opp]],Table4[DEF],'2025'!$W$38:$W$69))</f>
        <v>#N/A</v>
      </c>
      <c r="J43" s="94" t="e" cm="1">
        <f t="array" ref="J43">IF(Table1188717[[#This Row],[Pos.]]="RB1",_xlfn.XLOOKUP(Table1188717[[#This Row],[Opp]],Table4[DEF],'2025'!$K$38:$K$69),_xlfn.XLOOKUP(Table1188717[[#This Row],[Opp]],Table4[DEF],'2025'!$X$38:$X$69))</f>
        <v>#N/A</v>
      </c>
      <c r="K43" s="94" t="e" cm="1">
        <f t="array" ref="K43">IF(Table1188717[[#This Row],[Pos.]]="RB1",_xlfn.XLOOKUP(Table1188717[[#This Row],[Opp]],Table4[DEF],'2025'!$L$38:$L$69),_xlfn.XLOOKUP(Table1188717[[#This Row],[Opp]],Table4[DEF],'2025'!$Y$38:$Y$69))</f>
        <v>#N/A</v>
      </c>
      <c r="L43" s="95" t="e">
        <f>IF(Table1188717[[#This Row],[Pos.]]="RB1",_xlfn.XLOOKUP(Table1188717[[#This Row],[Opp]],Table4[DEF],Table4[R]),_xlfn.XLOOKUP(Table1188717[[#This Row],[Opp]],Table44[DEF],Table44[R]))</f>
        <v>#N/A</v>
      </c>
      <c r="M43" s="96" t="e">
        <f>IF(Table1188717[[#This Row],[Pos.]]="RB1",_xlfn.XLOOKUP(Table1188717[[#This Row],[Opp]],Table4[DEF],Table4[REC]),_xlfn.XLOOKUP(Table1188717[[#This Row],[Opp]],Table44[DEF],Table44[REC]))</f>
        <v>#N/A</v>
      </c>
      <c r="N43" s="95" t="e">
        <f>IF(Table1188717[[#This Row],[Pos.]]="RB1",_xlfn.XLOOKUP(Table1188717[[#This Row],[Opp]],Table4[DEF],Table4[Y]),_xlfn.XLOOKUP(Table1188717[[#This Row],[Opp]],Table44[DEF],Table44[Y]))</f>
        <v>#N/A</v>
      </c>
      <c r="O43" s="95" t="e">
        <f>IF(Table1188717[[#This Row],[Pos.]]="RB1",_xlfn.XLOOKUP(Table1188717[[#This Row],[Opp]],Table4[DEF],Table4[R+R]),_xlfn.XLOOKUP(Table1188717[[#This Row],[Opp]],Table44[DEF],Table44[R+R]))</f>
        <v>#N/A</v>
      </c>
      <c r="P43" s="96" t="e">
        <f>IF(Table1188717[[#This Row],[Pos.]]="RB1",_xlfn.XLOOKUP(Table1188717[[#This Row],[Opp]],Table4[DEF],Table4[TD]),_xlfn.XLOOKUP(Table1188717[[#This Row],[Opp]],Table44[DEF],Table44[TD]))</f>
        <v>#N/A</v>
      </c>
      <c r="Q43" s="94" t="e">
        <f>AVERAGE(Table1188717[[#This Row],[*R*]:[*TD*]])</f>
        <v>#N/A</v>
      </c>
    </row>
    <row r="44" spans="2:17" hidden="1" x14ac:dyDescent="0.35">
      <c r="B44" s="6" t="s">
        <v>380</v>
      </c>
      <c r="C44" s="97" t="s">
        <v>55</v>
      </c>
      <c r="D44" s="97" t="s">
        <v>407</v>
      </c>
      <c r="E44" s="23" t="str" cm="1">
        <f t="array" ref="E44">_xlfn.XLOOKUP(Table1188717[[#This Row],[Team]],Table4334[Team],'2425'!$C$3:$C$34)</f>
        <v>n/a</v>
      </c>
      <c r="F44" s="97" t="str">
        <f>'2025'!$E$33</f>
        <v>n/a</v>
      </c>
      <c r="G44" s="94" t="e" cm="1">
        <f t="array" ref="G44">IF(Table1188717[[#This Row],[Pos.]]="RB1",_xlfn.XLOOKUP(Table1188717[[#This Row],[Opp]],Table4[DEF],'2025'!$H$38:$H$69),_xlfn.XLOOKUP(Table1188717[[#This Row],[Opp]],Table44[DEF],'2025'!$U$38:$U$69))</f>
        <v>#N/A</v>
      </c>
      <c r="H44" s="94" t="e" cm="1">
        <f t="array" ref="H44">IF(Table1188717[[#This Row],[Pos.]]="RB1",_xlfn.XLOOKUP(Table1188717[[#This Row],[Opp]],Table4[DEF],'2025'!$I$38:$I$69),_xlfn.XLOOKUP(Table1188717[[#This Row],[Opp]],Table4[DEF],'2025'!$V$38:$V$69))</f>
        <v>#N/A</v>
      </c>
      <c r="I44" s="94" t="e" cm="1">
        <f t="array" ref="I44">IF(Table1188717[[#This Row],[Pos.]]="RB1",_xlfn.XLOOKUP(Table1188717[[#This Row],[Opp]],Table4[DEF],'2025'!$J$38:$J$69),_xlfn.XLOOKUP(Table1188717[[#This Row],[Opp]],Table4[DEF],'2025'!$W$38:$W$69))</f>
        <v>#N/A</v>
      </c>
      <c r="J44" s="94" t="e" cm="1">
        <f t="array" ref="J44">IF(Table1188717[[#This Row],[Pos.]]="RB1",_xlfn.XLOOKUP(Table1188717[[#This Row],[Opp]],Table4[DEF],'2025'!$K$38:$K$69),_xlfn.XLOOKUP(Table1188717[[#This Row],[Opp]],Table4[DEF],'2025'!$X$38:$X$69))</f>
        <v>#N/A</v>
      </c>
      <c r="K44" s="94" t="e" cm="1">
        <f t="array" ref="K44">IF(Table1188717[[#This Row],[Pos.]]="RB1",_xlfn.XLOOKUP(Table1188717[[#This Row],[Opp]],Table4[DEF],'2025'!$L$38:$L$69),_xlfn.XLOOKUP(Table1188717[[#This Row],[Opp]],Table4[DEF],'2025'!$Y$38:$Y$69))</f>
        <v>#N/A</v>
      </c>
      <c r="L44" s="95" t="e">
        <f>IF(Table1188717[[#This Row],[Pos.]]="RB1",_xlfn.XLOOKUP(Table1188717[[#This Row],[Opp]],Table4[DEF],Table4[R]),_xlfn.XLOOKUP(Table1188717[[#This Row],[Opp]],Table44[DEF],Table44[R]))</f>
        <v>#N/A</v>
      </c>
      <c r="M44" s="96" t="e">
        <f>IF(Table1188717[[#This Row],[Pos.]]="RB1",_xlfn.XLOOKUP(Table1188717[[#This Row],[Opp]],Table4[DEF],Table4[REC]),_xlfn.XLOOKUP(Table1188717[[#This Row],[Opp]],Table44[DEF],Table44[REC]))</f>
        <v>#N/A</v>
      </c>
      <c r="N44" s="95" t="e">
        <f>IF(Table1188717[[#This Row],[Pos.]]="RB1",_xlfn.XLOOKUP(Table1188717[[#This Row],[Opp]],Table4[DEF],Table4[Y]),_xlfn.XLOOKUP(Table1188717[[#This Row],[Opp]],Table44[DEF],Table44[Y]))</f>
        <v>#N/A</v>
      </c>
      <c r="O44" s="95" t="e">
        <f>IF(Table1188717[[#This Row],[Pos.]]="RB1",_xlfn.XLOOKUP(Table1188717[[#This Row],[Opp]],Table4[DEF],Table4[R+R]),_xlfn.XLOOKUP(Table1188717[[#This Row],[Opp]],Table44[DEF],Table44[R+R]))</f>
        <v>#N/A</v>
      </c>
      <c r="P44" s="96" t="e">
        <f>IF(Table1188717[[#This Row],[Pos.]]="RB1",_xlfn.XLOOKUP(Table1188717[[#This Row],[Opp]],Table4[DEF],Table4[TD]),_xlfn.XLOOKUP(Table1188717[[#This Row],[Opp]],Table44[DEF],Table44[TD]))</f>
        <v>#N/A</v>
      </c>
      <c r="Q44" s="94" t="e">
        <f>AVERAGE(Table1188717[[#This Row],[*R*]:[*TD*]])</f>
        <v>#N/A</v>
      </c>
    </row>
    <row r="45" spans="2:17" hidden="1" x14ac:dyDescent="0.35">
      <c r="B45" s="6" t="s">
        <v>337</v>
      </c>
      <c r="C45" s="97" t="s">
        <v>50</v>
      </c>
      <c r="D45" s="97" t="s">
        <v>395</v>
      </c>
      <c r="E45" s="23" t="str" cm="1">
        <f t="array" ref="E45">_xlfn.XLOOKUP(Table1188717[[#This Row],[Team]],Table4334[Team],'2425'!$C$3:$C$34)</f>
        <v>n/a</v>
      </c>
      <c r="F45" s="97" t="str">
        <f>'2025'!$E$28</f>
        <v>n/a</v>
      </c>
      <c r="G45" s="94" t="e" cm="1">
        <f t="array" ref="G45">IF(Table1188717[[#This Row],[Pos.]]="RB1",_xlfn.XLOOKUP(Table1188717[[#This Row],[Opp]],Table4[DEF],'2025'!$H$38:$H$69),_xlfn.XLOOKUP(Table1188717[[#This Row],[Opp]],Table44[DEF],'2025'!$U$38:$U$69))</f>
        <v>#N/A</v>
      </c>
      <c r="H45" s="94" t="e" cm="1">
        <f t="array" ref="H45">IF(Table1188717[[#This Row],[Pos.]]="RB1",_xlfn.XLOOKUP(Table1188717[[#This Row],[Opp]],Table4[DEF],'2025'!$I$38:$I$69),_xlfn.XLOOKUP(Table1188717[[#This Row],[Opp]],Table4[DEF],'2025'!$V$38:$V$69))</f>
        <v>#N/A</v>
      </c>
      <c r="I45" s="94" t="e" cm="1">
        <f t="array" ref="I45">IF(Table1188717[[#This Row],[Pos.]]="RB1",_xlfn.XLOOKUP(Table1188717[[#This Row],[Opp]],Table4[DEF],'2025'!$J$38:$J$69),_xlfn.XLOOKUP(Table1188717[[#This Row],[Opp]],Table4[DEF],'2025'!$W$38:$W$69))</f>
        <v>#N/A</v>
      </c>
      <c r="J45" s="94" t="e" cm="1">
        <f t="array" ref="J45">IF(Table1188717[[#This Row],[Pos.]]="RB1",_xlfn.XLOOKUP(Table1188717[[#This Row],[Opp]],Table4[DEF],'2025'!$K$38:$K$69),_xlfn.XLOOKUP(Table1188717[[#This Row],[Opp]],Table4[DEF],'2025'!$X$38:$X$69))</f>
        <v>#N/A</v>
      </c>
      <c r="K45" s="94" t="e" cm="1">
        <f t="array" ref="K45">IF(Table1188717[[#This Row],[Pos.]]="RB1",_xlfn.XLOOKUP(Table1188717[[#This Row],[Opp]],Table4[DEF],'2025'!$L$38:$L$69),_xlfn.XLOOKUP(Table1188717[[#This Row],[Opp]],Table4[DEF],'2025'!$Y$38:$Y$69))</f>
        <v>#N/A</v>
      </c>
      <c r="L45" s="95" t="e">
        <f>IF(Table1188717[[#This Row],[Pos.]]="RB1",_xlfn.XLOOKUP(Table1188717[[#This Row],[Opp]],Table4[DEF],Table4[R]),_xlfn.XLOOKUP(Table1188717[[#This Row],[Opp]],Table44[DEF],Table44[R]))</f>
        <v>#N/A</v>
      </c>
      <c r="M45" s="96" t="e">
        <f>IF(Table1188717[[#This Row],[Pos.]]="RB1",_xlfn.XLOOKUP(Table1188717[[#This Row],[Opp]],Table4[DEF],Table4[REC]),_xlfn.XLOOKUP(Table1188717[[#This Row],[Opp]],Table44[DEF],Table44[REC]))</f>
        <v>#N/A</v>
      </c>
      <c r="N45" s="95" t="e">
        <f>IF(Table1188717[[#This Row],[Pos.]]="RB1",_xlfn.XLOOKUP(Table1188717[[#This Row],[Opp]],Table4[DEF],Table4[Y]),_xlfn.XLOOKUP(Table1188717[[#This Row],[Opp]],Table44[DEF],Table44[Y]))</f>
        <v>#N/A</v>
      </c>
      <c r="O45" s="95" t="e">
        <f>IF(Table1188717[[#This Row],[Pos.]]="RB1",_xlfn.XLOOKUP(Table1188717[[#This Row],[Opp]],Table4[DEF],Table4[R+R]),_xlfn.XLOOKUP(Table1188717[[#This Row],[Opp]],Table44[DEF],Table44[R+R]))</f>
        <v>#N/A</v>
      </c>
      <c r="P45" s="96" t="e">
        <f>IF(Table1188717[[#This Row],[Pos.]]="RB1",_xlfn.XLOOKUP(Table1188717[[#This Row],[Opp]],Table4[DEF],Table4[TD]),_xlfn.XLOOKUP(Table1188717[[#This Row],[Opp]],Table44[DEF],Table44[TD]))</f>
        <v>#N/A</v>
      </c>
      <c r="Q45" s="94" t="e">
        <f>AVERAGE(Table1188717[[#This Row],[*R*]:[*TD*]])</f>
        <v>#N/A</v>
      </c>
    </row>
    <row r="46" spans="2:17" hidden="1" x14ac:dyDescent="0.35">
      <c r="B46" s="6" t="s">
        <v>206</v>
      </c>
      <c r="C46" s="97" t="s">
        <v>36</v>
      </c>
      <c r="D46" s="97" t="s">
        <v>395</v>
      </c>
      <c r="E46" s="23" t="str" cm="1">
        <f t="array" ref="E46">_xlfn.XLOOKUP(Table1188717[[#This Row],[Team]],Table4334[Team],'2425'!$C$3:$C$34)</f>
        <v>n/a</v>
      </c>
      <c r="F46" s="97" t="str">
        <f>'2025'!$E$14</f>
        <v>n/a</v>
      </c>
      <c r="G46" s="94" t="e" cm="1">
        <f t="array" ref="G46">IF(Table1188717[[#This Row],[Pos.]]="RB1",_xlfn.XLOOKUP(Table1188717[[#This Row],[Opp]],Table4[DEF],'2025'!$H$38:$H$69),_xlfn.XLOOKUP(Table1188717[[#This Row],[Opp]],Table44[DEF],'2025'!$U$38:$U$69))</f>
        <v>#N/A</v>
      </c>
      <c r="H46" s="94" t="e" cm="1">
        <f t="array" ref="H46">IF(Table1188717[[#This Row],[Pos.]]="RB1",_xlfn.XLOOKUP(Table1188717[[#This Row],[Opp]],Table4[DEF],'2025'!$I$38:$I$69),_xlfn.XLOOKUP(Table1188717[[#This Row],[Opp]],Table4[DEF],'2025'!$V$38:$V$69))</f>
        <v>#N/A</v>
      </c>
      <c r="I46" s="94" t="e" cm="1">
        <f t="array" ref="I46">IF(Table1188717[[#This Row],[Pos.]]="RB1",_xlfn.XLOOKUP(Table1188717[[#This Row],[Opp]],Table4[DEF],'2025'!$J$38:$J$69),_xlfn.XLOOKUP(Table1188717[[#This Row],[Opp]],Table4[DEF],'2025'!$W$38:$W$69))</f>
        <v>#N/A</v>
      </c>
      <c r="J46" s="94" t="e" cm="1">
        <f t="array" ref="J46">IF(Table1188717[[#This Row],[Pos.]]="RB1",_xlfn.XLOOKUP(Table1188717[[#This Row],[Opp]],Table4[DEF],'2025'!$K$38:$K$69),_xlfn.XLOOKUP(Table1188717[[#This Row],[Opp]],Table4[DEF],'2025'!$X$38:$X$69))</f>
        <v>#N/A</v>
      </c>
      <c r="K46" s="94" t="e" cm="1">
        <f t="array" ref="K46">IF(Table1188717[[#This Row],[Pos.]]="RB1",_xlfn.XLOOKUP(Table1188717[[#This Row],[Opp]],Table4[DEF],'2025'!$L$38:$L$69),_xlfn.XLOOKUP(Table1188717[[#This Row],[Opp]],Table4[DEF],'2025'!$Y$38:$Y$69))</f>
        <v>#N/A</v>
      </c>
      <c r="L46" s="95" t="e">
        <f>IF(Table1188717[[#This Row],[Pos.]]="RB1",_xlfn.XLOOKUP(Table1188717[[#This Row],[Opp]],Table4[DEF],Table4[R]),_xlfn.XLOOKUP(Table1188717[[#This Row],[Opp]],Table44[DEF],Table44[R]))</f>
        <v>#N/A</v>
      </c>
      <c r="M46" s="96" t="e">
        <f>IF(Table1188717[[#This Row],[Pos.]]="RB1",_xlfn.XLOOKUP(Table1188717[[#This Row],[Opp]],Table4[DEF],Table4[REC]),_xlfn.XLOOKUP(Table1188717[[#This Row],[Opp]],Table44[DEF],Table44[REC]))</f>
        <v>#N/A</v>
      </c>
      <c r="N46" s="95" t="e">
        <f>IF(Table1188717[[#This Row],[Pos.]]="RB1",_xlfn.XLOOKUP(Table1188717[[#This Row],[Opp]],Table4[DEF],Table4[Y]),_xlfn.XLOOKUP(Table1188717[[#This Row],[Opp]],Table44[DEF],Table44[Y]))</f>
        <v>#N/A</v>
      </c>
      <c r="O46" s="95" t="e">
        <f>IF(Table1188717[[#This Row],[Pos.]]="RB1",_xlfn.XLOOKUP(Table1188717[[#This Row],[Opp]],Table4[DEF],Table4[R+R]),_xlfn.XLOOKUP(Table1188717[[#This Row],[Opp]],Table44[DEF],Table44[R+R]))</f>
        <v>#N/A</v>
      </c>
      <c r="P46" s="96" t="e">
        <f>IF(Table1188717[[#This Row],[Pos.]]="RB1",_xlfn.XLOOKUP(Table1188717[[#This Row],[Opp]],Table4[DEF],Table4[TD]),_xlfn.XLOOKUP(Table1188717[[#This Row],[Opp]],Table44[DEF],Table44[TD]))</f>
        <v>#N/A</v>
      </c>
      <c r="Q46" s="94" t="e">
        <f>AVERAGE(Table1188717[[#This Row],[*R*]:[*TD*]])</f>
        <v>#N/A</v>
      </c>
    </row>
    <row r="47" spans="2:17" hidden="1" x14ac:dyDescent="0.35">
      <c r="B47" s="6" t="s">
        <v>315</v>
      </c>
      <c r="C47" s="97" t="s">
        <v>47</v>
      </c>
      <c r="D47" s="97" t="s">
        <v>396</v>
      </c>
      <c r="E47" s="23" t="str" cm="1">
        <f t="array" ref="E47">_xlfn.XLOOKUP(Table1188717[[#This Row],[Team]],Table4334[Team],'2425'!$C$3:$C$34)</f>
        <v>n/a</v>
      </c>
      <c r="F47" s="97" t="str">
        <f>'2025'!$E$25</f>
        <v>n/a</v>
      </c>
      <c r="G47" s="94" t="e" cm="1">
        <f t="array" ref="G47">IF(Table1188717[[#This Row],[Pos.]]="RB1",_xlfn.XLOOKUP(Table1188717[[#This Row],[Opp]],Table4[DEF],'2025'!$H$38:$H$69),_xlfn.XLOOKUP(Table1188717[[#This Row],[Opp]],Table44[DEF],'2025'!$U$38:$U$69))</f>
        <v>#N/A</v>
      </c>
      <c r="H47" s="94" t="e" cm="1">
        <f t="array" ref="H47">IF(Table1188717[[#This Row],[Pos.]]="RB1",_xlfn.XLOOKUP(Table1188717[[#This Row],[Opp]],Table4[DEF],'2025'!$I$38:$I$69),_xlfn.XLOOKUP(Table1188717[[#This Row],[Opp]],Table4[DEF],'2025'!$V$38:$V$69))</f>
        <v>#N/A</v>
      </c>
      <c r="I47" s="94" t="e" cm="1">
        <f t="array" ref="I47">IF(Table1188717[[#This Row],[Pos.]]="RB1",_xlfn.XLOOKUP(Table1188717[[#This Row],[Opp]],Table4[DEF],'2025'!$J$38:$J$69),_xlfn.XLOOKUP(Table1188717[[#This Row],[Opp]],Table4[DEF],'2025'!$W$38:$W$69))</f>
        <v>#N/A</v>
      </c>
      <c r="J47" s="94" t="e" cm="1">
        <f t="array" ref="J47">IF(Table1188717[[#This Row],[Pos.]]="RB1",_xlfn.XLOOKUP(Table1188717[[#This Row],[Opp]],Table4[DEF],'2025'!$K$38:$K$69),_xlfn.XLOOKUP(Table1188717[[#This Row],[Opp]],Table4[DEF],'2025'!$X$38:$X$69))</f>
        <v>#N/A</v>
      </c>
      <c r="K47" s="94" t="e" cm="1">
        <f t="array" ref="K47">IF(Table1188717[[#This Row],[Pos.]]="RB1",_xlfn.XLOOKUP(Table1188717[[#This Row],[Opp]],Table4[DEF],'2025'!$L$38:$L$69),_xlfn.XLOOKUP(Table1188717[[#This Row],[Opp]],Table4[DEF],'2025'!$Y$38:$Y$69))</f>
        <v>#N/A</v>
      </c>
      <c r="L47" s="95" t="e">
        <f>IF(Table1188717[[#This Row],[Pos.]]="RB1",_xlfn.XLOOKUP(Table1188717[[#This Row],[Opp]],Table4[DEF],Table4[R]),_xlfn.XLOOKUP(Table1188717[[#This Row],[Opp]],Table44[DEF],Table44[R]))</f>
        <v>#N/A</v>
      </c>
      <c r="M47" s="96" t="e">
        <f>IF(Table1188717[[#This Row],[Pos.]]="RB1",_xlfn.XLOOKUP(Table1188717[[#This Row],[Opp]],Table4[DEF],Table4[REC]),_xlfn.XLOOKUP(Table1188717[[#This Row],[Opp]],Table44[DEF],Table44[REC]))</f>
        <v>#N/A</v>
      </c>
      <c r="N47" s="95" t="e">
        <f>IF(Table1188717[[#This Row],[Pos.]]="RB1",_xlfn.XLOOKUP(Table1188717[[#This Row],[Opp]],Table4[DEF],Table4[Y]),_xlfn.XLOOKUP(Table1188717[[#This Row],[Opp]],Table44[DEF],Table44[Y]))</f>
        <v>#N/A</v>
      </c>
      <c r="O47" s="95" t="e">
        <f>IF(Table1188717[[#This Row],[Pos.]]="RB1",_xlfn.XLOOKUP(Table1188717[[#This Row],[Opp]],Table4[DEF],Table4[R+R]),_xlfn.XLOOKUP(Table1188717[[#This Row],[Opp]],Table44[DEF],Table44[R+R]))</f>
        <v>#N/A</v>
      </c>
      <c r="P47" s="96" t="e">
        <f>IF(Table1188717[[#This Row],[Pos.]]="RB1",_xlfn.XLOOKUP(Table1188717[[#This Row],[Opp]],Table4[DEF],Table4[TD]),_xlfn.XLOOKUP(Table1188717[[#This Row],[Opp]],Table44[DEF],Table44[TD]))</f>
        <v>#N/A</v>
      </c>
      <c r="Q47" s="94" t="e">
        <f>AVERAGE(Table1188717[[#This Row],[*R*]:[*TD*]])</f>
        <v>#N/A</v>
      </c>
    </row>
    <row r="48" spans="2:17" hidden="1" x14ac:dyDescent="0.35">
      <c r="B48" s="6" t="s">
        <v>616</v>
      </c>
      <c r="C48" s="97" t="s">
        <v>47</v>
      </c>
      <c r="D48" s="97" t="s">
        <v>407</v>
      </c>
      <c r="E48" s="23" t="str" cm="1">
        <f t="array" ref="E48">_xlfn.XLOOKUP(Table1188717[[#This Row],[Team]],Table4334[Team],'2425'!$C$3:$C$34)</f>
        <v>n/a</v>
      </c>
      <c r="F48" s="97" t="str">
        <f>'2025'!$E$25</f>
        <v>n/a</v>
      </c>
      <c r="G48" s="94" t="e" cm="1">
        <f t="array" ref="G48">IF(Table1188717[[#This Row],[Pos.]]="RB1",_xlfn.XLOOKUP(Table1188717[[#This Row],[Opp]],Table4[DEF],'2025'!$H$38:$H$69),_xlfn.XLOOKUP(Table1188717[[#This Row],[Opp]],Table44[DEF],'2025'!$U$38:$U$69))</f>
        <v>#N/A</v>
      </c>
      <c r="H48" s="94" t="e" cm="1">
        <f t="array" ref="H48">IF(Table1188717[[#This Row],[Pos.]]="RB1",_xlfn.XLOOKUP(Table1188717[[#This Row],[Opp]],Table4[DEF],'2025'!$I$38:$I$69),_xlfn.XLOOKUP(Table1188717[[#This Row],[Opp]],Table4[DEF],'2025'!$V$38:$V$69))</f>
        <v>#N/A</v>
      </c>
      <c r="I48" s="94" t="e" cm="1">
        <f t="array" ref="I48">IF(Table1188717[[#This Row],[Pos.]]="RB1",_xlfn.XLOOKUP(Table1188717[[#This Row],[Opp]],Table4[DEF],'2025'!$J$38:$J$69),_xlfn.XLOOKUP(Table1188717[[#This Row],[Opp]],Table4[DEF],'2025'!$W$38:$W$69))</f>
        <v>#N/A</v>
      </c>
      <c r="J48" s="94" t="e" cm="1">
        <f t="array" ref="J48">IF(Table1188717[[#This Row],[Pos.]]="RB1",_xlfn.XLOOKUP(Table1188717[[#This Row],[Opp]],Table4[DEF],'2025'!$K$38:$K$69),_xlfn.XLOOKUP(Table1188717[[#This Row],[Opp]],Table4[DEF],'2025'!$X$38:$X$69))</f>
        <v>#N/A</v>
      </c>
      <c r="K48" s="94" t="e" cm="1">
        <f t="array" ref="K48">IF(Table1188717[[#This Row],[Pos.]]="RB1",_xlfn.XLOOKUP(Table1188717[[#This Row],[Opp]],Table4[DEF],'2025'!$L$38:$L$69),_xlfn.XLOOKUP(Table1188717[[#This Row],[Opp]],Table4[DEF],'2025'!$Y$38:$Y$69))</f>
        <v>#N/A</v>
      </c>
      <c r="L48" s="95" t="e">
        <f>IF(Table1188717[[#This Row],[Pos.]]="RB1",_xlfn.XLOOKUP(Table1188717[[#This Row],[Opp]],Table4[DEF],Table4[R]),_xlfn.XLOOKUP(Table1188717[[#This Row],[Opp]],Table44[DEF],Table44[R]))</f>
        <v>#N/A</v>
      </c>
      <c r="M48" s="96" t="e">
        <f>IF(Table1188717[[#This Row],[Pos.]]="RB1",_xlfn.XLOOKUP(Table1188717[[#This Row],[Opp]],Table4[DEF],Table4[REC]),_xlfn.XLOOKUP(Table1188717[[#This Row],[Opp]],Table44[DEF],Table44[REC]))</f>
        <v>#N/A</v>
      </c>
      <c r="N48" s="95" t="e">
        <f>IF(Table1188717[[#This Row],[Pos.]]="RB1",_xlfn.XLOOKUP(Table1188717[[#This Row],[Opp]],Table4[DEF],Table4[Y]),_xlfn.XLOOKUP(Table1188717[[#This Row],[Opp]],Table44[DEF],Table44[Y]))</f>
        <v>#N/A</v>
      </c>
      <c r="O48" s="95" t="e">
        <f>IF(Table1188717[[#This Row],[Pos.]]="RB1",_xlfn.XLOOKUP(Table1188717[[#This Row],[Opp]],Table4[DEF],Table4[R+R]),_xlfn.XLOOKUP(Table1188717[[#This Row],[Opp]],Table44[DEF],Table44[R+R]))</f>
        <v>#N/A</v>
      </c>
      <c r="P48" s="96" t="e">
        <f>IF(Table1188717[[#This Row],[Pos.]]="RB1",_xlfn.XLOOKUP(Table1188717[[#This Row],[Opp]],Table4[DEF],Table4[TD]),_xlfn.XLOOKUP(Table1188717[[#This Row],[Opp]],Table44[DEF],Table44[TD]))</f>
        <v>#N/A</v>
      </c>
      <c r="Q48" s="94" t="e">
        <f>AVERAGE(Table1188717[[#This Row],[*R*]:[*TD*]])</f>
        <v>#N/A</v>
      </c>
    </row>
    <row r="49" spans="2:17" x14ac:dyDescent="0.35">
      <c r="B49" s="6" t="s">
        <v>266</v>
      </c>
      <c r="C49" s="97" t="s">
        <v>42</v>
      </c>
      <c r="D49" s="97" t="s">
        <v>395</v>
      </c>
      <c r="E49" s="23" t="str" cm="1">
        <f t="array" ref="E49">_xlfn.XLOOKUP(Table1188717[[#This Row],[Team]],Table4334[Team],'2425'!$C$3:$C$34)</f>
        <v>n/a</v>
      </c>
      <c r="F49" s="97" t="str">
        <f>'2025'!$E$20</f>
        <v>n/a</v>
      </c>
      <c r="G49" s="94" t="e" cm="1">
        <f t="array" ref="G49">IF(Table1188717[[#This Row],[Pos.]]="RB1",_xlfn.XLOOKUP(Table1188717[[#This Row],[Opp]],Table4[DEF],'2025'!$H$38:$H$69),_xlfn.XLOOKUP(Table1188717[[#This Row],[Opp]],Table44[DEF],'2025'!$U$38:$U$69))</f>
        <v>#N/A</v>
      </c>
      <c r="H49" s="94" t="e" cm="1">
        <f t="array" ref="H49">IF(Table1188717[[#This Row],[Pos.]]="RB1",_xlfn.XLOOKUP(Table1188717[[#This Row],[Opp]],Table4[DEF],'2025'!$I$38:$I$69),_xlfn.XLOOKUP(Table1188717[[#This Row],[Opp]],Table4[DEF],'2025'!$V$38:$V$69))</f>
        <v>#N/A</v>
      </c>
      <c r="I49" s="94" t="e" cm="1">
        <f t="array" ref="I49">IF(Table1188717[[#This Row],[Pos.]]="RB1",_xlfn.XLOOKUP(Table1188717[[#This Row],[Opp]],Table4[DEF],'2025'!$J$38:$J$69),_xlfn.XLOOKUP(Table1188717[[#This Row],[Opp]],Table4[DEF],'2025'!$W$38:$W$69))</f>
        <v>#N/A</v>
      </c>
      <c r="J49" s="94" t="e" cm="1">
        <f t="array" ref="J49">IF(Table1188717[[#This Row],[Pos.]]="RB1",_xlfn.XLOOKUP(Table1188717[[#This Row],[Opp]],Table4[DEF],'2025'!$K$38:$K$69),_xlfn.XLOOKUP(Table1188717[[#This Row],[Opp]],Table4[DEF],'2025'!$X$38:$X$69))</f>
        <v>#N/A</v>
      </c>
      <c r="K49" s="94" t="e" cm="1">
        <f t="array" ref="K49">IF(Table1188717[[#This Row],[Pos.]]="RB1",_xlfn.XLOOKUP(Table1188717[[#This Row],[Opp]],Table4[DEF],'2025'!$L$38:$L$69),_xlfn.XLOOKUP(Table1188717[[#This Row],[Opp]],Table4[DEF],'2025'!$Y$38:$Y$69))</f>
        <v>#N/A</v>
      </c>
      <c r="L49" s="95" t="e">
        <f>IF(Table1188717[[#This Row],[Pos.]]="RB1",_xlfn.XLOOKUP(Table1188717[[#This Row],[Opp]],Table4[DEF],Table4[R]),_xlfn.XLOOKUP(Table1188717[[#This Row],[Opp]],Table44[DEF],Table44[R]))</f>
        <v>#N/A</v>
      </c>
      <c r="M49" s="96" t="e">
        <f>IF(Table1188717[[#This Row],[Pos.]]="RB1",_xlfn.XLOOKUP(Table1188717[[#This Row],[Opp]],Table4[DEF],Table4[REC]),_xlfn.XLOOKUP(Table1188717[[#This Row],[Opp]],Table44[DEF],Table44[REC]))</f>
        <v>#N/A</v>
      </c>
      <c r="N49" s="95" t="e">
        <f>IF(Table1188717[[#This Row],[Pos.]]="RB1",_xlfn.XLOOKUP(Table1188717[[#This Row],[Opp]],Table4[DEF],Table4[Y]),_xlfn.XLOOKUP(Table1188717[[#This Row],[Opp]],Table44[DEF],Table44[Y]))</f>
        <v>#N/A</v>
      </c>
      <c r="O49" s="95" t="e">
        <f>IF(Table1188717[[#This Row],[Pos.]]="RB1",_xlfn.XLOOKUP(Table1188717[[#This Row],[Opp]],Table4[DEF],Table4[R+R]),_xlfn.XLOOKUP(Table1188717[[#This Row],[Opp]],Table44[DEF],Table44[R+R]))</f>
        <v>#N/A</v>
      </c>
      <c r="P49" s="96" t="e">
        <f>IF(Table1188717[[#This Row],[Pos.]]="RB1",_xlfn.XLOOKUP(Table1188717[[#This Row],[Opp]],Table4[DEF],Table4[TD]),_xlfn.XLOOKUP(Table1188717[[#This Row],[Opp]],Table44[DEF],Table44[TD]))</f>
        <v>#N/A</v>
      </c>
      <c r="Q49" s="94" t="e">
        <f>AVERAGE(Table1188717[[#This Row],[*R*]:[*TD*]])</f>
        <v>#N/A</v>
      </c>
    </row>
    <row r="50" spans="2:17" x14ac:dyDescent="0.35">
      <c r="B50" s="6" t="s">
        <v>305</v>
      </c>
      <c r="C50" s="97" t="s">
        <v>46</v>
      </c>
      <c r="D50" s="97" t="s">
        <v>395</v>
      </c>
      <c r="E50" s="23" t="str" cm="1">
        <f t="array" ref="E50">_xlfn.XLOOKUP(Table1188717[[#This Row],[Team]],Table4334[Team],'2425'!$C$3:$C$34)</f>
        <v>SB LX</v>
      </c>
      <c r="F50" s="97" t="str">
        <f>'2025'!$E$24</f>
        <v>SEA</v>
      </c>
      <c r="G50" s="94" cm="1">
        <f t="array" ref="G50">IF(Table1188717[[#This Row],[Pos.]]="RB1",_xlfn.XLOOKUP(Table1188717[[#This Row],[Opp]],Table4[DEF],'2025'!$H$38:$H$69),_xlfn.XLOOKUP(Table1188717[[#This Row],[Opp]],Table44[DEF],'2025'!$U$38:$U$69))</f>
        <v>30</v>
      </c>
      <c r="H50" s="94" cm="1">
        <f t="array" ref="H50">IF(Table1188717[[#This Row],[Pos.]]="RB1",_xlfn.XLOOKUP(Table1188717[[#This Row],[Opp]],Table4[DEF],'2025'!$I$38:$I$69),_xlfn.XLOOKUP(Table1188717[[#This Row],[Opp]],Table4[DEF],'2025'!$V$38:$V$69))</f>
        <v>2</v>
      </c>
      <c r="I50" s="94" cm="1">
        <f t="array" ref="I50">IF(Table1188717[[#This Row],[Pos.]]="RB1",_xlfn.XLOOKUP(Table1188717[[#This Row],[Opp]],Table4[DEF],'2025'!$J$38:$J$69),_xlfn.XLOOKUP(Table1188717[[#This Row],[Opp]],Table4[DEF],'2025'!$W$38:$W$69))</f>
        <v>7.5</v>
      </c>
      <c r="J50" s="94" cm="1">
        <f t="array" ref="J50">IF(Table1188717[[#This Row],[Pos.]]="RB1",_xlfn.XLOOKUP(Table1188717[[#This Row],[Opp]],Table4[DEF],'2025'!$K$38:$K$69),_xlfn.XLOOKUP(Table1188717[[#This Row],[Opp]],Table4[DEF],'2025'!$X$38:$X$69))</f>
        <v>26</v>
      </c>
      <c r="K50" s="94" cm="1">
        <f t="array" ref="K50">IF(Table1188717[[#This Row],[Pos.]]="RB1",_xlfn.XLOOKUP(Table1188717[[#This Row],[Opp]],Table4[DEF],'2025'!$L$38:$L$69),_xlfn.XLOOKUP(Table1188717[[#This Row],[Opp]],Table4[DEF],'2025'!$Y$38:$Y$69))</f>
        <v>30</v>
      </c>
      <c r="L50" s="95">
        <f>IF(Table1188717[[#This Row],[Pos.]]="RB1",_xlfn.XLOOKUP(Table1188717[[#This Row],[Opp]],Table4[DEF],Table4[R]),_xlfn.XLOOKUP(Table1188717[[#This Row],[Opp]],Table44[DEF],Table44[R]))</f>
        <v>52.294117647058826</v>
      </c>
      <c r="M50" s="96">
        <f>IF(Table1188717[[#This Row],[Pos.]]="RB1",_xlfn.XLOOKUP(Table1188717[[#This Row],[Opp]],Table4[DEF],Table4[REC]),_xlfn.XLOOKUP(Table1188717[[#This Row],[Opp]],Table44[DEF],Table44[REC]))</f>
        <v>3.5294117647058822</v>
      </c>
      <c r="N50" s="95">
        <f>IF(Table1188717[[#This Row],[Pos.]]="RB1",_xlfn.XLOOKUP(Table1188717[[#This Row],[Opp]],Table4[DEF],Table4[Y]),_xlfn.XLOOKUP(Table1188717[[#This Row],[Opp]],Table44[DEF],Table44[Y]))</f>
        <v>25.647058823529413</v>
      </c>
      <c r="O50" s="95">
        <f>IF(Table1188717[[#This Row],[Pos.]]="RB1",_xlfn.XLOOKUP(Table1188717[[#This Row],[Opp]],Table4[DEF],Table4[R+R]),_xlfn.XLOOKUP(Table1188717[[#This Row],[Opp]],Table44[DEF],Table44[R+R]))</f>
        <v>77.941176470588232</v>
      </c>
      <c r="P50" s="96">
        <f>IF(Table1188717[[#This Row],[Pos.]]="RB1",_xlfn.XLOOKUP(Table1188717[[#This Row],[Opp]],Table4[DEF],Table4[TD]),_xlfn.XLOOKUP(Table1188717[[#This Row],[Opp]],Table44[DEF],Table44[TD]))</f>
        <v>0.29411764705882354</v>
      </c>
      <c r="Q50" s="94">
        <f>AVERAGE(Table1188717[[#This Row],[*R*]:[*TD*]])</f>
        <v>19.100000000000001</v>
      </c>
    </row>
    <row r="51" spans="2:17" hidden="1" x14ac:dyDescent="0.35">
      <c r="B51" s="6" t="s">
        <v>268</v>
      </c>
      <c r="C51" s="97" t="s">
        <v>42</v>
      </c>
      <c r="D51" s="97" t="s">
        <v>396</v>
      </c>
      <c r="E51" s="23" t="str" cm="1">
        <f t="array" ref="E51">_xlfn.XLOOKUP(Table1188717[[#This Row],[Team]],Table4334[Team],'2425'!$C$3:$C$34)</f>
        <v>n/a</v>
      </c>
      <c r="F51" s="97" t="str">
        <f>'2025'!$E$20</f>
        <v>n/a</v>
      </c>
      <c r="G51" s="94" t="e" cm="1">
        <f t="array" ref="G51">IF(Table1188717[[#This Row],[Pos.]]="RB1",_xlfn.XLOOKUP(Table1188717[[#This Row],[Opp]],Table4[DEF],'2025'!$H$38:$H$69),_xlfn.XLOOKUP(Table1188717[[#This Row],[Opp]],Table44[DEF],'2025'!$U$38:$U$69))</f>
        <v>#N/A</v>
      </c>
      <c r="H51" s="94" t="e" cm="1">
        <f t="array" ref="H51">IF(Table1188717[[#This Row],[Pos.]]="RB1",_xlfn.XLOOKUP(Table1188717[[#This Row],[Opp]],Table4[DEF],'2025'!$I$38:$I$69),_xlfn.XLOOKUP(Table1188717[[#This Row],[Opp]],Table4[DEF],'2025'!$V$38:$V$69))</f>
        <v>#N/A</v>
      </c>
      <c r="I51" s="94" t="e" cm="1">
        <f t="array" ref="I51">IF(Table1188717[[#This Row],[Pos.]]="RB1",_xlfn.XLOOKUP(Table1188717[[#This Row],[Opp]],Table4[DEF],'2025'!$J$38:$J$69),_xlfn.XLOOKUP(Table1188717[[#This Row],[Opp]],Table4[DEF],'2025'!$W$38:$W$69))</f>
        <v>#N/A</v>
      </c>
      <c r="J51" s="94" t="e" cm="1">
        <f t="array" ref="J51">IF(Table1188717[[#This Row],[Pos.]]="RB1",_xlfn.XLOOKUP(Table1188717[[#This Row],[Opp]],Table4[DEF],'2025'!$K$38:$K$69),_xlfn.XLOOKUP(Table1188717[[#This Row],[Opp]],Table4[DEF],'2025'!$X$38:$X$69))</f>
        <v>#N/A</v>
      </c>
      <c r="K51" s="94" t="e" cm="1">
        <f t="array" ref="K51">IF(Table1188717[[#This Row],[Pos.]]="RB1",_xlfn.XLOOKUP(Table1188717[[#This Row],[Opp]],Table4[DEF],'2025'!$L$38:$L$69),_xlfn.XLOOKUP(Table1188717[[#This Row],[Opp]],Table4[DEF],'2025'!$Y$38:$Y$69))</f>
        <v>#N/A</v>
      </c>
      <c r="L51" s="95" t="e">
        <f>IF(Table1188717[[#This Row],[Pos.]]="RB1",_xlfn.XLOOKUP(Table1188717[[#This Row],[Opp]],Table4[DEF],Table4[R]),_xlfn.XLOOKUP(Table1188717[[#This Row],[Opp]],Table44[DEF],Table44[R]))</f>
        <v>#N/A</v>
      </c>
      <c r="M51" s="96" t="e">
        <f>IF(Table1188717[[#This Row],[Pos.]]="RB1",_xlfn.XLOOKUP(Table1188717[[#This Row],[Opp]],Table4[DEF],Table4[REC]),_xlfn.XLOOKUP(Table1188717[[#This Row],[Opp]],Table44[DEF],Table44[REC]))</f>
        <v>#N/A</v>
      </c>
      <c r="N51" s="95" t="e">
        <f>IF(Table1188717[[#This Row],[Pos.]]="RB1",_xlfn.XLOOKUP(Table1188717[[#This Row],[Opp]],Table4[DEF],Table4[Y]),_xlfn.XLOOKUP(Table1188717[[#This Row],[Opp]],Table44[DEF],Table44[Y]))</f>
        <v>#N/A</v>
      </c>
      <c r="O51" s="95" t="e">
        <f>IF(Table1188717[[#This Row],[Pos.]]="RB1",_xlfn.XLOOKUP(Table1188717[[#This Row],[Opp]],Table4[DEF],Table4[R+R]),_xlfn.XLOOKUP(Table1188717[[#This Row],[Opp]],Table44[DEF],Table44[R+R]))</f>
        <v>#N/A</v>
      </c>
      <c r="P51" s="96" t="e">
        <f>IF(Table1188717[[#This Row],[Pos.]]="RB1",_xlfn.XLOOKUP(Table1188717[[#This Row],[Opp]],Table4[DEF],Table4[TD]),_xlfn.XLOOKUP(Table1188717[[#This Row],[Opp]],Table44[DEF],Table44[TD]))</f>
        <v>#N/A</v>
      </c>
      <c r="Q51" s="94" t="e">
        <f>AVERAGE(Table1188717[[#This Row],[*R*]:[*TD*]])</f>
        <v>#N/A</v>
      </c>
    </row>
    <row r="52" spans="2:17" x14ac:dyDescent="0.35">
      <c r="B52" s="6" t="s">
        <v>218</v>
      </c>
      <c r="C52" s="97" t="s">
        <v>37</v>
      </c>
      <c r="D52" s="97" t="s">
        <v>395</v>
      </c>
      <c r="E52" s="23" t="str" cm="1">
        <f t="array" ref="E52">_xlfn.XLOOKUP(Table1188717[[#This Row],[Team]],Table4334[Team],'2425'!$C$3:$C$34)</f>
        <v>n/a</v>
      </c>
      <c r="F52" s="97" t="str">
        <f>'2025'!$E$15</f>
        <v>n/a</v>
      </c>
      <c r="G52" s="94" t="e" cm="1">
        <f t="array" ref="G52">IF(Table1188717[[#This Row],[Pos.]]="RB1",_xlfn.XLOOKUP(Table1188717[[#This Row],[Opp]],Table4[DEF],'2025'!$H$38:$H$69),_xlfn.XLOOKUP(Table1188717[[#This Row],[Opp]],Table44[DEF],'2025'!$U$38:$U$69))</f>
        <v>#N/A</v>
      </c>
      <c r="H52" s="94" t="e" cm="1">
        <f t="array" ref="H52">IF(Table1188717[[#This Row],[Pos.]]="RB1",_xlfn.XLOOKUP(Table1188717[[#This Row],[Opp]],Table4[DEF],'2025'!$I$38:$I$69),_xlfn.XLOOKUP(Table1188717[[#This Row],[Opp]],Table4[DEF],'2025'!$V$38:$V$69))</f>
        <v>#N/A</v>
      </c>
      <c r="I52" s="94" t="e" cm="1">
        <f t="array" ref="I52">IF(Table1188717[[#This Row],[Pos.]]="RB1",_xlfn.XLOOKUP(Table1188717[[#This Row],[Opp]],Table4[DEF],'2025'!$J$38:$J$69),_xlfn.XLOOKUP(Table1188717[[#This Row],[Opp]],Table4[DEF],'2025'!$W$38:$W$69))</f>
        <v>#N/A</v>
      </c>
      <c r="J52" s="94" t="e" cm="1">
        <f t="array" ref="J52">IF(Table1188717[[#This Row],[Pos.]]="RB1",_xlfn.XLOOKUP(Table1188717[[#This Row],[Opp]],Table4[DEF],'2025'!$K$38:$K$69),_xlfn.XLOOKUP(Table1188717[[#This Row],[Opp]],Table4[DEF],'2025'!$X$38:$X$69))</f>
        <v>#N/A</v>
      </c>
      <c r="K52" s="94" t="e" cm="1">
        <f t="array" ref="K52">IF(Table1188717[[#This Row],[Pos.]]="RB1",_xlfn.XLOOKUP(Table1188717[[#This Row],[Opp]],Table4[DEF],'2025'!$L$38:$L$69),_xlfn.XLOOKUP(Table1188717[[#This Row],[Opp]],Table4[DEF],'2025'!$Y$38:$Y$69))</f>
        <v>#N/A</v>
      </c>
      <c r="L52" s="95" t="e">
        <f>IF(Table1188717[[#This Row],[Pos.]]="RB1",_xlfn.XLOOKUP(Table1188717[[#This Row],[Opp]],Table4[DEF],Table4[R]),_xlfn.XLOOKUP(Table1188717[[#This Row],[Opp]],Table44[DEF],Table44[R]))</f>
        <v>#N/A</v>
      </c>
      <c r="M52" s="96" t="e">
        <f>IF(Table1188717[[#This Row],[Pos.]]="RB1",_xlfn.XLOOKUP(Table1188717[[#This Row],[Opp]],Table4[DEF],Table4[REC]),_xlfn.XLOOKUP(Table1188717[[#This Row],[Opp]],Table44[DEF],Table44[REC]))</f>
        <v>#N/A</v>
      </c>
      <c r="N52" s="95" t="e">
        <f>IF(Table1188717[[#This Row],[Pos.]]="RB1",_xlfn.XLOOKUP(Table1188717[[#This Row],[Opp]],Table4[DEF],Table4[Y]),_xlfn.XLOOKUP(Table1188717[[#This Row],[Opp]],Table44[DEF],Table44[Y]))</f>
        <v>#N/A</v>
      </c>
      <c r="O52" s="95" t="e">
        <f>IF(Table1188717[[#This Row],[Pos.]]="RB1",_xlfn.XLOOKUP(Table1188717[[#This Row],[Opp]],Table4[DEF],Table4[R+R]),_xlfn.XLOOKUP(Table1188717[[#This Row],[Opp]],Table44[DEF],Table44[R+R]))</f>
        <v>#N/A</v>
      </c>
      <c r="P52" s="96" t="e">
        <f>IF(Table1188717[[#This Row],[Pos.]]="RB1",_xlfn.XLOOKUP(Table1188717[[#This Row],[Opp]],Table4[DEF],Table4[TD]),_xlfn.XLOOKUP(Table1188717[[#This Row],[Opp]],Table44[DEF],Table44[TD]))</f>
        <v>#N/A</v>
      </c>
      <c r="Q52" s="94" t="e">
        <f>AVERAGE(Table1188717[[#This Row],[*R*]:[*TD*]])</f>
        <v>#N/A</v>
      </c>
    </row>
    <row r="53" spans="2:17" hidden="1" x14ac:dyDescent="0.35">
      <c r="B53" s="6" t="s">
        <v>624</v>
      </c>
      <c r="C53" s="97" t="s">
        <v>39</v>
      </c>
      <c r="D53" s="97" t="s">
        <v>396</v>
      </c>
      <c r="E53" s="23" t="str" cm="1">
        <f t="array" ref="E53">_xlfn.XLOOKUP(Table1188717[[#This Row],[Team]],Table4334[Team],'2425'!$C$3:$C$34)</f>
        <v>n/a</v>
      </c>
      <c r="F53" s="97" t="str">
        <f>'2025'!$E$17</f>
        <v>n/a</v>
      </c>
      <c r="G53" s="94" t="e" cm="1">
        <f t="array" ref="G53">IF(Table1188717[[#This Row],[Pos.]]="RB1",_xlfn.XLOOKUP(Table1188717[[#This Row],[Opp]],Table4[DEF],'2025'!$H$38:$H$69),_xlfn.XLOOKUP(Table1188717[[#This Row],[Opp]],Table44[DEF],'2025'!$U$38:$U$69))</f>
        <v>#N/A</v>
      </c>
      <c r="H53" s="94" t="e" cm="1">
        <f t="array" ref="H53">IF(Table1188717[[#This Row],[Pos.]]="RB1",_xlfn.XLOOKUP(Table1188717[[#This Row],[Opp]],Table4[DEF],'2025'!$I$38:$I$69),_xlfn.XLOOKUP(Table1188717[[#This Row],[Opp]],Table4[DEF],'2025'!$V$38:$V$69))</f>
        <v>#N/A</v>
      </c>
      <c r="I53" s="94" t="e" cm="1">
        <f t="array" ref="I53">IF(Table1188717[[#This Row],[Pos.]]="RB1",_xlfn.XLOOKUP(Table1188717[[#This Row],[Opp]],Table4[DEF],'2025'!$J$38:$J$69),_xlfn.XLOOKUP(Table1188717[[#This Row],[Opp]],Table4[DEF],'2025'!$W$38:$W$69))</f>
        <v>#N/A</v>
      </c>
      <c r="J53" s="94" t="e" cm="1">
        <f t="array" ref="J53">IF(Table1188717[[#This Row],[Pos.]]="RB1",_xlfn.XLOOKUP(Table1188717[[#This Row],[Opp]],Table4[DEF],'2025'!$K$38:$K$69),_xlfn.XLOOKUP(Table1188717[[#This Row],[Opp]],Table4[DEF],'2025'!$X$38:$X$69))</f>
        <v>#N/A</v>
      </c>
      <c r="K53" s="94" t="e" cm="1">
        <f t="array" ref="K53">IF(Table1188717[[#This Row],[Pos.]]="RB1",_xlfn.XLOOKUP(Table1188717[[#This Row],[Opp]],Table4[DEF],'2025'!$L$38:$L$69),_xlfn.XLOOKUP(Table1188717[[#This Row],[Opp]],Table4[DEF],'2025'!$Y$38:$Y$69))</f>
        <v>#N/A</v>
      </c>
      <c r="L53" s="95" t="e">
        <f>IF(Table1188717[[#This Row],[Pos.]]="RB1",_xlfn.XLOOKUP(Table1188717[[#This Row],[Opp]],Table4[DEF],Table4[R]),_xlfn.XLOOKUP(Table1188717[[#This Row],[Opp]],Table44[DEF],Table44[R]))</f>
        <v>#N/A</v>
      </c>
      <c r="M53" s="96" t="e">
        <f>IF(Table1188717[[#This Row],[Pos.]]="RB1",_xlfn.XLOOKUP(Table1188717[[#This Row],[Opp]],Table4[DEF],Table4[REC]),_xlfn.XLOOKUP(Table1188717[[#This Row],[Opp]],Table44[DEF],Table44[REC]))</f>
        <v>#N/A</v>
      </c>
      <c r="N53" s="95" t="e">
        <f>IF(Table1188717[[#This Row],[Pos.]]="RB1",_xlfn.XLOOKUP(Table1188717[[#This Row],[Opp]],Table4[DEF],Table4[Y]),_xlfn.XLOOKUP(Table1188717[[#This Row],[Opp]],Table44[DEF],Table44[Y]))</f>
        <v>#N/A</v>
      </c>
      <c r="O53" s="95" t="e">
        <f>IF(Table1188717[[#This Row],[Pos.]]="RB1",_xlfn.XLOOKUP(Table1188717[[#This Row],[Opp]],Table4[DEF],Table4[R+R]),_xlfn.XLOOKUP(Table1188717[[#This Row],[Opp]],Table44[DEF],Table44[R+R]))</f>
        <v>#N/A</v>
      </c>
      <c r="P53" s="96" t="e">
        <f>IF(Table1188717[[#This Row],[Pos.]]="RB1",_xlfn.XLOOKUP(Table1188717[[#This Row],[Opp]],Table4[DEF],Table4[TD]),_xlfn.XLOOKUP(Table1188717[[#This Row],[Opp]],Table44[DEF],Table44[TD]))</f>
        <v>#N/A</v>
      </c>
      <c r="Q53" s="94" t="e">
        <f>AVERAGE(Table1188717[[#This Row],[*R*]:[*TD*]])</f>
        <v>#N/A</v>
      </c>
    </row>
    <row r="54" spans="2:17" hidden="1" x14ac:dyDescent="0.35">
      <c r="B54" s="6" t="s">
        <v>238</v>
      </c>
      <c r="C54" s="97" t="s">
        <v>39</v>
      </c>
      <c r="D54" s="97" t="s">
        <v>407</v>
      </c>
      <c r="E54" s="23" t="str" cm="1">
        <f t="array" ref="E54">_xlfn.XLOOKUP(Table1188717[[#This Row],[Team]],Table4334[Team],'2425'!$C$3:$C$34)</f>
        <v>n/a</v>
      </c>
      <c r="F54" s="97" t="str">
        <f>'2025'!$E$17</f>
        <v>n/a</v>
      </c>
      <c r="G54" s="94" t="e" cm="1">
        <f t="array" ref="G54">IF(Table1188717[[#This Row],[Pos.]]="RB1",_xlfn.XLOOKUP(Table1188717[[#This Row],[Opp]],Table4[DEF],'2025'!$H$38:$H$69),_xlfn.XLOOKUP(Table1188717[[#This Row],[Opp]],Table44[DEF],'2025'!$U$38:$U$69))</f>
        <v>#N/A</v>
      </c>
      <c r="H54" s="94" t="e" cm="1">
        <f t="array" ref="H54">IF(Table1188717[[#This Row],[Pos.]]="RB1",_xlfn.XLOOKUP(Table1188717[[#This Row],[Opp]],Table4[DEF],'2025'!$I$38:$I$69),_xlfn.XLOOKUP(Table1188717[[#This Row],[Opp]],Table4[DEF],'2025'!$V$38:$V$69))</f>
        <v>#N/A</v>
      </c>
      <c r="I54" s="94" t="e" cm="1">
        <f t="array" ref="I54">IF(Table1188717[[#This Row],[Pos.]]="RB1",_xlfn.XLOOKUP(Table1188717[[#This Row],[Opp]],Table4[DEF],'2025'!$J$38:$J$69),_xlfn.XLOOKUP(Table1188717[[#This Row],[Opp]],Table4[DEF],'2025'!$W$38:$W$69))</f>
        <v>#N/A</v>
      </c>
      <c r="J54" s="94" t="e" cm="1">
        <f t="array" ref="J54">IF(Table1188717[[#This Row],[Pos.]]="RB1",_xlfn.XLOOKUP(Table1188717[[#This Row],[Opp]],Table4[DEF],'2025'!$K$38:$K$69),_xlfn.XLOOKUP(Table1188717[[#This Row],[Opp]],Table4[DEF],'2025'!$X$38:$X$69))</f>
        <v>#N/A</v>
      </c>
      <c r="K54" s="94" t="e" cm="1">
        <f t="array" ref="K54">IF(Table1188717[[#This Row],[Pos.]]="RB1",_xlfn.XLOOKUP(Table1188717[[#This Row],[Opp]],Table4[DEF],'2025'!$L$38:$L$69),_xlfn.XLOOKUP(Table1188717[[#This Row],[Opp]],Table4[DEF],'2025'!$Y$38:$Y$69))</f>
        <v>#N/A</v>
      </c>
      <c r="L54" s="95" t="e">
        <f>IF(Table1188717[[#This Row],[Pos.]]="RB1",_xlfn.XLOOKUP(Table1188717[[#This Row],[Opp]],Table4[DEF],Table4[R]),_xlfn.XLOOKUP(Table1188717[[#This Row],[Opp]],Table44[DEF],Table44[R]))</f>
        <v>#N/A</v>
      </c>
      <c r="M54" s="96" t="e">
        <f>IF(Table1188717[[#This Row],[Pos.]]="RB1",_xlfn.XLOOKUP(Table1188717[[#This Row],[Opp]],Table4[DEF],Table4[REC]),_xlfn.XLOOKUP(Table1188717[[#This Row],[Opp]],Table44[DEF],Table44[REC]))</f>
        <v>#N/A</v>
      </c>
      <c r="N54" s="95" t="e">
        <f>IF(Table1188717[[#This Row],[Pos.]]="RB1",_xlfn.XLOOKUP(Table1188717[[#This Row],[Opp]],Table4[DEF],Table4[Y]),_xlfn.XLOOKUP(Table1188717[[#This Row],[Opp]],Table44[DEF],Table44[Y]))</f>
        <v>#N/A</v>
      </c>
      <c r="O54" s="95" t="e">
        <f>IF(Table1188717[[#This Row],[Pos.]]="RB1",_xlfn.XLOOKUP(Table1188717[[#This Row],[Opp]],Table4[DEF],Table4[R+R]),_xlfn.XLOOKUP(Table1188717[[#This Row],[Opp]],Table44[DEF],Table44[R+R]))</f>
        <v>#N/A</v>
      </c>
      <c r="P54" s="96" t="e">
        <f>IF(Table1188717[[#This Row],[Pos.]]="RB1",_xlfn.XLOOKUP(Table1188717[[#This Row],[Opp]],Table4[DEF],Table4[TD]),_xlfn.XLOOKUP(Table1188717[[#This Row],[Opp]],Table44[DEF],Table44[TD]))</f>
        <v>#N/A</v>
      </c>
      <c r="Q54" s="94" t="e">
        <f>AVERAGE(Table1188717[[#This Row],[*R*]:[*TD*]])</f>
        <v>#N/A</v>
      </c>
    </row>
    <row r="55" spans="2:17" hidden="1" x14ac:dyDescent="0.35">
      <c r="B55" s="6" t="s">
        <v>698</v>
      </c>
      <c r="C55" s="97" t="s">
        <v>41</v>
      </c>
      <c r="D55" s="97" t="s">
        <v>395</v>
      </c>
      <c r="E55" s="23" t="str" cm="1">
        <f t="array" ref="E55">_xlfn.XLOOKUP(Table1188717[[#This Row],[Team]],Table4334[Team],'2425'!$C$3:$C$34)</f>
        <v>n/a</v>
      </c>
      <c r="F55" s="97" t="str">
        <f>'2025'!$E$19</f>
        <v>n/a</v>
      </c>
      <c r="G55" s="94" t="e" cm="1">
        <f t="array" ref="G55">IF(Table1188717[[#This Row],[Pos.]]="RB1",_xlfn.XLOOKUP(Table1188717[[#This Row],[Opp]],Table4[DEF],'2025'!$H$38:$H$69),_xlfn.XLOOKUP(Table1188717[[#This Row],[Opp]],Table44[DEF],'2025'!$U$38:$U$69))</f>
        <v>#N/A</v>
      </c>
      <c r="H55" s="94" t="e" cm="1">
        <f t="array" ref="H55">IF(Table1188717[[#This Row],[Pos.]]="RB1",_xlfn.XLOOKUP(Table1188717[[#This Row],[Opp]],Table4[DEF],'2025'!$I$38:$I$69),_xlfn.XLOOKUP(Table1188717[[#This Row],[Opp]],Table4[DEF],'2025'!$V$38:$V$69))</f>
        <v>#N/A</v>
      </c>
      <c r="I55" s="94" t="e" cm="1">
        <f t="array" ref="I55">IF(Table1188717[[#This Row],[Pos.]]="RB1",_xlfn.XLOOKUP(Table1188717[[#This Row],[Opp]],Table4[DEF],'2025'!$J$38:$J$69),_xlfn.XLOOKUP(Table1188717[[#This Row],[Opp]],Table4[DEF],'2025'!$W$38:$W$69))</f>
        <v>#N/A</v>
      </c>
      <c r="J55" s="94" t="e" cm="1">
        <f t="array" ref="J55">IF(Table1188717[[#This Row],[Pos.]]="RB1",_xlfn.XLOOKUP(Table1188717[[#This Row],[Opp]],Table4[DEF],'2025'!$K$38:$K$69),_xlfn.XLOOKUP(Table1188717[[#This Row],[Opp]],Table4[DEF],'2025'!$X$38:$X$69))</f>
        <v>#N/A</v>
      </c>
      <c r="K55" s="94" t="e" cm="1">
        <f t="array" ref="K55">IF(Table1188717[[#This Row],[Pos.]]="RB1",_xlfn.XLOOKUP(Table1188717[[#This Row],[Opp]],Table4[DEF],'2025'!$L$38:$L$69),_xlfn.XLOOKUP(Table1188717[[#This Row],[Opp]],Table4[DEF],'2025'!$Y$38:$Y$69))</f>
        <v>#N/A</v>
      </c>
      <c r="L55" s="95" t="e">
        <f>IF(Table1188717[[#This Row],[Pos.]]="RB1",_xlfn.XLOOKUP(Table1188717[[#This Row],[Opp]],Table4[DEF],Table4[R]),_xlfn.XLOOKUP(Table1188717[[#This Row],[Opp]],Table44[DEF],Table44[R]))</f>
        <v>#N/A</v>
      </c>
      <c r="M55" s="96" t="e">
        <f>IF(Table1188717[[#This Row],[Pos.]]="RB1",_xlfn.XLOOKUP(Table1188717[[#This Row],[Opp]],Table4[DEF],Table4[REC]),_xlfn.XLOOKUP(Table1188717[[#This Row],[Opp]],Table44[DEF],Table44[REC]))</f>
        <v>#N/A</v>
      </c>
      <c r="N55" s="95" t="e">
        <f>IF(Table1188717[[#This Row],[Pos.]]="RB1",_xlfn.XLOOKUP(Table1188717[[#This Row],[Opp]],Table4[DEF],Table4[Y]),_xlfn.XLOOKUP(Table1188717[[#This Row],[Opp]],Table44[DEF],Table44[Y]))</f>
        <v>#N/A</v>
      </c>
      <c r="O55" s="95" t="e">
        <f>IF(Table1188717[[#This Row],[Pos.]]="RB1",_xlfn.XLOOKUP(Table1188717[[#This Row],[Opp]],Table4[DEF],Table4[R+R]),_xlfn.XLOOKUP(Table1188717[[#This Row],[Opp]],Table44[DEF],Table44[R+R]))</f>
        <v>#N/A</v>
      </c>
      <c r="P55" s="96" t="e">
        <f>IF(Table1188717[[#This Row],[Pos.]]="RB1",_xlfn.XLOOKUP(Table1188717[[#This Row],[Opp]],Table4[DEF],Table4[TD]),_xlfn.XLOOKUP(Table1188717[[#This Row],[Opp]],Table44[DEF],Table44[TD]))</f>
        <v>#N/A</v>
      </c>
      <c r="Q55" s="94" t="e">
        <f>AVERAGE(Table1188717[[#This Row],[*R*]:[*TD*]])</f>
        <v>#N/A</v>
      </c>
    </row>
    <row r="56" spans="2:17" hidden="1" x14ac:dyDescent="0.35">
      <c r="B56" s="6" t="s">
        <v>566</v>
      </c>
      <c r="C56" s="97" t="s">
        <v>43</v>
      </c>
      <c r="D56" s="97" t="s">
        <v>396</v>
      </c>
      <c r="E56" s="23" t="str" cm="1">
        <f t="array" ref="E56">_xlfn.XLOOKUP(Table1188717[[#This Row],[Team]],Table4334[Team],'2425'!$C$3:$C$34)</f>
        <v>n/a</v>
      </c>
      <c r="F56" s="97" t="str">
        <f>'2025'!$E$21</f>
        <v>n/a</v>
      </c>
      <c r="G56" s="94" t="e" cm="1">
        <f t="array" ref="G56">IF(Table1188717[[#This Row],[Pos.]]="RB1",_xlfn.XLOOKUP(Table1188717[[#This Row],[Opp]],Table4[DEF],'2025'!$H$38:$H$69),_xlfn.XLOOKUP(Table1188717[[#This Row],[Opp]],Table44[DEF],'2025'!$U$38:$U$69))</f>
        <v>#N/A</v>
      </c>
      <c r="H56" s="94" t="e" cm="1">
        <f t="array" ref="H56">IF(Table1188717[[#This Row],[Pos.]]="RB1",_xlfn.XLOOKUP(Table1188717[[#This Row],[Opp]],Table4[DEF],'2025'!$I$38:$I$69),_xlfn.XLOOKUP(Table1188717[[#This Row],[Opp]],Table4[DEF],'2025'!$V$38:$V$69))</f>
        <v>#N/A</v>
      </c>
      <c r="I56" s="94" t="e" cm="1">
        <f t="array" ref="I56">IF(Table1188717[[#This Row],[Pos.]]="RB1",_xlfn.XLOOKUP(Table1188717[[#This Row],[Opp]],Table4[DEF],'2025'!$J$38:$J$69),_xlfn.XLOOKUP(Table1188717[[#This Row],[Opp]],Table4[DEF],'2025'!$W$38:$W$69))</f>
        <v>#N/A</v>
      </c>
      <c r="J56" s="94" t="e" cm="1">
        <f t="array" ref="J56">IF(Table1188717[[#This Row],[Pos.]]="RB1",_xlfn.XLOOKUP(Table1188717[[#This Row],[Opp]],Table4[DEF],'2025'!$K$38:$K$69),_xlfn.XLOOKUP(Table1188717[[#This Row],[Opp]],Table4[DEF],'2025'!$X$38:$X$69))</f>
        <v>#N/A</v>
      </c>
      <c r="K56" s="94" t="e" cm="1">
        <f t="array" ref="K56">IF(Table1188717[[#This Row],[Pos.]]="RB1",_xlfn.XLOOKUP(Table1188717[[#This Row],[Opp]],Table4[DEF],'2025'!$L$38:$L$69),_xlfn.XLOOKUP(Table1188717[[#This Row],[Opp]],Table4[DEF],'2025'!$Y$38:$Y$69))</f>
        <v>#N/A</v>
      </c>
      <c r="L56" s="95" t="e">
        <f>IF(Table1188717[[#This Row],[Pos.]]="RB1",_xlfn.XLOOKUP(Table1188717[[#This Row],[Opp]],Table4[DEF],Table4[R]),_xlfn.XLOOKUP(Table1188717[[#This Row],[Opp]],Table44[DEF],Table44[R]))</f>
        <v>#N/A</v>
      </c>
      <c r="M56" s="96" t="e">
        <f>IF(Table1188717[[#This Row],[Pos.]]="RB1",_xlfn.XLOOKUP(Table1188717[[#This Row],[Opp]],Table4[DEF],Table4[REC]),_xlfn.XLOOKUP(Table1188717[[#This Row],[Opp]],Table44[DEF],Table44[REC]))</f>
        <v>#N/A</v>
      </c>
      <c r="N56" s="95" t="e">
        <f>IF(Table1188717[[#This Row],[Pos.]]="RB1",_xlfn.XLOOKUP(Table1188717[[#This Row],[Opp]],Table4[DEF],Table4[Y]),_xlfn.XLOOKUP(Table1188717[[#This Row],[Opp]],Table44[DEF],Table44[Y]))</f>
        <v>#N/A</v>
      </c>
      <c r="O56" s="95" t="e">
        <f>IF(Table1188717[[#This Row],[Pos.]]="RB1",_xlfn.XLOOKUP(Table1188717[[#This Row],[Opp]],Table4[DEF],Table4[R+R]),_xlfn.XLOOKUP(Table1188717[[#This Row],[Opp]],Table44[DEF],Table44[R+R]))</f>
        <v>#N/A</v>
      </c>
      <c r="P56" s="96" t="e">
        <f>IF(Table1188717[[#This Row],[Pos.]]="RB1",_xlfn.XLOOKUP(Table1188717[[#This Row],[Opp]],Table4[DEF],Table4[TD]),_xlfn.XLOOKUP(Table1188717[[#This Row],[Opp]],Table44[DEF],Table44[TD]))</f>
        <v>#N/A</v>
      </c>
      <c r="Q56" s="94" t="e">
        <f>AVERAGE(Table1188717[[#This Row],[*R*]:[*TD*]])</f>
        <v>#N/A</v>
      </c>
    </row>
    <row r="57" spans="2:17" hidden="1" x14ac:dyDescent="0.35">
      <c r="B57" s="6" t="s">
        <v>567</v>
      </c>
      <c r="C57" s="97" t="s">
        <v>43</v>
      </c>
      <c r="D57" s="97" t="s">
        <v>407</v>
      </c>
      <c r="E57" s="23" t="str" cm="1">
        <f t="array" ref="E57">_xlfn.XLOOKUP(Table1188717[[#This Row],[Team]],Table4334[Team],'2425'!$C$3:$C$34)</f>
        <v>n/a</v>
      </c>
      <c r="F57" s="97" t="str">
        <f>'2025'!$E$21</f>
        <v>n/a</v>
      </c>
      <c r="G57" s="94" t="e" cm="1">
        <f t="array" ref="G57">IF(Table1188717[[#This Row],[Pos.]]="RB1",_xlfn.XLOOKUP(Table1188717[[#This Row],[Opp]],Table4[DEF],'2025'!$H$38:$H$69),_xlfn.XLOOKUP(Table1188717[[#This Row],[Opp]],Table44[DEF],'2025'!$U$38:$U$69))</f>
        <v>#N/A</v>
      </c>
      <c r="H57" s="94" t="e" cm="1">
        <f t="array" ref="H57">IF(Table1188717[[#This Row],[Pos.]]="RB1",_xlfn.XLOOKUP(Table1188717[[#This Row],[Opp]],Table4[DEF],'2025'!$I$38:$I$69),_xlfn.XLOOKUP(Table1188717[[#This Row],[Opp]],Table4[DEF],'2025'!$V$38:$V$69))</f>
        <v>#N/A</v>
      </c>
      <c r="I57" s="94" t="e" cm="1">
        <f t="array" ref="I57">IF(Table1188717[[#This Row],[Pos.]]="RB1",_xlfn.XLOOKUP(Table1188717[[#This Row],[Opp]],Table4[DEF],'2025'!$J$38:$J$69),_xlfn.XLOOKUP(Table1188717[[#This Row],[Opp]],Table4[DEF],'2025'!$W$38:$W$69))</f>
        <v>#N/A</v>
      </c>
      <c r="J57" s="94" t="e" cm="1">
        <f t="array" ref="J57">IF(Table1188717[[#This Row],[Pos.]]="RB1",_xlfn.XLOOKUP(Table1188717[[#This Row],[Opp]],Table4[DEF],'2025'!$K$38:$K$69),_xlfn.XLOOKUP(Table1188717[[#This Row],[Opp]],Table4[DEF],'2025'!$X$38:$X$69))</f>
        <v>#N/A</v>
      </c>
      <c r="K57" s="94" t="e" cm="1">
        <f t="array" ref="K57">IF(Table1188717[[#This Row],[Pos.]]="RB1",_xlfn.XLOOKUP(Table1188717[[#This Row],[Opp]],Table4[DEF],'2025'!$L$38:$L$69),_xlfn.XLOOKUP(Table1188717[[#This Row],[Opp]],Table4[DEF],'2025'!$Y$38:$Y$69))</f>
        <v>#N/A</v>
      </c>
      <c r="L57" s="95" t="e">
        <f>IF(Table1188717[[#This Row],[Pos.]]="RB1",_xlfn.XLOOKUP(Table1188717[[#This Row],[Opp]],Table4[DEF],Table4[R]),_xlfn.XLOOKUP(Table1188717[[#This Row],[Opp]],Table44[DEF],Table44[R]))</f>
        <v>#N/A</v>
      </c>
      <c r="M57" s="96" t="e">
        <f>IF(Table1188717[[#This Row],[Pos.]]="RB1",_xlfn.XLOOKUP(Table1188717[[#This Row],[Opp]],Table4[DEF],Table4[REC]),_xlfn.XLOOKUP(Table1188717[[#This Row],[Opp]],Table44[DEF],Table44[REC]))</f>
        <v>#N/A</v>
      </c>
      <c r="N57" s="95" t="e">
        <f>IF(Table1188717[[#This Row],[Pos.]]="RB1",_xlfn.XLOOKUP(Table1188717[[#This Row],[Opp]],Table4[DEF],Table4[Y]),_xlfn.XLOOKUP(Table1188717[[#This Row],[Opp]],Table44[DEF],Table44[Y]))</f>
        <v>#N/A</v>
      </c>
      <c r="O57" s="95" t="e">
        <f>IF(Table1188717[[#This Row],[Pos.]]="RB1",_xlfn.XLOOKUP(Table1188717[[#This Row],[Opp]],Table4[DEF],Table4[R+R]),_xlfn.XLOOKUP(Table1188717[[#This Row],[Opp]],Table44[DEF],Table44[R+R]))</f>
        <v>#N/A</v>
      </c>
      <c r="P57" s="96" t="e">
        <f>IF(Table1188717[[#This Row],[Pos.]]="RB1",_xlfn.XLOOKUP(Table1188717[[#This Row],[Opp]],Table4[DEF],Table4[TD]),_xlfn.XLOOKUP(Table1188717[[#This Row],[Opp]],Table44[DEF],Table44[TD]))</f>
        <v>#N/A</v>
      </c>
      <c r="Q57" s="94" t="e">
        <f>AVERAGE(Table1188717[[#This Row],[*R*]:[*TD*]])</f>
        <v>#N/A</v>
      </c>
    </row>
    <row r="58" spans="2:17" x14ac:dyDescent="0.35">
      <c r="B58" s="6" t="s">
        <v>360</v>
      </c>
      <c r="C58" s="97" t="s">
        <v>53</v>
      </c>
      <c r="D58" s="97" t="s">
        <v>395</v>
      </c>
      <c r="E58" s="23" t="str" cm="1">
        <f t="array" ref="E58">_xlfn.XLOOKUP(Table1188717[[#This Row],[Team]],Table4334[Team],'2425'!$C$3:$C$34)</f>
        <v>n/a</v>
      </c>
      <c r="F58" s="97" t="str">
        <f>'2025'!$E$31</f>
        <v>n/a</v>
      </c>
      <c r="G58" s="94" t="e" cm="1">
        <f t="array" ref="G58">IF(Table1188717[[#This Row],[Pos.]]="RB1",_xlfn.XLOOKUP(Table1188717[[#This Row],[Opp]],Table4[DEF],'2025'!$H$38:$H$69),_xlfn.XLOOKUP(Table1188717[[#This Row],[Opp]],Table44[DEF],'2025'!$U$38:$U$69))</f>
        <v>#N/A</v>
      </c>
      <c r="H58" s="94" t="e" cm="1">
        <f t="array" ref="H58">IF(Table1188717[[#This Row],[Pos.]]="RB1",_xlfn.XLOOKUP(Table1188717[[#This Row],[Opp]],Table4[DEF],'2025'!$I$38:$I$69),_xlfn.XLOOKUP(Table1188717[[#This Row],[Opp]],Table4[DEF],'2025'!$V$38:$V$69))</f>
        <v>#N/A</v>
      </c>
      <c r="I58" s="94" t="e" cm="1">
        <f t="array" ref="I58">IF(Table1188717[[#This Row],[Pos.]]="RB1",_xlfn.XLOOKUP(Table1188717[[#This Row],[Opp]],Table4[DEF],'2025'!$J$38:$J$69),_xlfn.XLOOKUP(Table1188717[[#This Row],[Opp]],Table4[DEF],'2025'!$W$38:$W$69))</f>
        <v>#N/A</v>
      </c>
      <c r="J58" s="94" t="e" cm="1">
        <f t="array" ref="J58">IF(Table1188717[[#This Row],[Pos.]]="RB1",_xlfn.XLOOKUP(Table1188717[[#This Row],[Opp]],Table4[DEF],'2025'!$K$38:$K$69),_xlfn.XLOOKUP(Table1188717[[#This Row],[Opp]],Table4[DEF],'2025'!$X$38:$X$69))</f>
        <v>#N/A</v>
      </c>
      <c r="K58" s="94" t="e" cm="1">
        <f t="array" ref="K58">IF(Table1188717[[#This Row],[Pos.]]="RB1",_xlfn.XLOOKUP(Table1188717[[#This Row],[Opp]],Table4[DEF],'2025'!$L$38:$L$69),_xlfn.XLOOKUP(Table1188717[[#This Row],[Opp]],Table4[DEF],'2025'!$Y$38:$Y$69))</f>
        <v>#N/A</v>
      </c>
      <c r="L58" s="95" t="e">
        <f>IF(Table1188717[[#This Row],[Pos.]]="RB1",_xlfn.XLOOKUP(Table1188717[[#This Row],[Opp]],Table4[DEF],Table4[R]),_xlfn.XLOOKUP(Table1188717[[#This Row],[Opp]],Table44[DEF],Table44[R]))</f>
        <v>#N/A</v>
      </c>
      <c r="M58" s="96" t="e">
        <f>IF(Table1188717[[#This Row],[Pos.]]="RB1",_xlfn.XLOOKUP(Table1188717[[#This Row],[Opp]],Table4[DEF],Table4[REC]),_xlfn.XLOOKUP(Table1188717[[#This Row],[Opp]],Table44[DEF],Table44[REC]))</f>
        <v>#N/A</v>
      </c>
      <c r="N58" s="95" t="e">
        <f>IF(Table1188717[[#This Row],[Pos.]]="RB1",_xlfn.XLOOKUP(Table1188717[[#This Row],[Opp]],Table4[DEF],Table4[Y]),_xlfn.XLOOKUP(Table1188717[[#This Row],[Opp]],Table44[DEF],Table44[Y]))</f>
        <v>#N/A</v>
      </c>
      <c r="O58" s="95" t="e">
        <f>IF(Table1188717[[#This Row],[Pos.]]="RB1",_xlfn.XLOOKUP(Table1188717[[#This Row],[Opp]],Table4[DEF],Table4[R+R]),_xlfn.XLOOKUP(Table1188717[[#This Row],[Opp]],Table44[DEF],Table44[R+R]))</f>
        <v>#N/A</v>
      </c>
      <c r="P58" s="96" t="e">
        <f>IF(Table1188717[[#This Row],[Pos.]]="RB1",_xlfn.XLOOKUP(Table1188717[[#This Row],[Opp]],Table4[DEF],Table4[TD]),_xlfn.XLOOKUP(Table1188717[[#This Row],[Opp]],Table44[DEF],Table44[TD]))</f>
        <v>#N/A</v>
      </c>
      <c r="Q58" s="94" t="e">
        <f>AVERAGE(Table1188717[[#This Row],[*R*]:[*TD*]])</f>
        <v>#N/A</v>
      </c>
    </row>
    <row r="59" spans="2:17" hidden="1" x14ac:dyDescent="0.35">
      <c r="B59" s="6" t="s">
        <v>333</v>
      </c>
      <c r="C59" s="97" t="s">
        <v>49</v>
      </c>
      <c r="D59" s="97" t="s">
        <v>396</v>
      </c>
      <c r="E59" s="23" t="str" cm="1">
        <f t="array" ref="E59">_xlfn.XLOOKUP(Table1188717[[#This Row],[Team]],Table4334[Team],'2425'!$C$3:$C$34)</f>
        <v>n/a</v>
      </c>
      <c r="F59" s="97" t="str">
        <f>'2025'!$E$27</f>
        <v>n/a</v>
      </c>
      <c r="G59" s="94" t="e" cm="1">
        <f t="array" ref="G59">IF(Table1188717[[#This Row],[Pos.]]="RB1",_xlfn.XLOOKUP(Table1188717[[#This Row],[Opp]],Table4[DEF],'2025'!$H$38:$H$69),_xlfn.XLOOKUP(Table1188717[[#This Row],[Opp]],Table44[DEF],'2025'!$U$38:$U$69))</f>
        <v>#N/A</v>
      </c>
      <c r="H59" s="94" t="e" cm="1">
        <f t="array" ref="H59">IF(Table1188717[[#This Row],[Pos.]]="RB1",_xlfn.XLOOKUP(Table1188717[[#This Row],[Opp]],Table4[DEF],'2025'!$I$38:$I$69),_xlfn.XLOOKUP(Table1188717[[#This Row],[Opp]],Table4[DEF],'2025'!$V$38:$V$69))</f>
        <v>#N/A</v>
      </c>
      <c r="I59" s="94" t="e" cm="1">
        <f t="array" ref="I59">IF(Table1188717[[#This Row],[Pos.]]="RB1",_xlfn.XLOOKUP(Table1188717[[#This Row],[Opp]],Table4[DEF],'2025'!$J$38:$J$69),_xlfn.XLOOKUP(Table1188717[[#This Row],[Opp]],Table4[DEF],'2025'!$W$38:$W$69))</f>
        <v>#N/A</v>
      </c>
      <c r="J59" s="94" t="e" cm="1">
        <f t="array" ref="J59">IF(Table1188717[[#This Row],[Pos.]]="RB1",_xlfn.XLOOKUP(Table1188717[[#This Row],[Opp]],Table4[DEF],'2025'!$K$38:$K$69),_xlfn.XLOOKUP(Table1188717[[#This Row],[Opp]],Table4[DEF],'2025'!$X$38:$X$69))</f>
        <v>#N/A</v>
      </c>
      <c r="K59" s="94" t="e" cm="1">
        <f t="array" ref="K59">IF(Table1188717[[#This Row],[Pos.]]="RB1",_xlfn.XLOOKUP(Table1188717[[#This Row],[Opp]],Table4[DEF],'2025'!$L$38:$L$69),_xlfn.XLOOKUP(Table1188717[[#This Row],[Opp]],Table4[DEF],'2025'!$Y$38:$Y$69))</f>
        <v>#N/A</v>
      </c>
      <c r="L59" s="95" t="e">
        <f>IF(Table1188717[[#This Row],[Pos.]]="RB1",_xlfn.XLOOKUP(Table1188717[[#This Row],[Opp]],Table4[DEF],Table4[R]),_xlfn.XLOOKUP(Table1188717[[#This Row],[Opp]],Table44[DEF],Table44[R]))</f>
        <v>#N/A</v>
      </c>
      <c r="M59" s="96" t="e">
        <f>IF(Table1188717[[#This Row],[Pos.]]="RB1",_xlfn.XLOOKUP(Table1188717[[#This Row],[Opp]],Table4[DEF],Table4[REC]),_xlfn.XLOOKUP(Table1188717[[#This Row],[Opp]],Table44[DEF],Table44[REC]))</f>
        <v>#N/A</v>
      </c>
      <c r="N59" s="95" t="e">
        <f>IF(Table1188717[[#This Row],[Pos.]]="RB1",_xlfn.XLOOKUP(Table1188717[[#This Row],[Opp]],Table4[DEF],Table4[Y]),_xlfn.XLOOKUP(Table1188717[[#This Row],[Opp]],Table44[DEF],Table44[Y]))</f>
        <v>#N/A</v>
      </c>
      <c r="O59" s="95" t="e">
        <f>IF(Table1188717[[#This Row],[Pos.]]="RB1",_xlfn.XLOOKUP(Table1188717[[#This Row],[Opp]],Table4[DEF],Table4[R+R]),_xlfn.XLOOKUP(Table1188717[[#This Row],[Opp]],Table44[DEF],Table44[R+R]))</f>
        <v>#N/A</v>
      </c>
      <c r="P59" s="96" t="e">
        <f>IF(Table1188717[[#This Row],[Pos.]]="RB1",_xlfn.XLOOKUP(Table1188717[[#This Row],[Opp]],Table4[DEF],Table4[TD]),_xlfn.XLOOKUP(Table1188717[[#This Row],[Opp]],Table44[DEF],Table44[TD]))</f>
        <v>#N/A</v>
      </c>
      <c r="Q59" s="94" t="e">
        <f>AVERAGE(Table1188717[[#This Row],[*R*]:[*TD*]])</f>
        <v>#N/A</v>
      </c>
    </row>
    <row r="60" spans="2:17" hidden="1" x14ac:dyDescent="0.35">
      <c r="B60" s="6" t="s">
        <v>419</v>
      </c>
      <c r="C60" s="97" t="s">
        <v>49</v>
      </c>
      <c r="D60" s="97" t="s">
        <v>407</v>
      </c>
      <c r="E60" s="23" t="str" cm="1">
        <f t="array" ref="E60">_xlfn.XLOOKUP(Table1188717[[#This Row],[Team]],Table4334[Team],'2425'!$C$3:$C$34)</f>
        <v>n/a</v>
      </c>
      <c r="F60" s="97" t="str">
        <f>'2025'!$E$27</f>
        <v>n/a</v>
      </c>
      <c r="G60" s="94" t="e" cm="1">
        <f t="array" ref="G60">IF(Table1188717[[#This Row],[Pos.]]="RB1",_xlfn.XLOOKUP(Table1188717[[#This Row],[Opp]],Table4[DEF],'2025'!$H$38:$H$69),_xlfn.XLOOKUP(Table1188717[[#This Row],[Opp]],Table44[DEF],'2025'!$U$38:$U$69))</f>
        <v>#N/A</v>
      </c>
      <c r="H60" s="94" t="e" cm="1">
        <f t="array" ref="H60">IF(Table1188717[[#This Row],[Pos.]]="RB1",_xlfn.XLOOKUP(Table1188717[[#This Row],[Opp]],Table4[DEF],'2025'!$I$38:$I$69),_xlfn.XLOOKUP(Table1188717[[#This Row],[Opp]],Table4[DEF],'2025'!$V$38:$V$69))</f>
        <v>#N/A</v>
      </c>
      <c r="I60" s="94" t="e" cm="1">
        <f t="array" ref="I60">IF(Table1188717[[#This Row],[Pos.]]="RB1",_xlfn.XLOOKUP(Table1188717[[#This Row],[Opp]],Table4[DEF],'2025'!$J$38:$J$69),_xlfn.XLOOKUP(Table1188717[[#This Row],[Opp]],Table4[DEF],'2025'!$W$38:$W$69))</f>
        <v>#N/A</v>
      </c>
      <c r="J60" s="94" t="e" cm="1">
        <f t="array" ref="J60">IF(Table1188717[[#This Row],[Pos.]]="RB1",_xlfn.XLOOKUP(Table1188717[[#This Row],[Opp]],Table4[DEF],'2025'!$K$38:$K$69),_xlfn.XLOOKUP(Table1188717[[#This Row],[Opp]],Table4[DEF],'2025'!$X$38:$X$69))</f>
        <v>#N/A</v>
      </c>
      <c r="K60" s="94" t="e" cm="1">
        <f t="array" ref="K60">IF(Table1188717[[#This Row],[Pos.]]="RB1",_xlfn.XLOOKUP(Table1188717[[#This Row],[Opp]],Table4[DEF],'2025'!$L$38:$L$69),_xlfn.XLOOKUP(Table1188717[[#This Row],[Opp]],Table4[DEF],'2025'!$Y$38:$Y$69))</f>
        <v>#N/A</v>
      </c>
      <c r="L60" s="95" t="e">
        <f>IF(Table1188717[[#This Row],[Pos.]]="RB1",_xlfn.XLOOKUP(Table1188717[[#This Row],[Opp]],Table4[DEF],Table4[R]),_xlfn.XLOOKUP(Table1188717[[#This Row],[Opp]],Table44[DEF],Table44[R]))</f>
        <v>#N/A</v>
      </c>
      <c r="M60" s="96" t="e">
        <f>IF(Table1188717[[#This Row],[Pos.]]="RB1",_xlfn.XLOOKUP(Table1188717[[#This Row],[Opp]],Table4[DEF],Table4[REC]),_xlfn.XLOOKUP(Table1188717[[#This Row],[Opp]],Table44[DEF],Table44[REC]))</f>
        <v>#N/A</v>
      </c>
      <c r="N60" s="95" t="e">
        <f>IF(Table1188717[[#This Row],[Pos.]]="RB1",_xlfn.XLOOKUP(Table1188717[[#This Row],[Opp]],Table4[DEF],Table4[Y]),_xlfn.XLOOKUP(Table1188717[[#This Row],[Opp]],Table44[DEF],Table44[Y]))</f>
        <v>#N/A</v>
      </c>
      <c r="O60" s="95" t="e">
        <f>IF(Table1188717[[#This Row],[Pos.]]="RB1",_xlfn.XLOOKUP(Table1188717[[#This Row],[Opp]],Table4[DEF],Table4[R+R]),_xlfn.XLOOKUP(Table1188717[[#This Row],[Opp]],Table44[DEF],Table44[R+R]))</f>
        <v>#N/A</v>
      </c>
      <c r="P60" s="96" t="e">
        <f>IF(Table1188717[[#This Row],[Pos.]]="RB1",_xlfn.XLOOKUP(Table1188717[[#This Row],[Opp]],Table4[DEF],Table4[TD]),_xlfn.XLOOKUP(Table1188717[[#This Row],[Opp]],Table44[DEF],Table44[TD]))</f>
        <v>#N/A</v>
      </c>
      <c r="Q60" s="94" t="e">
        <f>AVERAGE(Table1188717[[#This Row],[*R*]:[*TD*]])</f>
        <v>#N/A</v>
      </c>
    </row>
    <row r="61" spans="2:17" hidden="1" x14ac:dyDescent="0.35">
      <c r="B61" s="6" t="s">
        <v>344</v>
      </c>
      <c r="C61" s="97" t="s">
        <v>51</v>
      </c>
      <c r="D61" s="97" t="s">
        <v>395</v>
      </c>
      <c r="E61" s="23" t="str" cm="1">
        <f t="array" ref="E61">_xlfn.XLOOKUP(Table1188717[[#This Row],[Team]],Table4334[Team],'2425'!$C$3:$C$34)</f>
        <v>n/a</v>
      </c>
      <c r="F61" s="97" t="str">
        <f>'2025'!$E$29</f>
        <v>n/a</v>
      </c>
      <c r="G61" s="94" t="e" cm="1">
        <f t="array" ref="G61">IF(Table1188717[[#This Row],[Pos.]]="RB1",_xlfn.XLOOKUP(Table1188717[[#This Row],[Opp]],Table4[DEF],'2025'!$H$38:$H$69),_xlfn.XLOOKUP(Table1188717[[#This Row],[Opp]],Table44[DEF],'2025'!$U$38:$U$69))</f>
        <v>#N/A</v>
      </c>
      <c r="H61" s="94" t="e" cm="1">
        <f t="array" ref="H61">IF(Table1188717[[#This Row],[Pos.]]="RB1",_xlfn.XLOOKUP(Table1188717[[#This Row],[Opp]],Table4[DEF],'2025'!$I$38:$I$69),_xlfn.XLOOKUP(Table1188717[[#This Row],[Opp]],Table4[DEF],'2025'!$V$38:$V$69))</f>
        <v>#N/A</v>
      </c>
      <c r="I61" s="94" t="e" cm="1">
        <f t="array" ref="I61">IF(Table1188717[[#This Row],[Pos.]]="RB1",_xlfn.XLOOKUP(Table1188717[[#This Row],[Opp]],Table4[DEF],'2025'!$J$38:$J$69),_xlfn.XLOOKUP(Table1188717[[#This Row],[Opp]],Table4[DEF],'2025'!$W$38:$W$69))</f>
        <v>#N/A</v>
      </c>
      <c r="J61" s="94" t="e" cm="1">
        <f t="array" ref="J61">IF(Table1188717[[#This Row],[Pos.]]="RB1",_xlfn.XLOOKUP(Table1188717[[#This Row],[Opp]],Table4[DEF],'2025'!$K$38:$K$69),_xlfn.XLOOKUP(Table1188717[[#This Row],[Opp]],Table4[DEF],'2025'!$X$38:$X$69))</f>
        <v>#N/A</v>
      </c>
      <c r="K61" s="94" t="e" cm="1">
        <f t="array" ref="K61">IF(Table1188717[[#This Row],[Pos.]]="RB1",_xlfn.XLOOKUP(Table1188717[[#This Row],[Opp]],Table4[DEF],'2025'!$L$38:$L$69),_xlfn.XLOOKUP(Table1188717[[#This Row],[Opp]],Table4[DEF],'2025'!$Y$38:$Y$69))</f>
        <v>#N/A</v>
      </c>
      <c r="L61" s="95" t="e">
        <f>IF(Table1188717[[#This Row],[Pos.]]="RB1",_xlfn.XLOOKUP(Table1188717[[#This Row],[Opp]],Table4[DEF],Table4[R]),_xlfn.XLOOKUP(Table1188717[[#This Row],[Opp]],Table44[DEF],Table44[R]))</f>
        <v>#N/A</v>
      </c>
      <c r="M61" s="96" t="e">
        <f>IF(Table1188717[[#This Row],[Pos.]]="RB1",_xlfn.XLOOKUP(Table1188717[[#This Row],[Opp]],Table4[DEF],Table4[REC]),_xlfn.XLOOKUP(Table1188717[[#This Row],[Opp]],Table44[DEF],Table44[REC]))</f>
        <v>#N/A</v>
      </c>
      <c r="N61" s="95" t="e">
        <f>IF(Table1188717[[#This Row],[Pos.]]="RB1",_xlfn.XLOOKUP(Table1188717[[#This Row],[Opp]],Table4[DEF],Table4[Y]),_xlfn.XLOOKUP(Table1188717[[#This Row],[Opp]],Table44[DEF],Table44[Y]))</f>
        <v>#N/A</v>
      </c>
      <c r="O61" s="95" t="e">
        <f>IF(Table1188717[[#This Row],[Pos.]]="RB1",_xlfn.XLOOKUP(Table1188717[[#This Row],[Opp]],Table4[DEF],Table4[R+R]),_xlfn.XLOOKUP(Table1188717[[#This Row],[Opp]],Table44[DEF],Table44[R+R]))</f>
        <v>#N/A</v>
      </c>
      <c r="P61" s="96" t="e">
        <f>IF(Table1188717[[#This Row],[Pos.]]="RB1",_xlfn.XLOOKUP(Table1188717[[#This Row],[Opp]],Table4[DEF],Table4[TD]),_xlfn.XLOOKUP(Table1188717[[#This Row],[Opp]],Table44[DEF],Table44[TD]))</f>
        <v>#N/A</v>
      </c>
      <c r="Q61" s="94" t="e">
        <f>AVERAGE(Table1188717[[#This Row],[*R*]:[*TD*]])</f>
        <v>#N/A</v>
      </c>
    </row>
    <row r="62" spans="2:17" hidden="1" x14ac:dyDescent="0.35">
      <c r="B62" s="6" t="s">
        <v>285</v>
      </c>
      <c r="C62" s="97" t="s">
        <v>44</v>
      </c>
      <c r="D62" s="97" t="s">
        <v>396</v>
      </c>
      <c r="E62" s="23" t="str" cm="1">
        <f t="array" ref="E62">_xlfn.XLOOKUP(Table1188717[[#This Row],[Team]],Table4334[Team],'2425'!$C$3:$C$34)</f>
        <v>n/a</v>
      </c>
      <c r="F62" s="97" t="str">
        <f>'2025'!$E$22</f>
        <v>n/a</v>
      </c>
      <c r="G62" s="94" t="e" cm="1">
        <f t="array" ref="G62">IF(Table1188717[[#This Row],[Pos.]]="RB1",_xlfn.XLOOKUP(Table1188717[[#This Row],[Opp]],Table4[DEF],'2025'!$H$38:$H$69),_xlfn.XLOOKUP(Table1188717[[#This Row],[Opp]],Table44[DEF],'2025'!$U$38:$U$69))</f>
        <v>#N/A</v>
      </c>
      <c r="H62" s="94" t="e" cm="1">
        <f t="array" ref="H62">IF(Table1188717[[#This Row],[Pos.]]="RB1",_xlfn.XLOOKUP(Table1188717[[#This Row],[Opp]],Table4[DEF],'2025'!$I$38:$I$69),_xlfn.XLOOKUP(Table1188717[[#This Row],[Opp]],Table4[DEF],'2025'!$V$38:$V$69))</f>
        <v>#N/A</v>
      </c>
      <c r="I62" s="94" t="e" cm="1">
        <f t="array" ref="I62">IF(Table1188717[[#This Row],[Pos.]]="RB1",_xlfn.XLOOKUP(Table1188717[[#This Row],[Opp]],Table4[DEF],'2025'!$J$38:$J$69),_xlfn.XLOOKUP(Table1188717[[#This Row],[Opp]],Table4[DEF],'2025'!$W$38:$W$69))</f>
        <v>#N/A</v>
      </c>
      <c r="J62" s="94" t="e" cm="1">
        <f t="array" ref="J62">IF(Table1188717[[#This Row],[Pos.]]="RB1",_xlfn.XLOOKUP(Table1188717[[#This Row],[Opp]],Table4[DEF],'2025'!$K$38:$K$69),_xlfn.XLOOKUP(Table1188717[[#This Row],[Opp]],Table4[DEF],'2025'!$X$38:$X$69))</f>
        <v>#N/A</v>
      </c>
      <c r="K62" s="94" t="e" cm="1">
        <f t="array" ref="K62">IF(Table1188717[[#This Row],[Pos.]]="RB1",_xlfn.XLOOKUP(Table1188717[[#This Row],[Opp]],Table4[DEF],'2025'!$L$38:$L$69),_xlfn.XLOOKUP(Table1188717[[#This Row],[Opp]],Table4[DEF],'2025'!$Y$38:$Y$69))</f>
        <v>#N/A</v>
      </c>
      <c r="L62" s="95" t="e">
        <f>IF(Table1188717[[#This Row],[Pos.]]="RB1",_xlfn.XLOOKUP(Table1188717[[#This Row],[Opp]],Table4[DEF],Table4[R]),_xlfn.XLOOKUP(Table1188717[[#This Row],[Opp]],Table44[DEF],Table44[R]))</f>
        <v>#N/A</v>
      </c>
      <c r="M62" s="96" t="e">
        <f>IF(Table1188717[[#This Row],[Pos.]]="RB1",_xlfn.XLOOKUP(Table1188717[[#This Row],[Opp]],Table4[DEF],Table4[REC]),_xlfn.XLOOKUP(Table1188717[[#This Row],[Opp]],Table44[DEF],Table44[REC]))</f>
        <v>#N/A</v>
      </c>
      <c r="N62" s="95" t="e">
        <f>IF(Table1188717[[#This Row],[Pos.]]="RB1",_xlfn.XLOOKUP(Table1188717[[#This Row],[Opp]],Table4[DEF],Table4[Y]),_xlfn.XLOOKUP(Table1188717[[#This Row],[Opp]],Table44[DEF],Table44[Y]))</f>
        <v>#N/A</v>
      </c>
      <c r="O62" s="95" t="e">
        <f>IF(Table1188717[[#This Row],[Pos.]]="RB1",_xlfn.XLOOKUP(Table1188717[[#This Row],[Opp]],Table4[DEF],Table4[R+R]),_xlfn.XLOOKUP(Table1188717[[#This Row],[Opp]],Table44[DEF],Table44[R+R]))</f>
        <v>#N/A</v>
      </c>
      <c r="P62" s="96" t="e">
        <f>IF(Table1188717[[#This Row],[Pos.]]="RB1",_xlfn.XLOOKUP(Table1188717[[#This Row],[Opp]],Table4[DEF],Table4[TD]),_xlfn.XLOOKUP(Table1188717[[#This Row],[Opp]],Table44[DEF],Table44[TD]))</f>
        <v>#N/A</v>
      </c>
      <c r="Q62" s="94" t="e">
        <f>AVERAGE(Table1188717[[#This Row],[*R*]:[*TD*]])</f>
        <v>#N/A</v>
      </c>
    </row>
    <row r="63" spans="2:17" hidden="1" x14ac:dyDescent="0.35">
      <c r="B63" s="6" t="s">
        <v>287</v>
      </c>
      <c r="C63" s="97" t="s">
        <v>44</v>
      </c>
      <c r="D63" s="97" t="s">
        <v>407</v>
      </c>
      <c r="E63" s="23" t="str" cm="1">
        <f t="array" ref="E63">_xlfn.XLOOKUP(Table1188717[[#This Row],[Team]],Table4334[Team],'2425'!$C$3:$C$34)</f>
        <v>n/a</v>
      </c>
      <c r="F63" s="97" t="str">
        <f>'2025'!$E$22</f>
        <v>n/a</v>
      </c>
      <c r="G63" s="94" t="e" cm="1">
        <f t="array" ref="G63">IF(Table1188717[[#This Row],[Pos.]]="RB1",_xlfn.XLOOKUP(Table1188717[[#This Row],[Opp]],Table4[DEF],'2025'!$H$38:$H$69),_xlfn.XLOOKUP(Table1188717[[#This Row],[Opp]],Table44[DEF],'2025'!$U$38:$U$69))</f>
        <v>#N/A</v>
      </c>
      <c r="H63" s="94" t="e" cm="1">
        <f t="array" ref="H63">IF(Table1188717[[#This Row],[Pos.]]="RB1",_xlfn.XLOOKUP(Table1188717[[#This Row],[Opp]],Table4[DEF],'2025'!$I$38:$I$69),_xlfn.XLOOKUP(Table1188717[[#This Row],[Opp]],Table4[DEF],'2025'!$V$38:$V$69))</f>
        <v>#N/A</v>
      </c>
      <c r="I63" s="94" t="e" cm="1">
        <f t="array" ref="I63">IF(Table1188717[[#This Row],[Pos.]]="RB1",_xlfn.XLOOKUP(Table1188717[[#This Row],[Opp]],Table4[DEF],'2025'!$J$38:$J$69),_xlfn.XLOOKUP(Table1188717[[#This Row],[Opp]],Table4[DEF],'2025'!$W$38:$W$69))</f>
        <v>#N/A</v>
      </c>
      <c r="J63" s="94" t="e" cm="1">
        <f t="array" ref="J63">IF(Table1188717[[#This Row],[Pos.]]="RB1",_xlfn.XLOOKUP(Table1188717[[#This Row],[Opp]],Table4[DEF],'2025'!$K$38:$K$69),_xlfn.XLOOKUP(Table1188717[[#This Row],[Opp]],Table4[DEF],'2025'!$X$38:$X$69))</f>
        <v>#N/A</v>
      </c>
      <c r="K63" s="94" t="e" cm="1">
        <f t="array" ref="K63">IF(Table1188717[[#This Row],[Pos.]]="RB1",_xlfn.XLOOKUP(Table1188717[[#This Row],[Opp]],Table4[DEF],'2025'!$L$38:$L$69),_xlfn.XLOOKUP(Table1188717[[#This Row],[Opp]],Table4[DEF],'2025'!$Y$38:$Y$69))</f>
        <v>#N/A</v>
      </c>
      <c r="L63" s="95" t="e">
        <f>IF(Table1188717[[#This Row],[Pos.]]="RB1",_xlfn.XLOOKUP(Table1188717[[#This Row],[Opp]],Table4[DEF],Table4[R]),_xlfn.XLOOKUP(Table1188717[[#This Row],[Opp]],Table44[DEF],Table44[R]))</f>
        <v>#N/A</v>
      </c>
      <c r="M63" s="96" t="e">
        <f>IF(Table1188717[[#This Row],[Pos.]]="RB1",_xlfn.XLOOKUP(Table1188717[[#This Row],[Opp]],Table4[DEF],Table4[REC]),_xlfn.XLOOKUP(Table1188717[[#This Row],[Opp]],Table44[DEF],Table44[REC]))</f>
        <v>#N/A</v>
      </c>
      <c r="N63" s="95" t="e">
        <f>IF(Table1188717[[#This Row],[Pos.]]="RB1",_xlfn.XLOOKUP(Table1188717[[#This Row],[Opp]],Table4[DEF],Table4[Y]),_xlfn.XLOOKUP(Table1188717[[#This Row],[Opp]],Table44[DEF],Table44[Y]))</f>
        <v>#N/A</v>
      </c>
      <c r="O63" s="95" t="e">
        <f>IF(Table1188717[[#This Row],[Pos.]]="RB1",_xlfn.XLOOKUP(Table1188717[[#This Row],[Opp]],Table4[DEF],Table4[R+R]),_xlfn.XLOOKUP(Table1188717[[#This Row],[Opp]],Table44[DEF],Table44[R+R]))</f>
        <v>#N/A</v>
      </c>
      <c r="P63" s="96" t="e">
        <f>IF(Table1188717[[#This Row],[Pos.]]="RB1",_xlfn.XLOOKUP(Table1188717[[#This Row],[Opp]],Table4[DEF],Table4[TD]),_xlfn.XLOOKUP(Table1188717[[#This Row],[Opp]],Table44[DEF],Table44[TD]))</f>
        <v>#N/A</v>
      </c>
      <c r="Q63" s="94" t="e">
        <f>AVERAGE(Table1188717[[#This Row],[*R*]:[*TD*]])</f>
        <v>#N/A</v>
      </c>
    </row>
    <row r="64" spans="2:17" hidden="1" x14ac:dyDescent="0.35">
      <c r="B64" s="6" t="s">
        <v>122</v>
      </c>
      <c r="C64" s="97" t="s">
        <v>29</v>
      </c>
      <c r="D64" s="97" t="s">
        <v>395</v>
      </c>
      <c r="E64" s="23" t="str" cm="1">
        <f t="array" ref="E64">_xlfn.XLOOKUP(Table1188717[[#This Row],[Team]],Table4334[Team],'2425'!$C$3:$C$34)</f>
        <v>n/a</v>
      </c>
      <c r="F64" s="97" t="str">
        <f>'2025'!$E$7</f>
        <v>n/a</v>
      </c>
      <c r="G64" s="94" t="e" cm="1">
        <f t="array" ref="G64">IF(Table1188717[[#This Row],[Pos.]]="RB1",_xlfn.XLOOKUP(Table1188717[[#This Row],[Opp]],Table4[DEF],'2025'!$H$38:$H$69),_xlfn.XLOOKUP(Table1188717[[#This Row],[Opp]],Table44[DEF],'2025'!$U$38:$U$69))</f>
        <v>#N/A</v>
      </c>
      <c r="H64" s="94" t="e" cm="1">
        <f t="array" ref="H64">IF(Table1188717[[#This Row],[Pos.]]="RB1",_xlfn.XLOOKUP(Table1188717[[#This Row],[Opp]],Table4[DEF],'2025'!$I$38:$I$69),_xlfn.XLOOKUP(Table1188717[[#This Row],[Opp]],Table4[DEF],'2025'!$V$38:$V$69))</f>
        <v>#N/A</v>
      </c>
      <c r="I64" s="94" t="e" cm="1">
        <f t="array" ref="I64">IF(Table1188717[[#This Row],[Pos.]]="RB1",_xlfn.XLOOKUP(Table1188717[[#This Row],[Opp]],Table4[DEF],'2025'!$J$38:$J$69),_xlfn.XLOOKUP(Table1188717[[#This Row],[Opp]],Table4[DEF],'2025'!$W$38:$W$69))</f>
        <v>#N/A</v>
      </c>
      <c r="J64" s="94" t="e" cm="1">
        <f t="array" ref="J64">IF(Table1188717[[#This Row],[Pos.]]="RB1",_xlfn.XLOOKUP(Table1188717[[#This Row],[Opp]],Table4[DEF],'2025'!$K$38:$K$69),_xlfn.XLOOKUP(Table1188717[[#This Row],[Opp]],Table4[DEF],'2025'!$X$38:$X$69))</f>
        <v>#N/A</v>
      </c>
      <c r="K64" s="94" t="e" cm="1">
        <f t="array" ref="K64">IF(Table1188717[[#This Row],[Pos.]]="RB1",_xlfn.XLOOKUP(Table1188717[[#This Row],[Opp]],Table4[DEF],'2025'!$L$38:$L$69),_xlfn.XLOOKUP(Table1188717[[#This Row],[Opp]],Table4[DEF],'2025'!$Y$38:$Y$69))</f>
        <v>#N/A</v>
      </c>
      <c r="L64" s="95" t="e">
        <f>IF(Table1188717[[#This Row],[Pos.]]="RB1",_xlfn.XLOOKUP(Table1188717[[#This Row],[Opp]],Table4[DEF],Table4[R]),_xlfn.XLOOKUP(Table1188717[[#This Row],[Opp]],Table44[DEF],Table44[R]))</f>
        <v>#N/A</v>
      </c>
      <c r="M64" s="96" t="e">
        <f>IF(Table1188717[[#This Row],[Pos.]]="RB1",_xlfn.XLOOKUP(Table1188717[[#This Row],[Opp]],Table4[DEF],Table4[REC]),_xlfn.XLOOKUP(Table1188717[[#This Row],[Opp]],Table44[DEF],Table44[REC]))</f>
        <v>#N/A</v>
      </c>
      <c r="N64" s="95" t="e">
        <f>IF(Table1188717[[#This Row],[Pos.]]="RB1",_xlfn.XLOOKUP(Table1188717[[#This Row],[Opp]],Table4[DEF],Table4[Y]),_xlfn.XLOOKUP(Table1188717[[#This Row],[Opp]],Table44[DEF],Table44[Y]))</f>
        <v>#N/A</v>
      </c>
      <c r="O64" s="95" t="e">
        <f>IF(Table1188717[[#This Row],[Pos.]]="RB1",_xlfn.XLOOKUP(Table1188717[[#This Row],[Opp]],Table4[DEF],Table4[R+R]),_xlfn.XLOOKUP(Table1188717[[#This Row],[Opp]],Table44[DEF],Table44[R+R]))</f>
        <v>#N/A</v>
      </c>
      <c r="P64" s="96" t="e">
        <f>IF(Table1188717[[#This Row],[Pos.]]="RB1",_xlfn.XLOOKUP(Table1188717[[#This Row],[Opp]],Table4[DEF],Table4[TD]),_xlfn.XLOOKUP(Table1188717[[#This Row],[Opp]],Table44[DEF],Table44[TD]))</f>
        <v>#N/A</v>
      </c>
      <c r="Q64" s="94" t="e">
        <f>AVERAGE(Table1188717[[#This Row],[*R*]:[*TD*]])</f>
        <v>#N/A</v>
      </c>
    </row>
    <row r="65" spans="2:17" hidden="1" x14ac:dyDescent="0.35">
      <c r="B65" s="6" t="s">
        <v>453</v>
      </c>
      <c r="C65" s="97" t="s">
        <v>50</v>
      </c>
      <c r="D65" s="97" t="s">
        <v>396</v>
      </c>
      <c r="E65" s="23" t="str" cm="1">
        <f t="array" ref="E65">_xlfn.XLOOKUP(Table1188717[[#This Row],[Team]],Table4334[Team],'2425'!$C$3:$C$34)</f>
        <v>n/a</v>
      </c>
      <c r="F65" s="97" t="str">
        <f>'2025'!$E$28</f>
        <v>n/a</v>
      </c>
      <c r="G65" s="94" t="e" cm="1">
        <f t="array" ref="G65">IF(Table1188717[[#This Row],[Pos.]]="RB1",_xlfn.XLOOKUP(Table1188717[[#This Row],[Opp]],Table4[DEF],'2025'!$H$38:$H$69),_xlfn.XLOOKUP(Table1188717[[#This Row],[Opp]],Table44[DEF],'2025'!$U$38:$U$69))</f>
        <v>#N/A</v>
      </c>
      <c r="H65" s="94" t="e" cm="1">
        <f t="array" ref="H65">IF(Table1188717[[#This Row],[Pos.]]="RB1",_xlfn.XLOOKUP(Table1188717[[#This Row],[Opp]],Table4[DEF],'2025'!$I$38:$I$69),_xlfn.XLOOKUP(Table1188717[[#This Row],[Opp]],Table4[DEF],'2025'!$V$38:$V$69))</f>
        <v>#N/A</v>
      </c>
      <c r="I65" s="94" t="e" cm="1">
        <f t="array" ref="I65">IF(Table1188717[[#This Row],[Pos.]]="RB1",_xlfn.XLOOKUP(Table1188717[[#This Row],[Opp]],Table4[DEF],'2025'!$J$38:$J$69),_xlfn.XLOOKUP(Table1188717[[#This Row],[Opp]],Table4[DEF],'2025'!$W$38:$W$69))</f>
        <v>#N/A</v>
      </c>
      <c r="J65" s="94" t="e" cm="1">
        <f t="array" ref="J65">IF(Table1188717[[#This Row],[Pos.]]="RB1",_xlfn.XLOOKUP(Table1188717[[#This Row],[Opp]],Table4[DEF],'2025'!$K$38:$K$69),_xlfn.XLOOKUP(Table1188717[[#This Row],[Opp]],Table4[DEF],'2025'!$X$38:$X$69))</f>
        <v>#N/A</v>
      </c>
      <c r="K65" s="94" t="e" cm="1">
        <f t="array" ref="K65">IF(Table1188717[[#This Row],[Pos.]]="RB1",_xlfn.XLOOKUP(Table1188717[[#This Row],[Opp]],Table4[DEF],'2025'!$L$38:$L$69),_xlfn.XLOOKUP(Table1188717[[#This Row],[Opp]],Table4[DEF],'2025'!$Y$38:$Y$69))</f>
        <v>#N/A</v>
      </c>
      <c r="L65" s="95" t="e">
        <f>IF(Table1188717[[#This Row],[Pos.]]="RB1",_xlfn.XLOOKUP(Table1188717[[#This Row],[Opp]],Table4[DEF],Table4[R]),_xlfn.XLOOKUP(Table1188717[[#This Row],[Opp]],Table44[DEF],Table44[R]))</f>
        <v>#N/A</v>
      </c>
      <c r="M65" s="96" t="e">
        <f>IF(Table1188717[[#This Row],[Pos.]]="RB1",_xlfn.XLOOKUP(Table1188717[[#This Row],[Opp]],Table4[DEF],Table4[REC]),_xlfn.XLOOKUP(Table1188717[[#This Row],[Opp]],Table44[DEF],Table44[REC]))</f>
        <v>#N/A</v>
      </c>
      <c r="N65" s="95" t="e">
        <f>IF(Table1188717[[#This Row],[Pos.]]="RB1",_xlfn.XLOOKUP(Table1188717[[#This Row],[Opp]],Table4[DEF],Table4[Y]),_xlfn.XLOOKUP(Table1188717[[#This Row],[Opp]],Table44[DEF],Table44[Y]))</f>
        <v>#N/A</v>
      </c>
      <c r="O65" s="95" t="e">
        <f>IF(Table1188717[[#This Row],[Pos.]]="RB1",_xlfn.XLOOKUP(Table1188717[[#This Row],[Opp]],Table4[DEF],Table4[R+R]),_xlfn.XLOOKUP(Table1188717[[#This Row],[Opp]],Table44[DEF],Table44[R+R]))</f>
        <v>#N/A</v>
      </c>
      <c r="P65" s="96" t="e">
        <f>IF(Table1188717[[#This Row],[Pos.]]="RB1",_xlfn.XLOOKUP(Table1188717[[#This Row],[Opp]],Table4[DEF],Table4[TD]),_xlfn.XLOOKUP(Table1188717[[#This Row],[Opp]],Table44[DEF],Table44[TD]))</f>
        <v>#N/A</v>
      </c>
      <c r="Q65" s="94" t="e">
        <f>AVERAGE(Table1188717[[#This Row],[*R*]:[*TD*]])</f>
        <v>#N/A</v>
      </c>
    </row>
    <row r="66" spans="2:17" x14ac:dyDescent="0.35">
      <c r="B66" s="6" t="s">
        <v>151</v>
      </c>
      <c r="C66" s="97" t="s">
        <v>30</v>
      </c>
      <c r="D66" s="97" t="s">
        <v>395</v>
      </c>
      <c r="E66" s="23" t="str" cm="1">
        <f t="array" ref="E66">_xlfn.XLOOKUP(Table1188717[[#This Row],[Team]],Table4334[Team],'2425'!$C$3:$C$34)</f>
        <v>n/a</v>
      </c>
      <c r="F66" s="97" t="str">
        <f>'2025'!$E$8</f>
        <v>n/a</v>
      </c>
      <c r="G66" s="94" t="e" cm="1">
        <f t="array" ref="G66">IF(Table1188717[[#This Row],[Pos.]]="RB1",_xlfn.XLOOKUP(Table1188717[[#This Row],[Opp]],Table4[DEF],'2025'!$H$38:$H$69),_xlfn.XLOOKUP(Table1188717[[#This Row],[Opp]],Table44[DEF],'2025'!$U$38:$U$69))</f>
        <v>#N/A</v>
      </c>
      <c r="H66" s="94" t="e" cm="1">
        <f t="array" ref="H66">IF(Table1188717[[#This Row],[Pos.]]="RB1",_xlfn.XLOOKUP(Table1188717[[#This Row],[Opp]],Table4[DEF],'2025'!$I$38:$I$69),_xlfn.XLOOKUP(Table1188717[[#This Row],[Opp]],Table4[DEF],'2025'!$V$38:$V$69))</f>
        <v>#N/A</v>
      </c>
      <c r="I66" s="94" t="e" cm="1">
        <f t="array" ref="I66">IF(Table1188717[[#This Row],[Pos.]]="RB1",_xlfn.XLOOKUP(Table1188717[[#This Row],[Opp]],Table4[DEF],'2025'!$J$38:$J$69),_xlfn.XLOOKUP(Table1188717[[#This Row],[Opp]],Table4[DEF],'2025'!$W$38:$W$69))</f>
        <v>#N/A</v>
      </c>
      <c r="J66" s="94" t="e" cm="1">
        <f t="array" ref="J66">IF(Table1188717[[#This Row],[Pos.]]="RB1",_xlfn.XLOOKUP(Table1188717[[#This Row],[Opp]],Table4[DEF],'2025'!$K$38:$K$69),_xlfn.XLOOKUP(Table1188717[[#This Row],[Opp]],Table4[DEF],'2025'!$X$38:$X$69))</f>
        <v>#N/A</v>
      </c>
      <c r="K66" s="94" t="e" cm="1">
        <f t="array" ref="K66">IF(Table1188717[[#This Row],[Pos.]]="RB1",_xlfn.XLOOKUP(Table1188717[[#This Row],[Opp]],Table4[DEF],'2025'!$L$38:$L$69),_xlfn.XLOOKUP(Table1188717[[#This Row],[Opp]],Table4[DEF],'2025'!$Y$38:$Y$69))</f>
        <v>#N/A</v>
      </c>
      <c r="L66" s="95" t="e">
        <f>IF(Table1188717[[#This Row],[Pos.]]="RB1",_xlfn.XLOOKUP(Table1188717[[#This Row],[Opp]],Table4[DEF],Table4[R]),_xlfn.XLOOKUP(Table1188717[[#This Row],[Opp]],Table44[DEF],Table44[R]))</f>
        <v>#N/A</v>
      </c>
      <c r="M66" s="96" t="e">
        <f>IF(Table1188717[[#This Row],[Pos.]]="RB1",_xlfn.XLOOKUP(Table1188717[[#This Row],[Opp]],Table4[DEF],Table4[REC]),_xlfn.XLOOKUP(Table1188717[[#This Row],[Opp]],Table44[DEF],Table44[REC]))</f>
        <v>#N/A</v>
      </c>
      <c r="N66" s="95" t="e">
        <f>IF(Table1188717[[#This Row],[Pos.]]="RB1",_xlfn.XLOOKUP(Table1188717[[#This Row],[Opp]],Table4[DEF],Table4[Y]),_xlfn.XLOOKUP(Table1188717[[#This Row],[Opp]],Table44[DEF],Table44[Y]))</f>
        <v>#N/A</v>
      </c>
      <c r="O66" s="95" t="e">
        <f>IF(Table1188717[[#This Row],[Pos.]]="RB1",_xlfn.XLOOKUP(Table1188717[[#This Row],[Opp]],Table4[DEF],Table4[R+R]),_xlfn.XLOOKUP(Table1188717[[#This Row],[Opp]],Table44[DEF],Table44[R+R]))</f>
        <v>#N/A</v>
      </c>
      <c r="P66" s="96" t="e">
        <f>IF(Table1188717[[#This Row],[Pos.]]="RB1",_xlfn.XLOOKUP(Table1188717[[#This Row],[Opp]],Table4[DEF],Table4[TD]),_xlfn.XLOOKUP(Table1188717[[#This Row],[Opp]],Table44[DEF],Table44[TD]))</f>
        <v>#N/A</v>
      </c>
      <c r="Q66" s="94" t="e">
        <f>AVERAGE(Table1188717[[#This Row],[*R*]:[*TD*]])</f>
        <v>#N/A</v>
      </c>
    </row>
    <row r="67" spans="2:17" hidden="1" x14ac:dyDescent="0.35">
      <c r="B67" s="144" t="s">
        <v>526</v>
      </c>
      <c r="C67" s="97" t="s">
        <v>52</v>
      </c>
      <c r="D67" s="98" t="s">
        <v>396</v>
      </c>
      <c r="E67" s="23" t="str" cm="1">
        <f t="array" ref="E67">_xlfn.XLOOKUP(Table1188717[[#This Row],[Team]],Table4334[Team],'2425'!$C$3:$C$34)</f>
        <v>SB LX</v>
      </c>
      <c r="F67" s="97" t="str">
        <f>'2025'!$E$30</f>
        <v>NE</v>
      </c>
      <c r="G67" s="94" cm="1">
        <f t="array" ref="G67">IF(Table1188717[[#This Row],[Pos.]]="RB1",_xlfn.XLOOKUP(Table1188717[[#This Row],[Opp]],Table4[DEF],'2025'!$H$38:$H$69),_xlfn.XLOOKUP(Table1188717[[#This Row],[Opp]],Table44[DEF],'2025'!$U$38:$U$69))</f>
        <v>29</v>
      </c>
      <c r="H67" s="94" cm="1">
        <f t="array" ref="H67">IF(Table1188717[[#This Row],[Pos.]]="RB1",_xlfn.XLOOKUP(Table1188717[[#This Row],[Opp]],Table4[DEF],'2025'!$I$38:$I$69),_xlfn.XLOOKUP(Table1188717[[#This Row],[Opp]],Table4[DEF],'2025'!$V$38:$V$69))</f>
        <v>19</v>
      </c>
      <c r="I67" s="94" cm="1">
        <f t="array" ref="I67">IF(Table1188717[[#This Row],[Pos.]]="RB1",_xlfn.XLOOKUP(Table1188717[[#This Row],[Opp]],Table4[DEF],'2025'!$J$38:$J$69),_xlfn.XLOOKUP(Table1188717[[#This Row],[Opp]],Table4[DEF],'2025'!$W$38:$W$69))</f>
        <v>31</v>
      </c>
      <c r="J67" s="94" cm="1">
        <f t="array" ref="J67">IF(Table1188717[[#This Row],[Pos.]]="RB1",_xlfn.XLOOKUP(Table1188717[[#This Row],[Opp]],Table4[DEF],'2025'!$K$38:$K$69),_xlfn.XLOOKUP(Table1188717[[#This Row],[Opp]],Table4[DEF],'2025'!$X$38:$X$69))</f>
        <v>31</v>
      </c>
      <c r="K67" s="94" cm="1">
        <f t="array" ref="K67">IF(Table1188717[[#This Row],[Pos.]]="RB1",_xlfn.XLOOKUP(Table1188717[[#This Row],[Opp]],Table4[DEF],'2025'!$L$38:$L$69),_xlfn.XLOOKUP(Table1188717[[#This Row],[Opp]],Table4[DEF],'2025'!$Y$38:$Y$69))</f>
        <v>31</v>
      </c>
      <c r="L67" s="95">
        <f>IF(Table1188717[[#This Row],[Pos.]]="RB1",_xlfn.XLOOKUP(Table1188717[[#This Row],[Opp]],Table4[DEF],Table4[R]),_xlfn.XLOOKUP(Table1188717[[#This Row],[Opp]],Table44[DEF],Table44[R]))</f>
        <v>20</v>
      </c>
      <c r="M67" s="96">
        <f>IF(Table1188717[[#This Row],[Pos.]]="RB1",_xlfn.XLOOKUP(Table1188717[[#This Row],[Opp]],Table4[DEF],Table4[REC]),_xlfn.XLOOKUP(Table1188717[[#This Row],[Opp]],Table44[DEF],Table44[REC]))</f>
        <v>1.411764705882353</v>
      </c>
      <c r="N67" s="95">
        <f>IF(Table1188717[[#This Row],[Pos.]]="RB1",_xlfn.XLOOKUP(Table1188717[[#This Row],[Opp]],Table4[DEF],Table4[Y]),_xlfn.XLOOKUP(Table1188717[[#This Row],[Opp]],Table44[DEF],Table44[Y]))</f>
        <v>5.5294117647058822</v>
      </c>
      <c r="O67" s="95">
        <f>IF(Table1188717[[#This Row],[Pos.]]="RB1",_xlfn.XLOOKUP(Table1188717[[#This Row],[Opp]],Table4[DEF],Table4[R+R]),_xlfn.XLOOKUP(Table1188717[[#This Row],[Opp]],Table44[DEF],Table44[R+R]))</f>
        <v>25.529411764705884</v>
      </c>
      <c r="P67" s="96">
        <f>IF(Table1188717[[#This Row],[Pos.]]="RB1",_xlfn.XLOOKUP(Table1188717[[#This Row],[Opp]],Table4[DEF],Table4[TD]),_xlfn.XLOOKUP(Table1188717[[#This Row],[Opp]],Table44[DEF],Table44[TD]))</f>
        <v>5.8823529411764705E-2</v>
      </c>
      <c r="Q67" s="94">
        <f>AVERAGE(Table1188717[[#This Row],[*R*]:[*TD*]])</f>
        <v>28.2</v>
      </c>
    </row>
    <row r="68" spans="2:17" hidden="1" x14ac:dyDescent="0.35">
      <c r="B68" s="6" t="s">
        <v>527</v>
      </c>
      <c r="C68" s="97" t="s">
        <v>52</v>
      </c>
      <c r="D68" s="97" t="s">
        <v>407</v>
      </c>
      <c r="E68" s="23" t="str" cm="1">
        <f t="array" ref="E68">_xlfn.XLOOKUP(Table1188717[[#This Row],[Team]],Table4334[Team],'2425'!$C$3:$C$34)</f>
        <v>SB LX</v>
      </c>
      <c r="F68" s="97" t="str">
        <f>'2025'!$E$30</f>
        <v>NE</v>
      </c>
      <c r="G68" s="94" cm="1">
        <f t="array" ref="G68">IF(Table1188717[[#This Row],[Pos.]]="RB1",_xlfn.XLOOKUP(Table1188717[[#This Row],[Opp]],Table4[DEF],'2025'!$H$38:$H$69),_xlfn.XLOOKUP(Table1188717[[#This Row],[Opp]],Table44[DEF],'2025'!$U$38:$U$69))</f>
        <v>29</v>
      </c>
      <c r="H68" s="94" cm="1">
        <f t="array" ref="H68">IF(Table1188717[[#This Row],[Pos.]]="RB1",_xlfn.XLOOKUP(Table1188717[[#This Row],[Opp]],Table4[DEF],'2025'!$I$38:$I$69),_xlfn.XLOOKUP(Table1188717[[#This Row],[Opp]],Table4[DEF],'2025'!$V$38:$V$69))</f>
        <v>19</v>
      </c>
      <c r="I68" s="94" cm="1">
        <f t="array" ref="I68">IF(Table1188717[[#This Row],[Pos.]]="RB1",_xlfn.XLOOKUP(Table1188717[[#This Row],[Opp]],Table4[DEF],'2025'!$J$38:$J$69),_xlfn.XLOOKUP(Table1188717[[#This Row],[Opp]],Table4[DEF],'2025'!$W$38:$W$69))</f>
        <v>31</v>
      </c>
      <c r="J68" s="94" cm="1">
        <f t="array" ref="J68">IF(Table1188717[[#This Row],[Pos.]]="RB1",_xlfn.XLOOKUP(Table1188717[[#This Row],[Opp]],Table4[DEF],'2025'!$K$38:$K$69),_xlfn.XLOOKUP(Table1188717[[#This Row],[Opp]],Table4[DEF],'2025'!$X$38:$X$69))</f>
        <v>31</v>
      </c>
      <c r="K68" s="94" cm="1">
        <f t="array" ref="K68">IF(Table1188717[[#This Row],[Pos.]]="RB1",_xlfn.XLOOKUP(Table1188717[[#This Row],[Opp]],Table4[DEF],'2025'!$L$38:$L$69),_xlfn.XLOOKUP(Table1188717[[#This Row],[Opp]],Table4[DEF],'2025'!$Y$38:$Y$69))</f>
        <v>31</v>
      </c>
      <c r="L68" s="95">
        <f>IF(Table1188717[[#This Row],[Pos.]]="RB1",_xlfn.XLOOKUP(Table1188717[[#This Row],[Opp]],Table4[DEF],Table4[R]),_xlfn.XLOOKUP(Table1188717[[#This Row],[Opp]],Table44[DEF],Table44[R]))</f>
        <v>20</v>
      </c>
      <c r="M68" s="96">
        <f>IF(Table1188717[[#This Row],[Pos.]]="RB1",_xlfn.XLOOKUP(Table1188717[[#This Row],[Opp]],Table4[DEF],Table4[REC]),_xlfn.XLOOKUP(Table1188717[[#This Row],[Opp]],Table44[DEF],Table44[REC]))</f>
        <v>1.411764705882353</v>
      </c>
      <c r="N68" s="95">
        <f>IF(Table1188717[[#This Row],[Pos.]]="RB1",_xlfn.XLOOKUP(Table1188717[[#This Row],[Opp]],Table4[DEF],Table4[Y]),_xlfn.XLOOKUP(Table1188717[[#This Row],[Opp]],Table44[DEF],Table44[Y]))</f>
        <v>5.5294117647058822</v>
      </c>
      <c r="O68" s="95">
        <f>IF(Table1188717[[#This Row],[Pos.]]="RB1",_xlfn.XLOOKUP(Table1188717[[#This Row],[Opp]],Table4[DEF],Table4[R+R]),_xlfn.XLOOKUP(Table1188717[[#This Row],[Opp]],Table44[DEF],Table44[R+R]))</f>
        <v>25.529411764705884</v>
      </c>
      <c r="P68" s="96">
        <f>IF(Table1188717[[#This Row],[Pos.]]="RB1",_xlfn.XLOOKUP(Table1188717[[#This Row],[Opp]],Table4[DEF],Table4[TD]),_xlfn.XLOOKUP(Table1188717[[#This Row],[Opp]],Table44[DEF],Table44[TD]))</f>
        <v>5.8823529411764705E-2</v>
      </c>
      <c r="Q68" s="94">
        <f>AVERAGE(Table1188717[[#This Row],[*R*]:[*TD*]])</f>
        <v>28.2</v>
      </c>
    </row>
    <row r="69" spans="2:17" hidden="1" x14ac:dyDescent="0.35">
      <c r="B69" s="6" t="s">
        <v>370</v>
      </c>
      <c r="C69" s="97" t="s">
        <v>54</v>
      </c>
      <c r="D69" s="97" t="s">
        <v>394</v>
      </c>
      <c r="E69" s="23" t="str" cm="1">
        <f t="array" ref="E69">_xlfn.XLOOKUP(Table1188717[[#This Row],[Team]],Table4334[Team],'2425'!$C$3:$C$34)</f>
        <v>n/a</v>
      </c>
      <c r="F69" s="97" t="str">
        <f>'2025'!$E$32</f>
        <v>n/a</v>
      </c>
      <c r="G69" s="94" t="e" cm="1">
        <f t="array" ref="G69">IF(Table1188717[[#This Row],[Pos.]]="RB1",_xlfn.XLOOKUP(Table1188717[[#This Row],[Opp]],Table4[DEF],'2025'!$H$38:$H$69),_xlfn.XLOOKUP(Table1188717[[#This Row],[Opp]],Table44[DEF],'2025'!$U$38:$U$69))</f>
        <v>#N/A</v>
      </c>
      <c r="H69" s="94" t="e" cm="1">
        <f t="array" ref="H69">IF(Table1188717[[#This Row],[Pos.]]="RB1",_xlfn.XLOOKUP(Table1188717[[#This Row],[Opp]],Table4[DEF],'2025'!$I$38:$I$69),_xlfn.XLOOKUP(Table1188717[[#This Row],[Opp]],Table4[DEF],'2025'!$V$38:$V$69))</f>
        <v>#N/A</v>
      </c>
      <c r="I69" s="94" t="e" cm="1">
        <f t="array" ref="I69">IF(Table1188717[[#This Row],[Pos.]]="RB1",_xlfn.XLOOKUP(Table1188717[[#This Row],[Opp]],Table4[DEF],'2025'!$J$38:$J$69),_xlfn.XLOOKUP(Table1188717[[#This Row],[Opp]],Table4[DEF],'2025'!$W$38:$W$69))</f>
        <v>#N/A</v>
      </c>
      <c r="J69" s="94" t="e" cm="1">
        <f t="array" ref="J69">IF(Table1188717[[#This Row],[Pos.]]="RB1",_xlfn.XLOOKUP(Table1188717[[#This Row],[Opp]],Table4[DEF],'2025'!$K$38:$K$69),_xlfn.XLOOKUP(Table1188717[[#This Row],[Opp]],Table4[DEF],'2025'!$X$38:$X$69))</f>
        <v>#N/A</v>
      </c>
      <c r="K69" s="94" t="e" cm="1">
        <f t="array" ref="K69">IF(Table1188717[[#This Row],[Pos.]]="RB1",_xlfn.XLOOKUP(Table1188717[[#This Row],[Opp]],Table4[DEF],'2025'!$L$38:$L$69),_xlfn.XLOOKUP(Table1188717[[#This Row],[Opp]],Table4[DEF],'2025'!$Y$38:$Y$69))</f>
        <v>#N/A</v>
      </c>
      <c r="L69" s="95" t="e">
        <f>IF(Table1188717[[#This Row],[Pos.]]="RB1",_xlfn.XLOOKUP(Table1188717[[#This Row],[Opp]],Table4[DEF],Table4[R]),_xlfn.XLOOKUP(Table1188717[[#This Row],[Opp]],Table44[DEF],Table44[R]))</f>
        <v>#N/A</v>
      </c>
      <c r="M69" s="96" t="e">
        <f>IF(Table1188717[[#This Row],[Pos.]]="RB1",_xlfn.XLOOKUP(Table1188717[[#This Row],[Opp]],Table4[DEF],Table4[REC]),_xlfn.XLOOKUP(Table1188717[[#This Row],[Opp]],Table44[DEF],Table44[REC]))</f>
        <v>#N/A</v>
      </c>
      <c r="N69" s="95" t="e">
        <f>IF(Table1188717[[#This Row],[Pos.]]="RB1",_xlfn.XLOOKUP(Table1188717[[#This Row],[Opp]],Table4[DEF],Table4[Y]),_xlfn.XLOOKUP(Table1188717[[#This Row],[Opp]],Table44[DEF],Table44[Y]))</f>
        <v>#N/A</v>
      </c>
      <c r="O69" s="95" t="e">
        <f>IF(Table1188717[[#This Row],[Pos.]]="RB1",_xlfn.XLOOKUP(Table1188717[[#This Row],[Opp]],Table4[DEF],Table4[R+R]),_xlfn.XLOOKUP(Table1188717[[#This Row],[Opp]],Table44[DEF],Table44[R+R]))</f>
        <v>#N/A</v>
      </c>
      <c r="P69" s="96" t="e">
        <f>IF(Table1188717[[#This Row],[Pos.]]="RB1",_xlfn.XLOOKUP(Table1188717[[#This Row],[Opp]],Table4[DEF],Table4[TD]),_xlfn.XLOOKUP(Table1188717[[#This Row],[Opp]],Table44[DEF],Table44[TD]))</f>
        <v>#N/A</v>
      </c>
      <c r="Q69" s="94" t="e">
        <f>AVERAGE(Table1188717[[#This Row],[*R*]:[*TD*]])</f>
        <v>#N/A</v>
      </c>
    </row>
    <row r="70" spans="2:17" hidden="1" x14ac:dyDescent="0.35">
      <c r="B70" s="6" t="s">
        <v>183</v>
      </c>
      <c r="C70" s="97" t="s">
        <v>33</v>
      </c>
      <c r="D70" s="97" t="s">
        <v>396</v>
      </c>
      <c r="E70" s="23" t="str" cm="1">
        <f t="array" ref="E70">_xlfn.XLOOKUP(Table1188717[[#This Row],[Team]],Table4334[Team],'2425'!$C$3:$C$34)</f>
        <v>n/a</v>
      </c>
      <c r="F70" s="97" t="str">
        <f>'2025'!$E$11</f>
        <v>n/a</v>
      </c>
      <c r="G70" s="94" t="e" cm="1">
        <f t="array" ref="G70">IF(Table1188717[[#This Row],[Pos.]]="RB1",_xlfn.XLOOKUP(Table1188717[[#This Row],[Opp]],Table4[DEF],'2025'!$H$38:$H$69),_xlfn.XLOOKUP(Table1188717[[#This Row],[Opp]],Table44[DEF],'2025'!$U$38:$U$69))</f>
        <v>#N/A</v>
      </c>
      <c r="H70" s="94" t="e" cm="1">
        <f t="array" ref="H70">IF(Table1188717[[#This Row],[Pos.]]="RB1",_xlfn.XLOOKUP(Table1188717[[#This Row],[Opp]],Table4[DEF],'2025'!$I$38:$I$69),_xlfn.XLOOKUP(Table1188717[[#This Row],[Opp]],Table4[DEF],'2025'!$V$38:$V$69))</f>
        <v>#N/A</v>
      </c>
      <c r="I70" s="94" t="e" cm="1">
        <f t="array" ref="I70">IF(Table1188717[[#This Row],[Pos.]]="RB1",_xlfn.XLOOKUP(Table1188717[[#This Row],[Opp]],Table4[DEF],'2025'!$J$38:$J$69),_xlfn.XLOOKUP(Table1188717[[#This Row],[Opp]],Table4[DEF],'2025'!$W$38:$W$69))</f>
        <v>#N/A</v>
      </c>
      <c r="J70" s="94" t="e" cm="1">
        <f t="array" ref="J70">IF(Table1188717[[#This Row],[Pos.]]="RB1",_xlfn.XLOOKUP(Table1188717[[#This Row],[Opp]],Table4[DEF],'2025'!$K$38:$K$69),_xlfn.XLOOKUP(Table1188717[[#This Row],[Opp]],Table4[DEF],'2025'!$X$38:$X$69))</f>
        <v>#N/A</v>
      </c>
      <c r="K70" s="94" t="e" cm="1">
        <f t="array" ref="K70">IF(Table1188717[[#This Row],[Pos.]]="RB1",_xlfn.XLOOKUP(Table1188717[[#This Row],[Opp]],Table4[DEF],'2025'!$L$38:$L$69),_xlfn.XLOOKUP(Table1188717[[#This Row],[Opp]],Table4[DEF],'2025'!$Y$38:$Y$69))</f>
        <v>#N/A</v>
      </c>
      <c r="L70" s="95" t="e">
        <f>IF(Table1188717[[#This Row],[Pos.]]="RB1",_xlfn.XLOOKUP(Table1188717[[#This Row],[Opp]],Table4[DEF],Table4[R]),_xlfn.XLOOKUP(Table1188717[[#This Row],[Opp]],Table44[DEF],Table44[R]))</f>
        <v>#N/A</v>
      </c>
      <c r="M70" s="96" t="e">
        <f>IF(Table1188717[[#This Row],[Pos.]]="RB1",_xlfn.XLOOKUP(Table1188717[[#This Row],[Opp]],Table4[DEF],Table4[REC]),_xlfn.XLOOKUP(Table1188717[[#This Row],[Opp]],Table44[DEF],Table44[REC]))</f>
        <v>#N/A</v>
      </c>
      <c r="N70" s="95" t="e">
        <f>IF(Table1188717[[#This Row],[Pos.]]="RB1",_xlfn.XLOOKUP(Table1188717[[#This Row],[Opp]],Table4[DEF],Table4[Y]),_xlfn.XLOOKUP(Table1188717[[#This Row],[Opp]],Table44[DEF],Table44[Y]))</f>
        <v>#N/A</v>
      </c>
      <c r="O70" s="95" t="e">
        <f>IF(Table1188717[[#This Row],[Pos.]]="RB1",_xlfn.XLOOKUP(Table1188717[[#This Row],[Opp]],Table4[DEF],Table4[R+R]),_xlfn.XLOOKUP(Table1188717[[#This Row],[Opp]],Table44[DEF],Table44[R+R]))</f>
        <v>#N/A</v>
      </c>
      <c r="P70" s="96" t="e">
        <f>IF(Table1188717[[#This Row],[Pos.]]="RB1",_xlfn.XLOOKUP(Table1188717[[#This Row],[Opp]],Table4[DEF],Table4[TD]),_xlfn.XLOOKUP(Table1188717[[#This Row],[Opp]],Table44[DEF],Table44[TD]))</f>
        <v>#N/A</v>
      </c>
      <c r="Q70" s="94" t="e">
        <f>AVERAGE(Table1188717[[#This Row],[*R*]:[*TD*]])</f>
        <v>#N/A</v>
      </c>
    </row>
    <row r="71" spans="2:17" hidden="1" x14ac:dyDescent="0.35">
      <c r="B71" s="6" t="s">
        <v>423</v>
      </c>
      <c r="C71" s="97" t="s">
        <v>33</v>
      </c>
      <c r="D71" s="97" t="s">
        <v>407</v>
      </c>
      <c r="E71" s="23" t="str" cm="1">
        <f t="array" ref="E71">_xlfn.XLOOKUP(Table1188717[[#This Row],[Team]],Table4334[Team],'2425'!$C$3:$C$34)</f>
        <v>n/a</v>
      </c>
      <c r="F71" s="97" t="str">
        <f>'2025'!$E$11</f>
        <v>n/a</v>
      </c>
      <c r="G71" s="94" t="e" cm="1">
        <f t="array" ref="G71">IF(Table1188717[[#This Row],[Pos.]]="RB1",_xlfn.XLOOKUP(Table1188717[[#This Row],[Opp]],Table4[DEF],'2025'!$H$38:$H$69),_xlfn.XLOOKUP(Table1188717[[#This Row],[Opp]],Table44[DEF],'2025'!$U$38:$U$69))</f>
        <v>#N/A</v>
      </c>
      <c r="H71" s="94" t="e" cm="1">
        <f t="array" ref="H71">IF(Table1188717[[#This Row],[Pos.]]="RB1",_xlfn.XLOOKUP(Table1188717[[#This Row],[Opp]],Table4[DEF],'2025'!$I$38:$I$69),_xlfn.XLOOKUP(Table1188717[[#This Row],[Opp]],Table4[DEF],'2025'!$V$38:$V$69))</f>
        <v>#N/A</v>
      </c>
      <c r="I71" s="94" t="e" cm="1">
        <f t="array" ref="I71">IF(Table1188717[[#This Row],[Pos.]]="RB1",_xlfn.XLOOKUP(Table1188717[[#This Row],[Opp]],Table4[DEF],'2025'!$J$38:$J$69),_xlfn.XLOOKUP(Table1188717[[#This Row],[Opp]],Table4[DEF],'2025'!$W$38:$W$69))</f>
        <v>#N/A</v>
      </c>
      <c r="J71" s="94" t="e" cm="1">
        <f t="array" ref="J71">IF(Table1188717[[#This Row],[Pos.]]="RB1",_xlfn.XLOOKUP(Table1188717[[#This Row],[Opp]],Table4[DEF],'2025'!$K$38:$K$69),_xlfn.XLOOKUP(Table1188717[[#This Row],[Opp]],Table4[DEF],'2025'!$X$38:$X$69))</f>
        <v>#N/A</v>
      </c>
      <c r="K71" s="94" t="e" cm="1">
        <f t="array" ref="K71">IF(Table1188717[[#This Row],[Pos.]]="RB1",_xlfn.XLOOKUP(Table1188717[[#This Row],[Opp]],Table4[DEF],'2025'!$L$38:$L$69),_xlfn.XLOOKUP(Table1188717[[#This Row],[Opp]],Table4[DEF],'2025'!$Y$38:$Y$69))</f>
        <v>#N/A</v>
      </c>
      <c r="L71" s="95" t="e">
        <f>IF(Table1188717[[#This Row],[Pos.]]="RB1",_xlfn.XLOOKUP(Table1188717[[#This Row],[Opp]],Table4[DEF],Table4[R]),_xlfn.XLOOKUP(Table1188717[[#This Row],[Opp]],Table44[DEF],Table44[R]))</f>
        <v>#N/A</v>
      </c>
      <c r="M71" s="96" t="e">
        <f>IF(Table1188717[[#This Row],[Pos.]]="RB1",_xlfn.XLOOKUP(Table1188717[[#This Row],[Opp]],Table4[DEF],Table4[REC]),_xlfn.XLOOKUP(Table1188717[[#This Row],[Opp]],Table44[DEF],Table44[REC]))</f>
        <v>#N/A</v>
      </c>
      <c r="N71" s="95" t="e">
        <f>IF(Table1188717[[#This Row],[Pos.]]="RB1",_xlfn.XLOOKUP(Table1188717[[#This Row],[Opp]],Table4[DEF],Table4[Y]),_xlfn.XLOOKUP(Table1188717[[#This Row],[Opp]],Table44[DEF],Table44[Y]))</f>
        <v>#N/A</v>
      </c>
      <c r="O71" s="95" t="e">
        <f>IF(Table1188717[[#This Row],[Pos.]]="RB1",_xlfn.XLOOKUP(Table1188717[[#This Row],[Opp]],Table4[DEF],Table4[R+R]),_xlfn.XLOOKUP(Table1188717[[#This Row],[Opp]],Table44[DEF],Table44[R+R]))</f>
        <v>#N/A</v>
      </c>
      <c r="P71" s="96" t="e">
        <f>IF(Table1188717[[#This Row],[Pos.]]="RB1",_xlfn.XLOOKUP(Table1188717[[#This Row],[Opp]],Table4[DEF],Table4[TD]),_xlfn.XLOOKUP(Table1188717[[#This Row],[Opp]],Table44[DEF],Table44[TD]))</f>
        <v>#N/A</v>
      </c>
      <c r="Q71" s="94" t="e">
        <f>AVERAGE(Table1188717[[#This Row],[*R*]:[*TD*]])</f>
        <v>#N/A</v>
      </c>
    </row>
    <row r="72" spans="2:17" x14ac:dyDescent="0.35">
      <c r="B72" s="6" t="s">
        <v>153</v>
      </c>
      <c r="C72" s="97" t="s">
        <v>30</v>
      </c>
      <c r="D72" s="97" t="s">
        <v>394</v>
      </c>
      <c r="E72" s="23" t="str" cm="1">
        <f t="array" ref="E72">_xlfn.XLOOKUP(Table1188717[[#This Row],[Team]],Table4334[Team],'2425'!$C$3:$C$34)</f>
        <v>n/a</v>
      </c>
      <c r="F72" s="97" t="str">
        <f>'2025'!$E$8</f>
        <v>n/a</v>
      </c>
      <c r="G72" s="94" t="e" cm="1">
        <f t="array" ref="G72">IF(Table1188717[[#This Row],[Pos.]]="RB1",_xlfn.XLOOKUP(Table1188717[[#This Row],[Opp]],Table4[DEF],'2025'!$H$38:$H$69),_xlfn.XLOOKUP(Table1188717[[#This Row],[Opp]],Table44[DEF],'2025'!$U$38:$U$69))</f>
        <v>#N/A</v>
      </c>
      <c r="H72" s="94" t="e" cm="1">
        <f t="array" ref="H72">IF(Table1188717[[#This Row],[Pos.]]="RB1",_xlfn.XLOOKUP(Table1188717[[#This Row],[Opp]],Table4[DEF],'2025'!$I$38:$I$69),_xlfn.XLOOKUP(Table1188717[[#This Row],[Opp]],Table4[DEF],'2025'!$V$38:$V$69))</f>
        <v>#N/A</v>
      </c>
      <c r="I72" s="94" t="e" cm="1">
        <f t="array" ref="I72">IF(Table1188717[[#This Row],[Pos.]]="RB1",_xlfn.XLOOKUP(Table1188717[[#This Row],[Opp]],Table4[DEF],'2025'!$J$38:$J$69),_xlfn.XLOOKUP(Table1188717[[#This Row],[Opp]],Table4[DEF],'2025'!$W$38:$W$69))</f>
        <v>#N/A</v>
      </c>
      <c r="J72" s="94" t="e" cm="1">
        <f t="array" ref="J72">IF(Table1188717[[#This Row],[Pos.]]="RB1",_xlfn.XLOOKUP(Table1188717[[#This Row],[Opp]],Table4[DEF],'2025'!$K$38:$K$69),_xlfn.XLOOKUP(Table1188717[[#This Row],[Opp]],Table4[DEF],'2025'!$X$38:$X$69))</f>
        <v>#N/A</v>
      </c>
      <c r="K72" s="94" t="e" cm="1">
        <f t="array" ref="K72">IF(Table1188717[[#This Row],[Pos.]]="RB1",_xlfn.XLOOKUP(Table1188717[[#This Row],[Opp]],Table4[DEF],'2025'!$L$38:$L$69),_xlfn.XLOOKUP(Table1188717[[#This Row],[Opp]],Table4[DEF],'2025'!$Y$38:$Y$69))</f>
        <v>#N/A</v>
      </c>
      <c r="L72" s="95" t="e">
        <f>IF(Table1188717[[#This Row],[Pos.]]="RB1",_xlfn.XLOOKUP(Table1188717[[#This Row],[Opp]],Table4[DEF],Table4[R]),_xlfn.XLOOKUP(Table1188717[[#This Row],[Opp]],Table44[DEF],Table44[R]))</f>
        <v>#N/A</v>
      </c>
      <c r="M72" s="96" t="e">
        <f>IF(Table1188717[[#This Row],[Pos.]]="RB1",_xlfn.XLOOKUP(Table1188717[[#This Row],[Opp]],Table4[DEF],Table4[REC]),_xlfn.XLOOKUP(Table1188717[[#This Row],[Opp]],Table44[DEF],Table44[REC]))</f>
        <v>#N/A</v>
      </c>
      <c r="N72" s="95" t="e">
        <f>IF(Table1188717[[#This Row],[Pos.]]="RB1",_xlfn.XLOOKUP(Table1188717[[#This Row],[Opp]],Table4[DEF],Table4[Y]),_xlfn.XLOOKUP(Table1188717[[#This Row],[Opp]],Table44[DEF],Table44[Y]))</f>
        <v>#N/A</v>
      </c>
      <c r="O72" s="95" t="e">
        <f>IF(Table1188717[[#This Row],[Pos.]]="RB1",_xlfn.XLOOKUP(Table1188717[[#This Row],[Opp]],Table4[DEF],Table4[R+R]),_xlfn.XLOOKUP(Table1188717[[#This Row],[Opp]],Table44[DEF],Table44[R+R]))</f>
        <v>#N/A</v>
      </c>
      <c r="P72" s="96" t="e">
        <f>IF(Table1188717[[#This Row],[Pos.]]="RB1",_xlfn.XLOOKUP(Table1188717[[#This Row],[Opp]],Table4[DEF],Table4[TD]),_xlfn.XLOOKUP(Table1188717[[#This Row],[Opp]],Table44[DEF],Table44[TD]))</f>
        <v>#N/A</v>
      </c>
      <c r="Q72" s="94" t="e">
        <f>AVERAGE(Table1188717[[#This Row],[*R*]:[*TD*]])</f>
        <v>#N/A</v>
      </c>
    </row>
    <row r="73" spans="2:17" hidden="1" x14ac:dyDescent="0.35">
      <c r="B73" s="6" t="s">
        <v>176</v>
      </c>
      <c r="C73" s="97" t="s">
        <v>32</v>
      </c>
      <c r="D73" s="97" t="s">
        <v>394</v>
      </c>
      <c r="E73" s="23" t="str" cm="1">
        <f t="array" ref="E73">_xlfn.XLOOKUP(Table1188717[[#This Row],[Team]],Table4334[Team],'2425'!$C$3:$C$34)</f>
        <v>n/a</v>
      </c>
      <c r="F73" s="97" t="str">
        <f>'2025'!$E$10</f>
        <v>n/a</v>
      </c>
      <c r="G73" s="94" t="e" cm="1">
        <f t="array" ref="G73">IF(Table1188717[[#This Row],[Pos.]]="RB1",_xlfn.XLOOKUP(Table1188717[[#This Row],[Opp]],Table4[DEF],'2025'!$H$38:$H$69),_xlfn.XLOOKUP(Table1188717[[#This Row],[Opp]],Table44[DEF],'2025'!$U$38:$U$69))</f>
        <v>#N/A</v>
      </c>
      <c r="H73" s="94" t="e" cm="1">
        <f t="array" ref="H73">IF(Table1188717[[#This Row],[Pos.]]="RB1",_xlfn.XLOOKUP(Table1188717[[#This Row],[Opp]],Table4[DEF],'2025'!$I$38:$I$69),_xlfn.XLOOKUP(Table1188717[[#This Row],[Opp]],Table4[DEF],'2025'!$V$38:$V$69))</f>
        <v>#N/A</v>
      </c>
      <c r="I73" s="94" t="e" cm="1">
        <f t="array" ref="I73">IF(Table1188717[[#This Row],[Pos.]]="RB1",_xlfn.XLOOKUP(Table1188717[[#This Row],[Opp]],Table4[DEF],'2025'!$J$38:$J$69),_xlfn.XLOOKUP(Table1188717[[#This Row],[Opp]],Table4[DEF],'2025'!$W$38:$W$69))</f>
        <v>#N/A</v>
      </c>
      <c r="J73" s="94" t="e" cm="1">
        <f t="array" ref="J73">IF(Table1188717[[#This Row],[Pos.]]="RB1",_xlfn.XLOOKUP(Table1188717[[#This Row],[Opp]],Table4[DEF],'2025'!$K$38:$K$69),_xlfn.XLOOKUP(Table1188717[[#This Row],[Opp]],Table4[DEF],'2025'!$X$38:$X$69))</f>
        <v>#N/A</v>
      </c>
      <c r="K73" s="94" t="e" cm="1">
        <f t="array" ref="K73">IF(Table1188717[[#This Row],[Pos.]]="RB1",_xlfn.XLOOKUP(Table1188717[[#This Row],[Opp]],Table4[DEF],'2025'!$L$38:$L$69),_xlfn.XLOOKUP(Table1188717[[#This Row],[Opp]],Table4[DEF],'2025'!$Y$38:$Y$69))</f>
        <v>#N/A</v>
      </c>
      <c r="L73" s="95" t="e">
        <f>IF(Table1188717[[#This Row],[Pos.]]="RB1",_xlfn.XLOOKUP(Table1188717[[#This Row],[Opp]],Table4[DEF],Table4[R]),_xlfn.XLOOKUP(Table1188717[[#This Row],[Opp]],Table44[DEF],Table44[R]))</f>
        <v>#N/A</v>
      </c>
      <c r="M73" s="96" t="e">
        <f>IF(Table1188717[[#This Row],[Pos.]]="RB1",_xlfn.XLOOKUP(Table1188717[[#This Row],[Opp]],Table4[DEF],Table4[REC]),_xlfn.XLOOKUP(Table1188717[[#This Row],[Opp]],Table44[DEF],Table44[REC]))</f>
        <v>#N/A</v>
      </c>
      <c r="N73" s="95" t="e">
        <f>IF(Table1188717[[#This Row],[Pos.]]="RB1",_xlfn.XLOOKUP(Table1188717[[#This Row],[Opp]],Table4[DEF],Table4[Y]),_xlfn.XLOOKUP(Table1188717[[#This Row],[Opp]],Table44[DEF],Table44[Y]))</f>
        <v>#N/A</v>
      </c>
      <c r="O73" s="95" t="e">
        <f>IF(Table1188717[[#This Row],[Pos.]]="RB1",_xlfn.XLOOKUP(Table1188717[[#This Row],[Opp]],Table4[DEF],Table4[R+R]),_xlfn.XLOOKUP(Table1188717[[#This Row],[Opp]],Table44[DEF],Table44[R+R]))</f>
        <v>#N/A</v>
      </c>
      <c r="P73" s="96" t="e">
        <f>IF(Table1188717[[#This Row],[Pos.]]="RB1",_xlfn.XLOOKUP(Table1188717[[#This Row],[Opp]],Table4[DEF],Table4[TD]),_xlfn.XLOOKUP(Table1188717[[#This Row],[Opp]],Table44[DEF],Table44[TD]))</f>
        <v>#N/A</v>
      </c>
      <c r="Q73" s="94" t="e">
        <f>AVERAGE(Table1188717[[#This Row],[*R*]:[*TD*]])</f>
        <v>#N/A</v>
      </c>
    </row>
    <row r="74" spans="2:17" hidden="1" x14ac:dyDescent="0.35">
      <c r="B74" s="6" t="s">
        <v>185</v>
      </c>
      <c r="C74" s="97" t="s">
        <v>33</v>
      </c>
      <c r="D74" s="97" t="s">
        <v>394</v>
      </c>
      <c r="E74" s="23" t="str" cm="1">
        <f t="array" ref="E74">_xlfn.XLOOKUP(Table1188717[[#This Row],[Team]],Table4334[Team],'2425'!$C$3:$C$34)</f>
        <v>n/a</v>
      </c>
      <c r="F74" s="97" t="str">
        <f>'2025'!$E$11</f>
        <v>n/a</v>
      </c>
      <c r="G74" s="94" t="e" cm="1">
        <f t="array" ref="G74">IF(Table1188717[[#This Row],[Pos.]]="RB1",_xlfn.XLOOKUP(Table1188717[[#This Row],[Opp]],Table4[DEF],'2025'!$H$38:$H$69),_xlfn.XLOOKUP(Table1188717[[#This Row],[Opp]],Table44[DEF],'2025'!$U$38:$U$69))</f>
        <v>#N/A</v>
      </c>
      <c r="H74" s="94" t="e" cm="1">
        <f t="array" ref="H74">IF(Table1188717[[#This Row],[Pos.]]="RB1",_xlfn.XLOOKUP(Table1188717[[#This Row],[Opp]],Table4[DEF],'2025'!$I$38:$I$69),_xlfn.XLOOKUP(Table1188717[[#This Row],[Opp]],Table4[DEF],'2025'!$V$38:$V$69))</f>
        <v>#N/A</v>
      </c>
      <c r="I74" s="94" t="e" cm="1">
        <f t="array" ref="I74">IF(Table1188717[[#This Row],[Pos.]]="RB1",_xlfn.XLOOKUP(Table1188717[[#This Row],[Opp]],Table4[DEF],'2025'!$J$38:$J$69),_xlfn.XLOOKUP(Table1188717[[#This Row],[Opp]],Table4[DEF],'2025'!$W$38:$W$69))</f>
        <v>#N/A</v>
      </c>
      <c r="J74" s="94" t="e" cm="1">
        <f t="array" ref="J74">IF(Table1188717[[#This Row],[Pos.]]="RB1",_xlfn.XLOOKUP(Table1188717[[#This Row],[Opp]],Table4[DEF],'2025'!$K$38:$K$69),_xlfn.XLOOKUP(Table1188717[[#This Row],[Opp]],Table4[DEF],'2025'!$X$38:$X$69))</f>
        <v>#N/A</v>
      </c>
      <c r="K74" s="94" t="e" cm="1">
        <f t="array" ref="K74">IF(Table1188717[[#This Row],[Pos.]]="RB1",_xlfn.XLOOKUP(Table1188717[[#This Row],[Opp]],Table4[DEF],'2025'!$L$38:$L$69),_xlfn.XLOOKUP(Table1188717[[#This Row],[Opp]],Table4[DEF],'2025'!$Y$38:$Y$69))</f>
        <v>#N/A</v>
      </c>
      <c r="L74" s="95" t="e">
        <f>IF(Table1188717[[#This Row],[Pos.]]="RB1",_xlfn.XLOOKUP(Table1188717[[#This Row],[Opp]],Table4[DEF],Table4[R]),_xlfn.XLOOKUP(Table1188717[[#This Row],[Opp]],Table44[DEF],Table44[R]))</f>
        <v>#N/A</v>
      </c>
      <c r="M74" s="96" t="e">
        <f>IF(Table1188717[[#This Row],[Pos.]]="RB1",_xlfn.XLOOKUP(Table1188717[[#This Row],[Opp]],Table4[DEF],Table4[REC]),_xlfn.XLOOKUP(Table1188717[[#This Row],[Opp]],Table44[DEF],Table44[REC]))</f>
        <v>#N/A</v>
      </c>
      <c r="N74" s="95" t="e">
        <f>IF(Table1188717[[#This Row],[Pos.]]="RB1",_xlfn.XLOOKUP(Table1188717[[#This Row],[Opp]],Table4[DEF],Table4[Y]),_xlfn.XLOOKUP(Table1188717[[#This Row],[Opp]],Table44[DEF],Table44[Y]))</f>
        <v>#N/A</v>
      </c>
      <c r="O74" s="95" t="e">
        <f>IF(Table1188717[[#This Row],[Pos.]]="RB1",_xlfn.XLOOKUP(Table1188717[[#This Row],[Opp]],Table4[DEF],Table4[R+R]),_xlfn.XLOOKUP(Table1188717[[#This Row],[Opp]],Table44[DEF],Table44[R+R]))</f>
        <v>#N/A</v>
      </c>
      <c r="P74" s="96" t="e">
        <f>IF(Table1188717[[#This Row],[Pos.]]="RB1",_xlfn.XLOOKUP(Table1188717[[#This Row],[Opp]],Table4[DEF],Table4[TD]),_xlfn.XLOOKUP(Table1188717[[#This Row],[Opp]],Table44[DEF],Table44[TD]))</f>
        <v>#N/A</v>
      </c>
      <c r="Q74" s="94" t="e">
        <f>AVERAGE(Table1188717[[#This Row],[*R*]:[*TD*]])</f>
        <v>#N/A</v>
      </c>
    </row>
    <row r="75" spans="2:17" hidden="1" x14ac:dyDescent="0.35">
      <c r="B75" s="6" t="s">
        <v>324</v>
      </c>
      <c r="C75" s="97" t="s">
        <v>48</v>
      </c>
      <c r="D75" s="97" t="s">
        <v>394</v>
      </c>
      <c r="E75" s="23" t="str" cm="1">
        <f t="array" ref="E75">_xlfn.XLOOKUP(Table1188717[[#This Row],[Team]],Table4334[Team],'2425'!$C$3:$C$34)</f>
        <v>n/a</v>
      </c>
      <c r="F75" s="97" t="str">
        <f>'2025'!$E$26</f>
        <v>n/a</v>
      </c>
      <c r="G75" s="94" t="e" cm="1">
        <f t="array" ref="G75">IF(Table1188717[[#This Row],[Pos.]]="RB1",_xlfn.XLOOKUP(Table1188717[[#This Row],[Opp]],Table4[DEF],'2025'!$H$38:$H$69),_xlfn.XLOOKUP(Table1188717[[#This Row],[Opp]],Table44[DEF],'2025'!$U$38:$U$69))</f>
        <v>#N/A</v>
      </c>
      <c r="H75" s="94" t="e" cm="1">
        <f t="array" ref="H75">IF(Table1188717[[#This Row],[Pos.]]="RB1",_xlfn.XLOOKUP(Table1188717[[#This Row],[Opp]],Table4[DEF],'2025'!$I$38:$I$69),_xlfn.XLOOKUP(Table1188717[[#This Row],[Opp]],Table4[DEF],'2025'!$V$38:$V$69))</f>
        <v>#N/A</v>
      </c>
      <c r="I75" s="94" t="e" cm="1">
        <f t="array" ref="I75">IF(Table1188717[[#This Row],[Pos.]]="RB1",_xlfn.XLOOKUP(Table1188717[[#This Row],[Opp]],Table4[DEF],'2025'!$J$38:$J$69),_xlfn.XLOOKUP(Table1188717[[#This Row],[Opp]],Table4[DEF],'2025'!$W$38:$W$69))</f>
        <v>#N/A</v>
      </c>
      <c r="J75" s="94" t="e" cm="1">
        <f t="array" ref="J75">IF(Table1188717[[#This Row],[Pos.]]="RB1",_xlfn.XLOOKUP(Table1188717[[#This Row],[Opp]],Table4[DEF],'2025'!$K$38:$K$69),_xlfn.XLOOKUP(Table1188717[[#This Row],[Opp]],Table4[DEF],'2025'!$X$38:$X$69))</f>
        <v>#N/A</v>
      </c>
      <c r="K75" s="94" t="e" cm="1">
        <f t="array" ref="K75">IF(Table1188717[[#This Row],[Pos.]]="RB1",_xlfn.XLOOKUP(Table1188717[[#This Row],[Opp]],Table4[DEF],'2025'!$L$38:$L$69),_xlfn.XLOOKUP(Table1188717[[#This Row],[Opp]],Table4[DEF],'2025'!$Y$38:$Y$69))</f>
        <v>#N/A</v>
      </c>
      <c r="L75" s="95" t="e">
        <f>IF(Table1188717[[#This Row],[Pos.]]="RB1",_xlfn.XLOOKUP(Table1188717[[#This Row],[Opp]],Table4[DEF],Table4[R]),_xlfn.XLOOKUP(Table1188717[[#This Row],[Opp]],Table44[DEF],Table44[R]))</f>
        <v>#N/A</v>
      </c>
      <c r="M75" s="96" t="e">
        <f>IF(Table1188717[[#This Row],[Pos.]]="RB1",_xlfn.XLOOKUP(Table1188717[[#This Row],[Opp]],Table4[DEF],Table4[REC]),_xlfn.XLOOKUP(Table1188717[[#This Row],[Opp]],Table44[DEF],Table44[REC]))</f>
        <v>#N/A</v>
      </c>
      <c r="N75" s="95" t="e">
        <f>IF(Table1188717[[#This Row],[Pos.]]="RB1",_xlfn.XLOOKUP(Table1188717[[#This Row],[Opp]],Table4[DEF],Table4[Y]),_xlfn.XLOOKUP(Table1188717[[#This Row],[Opp]],Table44[DEF],Table44[Y]))</f>
        <v>#N/A</v>
      </c>
      <c r="O75" s="95" t="e">
        <f>IF(Table1188717[[#This Row],[Pos.]]="RB1",_xlfn.XLOOKUP(Table1188717[[#This Row],[Opp]],Table4[DEF],Table4[R+R]),_xlfn.XLOOKUP(Table1188717[[#This Row],[Opp]],Table44[DEF],Table44[R+R]))</f>
        <v>#N/A</v>
      </c>
      <c r="P75" s="96" t="e">
        <f>IF(Table1188717[[#This Row],[Pos.]]="RB1",_xlfn.XLOOKUP(Table1188717[[#This Row],[Opp]],Table4[DEF],Table4[TD]),_xlfn.XLOOKUP(Table1188717[[#This Row],[Opp]],Table44[DEF],Table44[TD]))</f>
        <v>#N/A</v>
      </c>
      <c r="Q75" s="94" t="e">
        <f>AVERAGE(Table1188717[[#This Row],[*R*]:[*TD*]])</f>
        <v>#N/A</v>
      </c>
    </row>
    <row r="76" spans="2:17" hidden="1" x14ac:dyDescent="0.35">
      <c r="B76" s="6" t="s">
        <v>152</v>
      </c>
      <c r="C76" s="97" t="s">
        <v>30</v>
      </c>
      <c r="D76" s="97" t="s">
        <v>396</v>
      </c>
      <c r="E76" s="23" t="str" cm="1">
        <f t="array" ref="E76">_xlfn.XLOOKUP(Table1188717[[#This Row],[Team]],Table4334[Team],'2425'!$C$3:$C$34)</f>
        <v>n/a</v>
      </c>
      <c r="F76" s="97" t="str">
        <f>'2025'!$E$8</f>
        <v>n/a</v>
      </c>
      <c r="G76" s="94" t="e" cm="1">
        <f t="array" ref="G76">IF(Table1188717[[#This Row],[Pos.]]="RB1",_xlfn.XLOOKUP(Table1188717[[#This Row],[Opp]],Table4[DEF],'2025'!$H$38:$H$69),_xlfn.XLOOKUP(Table1188717[[#This Row],[Opp]],Table44[DEF],'2025'!$U$38:$U$69))</f>
        <v>#N/A</v>
      </c>
      <c r="H76" s="94" t="e" cm="1">
        <f t="array" ref="H76">IF(Table1188717[[#This Row],[Pos.]]="RB1",_xlfn.XLOOKUP(Table1188717[[#This Row],[Opp]],Table4[DEF],'2025'!$I$38:$I$69),_xlfn.XLOOKUP(Table1188717[[#This Row],[Opp]],Table4[DEF],'2025'!$V$38:$V$69))</f>
        <v>#N/A</v>
      </c>
      <c r="I76" s="94" t="e" cm="1">
        <f t="array" ref="I76">IF(Table1188717[[#This Row],[Pos.]]="RB1",_xlfn.XLOOKUP(Table1188717[[#This Row],[Opp]],Table4[DEF],'2025'!$J$38:$J$69),_xlfn.XLOOKUP(Table1188717[[#This Row],[Opp]],Table4[DEF],'2025'!$W$38:$W$69))</f>
        <v>#N/A</v>
      </c>
      <c r="J76" s="94" t="e" cm="1">
        <f t="array" ref="J76">IF(Table1188717[[#This Row],[Pos.]]="RB1",_xlfn.XLOOKUP(Table1188717[[#This Row],[Opp]],Table4[DEF],'2025'!$K$38:$K$69),_xlfn.XLOOKUP(Table1188717[[#This Row],[Opp]],Table4[DEF],'2025'!$X$38:$X$69))</f>
        <v>#N/A</v>
      </c>
      <c r="K76" s="94" t="e" cm="1">
        <f t="array" ref="K76">IF(Table1188717[[#This Row],[Pos.]]="RB1",_xlfn.XLOOKUP(Table1188717[[#This Row],[Opp]],Table4[DEF],'2025'!$L$38:$L$69),_xlfn.XLOOKUP(Table1188717[[#This Row],[Opp]],Table4[DEF],'2025'!$Y$38:$Y$69))</f>
        <v>#N/A</v>
      </c>
      <c r="L76" s="95" t="e">
        <f>IF(Table1188717[[#This Row],[Pos.]]="RB1",_xlfn.XLOOKUP(Table1188717[[#This Row],[Opp]],Table4[DEF],Table4[R]),_xlfn.XLOOKUP(Table1188717[[#This Row],[Opp]],Table44[DEF],Table44[R]))</f>
        <v>#N/A</v>
      </c>
      <c r="M76" s="96" t="e">
        <f>IF(Table1188717[[#This Row],[Pos.]]="RB1",_xlfn.XLOOKUP(Table1188717[[#This Row],[Opp]],Table4[DEF],Table4[REC]),_xlfn.XLOOKUP(Table1188717[[#This Row],[Opp]],Table44[DEF],Table44[REC]))</f>
        <v>#N/A</v>
      </c>
      <c r="N76" s="95" t="e">
        <f>IF(Table1188717[[#This Row],[Pos.]]="RB1",_xlfn.XLOOKUP(Table1188717[[#This Row],[Opp]],Table4[DEF],Table4[Y]),_xlfn.XLOOKUP(Table1188717[[#This Row],[Opp]],Table44[DEF],Table44[Y]))</f>
        <v>#N/A</v>
      </c>
      <c r="O76" s="95" t="e">
        <f>IF(Table1188717[[#This Row],[Pos.]]="RB1",_xlfn.XLOOKUP(Table1188717[[#This Row],[Opp]],Table4[DEF],Table4[R+R]),_xlfn.XLOOKUP(Table1188717[[#This Row],[Opp]],Table44[DEF],Table44[R+R]))</f>
        <v>#N/A</v>
      </c>
      <c r="P76" s="96" t="e">
        <f>IF(Table1188717[[#This Row],[Pos.]]="RB1",_xlfn.XLOOKUP(Table1188717[[#This Row],[Opp]],Table4[DEF],Table4[TD]),_xlfn.XLOOKUP(Table1188717[[#This Row],[Opp]],Table44[DEF],Table44[TD]))</f>
        <v>#N/A</v>
      </c>
      <c r="Q76" s="94" t="e">
        <f>AVERAGE(Table1188717[[#This Row],[*R*]:[*TD*]])</f>
        <v>#N/A</v>
      </c>
    </row>
    <row r="77" spans="2:17" hidden="1" x14ac:dyDescent="0.35">
      <c r="B77" s="6" t="s">
        <v>498</v>
      </c>
      <c r="C77" s="97" t="s">
        <v>30</v>
      </c>
      <c r="D77" s="97" t="s">
        <v>407</v>
      </c>
      <c r="E77" s="23" t="str" cm="1">
        <f t="array" ref="E77">_xlfn.XLOOKUP(Table1188717[[#This Row],[Team]],Table4334[Team],'2425'!$C$3:$C$34)</f>
        <v>n/a</v>
      </c>
      <c r="F77" s="97" t="str">
        <f>'2025'!$E$8</f>
        <v>n/a</v>
      </c>
      <c r="G77" s="94" t="e" cm="1">
        <f t="array" ref="G77">IF(Table1188717[[#This Row],[Pos.]]="RB1",_xlfn.XLOOKUP(Table1188717[[#This Row],[Opp]],Table4[DEF],'2025'!$H$38:$H$69),_xlfn.XLOOKUP(Table1188717[[#This Row],[Opp]],Table44[DEF],'2025'!$U$38:$U$69))</f>
        <v>#N/A</v>
      </c>
      <c r="H77" s="94" t="e" cm="1">
        <f t="array" ref="H77">IF(Table1188717[[#This Row],[Pos.]]="RB1",_xlfn.XLOOKUP(Table1188717[[#This Row],[Opp]],Table4[DEF],'2025'!$I$38:$I$69),_xlfn.XLOOKUP(Table1188717[[#This Row],[Opp]],Table4[DEF],'2025'!$V$38:$V$69))</f>
        <v>#N/A</v>
      </c>
      <c r="I77" s="94" t="e" cm="1">
        <f t="array" ref="I77">IF(Table1188717[[#This Row],[Pos.]]="RB1",_xlfn.XLOOKUP(Table1188717[[#This Row],[Opp]],Table4[DEF],'2025'!$J$38:$J$69),_xlfn.XLOOKUP(Table1188717[[#This Row],[Opp]],Table4[DEF],'2025'!$W$38:$W$69))</f>
        <v>#N/A</v>
      </c>
      <c r="J77" s="94" t="e" cm="1">
        <f t="array" ref="J77">IF(Table1188717[[#This Row],[Pos.]]="RB1",_xlfn.XLOOKUP(Table1188717[[#This Row],[Opp]],Table4[DEF],'2025'!$K$38:$K$69),_xlfn.XLOOKUP(Table1188717[[#This Row],[Opp]],Table4[DEF],'2025'!$X$38:$X$69))</f>
        <v>#N/A</v>
      </c>
      <c r="K77" s="94" t="e" cm="1">
        <f t="array" ref="K77">IF(Table1188717[[#This Row],[Pos.]]="RB1",_xlfn.XLOOKUP(Table1188717[[#This Row],[Opp]],Table4[DEF],'2025'!$L$38:$L$69),_xlfn.XLOOKUP(Table1188717[[#This Row],[Opp]],Table4[DEF],'2025'!$Y$38:$Y$69))</f>
        <v>#N/A</v>
      </c>
      <c r="L77" s="95" t="e">
        <f>IF(Table1188717[[#This Row],[Pos.]]="RB1",_xlfn.XLOOKUP(Table1188717[[#This Row],[Opp]],Table4[DEF],Table4[R]),_xlfn.XLOOKUP(Table1188717[[#This Row],[Opp]],Table44[DEF],Table44[R]))</f>
        <v>#N/A</v>
      </c>
      <c r="M77" s="96" t="e">
        <f>IF(Table1188717[[#This Row],[Pos.]]="RB1",_xlfn.XLOOKUP(Table1188717[[#This Row],[Opp]],Table4[DEF],Table4[REC]),_xlfn.XLOOKUP(Table1188717[[#This Row],[Opp]],Table44[DEF],Table44[REC]))</f>
        <v>#N/A</v>
      </c>
      <c r="N77" s="95" t="e">
        <f>IF(Table1188717[[#This Row],[Pos.]]="RB1",_xlfn.XLOOKUP(Table1188717[[#This Row],[Opp]],Table4[DEF],Table4[Y]),_xlfn.XLOOKUP(Table1188717[[#This Row],[Opp]],Table44[DEF],Table44[Y]))</f>
        <v>#N/A</v>
      </c>
      <c r="O77" s="95" t="e">
        <f>IF(Table1188717[[#This Row],[Pos.]]="RB1",_xlfn.XLOOKUP(Table1188717[[#This Row],[Opp]],Table4[DEF],Table4[R+R]),_xlfn.XLOOKUP(Table1188717[[#This Row],[Opp]],Table44[DEF],Table44[R+R]))</f>
        <v>#N/A</v>
      </c>
      <c r="P77" s="96" t="e">
        <f>IF(Table1188717[[#This Row],[Pos.]]="RB1",_xlfn.XLOOKUP(Table1188717[[#This Row],[Opp]],Table4[DEF],Table4[TD]),_xlfn.XLOOKUP(Table1188717[[#This Row],[Opp]],Table44[DEF],Table44[TD]))</f>
        <v>#N/A</v>
      </c>
      <c r="Q77" s="94" t="e">
        <f>AVERAGE(Table1188717[[#This Row],[*R*]:[*TD*]])</f>
        <v>#N/A</v>
      </c>
    </row>
    <row r="78" spans="2:17" hidden="1" x14ac:dyDescent="0.35">
      <c r="B78" s="6" t="s">
        <v>316</v>
      </c>
      <c r="C78" s="97" t="s">
        <v>47</v>
      </c>
      <c r="D78" s="97" t="s">
        <v>394</v>
      </c>
      <c r="E78" s="23" t="str" cm="1">
        <f t="array" ref="E78">_xlfn.XLOOKUP(Table1188717[[#This Row],[Team]],Table4334[Team],'2425'!$C$3:$C$34)</f>
        <v>n/a</v>
      </c>
      <c r="F78" s="97" t="str">
        <f>'2025'!$E$25</f>
        <v>n/a</v>
      </c>
      <c r="G78" s="94" t="e" cm="1">
        <f t="array" ref="G78">IF(Table1188717[[#This Row],[Pos.]]="RB1",_xlfn.XLOOKUP(Table1188717[[#This Row],[Opp]],Table4[DEF],'2025'!$H$38:$H$69),_xlfn.XLOOKUP(Table1188717[[#This Row],[Opp]],Table44[DEF],'2025'!$U$38:$U$69))</f>
        <v>#N/A</v>
      </c>
      <c r="H78" s="94" t="e" cm="1">
        <f t="array" ref="H78">IF(Table1188717[[#This Row],[Pos.]]="RB1",_xlfn.XLOOKUP(Table1188717[[#This Row],[Opp]],Table4[DEF],'2025'!$I$38:$I$69),_xlfn.XLOOKUP(Table1188717[[#This Row],[Opp]],Table4[DEF],'2025'!$V$38:$V$69))</f>
        <v>#N/A</v>
      </c>
      <c r="I78" s="94" t="e" cm="1">
        <f t="array" ref="I78">IF(Table1188717[[#This Row],[Pos.]]="RB1",_xlfn.XLOOKUP(Table1188717[[#This Row],[Opp]],Table4[DEF],'2025'!$J$38:$J$69),_xlfn.XLOOKUP(Table1188717[[#This Row],[Opp]],Table4[DEF],'2025'!$W$38:$W$69))</f>
        <v>#N/A</v>
      </c>
      <c r="J78" s="94" t="e" cm="1">
        <f t="array" ref="J78">IF(Table1188717[[#This Row],[Pos.]]="RB1",_xlfn.XLOOKUP(Table1188717[[#This Row],[Opp]],Table4[DEF],'2025'!$K$38:$K$69),_xlfn.XLOOKUP(Table1188717[[#This Row],[Opp]],Table4[DEF],'2025'!$X$38:$X$69))</f>
        <v>#N/A</v>
      </c>
      <c r="K78" s="94" t="e" cm="1">
        <f t="array" ref="K78">IF(Table1188717[[#This Row],[Pos.]]="RB1",_xlfn.XLOOKUP(Table1188717[[#This Row],[Opp]],Table4[DEF],'2025'!$L$38:$L$69),_xlfn.XLOOKUP(Table1188717[[#This Row],[Opp]],Table4[DEF],'2025'!$Y$38:$Y$69))</f>
        <v>#N/A</v>
      </c>
      <c r="L78" s="95" t="e">
        <f>IF(Table1188717[[#This Row],[Pos.]]="RB1",_xlfn.XLOOKUP(Table1188717[[#This Row],[Opp]],Table4[DEF],Table4[R]),_xlfn.XLOOKUP(Table1188717[[#This Row],[Opp]],Table44[DEF],Table44[R]))</f>
        <v>#N/A</v>
      </c>
      <c r="M78" s="96" t="e">
        <f>IF(Table1188717[[#This Row],[Pos.]]="RB1",_xlfn.XLOOKUP(Table1188717[[#This Row],[Opp]],Table4[DEF],Table4[REC]),_xlfn.XLOOKUP(Table1188717[[#This Row],[Opp]],Table44[DEF],Table44[REC]))</f>
        <v>#N/A</v>
      </c>
      <c r="N78" s="95" t="e">
        <f>IF(Table1188717[[#This Row],[Pos.]]="RB1",_xlfn.XLOOKUP(Table1188717[[#This Row],[Opp]],Table4[DEF],Table4[Y]),_xlfn.XLOOKUP(Table1188717[[#This Row],[Opp]],Table44[DEF],Table44[Y]))</f>
        <v>#N/A</v>
      </c>
      <c r="O78" s="95" t="e">
        <f>IF(Table1188717[[#This Row],[Pos.]]="RB1",_xlfn.XLOOKUP(Table1188717[[#This Row],[Opp]],Table4[DEF],Table4[R+R]),_xlfn.XLOOKUP(Table1188717[[#This Row],[Opp]],Table44[DEF],Table44[R+R]))</f>
        <v>#N/A</v>
      </c>
      <c r="P78" s="96" t="e">
        <f>IF(Table1188717[[#This Row],[Pos.]]="RB1",_xlfn.XLOOKUP(Table1188717[[#This Row],[Opp]],Table4[DEF],Table4[TD]),_xlfn.XLOOKUP(Table1188717[[#This Row],[Opp]],Table44[DEF],Table44[TD]))</f>
        <v>#N/A</v>
      </c>
      <c r="Q78" s="94" t="e">
        <f>AVERAGE(Table1188717[[#This Row],[*R*]:[*TD*]])</f>
        <v>#N/A</v>
      </c>
    </row>
    <row r="79" spans="2:17" hidden="1" x14ac:dyDescent="0.35">
      <c r="B79" s="6" t="s">
        <v>229</v>
      </c>
      <c r="C79" s="97" t="s">
        <v>38</v>
      </c>
      <c r="D79" s="97" t="s">
        <v>394</v>
      </c>
      <c r="E79" s="23" t="str" cm="1">
        <f t="array" ref="E79">_xlfn.XLOOKUP(Table1188717[[#This Row],[Team]],Table4334[Team],'2425'!$C$3:$C$34)</f>
        <v>n/a</v>
      </c>
      <c r="F79" s="97" t="str">
        <f>'2025'!$E$16</f>
        <v>n/a</v>
      </c>
      <c r="G79" s="94" t="e" cm="1">
        <f t="array" ref="G79">IF(Table1188717[[#This Row],[Pos.]]="RB1",_xlfn.XLOOKUP(Table1188717[[#This Row],[Opp]],Table4[DEF],'2025'!$H$38:$H$69),_xlfn.XLOOKUP(Table1188717[[#This Row],[Opp]],Table44[DEF],'2025'!$U$38:$U$69))</f>
        <v>#N/A</v>
      </c>
      <c r="H79" s="94" t="e" cm="1">
        <f t="array" ref="H79">IF(Table1188717[[#This Row],[Pos.]]="RB1",_xlfn.XLOOKUP(Table1188717[[#This Row],[Opp]],Table4[DEF],'2025'!$I$38:$I$69),_xlfn.XLOOKUP(Table1188717[[#This Row],[Opp]],Table4[DEF],'2025'!$V$38:$V$69))</f>
        <v>#N/A</v>
      </c>
      <c r="I79" s="94" t="e" cm="1">
        <f t="array" ref="I79">IF(Table1188717[[#This Row],[Pos.]]="RB1",_xlfn.XLOOKUP(Table1188717[[#This Row],[Opp]],Table4[DEF],'2025'!$J$38:$J$69),_xlfn.XLOOKUP(Table1188717[[#This Row],[Opp]],Table4[DEF],'2025'!$W$38:$W$69))</f>
        <v>#N/A</v>
      </c>
      <c r="J79" s="94" t="e" cm="1">
        <f t="array" ref="J79">IF(Table1188717[[#This Row],[Pos.]]="RB1",_xlfn.XLOOKUP(Table1188717[[#This Row],[Opp]],Table4[DEF],'2025'!$K$38:$K$69),_xlfn.XLOOKUP(Table1188717[[#This Row],[Opp]],Table4[DEF],'2025'!$X$38:$X$69))</f>
        <v>#N/A</v>
      </c>
      <c r="K79" s="94" t="e" cm="1">
        <f t="array" ref="K79">IF(Table1188717[[#This Row],[Pos.]]="RB1",_xlfn.XLOOKUP(Table1188717[[#This Row],[Opp]],Table4[DEF],'2025'!$L$38:$L$69),_xlfn.XLOOKUP(Table1188717[[#This Row],[Opp]],Table4[DEF],'2025'!$Y$38:$Y$69))</f>
        <v>#N/A</v>
      </c>
      <c r="L79" s="95" t="e">
        <f>IF(Table1188717[[#This Row],[Pos.]]="RB1",_xlfn.XLOOKUP(Table1188717[[#This Row],[Opp]],Table4[DEF],Table4[R]),_xlfn.XLOOKUP(Table1188717[[#This Row],[Opp]],Table44[DEF],Table44[R]))</f>
        <v>#N/A</v>
      </c>
      <c r="M79" s="96" t="e">
        <f>IF(Table1188717[[#This Row],[Pos.]]="RB1",_xlfn.XLOOKUP(Table1188717[[#This Row],[Opp]],Table4[DEF],Table4[REC]),_xlfn.XLOOKUP(Table1188717[[#This Row],[Opp]],Table44[DEF],Table44[REC]))</f>
        <v>#N/A</v>
      </c>
      <c r="N79" s="95" t="e">
        <f>IF(Table1188717[[#This Row],[Pos.]]="RB1",_xlfn.XLOOKUP(Table1188717[[#This Row],[Opp]],Table4[DEF],Table4[Y]),_xlfn.XLOOKUP(Table1188717[[#This Row],[Opp]],Table44[DEF],Table44[Y]))</f>
        <v>#N/A</v>
      </c>
      <c r="O79" s="95" t="e">
        <f>IF(Table1188717[[#This Row],[Pos.]]="RB1",_xlfn.XLOOKUP(Table1188717[[#This Row],[Opp]],Table4[DEF],Table4[R+R]),_xlfn.XLOOKUP(Table1188717[[#This Row],[Opp]],Table44[DEF],Table44[R+R]))</f>
        <v>#N/A</v>
      </c>
      <c r="P79" s="96" t="e">
        <f>IF(Table1188717[[#This Row],[Pos.]]="RB1",_xlfn.XLOOKUP(Table1188717[[#This Row],[Opp]],Table4[DEF],Table4[TD]),_xlfn.XLOOKUP(Table1188717[[#This Row],[Opp]],Table44[DEF],Table44[TD]))</f>
        <v>#N/A</v>
      </c>
      <c r="Q79" s="94" t="e">
        <f>AVERAGE(Table1188717[[#This Row],[*R*]:[*TD*]])</f>
        <v>#N/A</v>
      </c>
    </row>
    <row r="80" spans="2:17" hidden="1" x14ac:dyDescent="0.35">
      <c r="B80" s="6" t="s">
        <v>503</v>
      </c>
      <c r="C80" s="97" t="s">
        <v>35</v>
      </c>
      <c r="D80" s="97" t="s">
        <v>396</v>
      </c>
      <c r="E80" s="23" t="str" cm="1">
        <f t="array" ref="E80">_xlfn.XLOOKUP(Table1188717[[#This Row],[Team]],Table4334[Team],'2425'!$C$3:$C$34)</f>
        <v>n/a</v>
      </c>
      <c r="F80" s="97" t="str">
        <f>'2025'!$E$13</f>
        <v>n/a</v>
      </c>
      <c r="G80" s="94" t="e" cm="1">
        <f t="array" ref="G80">IF(Table1188717[[#This Row],[Pos.]]="RB1",_xlfn.XLOOKUP(Table1188717[[#This Row],[Opp]],Table4[DEF],'2025'!$H$38:$H$69),_xlfn.XLOOKUP(Table1188717[[#This Row],[Opp]],Table44[DEF],'2025'!$U$38:$U$69))</f>
        <v>#N/A</v>
      </c>
      <c r="H80" s="94" t="e" cm="1">
        <f t="array" ref="H80">IF(Table1188717[[#This Row],[Pos.]]="RB1",_xlfn.XLOOKUP(Table1188717[[#This Row],[Opp]],Table4[DEF],'2025'!$I$38:$I$69),_xlfn.XLOOKUP(Table1188717[[#This Row],[Opp]],Table4[DEF],'2025'!$V$38:$V$69))</f>
        <v>#N/A</v>
      </c>
      <c r="I80" s="94" t="e" cm="1">
        <f t="array" ref="I80">IF(Table1188717[[#This Row],[Pos.]]="RB1",_xlfn.XLOOKUP(Table1188717[[#This Row],[Opp]],Table4[DEF],'2025'!$J$38:$J$69),_xlfn.XLOOKUP(Table1188717[[#This Row],[Opp]],Table4[DEF],'2025'!$W$38:$W$69))</f>
        <v>#N/A</v>
      </c>
      <c r="J80" s="94" t="e" cm="1">
        <f t="array" ref="J80">IF(Table1188717[[#This Row],[Pos.]]="RB1",_xlfn.XLOOKUP(Table1188717[[#This Row],[Opp]],Table4[DEF],'2025'!$K$38:$K$69),_xlfn.XLOOKUP(Table1188717[[#This Row],[Opp]],Table4[DEF],'2025'!$X$38:$X$69))</f>
        <v>#N/A</v>
      </c>
      <c r="K80" s="94" t="e" cm="1">
        <f t="array" ref="K80">IF(Table1188717[[#This Row],[Pos.]]="RB1",_xlfn.XLOOKUP(Table1188717[[#This Row],[Opp]],Table4[DEF],'2025'!$L$38:$L$69),_xlfn.XLOOKUP(Table1188717[[#This Row],[Opp]],Table4[DEF],'2025'!$Y$38:$Y$69))</f>
        <v>#N/A</v>
      </c>
      <c r="L80" s="95" t="e">
        <f>IF(Table1188717[[#This Row],[Pos.]]="RB1",_xlfn.XLOOKUP(Table1188717[[#This Row],[Opp]],Table4[DEF],Table4[R]),_xlfn.XLOOKUP(Table1188717[[#This Row],[Opp]],Table44[DEF],Table44[R]))</f>
        <v>#N/A</v>
      </c>
      <c r="M80" s="96" t="e">
        <f>IF(Table1188717[[#This Row],[Pos.]]="RB1",_xlfn.XLOOKUP(Table1188717[[#This Row],[Opp]],Table4[DEF],Table4[REC]),_xlfn.XLOOKUP(Table1188717[[#This Row],[Opp]],Table44[DEF],Table44[REC]))</f>
        <v>#N/A</v>
      </c>
      <c r="N80" s="95" t="e">
        <f>IF(Table1188717[[#This Row],[Pos.]]="RB1",_xlfn.XLOOKUP(Table1188717[[#This Row],[Opp]],Table4[DEF],Table4[Y]),_xlfn.XLOOKUP(Table1188717[[#This Row],[Opp]],Table44[DEF],Table44[Y]))</f>
        <v>#N/A</v>
      </c>
      <c r="O80" s="95" t="e">
        <f>IF(Table1188717[[#This Row],[Pos.]]="RB1",_xlfn.XLOOKUP(Table1188717[[#This Row],[Opp]],Table4[DEF],Table4[R+R]),_xlfn.XLOOKUP(Table1188717[[#This Row],[Opp]],Table44[DEF],Table44[R+R]))</f>
        <v>#N/A</v>
      </c>
      <c r="P80" s="96" t="e">
        <f>IF(Table1188717[[#This Row],[Pos.]]="RB1",_xlfn.XLOOKUP(Table1188717[[#This Row],[Opp]],Table4[DEF],Table4[TD]),_xlfn.XLOOKUP(Table1188717[[#This Row],[Opp]],Table44[DEF],Table44[TD]))</f>
        <v>#N/A</v>
      </c>
      <c r="Q80" s="94" t="e">
        <f>AVERAGE(Table1188717[[#This Row],[*R*]:[*TD*]])</f>
        <v>#N/A</v>
      </c>
    </row>
    <row r="81" spans="2:17" hidden="1" x14ac:dyDescent="0.35">
      <c r="B81" s="6" t="s">
        <v>504</v>
      </c>
      <c r="C81" s="97" t="s">
        <v>35</v>
      </c>
      <c r="D81" s="97" t="s">
        <v>407</v>
      </c>
      <c r="E81" s="23" t="str" cm="1">
        <f t="array" ref="E81">_xlfn.XLOOKUP(Table1188717[[#This Row],[Team]],Table4334[Team],'2425'!$C$3:$C$34)</f>
        <v>n/a</v>
      </c>
      <c r="F81" s="97" t="str">
        <f>'2025'!$E$13</f>
        <v>n/a</v>
      </c>
      <c r="G81" s="94" t="e" cm="1">
        <f t="array" ref="G81">IF(Table1188717[[#This Row],[Pos.]]="RB1",_xlfn.XLOOKUP(Table1188717[[#This Row],[Opp]],Table4[DEF],'2025'!$H$38:$H$69),_xlfn.XLOOKUP(Table1188717[[#This Row],[Opp]],Table44[DEF],'2025'!$U$38:$U$69))</f>
        <v>#N/A</v>
      </c>
      <c r="H81" s="94" t="e" cm="1">
        <f t="array" ref="H81">IF(Table1188717[[#This Row],[Pos.]]="RB1",_xlfn.XLOOKUP(Table1188717[[#This Row],[Opp]],Table4[DEF],'2025'!$I$38:$I$69),_xlfn.XLOOKUP(Table1188717[[#This Row],[Opp]],Table4[DEF],'2025'!$V$38:$V$69))</f>
        <v>#N/A</v>
      </c>
      <c r="I81" s="94" t="e" cm="1">
        <f t="array" ref="I81">IF(Table1188717[[#This Row],[Pos.]]="RB1",_xlfn.XLOOKUP(Table1188717[[#This Row],[Opp]],Table4[DEF],'2025'!$J$38:$J$69),_xlfn.XLOOKUP(Table1188717[[#This Row],[Opp]],Table4[DEF],'2025'!$W$38:$W$69))</f>
        <v>#N/A</v>
      </c>
      <c r="J81" s="94" t="e" cm="1">
        <f t="array" ref="J81">IF(Table1188717[[#This Row],[Pos.]]="RB1",_xlfn.XLOOKUP(Table1188717[[#This Row],[Opp]],Table4[DEF],'2025'!$K$38:$K$69),_xlfn.XLOOKUP(Table1188717[[#This Row],[Opp]],Table4[DEF],'2025'!$X$38:$X$69))</f>
        <v>#N/A</v>
      </c>
      <c r="K81" s="94" t="e" cm="1">
        <f t="array" ref="K81">IF(Table1188717[[#This Row],[Pos.]]="RB1",_xlfn.XLOOKUP(Table1188717[[#This Row],[Opp]],Table4[DEF],'2025'!$L$38:$L$69),_xlfn.XLOOKUP(Table1188717[[#This Row],[Opp]],Table4[DEF],'2025'!$Y$38:$Y$69))</f>
        <v>#N/A</v>
      </c>
      <c r="L81" s="95" t="e">
        <f>IF(Table1188717[[#This Row],[Pos.]]="RB1",_xlfn.XLOOKUP(Table1188717[[#This Row],[Opp]],Table4[DEF],Table4[R]),_xlfn.XLOOKUP(Table1188717[[#This Row],[Opp]],Table44[DEF],Table44[R]))</f>
        <v>#N/A</v>
      </c>
      <c r="M81" s="96" t="e">
        <f>IF(Table1188717[[#This Row],[Pos.]]="RB1",_xlfn.XLOOKUP(Table1188717[[#This Row],[Opp]],Table4[DEF],Table4[REC]),_xlfn.XLOOKUP(Table1188717[[#This Row],[Opp]],Table44[DEF],Table44[REC]))</f>
        <v>#N/A</v>
      </c>
      <c r="N81" s="95" t="e">
        <f>IF(Table1188717[[#This Row],[Pos.]]="RB1",_xlfn.XLOOKUP(Table1188717[[#This Row],[Opp]],Table4[DEF],Table4[Y]),_xlfn.XLOOKUP(Table1188717[[#This Row],[Opp]],Table44[DEF],Table44[Y]))</f>
        <v>#N/A</v>
      </c>
      <c r="O81" s="95" t="e">
        <f>IF(Table1188717[[#This Row],[Pos.]]="RB1",_xlfn.XLOOKUP(Table1188717[[#This Row],[Opp]],Table4[DEF],Table4[R+R]),_xlfn.XLOOKUP(Table1188717[[#This Row],[Opp]],Table44[DEF],Table44[R+R]))</f>
        <v>#N/A</v>
      </c>
      <c r="P81" s="96" t="e">
        <f>IF(Table1188717[[#This Row],[Pos.]]="RB1",_xlfn.XLOOKUP(Table1188717[[#This Row],[Opp]],Table4[DEF],Table4[TD]),_xlfn.XLOOKUP(Table1188717[[#This Row],[Opp]],Table44[DEF],Table44[TD]))</f>
        <v>#N/A</v>
      </c>
      <c r="Q81" s="94" t="e">
        <f>AVERAGE(Table1188717[[#This Row],[*R*]:[*TD*]])</f>
        <v>#N/A</v>
      </c>
    </row>
    <row r="82" spans="2:17" hidden="1" x14ac:dyDescent="0.35">
      <c r="B82" s="6" t="s">
        <v>379</v>
      </c>
      <c r="C82" s="97" t="s">
        <v>55</v>
      </c>
      <c r="D82" s="97" t="s">
        <v>394</v>
      </c>
      <c r="E82" s="23" t="str" cm="1">
        <f t="array" ref="E82">_xlfn.XLOOKUP(Table1188717[[#This Row],[Team]],Table4334[Team],'2425'!$C$3:$C$34)</f>
        <v>n/a</v>
      </c>
      <c r="F82" s="97" t="str">
        <f>'2025'!$E$33</f>
        <v>n/a</v>
      </c>
      <c r="G82" s="94" t="e" cm="1">
        <f t="array" ref="G82">IF(Table1188717[[#This Row],[Pos.]]="RB1",_xlfn.XLOOKUP(Table1188717[[#This Row],[Opp]],Table4[DEF],'2025'!$H$38:$H$69),_xlfn.XLOOKUP(Table1188717[[#This Row],[Opp]],Table44[DEF],'2025'!$U$38:$U$69))</f>
        <v>#N/A</v>
      </c>
      <c r="H82" s="94" t="e" cm="1">
        <f t="array" ref="H82">IF(Table1188717[[#This Row],[Pos.]]="RB1",_xlfn.XLOOKUP(Table1188717[[#This Row],[Opp]],Table4[DEF],'2025'!$I$38:$I$69),_xlfn.XLOOKUP(Table1188717[[#This Row],[Opp]],Table4[DEF],'2025'!$V$38:$V$69))</f>
        <v>#N/A</v>
      </c>
      <c r="I82" s="94" t="e" cm="1">
        <f t="array" ref="I82">IF(Table1188717[[#This Row],[Pos.]]="RB1",_xlfn.XLOOKUP(Table1188717[[#This Row],[Opp]],Table4[DEF],'2025'!$J$38:$J$69),_xlfn.XLOOKUP(Table1188717[[#This Row],[Opp]],Table4[DEF],'2025'!$W$38:$W$69))</f>
        <v>#N/A</v>
      </c>
      <c r="J82" s="94" t="e" cm="1">
        <f t="array" ref="J82">IF(Table1188717[[#This Row],[Pos.]]="RB1",_xlfn.XLOOKUP(Table1188717[[#This Row],[Opp]],Table4[DEF],'2025'!$K$38:$K$69),_xlfn.XLOOKUP(Table1188717[[#This Row],[Opp]],Table4[DEF],'2025'!$X$38:$X$69))</f>
        <v>#N/A</v>
      </c>
      <c r="K82" s="94" t="e" cm="1">
        <f t="array" ref="K82">IF(Table1188717[[#This Row],[Pos.]]="RB1",_xlfn.XLOOKUP(Table1188717[[#This Row],[Opp]],Table4[DEF],'2025'!$L$38:$L$69),_xlfn.XLOOKUP(Table1188717[[#This Row],[Opp]],Table4[DEF],'2025'!$Y$38:$Y$69))</f>
        <v>#N/A</v>
      </c>
      <c r="L82" s="95" t="e">
        <f>IF(Table1188717[[#This Row],[Pos.]]="RB1",_xlfn.XLOOKUP(Table1188717[[#This Row],[Opp]],Table4[DEF],Table4[R]),_xlfn.XLOOKUP(Table1188717[[#This Row],[Opp]],Table44[DEF],Table44[R]))</f>
        <v>#N/A</v>
      </c>
      <c r="M82" s="96" t="e">
        <f>IF(Table1188717[[#This Row],[Pos.]]="RB1",_xlfn.XLOOKUP(Table1188717[[#This Row],[Opp]],Table4[DEF],Table4[REC]),_xlfn.XLOOKUP(Table1188717[[#This Row],[Opp]],Table44[DEF],Table44[REC]))</f>
        <v>#N/A</v>
      </c>
      <c r="N82" s="95" t="e">
        <f>IF(Table1188717[[#This Row],[Pos.]]="RB1",_xlfn.XLOOKUP(Table1188717[[#This Row],[Opp]],Table4[DEF],Table4[Y]),_xlfn.XLOOKUP(Table1188717[[#This Row],[Opp]],Table44[DEF],Table44[Y]))</f>
        <v>#N/A</v>
      </c>
      <c r="O82" s="95" t="e">
        <f>IF(Table1188717[[#This Row],[Pos.]]="RB1",_xlfn.XLOOKUP(Table1188717[[#This Row],[Opp]],Table4[DEF],Table4[R+R]),_xlfn.XLOOKUP(Table1188717[[#This Row],[Opp]],Table44[DEF],Table44[R+R]))</f>
        <v>#N/A</v>
      </c>
      <c r="P82" s="96" t="e">
        <f>IF(Table1188717[[#This Row],[Pos.]]="RB1",_xlfn.XLOOKUP(Table1188717[[#This Row],[Opp]],Table4[DEF],Table4[TD]),_xlfn.XLOOKUP(Table1188717[[#This Row],[Opp]],Table44[DEF],Table44[TD]))</f>
        <v>#N/A</v>
      </c>
      <c r="Q82" s="94" t="e">
        <f>AVERAGE(Table1188717[[#This Row],[*R*]:[*TD*]])</f>
        <v>#N/A</v>
      </c>
    </row>
    <row r="83" spans="2:17" hidden="1" x14ac:dyDescent="0.35">
      <c r="B83" s="6" t="s">
        <v>296</v>
      </c>
      <c r="C83" s="97" t="s">
        <v>45</v>
      </c>
      <c r="D83" s="97" t="s">
        <v>394</v>
      </c>
      <c r="E83" s="23" t="str" cm="1">
        <f t="array" ref="E83">_xlfn.XLOOKUP(Table1188717[[#This Row],[Team]],Table4334[Team],'2425'!$C$3:$C$34)</f>
        <v>n/a</v>
      </c>
      <c r="F83" s="97" t="str">
        <f>'2025'!$E$23</f>
        <v>n/a</v>
      </c>
      <c r="G83" s="94" t="e" cm="1">
        <f t="array" ref="G83">IF(Table1188717[[#This Row],[Pos.]]="RB1",_xlfn.XLOOKUP(Table1188717[[#This Row],[Opp]],Table4[DEF],'2025'!$H$38:$H$69),_xlfn.XLOOKUP(Table1188717[[#This Row],[Opp]],Table44[DEF],'2025'!$U$38:$U$69))</f>
        <v>#N/A</v>
      </c>
      <c r="H83" s="94" t="e" cm="1">
        <f t="array" ref="H83">IF(Table1188717[[#This Row],[Pos.]]="RB1",_xlfn.XLOOKUP(Table1188717[[#This Row],[Opp]],Table4[DEF],'2025'!$I$38:$I$69),_xlfn.XLOOKUP(Table1188717[[#This Row],[Opp]],Table4[DEF],'2025'!$V$38:$V$69))</f>
        <v>#N/A</v>
      </c>
      <c r="I83" s="94" t="e" cm="1">
        <f t="array" ref="I83">IF(Table1188717[[#This Row],[Pos.]]="RB1",_xlfn.XLOOKUP(Table1188717[[#This Row],[Opp]],Table4[DEF],'2025'!$J$38:$J$69),_xlfn.XLOOKUP(Table1188717[[#This Row],[Opp]],Table4[DEF],'2025'!$W$38:$W$69))</f>
        <v>#N/A</v>
      </c>
      <c r="J83" s="94" t="e" cm="1">
        <f t="array" ref="J83">IF(Table1188717[[#This Row],[Pos.]]="RB1",_xlfn.XLOOKUP(Table1188717[[#This Row],[Opp]],Table4[DEF],'2025'!$K$38:$K$69),_xlfn.XLOOKUP(Table1188717[[#This Row],[Opp]],Table4[DEF],'2025'!$X$38:$X$69))</f>
        <v>#N/A</v>
      </c>
      <c r="K83" s="94" t="e" cm="1">
        <f t="array" ref="K83">IF(Table1188717[[#This Row],[Pos.]]="RB1",_xlfn.XLOOKUP(Table1188717[[#This Row],[Opp]],Table4[DEF],'2025'!$L$38:$L$69),_xlfn.XLOOKUP(Table1188717[[#This Row],[Opp]],Table4[DEF],'2025'!$Y$38:$Y$69))</f>
        <v>#N/A</v>
      </c>
      <c r="L83" s="95" t="e">
        <f>IF(Table1188717[[#This Row],[Pos.]]="RB1",_xlfn.XLOOKUP(Table1188717[[#This Row],[Opp]],Table4[DEF],Table4[R]),_xlfn.XLOOKUP(Table1188717[[#This Row],[Opp]],Table44[DEF],Table44[R]))</f>
        <v>#N/A</v>
      </c>
      <c r="M83" s="96" t="e">
        <f>IF(Table1188717[[#This Row],[Pos.]]="RB1",_xlfn.XLOOKUP(Table1188717[[#This Row],[Opp]],Table4[DEF],Table4[REC]),_xlfn.XLOOKUP(Table1188717[[#This Row],[Opp]],Table44[DEF],Table44[REC]))</f>
        <v>#N/A</v>
      </c>
      <c r="N83" s="95" t="e">
        <f>IF(Table1188717[[#This Row],[Pos.]]="RB1",_xlfn.XLOOKUP(Table1188717[[#This Row],[Opp]],Table4[DEF],Table4[Y]),_xlfn.XLOOKUP(Table1188717[[#This Row],[Opp]],Table44[DEF],Table44[Y]))</f>
        <v>#N/A</v>
      </c>
      <c r="O83" s="95" t="e">
        <f>IF(Table1188717[[#This Row],[Pos.]]="RB1",_xlfn.XLOOKUP(Table1188717[[#This Row],[Opp]],Table4[DEF],Table4[R+R]),_xlfn.XLOOKUP(Table1188717[[#This Row],[Opp]],Table44[DEF],Table44[R+R]))</f>
        <v>#N/A</v>
      </c>
      <c r="P83" s="96" t="e">
        <f>IF(Table1188717[[#This Row],[Pos.]]="RB1",_xlfn.XLOOKUP(Table1188717[[#This Row],[Opp]],Table4[DEF],Table4[TD]),_xlfn.XLOOKUP(Table1188717[[#This Row],[Opp]],Table44[DEF],Table44[TD]))</f>
        <v>#N/A</v>
      </c>
      <c r="Q83" s="94" t="e">
        <f>AVERAGE(Table1188717[[#This Row],[*R*]:[*TD*]])</f>
        <v>#N/A</v>
      </c>
    </row>
    <row r="84" spans="2:17" hidden="1" x14ac:dyDescent="0.35">
      <c r="B84" s="6" t="s">
        <v>113</v>
      </c>
      <c r="C84" s="97" t="s">
        <v>0</v>
      </c>
      <c r="D84" s="97" t="s">
        <v>396</v>
      </c>
      <c r="E84" s="23" t="str" cm="1">
        <f t="array" ref="E84">_xlfn.XLOOKUP(Table1188717[[#This Row],[Team]],Table4334[Team],'2425'!$C$3:$C$34)</f>
        <v>n/a</v>
      </c>
      <c r="F84" s="97" t="str">
        <f>'2025'!$E$3</f>
        <v>n/a</v>
      </c>
      <c r="G84" s="94" t="e" cm="1">
        <f t="array" ref="G84">IF(Table1188717[[#This Row],[Pos.]]="RB1",_xlfn.XLOOKUP(Table1188717[[#This Row],[Opp]],Table4[DEF],'2025'!$H$38:$H$69),_xlfn.XLOOKUP(Table1188717[[#This Row],[Opp]],Table44[DEF],'2025'!$U$38:$U$69))</f>
        <v>#N/A</v>
      </c>
      <c r="H84" s="94" t="e" cm="1">
        <f t="array" ref="H84">IF(Table1188717[[#This Row],[Pos.]]="RB1",_xlfn.XLOOKUP(Table1188717[[#This Row],[Opp]],Table4[DEF],'2025'!$I$38:$I$69),_xlfn.XLOOKUP(Table1188717[[#This Row],[Opp]],Table4[DEF],'2025'!$V$38:$V$69))</f>
        <v>#N/A</v>
      </c>
      <c r="I84" s="94" t="e" cm="1">
        <f t="array" ref="I84">IF(Table1188717[[#This Row],[Pos.]]="RB1",_xlfn.XLOOKUP(Table1188717[[#This Row],[Opp]],Table4[DEF],'2025'!$J$38:$J$69),_xlfn.XLOOKUP(Table1188717[[#This Row],[Opp]],Table4[DEF],'2025'!$W$38:$W$69))</f>
        <v>#N/A</v>
      </c>
      <c r="J84" s="94" t="e" cm="1">
        <f t="array" ref="J84">IF(Table1188717[[#This Row],[Pos.]]="RB1",_xlfn.XLOOKUP(Table1188717[[#This Row],[Opp]],Table4[DEF],'2025'!$K$38:$K$69),_xlfn.XLOOKUP(Table1188717[[#This Row],[Opp]],Table4[DEF],'2025'!$X$38:$X$69))</f>
        <v>#N/A</v>
      </c>
      <c r="K84" s="94" t="e" cm="1">
        <f t="array" ref="K84">IF(Table1188717[[#This Row],[Pos.]]="RB1",_xlfn.XLOOKUP(Table1188717[[#This Row],[Opp]],Table4[DEF],'2025'!$L$38:$L$69),_xlfn.XLOOKUP(Table1188717[[#This Row],[Opp]],Table4[DEF],'2025'!$Y$38:$Y$69))</f>
        <v>#N/A</v>
      </c>
      <c r="L84" s="95" t="e">
        <f>IF(Table1188717[[#This Row],[Pos.]]="RB1",_xlfn.XLOOKUP(Table1188717[[#This Row],[Opp]],Table4[DEF],Table4[R]),_xlfn.XLOOKUP(Table1188717[[#This Row],[Opp]],Table44[DEF],Table44[R]))</f>
        <v>#N/A</v>
      </c>
      <c r="M84" s="96" t="e">
        <f>IF(Table1188717[[#This Row],[Pos.]]="RB1",_xlfn.XLOOKUP(Table1188717[[#This Row],[Opp]],Table4[DEF],Table4[REC]),_xlfn.XLOOKUP(Table1188717[[#This Row],[Opp]],Table44[DEF],Table44[REC]))</f>
        <v>#N/A</v>
      </c>
      <c r="N84" s="95" t="e">
        <f>IF(Table1188717[[#This Row],[Pos.]]="RB1",_xlfn.XLOOKUP(Table1188717[[#This Row],[Opp]],Table4[DEF],Table4[Y]),_xlfn.XLOOKUP(Table1188717[[#This Row],[Opp]],Table44[DEF],Table44[Y]))</f>
        <v>#N/A</v>
      </c>
      <c r="O84" s="95" t="e">
        <f>IF(Table1188717[[#This Row],[Pos.]]="RB1",_xlfn.XLOOKUP(Table1188717[[#This Row],[Opp]],Table4[DEF],Table4[R+R]),_xlfn.XLOOKUP(Table1188717[[#This Row],[Opp]],Table44[DEF],Table44[R+R]))</f>
        <v>#N/A</v>
      </c>
      <c r="P84" s="96" t="e">
        <f>IF(Table1188717[[#This Row],[Pos.]]="RB1",_xlfn.XLOOKUP(Table1188717[[#This Row],[Opp]],Table4[DEF],Table4[TD]),_xlfn.XLOOKUP(Table1188717[[#This Row],[Opp]],Table44[DEF],Table44[TD]))</f>
        <v>#N/A</v>
      </c>
      <c r="Q84" s="94" t="e">
        <f>AVERAGE(Table1188717[[#This Row],[*R*]:[*TD*]])</f>
        <v>#N/A</v>
      </c>
    </row>
    <row r="85" spans="2:17" hidden="1" x14ac:dyDescent="0.35">
      <c r="B85" s="6" t="s">
        <v>118</v>
      </c>
      <c r="C85" s="97" t="s">
        <v>0</v>
      </c>
      <c r="D85" s="97" t="s">
        <v>407</v>
      </c>
      <c r="E85" s="23" t="str" cm="1">
        <f t="array" ref="E85">_xlfn.XLOOKUP(Table1188717[[#This Row],[Team]],Table4334[Team],'2425'!$C$3:$C$34)</f>
        <v>n/a</v>
      </c>
      <c r="F85" s="97" t="str">
        <f>'2025'!$E$3</f>
        <v>n/a</v>
      </c>
      <c r="G85" s="94" t="e" cm="1">
        <f t="array" ref="G85">IF(Table1188717[[#This Row],[Pos.]]="RB1",_xlfn.XLOOKUP(Table1188717[[#This Row],[Opp]],Table4[DEF],'2025'!$H$38:$H$69),_xlfn.XLOOKUP(Table1188717[[#This Row],[Opp]],Table44[DEF],'2025'!$U$38:$U$69))</f>
        <v>#N/A</v>
      </c>
      <c r="H85" s="94" t="e" cm="1">
        <f t="array" ref="H85">IF(Table1188717[[#This Row],[Pos.]]="RB1",_xlfn.XLOOKUP(Table1188717[[#This Row],[Opp]],Table4[DEF],'2025'!$I$38:$I$69),_xlfn.XLOOKUP(Table1188717[[#This Row],[Opp]],Table4[DEF],'2025'!$V$38:$V$69))</f>
        <v>#N/A</v>
      </c>
      <c r="I85" s="94" t="e" cm="1">
        <f t="array" ref="I85">IF(Table1188717[[#This Row],[Pos.]]="RB1",_xlfn.XLOOKUP(Table1188717[[#This Row],[Opp]],Table4[DEF],'2025'!$J$38:$J$69),_xlfn.XLOOKUP(Table1188717[[#This Row],[Opp]],Table4[DEF],'2025'!$W$38:$W$69))</f>
        <v>#N/A</v>
      </c>
      <c r="J85" s="94" t="e" cm="1">
        <f t="array" ref="J85">IF(Table1188717[[#This Row],[Pos.]]="RB1",_xlfn.XLOOKUP(Table1188717[[#This Row],[Opp]],Table4[DEF],'2025'!$K$38:$K$69),_xlfn.XLOOKUP(Table1188717[[#This Row],[Opp]],Table4[DEF],'2025'!$X$38:$X$69))</f>
        <v>#N/A</v>
      </c>
      <c r="K85" s="94" t="e" cm="1">
        <f t="array" ref="K85">IF(Table1188717[[#This Row],[Pos.]]="RB1",_xlfn.XLOOKUP(Table1188717[[#This Row],[Opp]],Table4[DEF],'2025'!$L$38:$L$69),_xlfn.XLOOKUP(Table1188717[[#This Row],[Opp]],Table4[DEF],'2025'!$Y$38:$Y$69))</f>
        <v>#N/A</v>
      </c>
      <c r="L85" s="95" t="e">
        <f>IF(Table1188717[[#This Row],[Pos.]]="RB1",_xlfn.XLOOKUP(Table1188717[[#This Row],[Opp]],Table4[DEF],Table4[R]),_xlfn.XLOOKUP(Table1188717[[#This Row],[Opp]],Table44[DEF],Table44[R]))</f>
        <v>#N/A</v>
      </c>
      <c r="M85" s="96" t="e">
        <f>IF(Table1188717[[#This Row],[Pos.]]="RB1",_xlfn.XLOOKUP(Table1188717[[#This Row],[Opp]],Table4[DEF],Table4[REC]),_xlfn.XLOOKUP(Table1188717[[#This Row],[Opp]],Table44[DEF],Table44[REC]))</f>
        <v>#N/A</v>
      </c>
      <c r="N85" s="95" t="e">
        <f>IF(Table1188717[[#This Row],[Pos.]]="RB1",_xlfn.XLOOKUP(Table1188717[[#This Row],[Opp]],Table4[DEF],Table4[Y]),_xlfn.XLOOKUP(Table1188717[[#This Row],[Opp]],Table44[DEF],Table44[Y]))</f>
        <v>#N/A</v>
      </c>
      <c r="O85" s="95" t="e">
        <f>IF(Table1188717[[#This Row],[Pos.]]="RB1",_xlfn.XLOOKUP(Table1188717[[#This Row],[Opp]],Table4[DEF],Table4[R+R]),_xlfn.XLOOKUP(Table1188717[[#This Row],[Opp]],Table44[DEF],Table44[R+R]))</f>
        <v>#N/A</v>
      </c>
      <c r="P85" s="96" t="e">
        <f>IF(Table1188717[[#This Row],[Pos.]]="RB1",_xlfn.XLOOKUP(Table1188717[[#This Row],[Opp]],Table4[DEF],Table4[TD]),_xlfn.XLOOKUP(Table1188717[[#This Row],[Opp]],Table44[DEF],Table44[TD]))</f>
        <v>#N/A</v>
      </c>
      <c r="Q85" s="94" t="e">
        <f>AVERAGE(Table1188717[[#This Row],[*R*]:[*TD*]])</f>
        <v>#N/A</v>
      </c>
    </row>
    <row r="86" spans="2:17" hidden="1" x14ac:dyDescent="0.35">
      <c r="B86" s="6" t="s">
        <v>124</v>
      </c>
      <c r="C86" s="97" t="s">
        <v>15</v>
      </c>
      <c r="D86" s="97" t="s">
        <v>394</v>
      </c>
      <c r="E86" s="23" t="str" cm="1">
        <f t="array" ref="E86">_xlfn.XLOOKUP(Table1188717[[#This Row],[Team]],Table4334[Team],'2425'!$C$3:$C$34)</f>
        <v>n/a</v>
      </c>
      <c r="F86" s="97" t="str">
        <f>'2025'!$E$4</f>
        <v>n/a</v>
      </c>
      <c r="G86" s="94" t="e" cm="1">
        <f t="array" ref="G86">IF(Table1188717[[#This Row],[Pos.]]="RB1",_xlfn.XLOOKUP(Table1188717[[#This Row],[Opp]],Table4[DEF],'2025'!$H$38:$H$69),_xlfn.XLOOKUP(Table1188717[[#This Row],[Opp]],Table44[DEF],'2025'!$U$38:$U$69))</f>
        <v>#N/A</v>
      </c>
      <c r="H86" s="94" t="e" cm="1">
        <f t="array" ref="H86">IF(Table1188717[[#This Row],[Pos.]]="RB1",_xlfn.XLOOKUP(Table1188717[[#This Row],[Opp]],Table4[DEF],'2025'!$I$38:$I$69),_xlfn.XLOOKUP(Table1188717[[#This Row],[Opp]],Table4[DEF],'2025'!$V$38:$V$69))</f>
        <v>#N/A</v>
      </c>
      <c r="I86" s="94" t="e" cm="1">
        <f t="array" ref="I86">IF(Table1188717[[#This Row],[Pos.]]="RB1",_xlfn.XLOOKUP(Table1188717[[#This Row],[Opp]],Table4[DEF],'2025'!$J$38:$J$69),_xlfn.XLOOKUP(Table1188717[[#This Row],[Opp]],Table4[DEF],'2025'!$W$38:$W$69))</f>
        <v>#N/A</v>
      </c>
      <c r="J86" s="94" t="e" cm="1">
        <f t="array" ref="J86">IF(Table1188717[[#This Row],[Pos.]]="RB1",_xlfn.XLOOKUP(Table1188717[[#This Row],[Opp]],Table4[DEF],'2025'!$K$38:$K$69),_xlfn.XLOOKUP(Table1188717[[#This Row],[Opp]],Table4[DEF],'2025'!$X$38:$X$69))</f>
        <v>#N/A</v>
      </c>
      <c r="K86" s="94" t="e" cm="1">
        <f t="array" ref="K86">IF(Table1188717[[#This Row],[Pos.]]="RB1",_xlfn.XLOOKUP(Table1188717[[#This Row],[Opp]],Table4[DEF],'2025'!$L$38:$L$69),_xlfn.XLOOKUP(Table1188717[[#This Row],[Opp]],Table4[DEF],'2025'!$Y$38:$Y$69))</f>
        <v>#N/A</v>
      </c>
      <c r="L86" s="95" t="e">
        <f>IF(Table1188717[[#This Row],[Pos.]]="RB1",_xlfn.XLOOKUP(Table1188717[[#This Row],[Opp]],Table4[DEF],Table4[R]),_xlfn.XLOOKUP(Table1188717[[#This Row],[Opp]],Table44[DEF],Table44[R]))</f>
        <v>#N/A</v>
      </c>
      <c r="M86" s="96" t="e">
        <f>IF(Table1188717[[#This Row],[Pos.]]="RB1",_xlfn.XLOOKUP(Table1188717[[#This Row],[Opp]],Table4[DEF],Table4[REC]),_xlfn.XLOOKUP(Table1188717[[#This Row],[Opp]],Table44[DEF],Table44[REC]))</f>
        <v>#N/A</v>
      </c>
      <c r="N86" s="95" t="e">
        <f>IF(Table1188717[[#This Row],[Pos.]]="RB1",_xlfn.XLOOKUP(Table1188717[[#This Row],[Opp]],Table4[DEF],Table4[Y]),_xlfn.XLOOKUP(Table1188717[[#This Row],[Opp]],Table44[DEF],Table44[Y]))</f>
        <v>#N/A</v>
      </c>
      <c r="O86" s="95" t="e">
        <f>IF(Table1188717[[#This Row],[Pos.]]="RB1",_xlfn.XLOOKUP(Table1188717[[#This Row],[Opp]],Table4[DEF],Table4[R+R]),_xlfn.XLOOKUP(Table1188717[[#This Row],[Opp]],Table44[DEF],Table44[R+R]))</f>
        <v>#N/A</v>
      </c>
      <c r="P86" s="96" t="e">
        <f>IF(Table1188717[[#This Row],[Pos.]]="RB1",_xlfn.XLOOKUP(Table1188717[[#This Row],[Opp]],Table4[DEF],Table4[TD]),_xlfn.XLOOKUP(Table1188717[[#This Row],[Opp]],Table44[DEF],Table44[TD]))</f>
        <v>#N/A</v>
      </c>
      <c r="Q86" s="94" t="e">
        <f>AVERAGE(Table1188717[[#This Row],[*R*]:[*TD*]])</f>
        <v>#N/A</v>
      </c>
    </row>
    <row r="87" spans="2:17" hidden="1" x14ac:dyDescent="0.35">
      <c r="B87" s="6" t="s">
        <v>126</v>
      </c>
      <c r="C87" s="97" t="s">
        <v>17</v>
      </c>
      <c r="D87" s="97" t="s">
        <v>396</v>
      </c>
      <c r="E87" s="23" t="str" cm="1">
        <f t="array" ref="E87">_xlfn.XLOOKUP(Table1188717[[#This Row],[Team]],Table4334[Team],'2425'!$C$3:$C$34)</f>
        <v>n/a</v>
      </c>
      <c r="F87" s="97" t="str">
        <f>'2025'!$E$6</f>
        <v>n/a</v>
      </c>
      <c r="G87" s="94" t="e" cm="1">
        <f t="array" ref="G87">IF(Table1188717[[#This Row],[Pos.]]="RB1",_xlfn.XLOOKUP(Table1188717[[#This Row],[Opp]],Table4[DEF],'2025'!$H$38:$H$69),_xlfn.XLOOKUP(Table1188717[[#This Row],[Opp]],Table44[DEF],'2025'!$U$38:$U$69))</f>
        <v>#N/A</v>
      </c>
      <c r="H87" s="94" t="e" cm="1">
        <f t="array" ref="H87">IF(Table1188717[[#This Row],[Pos.]]="RB1",_xlfn.XLOOKUP(Table1188717[[#This Row],[Opp]],Table4[DEF],'2025'!$I$38:$I$69),_xlfn.XLOOKUP(Table1188717[[#This Row],[Opp]],Table4[DEF],'2025'!$V$38:$V$69))</f>
        <v>#N/A</v>
      </c>
      <c r="I87" s="94" t="e" cm="1">
        <f t="array" ref="I87">IF(Table1188717[[#This Row],[Pos.]]="RB1",_xlfn.XLOOKUP(Table1188717[[#This Row],[Opp]],Table4[DEF],'2025'!$J$38:$J$69),_xlfn.XLOOKUP(Table1188717[[#This Row],[Opp]],Table4[DEF],'2025'!$W$38:$W$69))</f>
        <v>#N/A</v>
      </c>
      <c r="J87" s="94" t="e" cm="1">
        <f t="array" ref="J87">IF(Table1188717[[#This Row],[Pos.]]="RB1",_xlfn.XLOOKUP(Table1188717[[#This Row],[Opp]],Table4[DEF],'2025'!$K$38:$K$69),_xlfn.XLOOKUP(Table1188717[[#This Row],[Opp]],Table4[DEF],'2025'!$X$38:$X$69))</f>
        <v>#N/A</v>
      </c>
      <c r="K87" s="94" t="e" cm="1">
        <f t="array" ref="K87">IF(Table1188717[[#This Row],[Pos.]]="RB1",_xlfn.XLOOKUP(Table1188717[[#This Row],[Opp]],Table4[DEF],'2025'!$L$38:$L$69),_xlfn.XLOOKUP(Table1188717[[#This Row],[Opp]],Table4[DEF],'2025'!$Y$38:$Y$69))</f>
        <v>#N/A</v>
      </c>
      <c r="L87" s="95" t="e">
        <f>IF(Table1188717[[#This Row],[Pos.]]="RB1",_xlfn.XLOOKUP(Table1188717[[#This Row],[Opp]],Table4[DEF],Table4[R]),_xlfn.XLOOKUP(Table1188717[[#This Row],[Opp]],Table44[DEF],Table44[R]))</f>
        <v>#N/A</v>
      </c>
      <c r="M87" s="96" t="e">
        <f>IF(Table1188717[[#This Row],[Pos.]]="RB1",_xlfn.XLOOKUP(Table1188717[[#This Row],[Opp]],Table4[DEF],Table4[REC]),_xlfn.XLOOKUP(Table1188717[[#This Row],[Opp]],Table44[DEF],Table44[REC]))</f>
        <v>#N/A</v>
      </c>
      <c r="N87" s="95" t="e">
        <f>IF(Table1188717[[#This Row],[Pos.]]="RB1",_xlfn.XLOOKUP(Table1188717[[#This Row],[Opp]],Table4[DEF],Table4[Y]),_xlfn.XLOOKUP(Table1188717[[#This Row],[Opp]],Table44[DEF],Table44[Y]))</f>
        <v>#N/A</v>
      </c>
      <c r="O87" s="95" t="e">
        <f>IF(Table1188717[[#This Row],[Pos.]]="RB1",_xlfn.XLOOKUP(Table1188717[[#This Row],[Opp]],Table4[DEF],Table4[R+R]),_xlfn.XLOOKUP(Table1188717[[#This Row],[Opp]],Table44[DEF],Table44[R+R]))</f>
        <v>#N/A</v>
      </c>
      <c r="P87" s="96" t="e">
        <f>IF(Table1188717[[#This Row],[Pos.]]="RB1",_xlfn.XLOOKUP(Table1188717[[#This Row],[Opp]],Table4[DEF],Table4[TD]),_xlfn.XLOOKUP(Table1188717[[#This Row],[Opp]],Table44[DEF],Table44[TD]))</f>
        <v>#N/A</v>
      </c>
      <c r="Q87" s="94" t="e">
        <f>AVERAGE(Table1188717[[#This Row],[*R*]:[*TD*]])</f>
        <v>#N/A</v>
      </c>
    </row>
    <row r="88" spans="2:17" hidden="1" x14ac:dyDescent="0.35">
      <c r="B88" s="6" t="s">
        <v>162</v>
      </c>
      <c r="C88" s="97" t="s">
        <v>31</v>
      </c>
      <c r="D88" s="97" t="s">
        <v>394</v>
      </c>
      <c r="E88" s="23" t="str" cm="1">
        <f t="array" ref="E88">_xlfn.XLOOKUP(Table1188717[[#This Row],[Team]],Table4334[Team],'2425'!$C$3:$C$34)</f>
        <v>n/a</v>
      </c>
      <c r="F88" s="97" t="str">
        <f>'2025'!$E$9</f>
        <v>n/a</v>
      </c>
      <c r="G88" s="94" t="e" cm="1">
        <f t="array" ref="G88">IF(Table1188717[[#This Row],[Pos.]]="RB1",_xlfn.XLOOKUP(Table1188717[[#This Row],[Opp]],Table4[DEF],'2025'!$H$38:$H$69),_xlfn.XLOOKUP(Table1188717[[#This Row],[Opp]],Table44[DEF],'2025'!$U$38:$U$69))</f>
        <v>#N/A</v>
      </c>
      <c r="H88" s="94" t="e" cm="1">
        <f t="array" ref="H88">IF(Table1188717[[#This Row],[Pos.]]="RB1",_xlfn.XLOOKUP(Table1188717[[#This Row],[Opp]],Table4[DEF],'2025'!$I$38:$I$69),_xlfn.XLOOKUP(Table1188717[[#This Row],[Opp]],Table4[DEF],'2025'!$V$38:$V$69))</f>
        <v>#N/A</v>
      </c>
      <c r="I88" s="94" t="e" cm="1">
        <f t="array" ref="I88">IF(Table1188717[[#This Row],[Pos.]]="RB1",_xlfn.XLOOKUP(Table1188717[[#This Row],[Opp]],Table4[DEF],'2025'!$J$38:$J$69),_xlfn.XLOOKUP(Table1188717[[#This Row],[Opp]],Table4[DEF],'2025'!$W$38:$W$69))</f>
        <v>#N/A</v>
      </c>
      <c r="J88" s="94" t="e" cm="1">
        <f t="array" ref="J88">IF(Table1188717[[#This Row],[Pos.]]="RB1",_xlfn.XLOOKUP(Table1188717[[#This Row],[Opp]],Table4[DEF],'2025'!$K$38:$K$69),_xlfn.XLOOKUP(Table1188717[[#This Row],[Opp]],Table4[DEF],'2025'!$X$38:$X$69))</f>
        <v>#N/A</v>
      </c>
      <c r="K88" s="94" t="e" cm="1">
        <f t="array" ref="K88">IF(Table1188717[[#This Row],[Pos.]]="RB1",_xlfn.XLOOKUP(Table1188717[[#This Row],[Opp]],Table4[DEF],'2025'!$L$38:$L$69),_xlfn.XLOOKUP(Table1188717[[#This Row],[Opp]],Table4[DEF],'2025'!$Y$38:$Y$69))</f>
        <v>#N/A</v>
      </c>
      <c r="L88" s="95" t="e">
        <f>IF(Table1188717[[#This Row],[Pos.]]="RB1",_xlfn.XLOOKUP(Table1188717[[#This Row],[Opp]],Table4[DEF],Table4[R]),_xlfn.XLOOKUP(Table1188717[[#This Row],[Opp]],Table44[DEF],Table44[R]))</f>
        <v>#N/A</v>
      </c>
      <c r="M88" s="96" t="e">
        <f>IF(Table1188717[[#This Row],[Pos.]]="RB1",_xlfn.XLOOKUP(Table1188717[[#This Row],[Opp]],Table4[DEF],Table4[REC]),_xlfn.XLOOKUP(Table1188717[[#This Row],[Opp]],Table44[DEF],Table44[REC]))</f>
        <v>#N/A</v>
      </c>
      <c r="N88" s="95" t="e">
        <f>IF(Table1188717[[#This Row],[Pos.]]="RB1",_xlfn.XLOOKUP(Table1188717[[#This Row],[Opp]],Table4[DEF],Table4[Y]),_xlfn.XLOOKUP(Table1188717[[#This Row],[Opp]],Table44[DEF],Table44[Y]))</f>
        <v>#N/A</v>
      </c>
      <c r="O88" s="95" t="e">
        <f>IF(Table1188717[[#This Row],[Pos.]]="RB1",_xlfn.XLOOKUP(Table1188717[[#This Row],[Opp]],Table4[DEF],Table4[R+R]),_xlfn.XLOOKUP(Table1188717[[#This Row],[Opp]],Table44[DEF],Table44[R+R]))</f>
        <v>#N/A</v>
      </c>
      <c r="P88" s="96" t="e">
        <f>IF(Table1188717[[#This Row],[Pos.]]="RB1",_xlfn.XLOOKUP(Table1188717[[#This Row],[Opp]],Table4[DEF],Table4[TD]),_xlfn.XLOOKUP(Table1188717[[#This Row],[Opp]],Table44[DEF],Table44[TD]))</f>
        <v>#N/A</v>
      </c>
      <c r="Q88" s="94" t="e">
        <f>AVERAGE(Table1188717[[#This Row],[*R*]:[*TD*]])</f>
        <v>#N/A</v>
      </c>
    </row>
    <row r="89" spans="2:17" hidden="1" x14ac:dyDescent="0.35">
      <c r="B89" s="6" t="s">
        <v>519</v>
      </c>
      <c r="C89" s="97" t="s">
        <v>45</v>
      </c>
      <c r="D89" s="97" t="s">
        <v>396</v>
      </c>
      <c r="E89" s="23" t="str" cm="1">
        <f t="array" ref="E89">_xlfn.XLOOKUP(Table1188717[[#This Row],[Team]],Table4334[Team],'2425'!$C$3:$C$34)</f>
        <v>n/a</v>
      </c>
      <c r="F89" s="97" t="str">
        <f>'2025'!$E$23</f>
        <v>n/a</v>
      </c>
      <c r="G89" s="94" t="e" cm="1">
        <f t="array" ref="G89">IF(Table1188717[[#This Row],[Pos.]]="RB1",_xlfn.XLOOKUP(Table1188717[[#This Row],[Opp]],Table4[DEF],'2025'!$H$38:$H$69),_xlfn.XLOOKUP(Table1188717[[#This Row],[Opp]],Table44[DEF],'2025'!$U$38:$U$69))</f>
        <v>#N/A</v>
      </c>
      <c r="H89" s="94" t="e" cm="1">
        <f t="array" ref="H89">IF(Table1188717[[#This Row],[Pos.]]="RB1",_xlfn.XLOOKUP(Table1188717[[#This Row],[Opp]],Table4[DEF],'2025'!$I$38:$I$69),_xlfn.XLOOKUP(Table1188717[[#This Row],[Opp]],Table4[DEF],'2025'!$V$38:$V$69))</f>
        <v>#N/A</v>
      </c>
      <c r="I89" s="94" t="e" cm="1">
        <f t="array" ref="I89">IF(Table1188717[[#This Row],[Pos.]]="RB1",_xlfn.XLOOKUP(Table1188717[[#This Row],[Opp]],Table4[DEF],'2025'!$J$38:$J$69),_xlfn.XLOOKUP(Table1188717[[#This Row],[Opp]],Table4[DEF],'2025'!$W$38:$W$69))</f>
        <v>#N/A</v>
      </c>
      <c r="J89" s="94" t="e" cm="1">
        <f t="array" ref="J89">IF(Table1188717[[#This Row],[Pos.]]="RB1",_xlfn.XLOOKUP(Table1188717[[#This Row],[Opp]],Table4[DEF],'2025'!$K$38:$K$69),_xlfn.XLOOKUP(Table1188717[[#This Row],[Opp]],Table4[DEF],'2025'!$X$38:$X$69))</f>
        <v>#N/A</v>
      </c>
      <c r="K89" s="94" t="e" cm="1">
        <f t="array" ref="K89">IF(Table1188717[[#This Row],[Pos.]]="RB1",_xlfn.XLOOKUP(Table1188717[[#This Row],[Opp]],Table4[DEF],'2025'!$L$38:$L$69),_xlfn.XLOOKUP(Table1188717[[#This Row],[Opp]],Table4[DEF],'2025'!$Y$38:$Y$69))</f>
        <v>#N/A</v>
      </c>
      <c r="L89" s="95" t="e">
        <f>IF(Table1188717[[#This Row],[Pos.]]="RB1",_xlfn.XLOOKUP(Table1188717[[#This Row],[Opp]],Table4[DEF],Table4[R]),_xlfn.XLOOKUP(Table1188717[[#This Row],[Opp]],Table44[DEF],Table44[R]))</f>
        <v>#N/A</v>
      </c>
      <c r="M89" s="96" t="e">
        <f>IF(Table1188717[[#This Row],[Pos.]]="RB1",_xlfn.XLOOKUP(Table1188717[[#This Row],[Opp]],Table4[DEF],Table4[REC]),_xlfn.XLOOKUP(Table1188717[[#This Row],[Opp]],Table44[DEF],Table44[REC]))</f>
        <v>#N/A</v>
      </c>
      <c r="N89" s="95" t="e">
        <f>IF(Table1188717[[#This Row],[Pos.]]="RB1",_xlfn.XLOOKUP(Table1188717[[#This Row],[Opp]],Table4[DEF],Table4[Y]),_xlfn.XLOOKUP(Table1188717[[#This Row],[Opp]],Table44[DEF],Table44[Y]))</f>
        <v>#N/A</v>
      </c>
      <c r="O89" s="95" t="e">
        <f>IF(Table1188717[[#This Row],[Pos.]]="RB1",_xlfn.XLOOKUP(Table1188717[[#This Row],[Opp]],Table4[DEF],Table4[R+R]),_xlfn.XLOOKUP(Table1188717[[#This Row],[Opp]],Table44[DEF],Table44[R+R]))</f>
        <v>#N/A</v>
      </c>
      <c r="P89" s="96" t="e">
        <f>IF(Table1188717[[#This Row],[Pos.]]="RB1",_xlfn.XLOOKUP(Table1188717[[#This Row],[Opp]],Table4[DEF],Table4[TD]),_xlfn.XLOOKUP(Table1188717[[#This Row],[Opp]],Table44[DEF],Table44[TD]))</f>
        <v>#N/A</v>
      </c>
      <c r="Q89" s="94" t="e">
        <f>AVERAGE(Table1188717[[#This Row],[*R*]:[*TD*]])</f>
        <v>#N/A</v>
      </c>
    </row>
    <row r="90" spans="2:17" hidden="1" x14ac:dyDescent="0.35">
      <c r="B90" s="6" t="s">
        <v>294</v>
      </c>
      <c r="C90" s="97" t="s">
        <v>45</v>
      </c>
      <c r="D90" s="97" t="s">
        <v>407</v>
      </c>
      <c r="E90" s="23" t="str" cm="1">
        <f t="array" ref="E90">_xlfn.XLOOKUP(Table1188717[[#This Row],[Team]],Table4334[Team],'2425'!$C$3:$C$34)</f>
        <v>n/a</v>
      </c>
      <c r="F90" s="97" t="str">
        <f>'2025'!$E$23</f>
        <v>n/a</v>
      </c>
      <c r="G90" s="94" t="e" cm="1">
        <f t="array" ref="G90">IF(Table1188717[[#This Row],[Pos.]]="RB1",_xlfn.XLOOKUP(Table1188717[[#This Row],[Opp]],Table4[DEF],'2025'!$H$38:$H$69),_xlfn.XLOOKUP(Table1188717[[#This Row],[Opp]],Table44[DEF],'2025'!$U$38:$U$69))</f>
        <v>#N/A</v>
      </c>
      <c r="H90" s="94" t="e" cm="1">
        <f t="array" ref="H90">IF(Table1188717[[#This Row],[Pos.]]="RB1",_xlfn.XLOOKUP(Table1188717[[#This Row],[Opp]],Table4[DEF],'2025'!$I$38:$I$69),_xlfn.XLOOKUP(Table1188717[[#This Row],[Opp]],Table4[DEF],'2025'!$V$38:$V$69))</f>
        <v>#N/A</v>
      </c>
      <c r="I90" s="94" t="e" cm="1">
        <f t="array" ref="I90">IF(Table1188717[[#This Row],[Pos.]]="RB1",_xlfn.XLOOKUP(Table1188717[[#This Row],[Opp]],Table4[DEF],'2025'!$J$38:$J$69),_xlfn.XLOOKUP(Table1188717[[#This Row],[Opp]],Table4[DEF],'2025'!$W$38:$W$69))</f>
        <v>#N/A</v>
      </c>
      <c r="J90" s="94" t="e" cm="1">
        <f t="array" ref="J90">IF(Table1188717[[#This Row],[Pos.]]="RB1",_xlfn.XLOOKUP(Table1188717[[#This Row],[Opp]],Table4[DEF],'2025'!$K$38:$K$69),_xlfn.XLOOKUP(Table1188717[[#This Row],[Opp]],Table4[DEF],'2025'!$X$38:$X$69))</f>
        <v>#N/A</v>
      </c>
      <c r="K90" s="94" t="e" cm="1">
        <f t="array" ref="K90">IF(Table1188717[[#This Row],[Pos.]]="RB1",_xlfn.XLOOKUP(Table1188717[[#This Row],[Opp]],Table4[DEF],'2025'!$L$38:$L$69),_xlfn.XLOOKUP(Table1188717[[#This Row],[Opp]],Table4[DEF],'2025'!$Y$38:$Y$69))</f>
        <v>#N/A</v>
      </c>
      <c r="L90" s="95" t="e">
        <f>IF(Table1188717[[#This Row],[Pos.]]="RB1",_xlfn.XLOOKUP(Table1188717[[#This Row],[Opp]],Table4[DEF],Table4[R]),_xlfn.XLOOKUP(Table1188717[[#This Row],[Opp]],Table44[DEF],Table44[R]))</f>
        <v>#N/A</v>
      </c>
      <c r="M90" s="96" t="e">
        <f>IF(Table1188717[[#This Row],[Pos.]]="RB1",_xlfn.XLOOKUP(Table1188717[[#This Row],[Opp]],Table4[DEF],Table4[REC]),_xlfn.XLOOKUP(Table1188717[[#This Row],[Opp]],Table44[DEF],Table44[REC]))</f>
        <v>#N/A</v>
      </c>
      <c r="N90" s="95" t="e">
        <f>IF(Table1188717[[#This Row],[Pos.]]="RB1",_xlfn.XLOOKUP(Table1188717[[#This Row],[Opp]],Table4[DEF],Table4[Y]),_xlfn.XLOOKUP(Table1188717[[#This Row],[Opp]],Table44[DEF],Table44[Y]))</f>
        <v>#N/A</v>
      </c>
      <c r="O90" s="95" t="e">
        <f>IF(Table1188717[[#This Row],[Pos.]]="RB1",_xlfn.XLOOKUP(Table1188717[[#This Row],[Opp]],Table4[DEF],Table4[R+R]),_xlfn.XLOOKUP(Table1188717[[#This Row],[Opp]],Table44[DEF],Table44[R+R]))</f>
        <v>#N/A</v>
      </c>
      <c r="P90" s="96" t="e">
        <f>IF(Table1188717[[#This Row],[Pos.]]="RB1",_xlfn.XLOOKUP(Table1188717[[#This Row],[Opp]],Table4[DEF],Table4[TD]),_xlfn.XLOOKUP(Table1188717[[#This Row],[Opp]],Table44[DEF],Table44[TD]))</f>
        <v>#N/A</v>
      </c>
      <c r="Q90" s="94" t="e">
        <f>AVERAGE(Table1188717[[#This Row],[*R*]:[*TD*]])</f>
        <v>#N/A</v>
      </c>
    </row>
    <row r="91" spans="2:17" hidden="1" x14ac:dyDescent="0.35">
      <c r="B91" s="6" t="s">
        <v>277</v>
      </c>
      <c r="C91" s="97" t="s">
        <v>43</v>
      </c>
      <c r="D91" s="97" t="s">
        <v>394</v>
      </c>
      <c r="E91" s="23" t="str" cm="1">
        <f t="array" ref="E91">_xlfn.XLOOKUP(Table1188717[[#This Row],[Team]],Table4334[Team],'2425'!$C$3:$C$34)</f>
        <v>n/a</v>
      </c>
      <c r="F91" s="97" t="str">
        <f>'2025'!$E$21</f>
        <v>n/a</v>
      </c>
      <c r="G91" s="94" t="e" cm="1">
        <f t="array" ref="G91">IF(Table1188717[[#This Row],[Pos.]]="RB1",_xlfn.XLOOKUP(Table1188717[[#This Row],[Opp]],Table4[DEF],'2025'!$H$38:$H$69),_xlfn.XLOOKUP(Table1188717[[#This Row],[Opp]],Table44[DEF],'2025'!$U$38:$U$69))</f>
        <v>#N/A</v>
      </c>
      <c r="H91" s="94" t="e" cm="1">
        <f t="array" ref="H91">IF(Table1188717[[#This Row],[Pos.]]="RB1",_xlfn.XLOOKUP(Table1188717[[#This Row],[Opp]],Table4[DEF],'2025'!$I$38:$I$69),_xlfn.XLOOKUP(Table1188717[[#This Row],[Opp]],Table4[DEF],'2025'!$V$38:$V$69))</f>
        <v>#N/A</v>
      </c>
      <c r="I91" s="94" t="e" cm="1">
        <f t="array" ref="I91">IF(Table1188717[[#This Row],[Pos.]]="RB1",_xlfn.XLOOKUP(Table1188717[[#This Row],[Opp]],Table4[DEF],'2025'!$J$38:$J$69),_xlfn.XLOOKUP(Table1188717[[#This Row],[Opp]],Table4[DEF],'2025'!$W$38:$W$69))</f>
        <v>#N/A</v>
      </c>
      <c r="J91" s="94" t="e" cm="1">
        <f t="array" ref="J91">IF(Table1188717[[#This Row],[Pos.]]="RB1",_xlfn.XLOOKUP(Table1188717[[#This Row],[Opp]],Table4[DEF],'2025'!$K$38:$K$69),_xlfn.XLOOKUP(Table1188717[[#This Row],[Opp]],Table4[DEF],'2025'!$X$38:$X$69))</f>
        <v>#N/A</v>
      </c>
      <c r="K91" s="94" t="e" cm="1">
        <f t="array" ref="K91">IF(Table1188717[[#This Row],[Pos.]]="RB1",_xlfn.XLOOKUP(Table1188717[[#This Row],[Opp]],Table4[DEF],'2025'!$L$38:$L$69),_xlfn.XLOOKUP(Table1188717[[#This Row],[Opp]],Table4[DEF],'2025'!$Y$38:$Y$69))</f>
        <v>#N/A</v>
      </c>
      <c r="L91" s="95" t="e">
        <f>IF(Table1188717[[#This Row],[Pos.]]="RB1",_xlfn.XLOOKUP(Table1188717[[#This Row],[Opp]],Table4[DEF],Table4[R]),_xlfn.XLOOKUP(Table1188717[[#This Row],[Opp]],Table44[DEF],Table44[R]))</f>
        <v>#N/A</v>
      </c>
      <c r="M91" s="96" t="e">
        <f>IF(Table1188717[[#This Row],[Pos.]]="RB1",_xlfn.XLOOKUP(Table1188717[[#This Row],[Opp]],Table4[DEF],Table4[REC]),_xlfn.XLOOKUP(Table1188717[[#This Row],[Opp]],Table44[DEF],Table44[REC]))</f>
        <v>#N/A</v>
      </c>
      <c r="N91" s="95" t="e">
        <f>IF(Table1188717[[#This Row],[Pos.]]="RB1",_xlfn.XLOOKUP(Table1188717[[#This Row],[Opp]],Table4[DEF],Table4[Y]),_xlfn.XLOOKUP(Table1188717[[#This Row],[Opp]],Table44[DEF],Table44[Y]))</f>
        <v>#N/A</v>
      </c>
      <c r="O91" s="95" t="e">
        <f>IF(Table1188717[[#This Row],[Pos.]]="RB1",_xlfn.XLOOKUP(Table1188717[[#This Row],[Opp]],Table4[DEF],Table4[R+R]),_xlfn.XLOOKUP(Table1188717[[#This Row],[Opp]],Table44[DEF],Table44[R+R]))</f>
        <v>#N/A</v>
      </c>
      <c r="P91" s="96" t="e">
        <f>IF(Table1188717[[#This Row],[Pos.]]="RB1",_xlfn.XLOOKUP(Table1188717[[#This Row],[Opp]],Table4[DEF],Table4[TD]),_xlfn.XLOOKUP(Table1188717[[#This Row],[Opp]],Table44[DEF],Table44[TD]))</f>
        <v>#N/A</v>
      </c>
      <c r="Q91" s="94" t="e">
        <f>AVERAGE(Table1188717[[#This Row],[*R*]:[*TD*]])</f>
        <v>#N/A</v>
      </c>
    </row>
    <row r="92" spans="2:17" hidden="1" x14ac:dyDescent="0.35">
      <c r="B92" s="6" t="s">
        <v>246</v>
      </c>
      <c r="C92" s="97" t="s">
        <v>40</v>
      </c>
      <c r="D92" s="97" t="s">
        <v>394</v>
      </c>
      <c r="E92" s="23" t="str" cm="1">
        <f t="array" ref="E92">_xlfn.XLOOKUP(Table1188717[[#This Row],[Team]],Table4334[Team],'2425'!$C$3:$C$34)</f>
        <v>n/a</v>
      </c>
      <c r="F92" s="97" t="str">
        <f>'2025'!$E$18</f>
        <v>n/a</v>
      </c>
      <c r="G92" s="94" t="e" cm="1">
        <f t="array" ref="G92">IF(Table1188717[[#This Row],[Pos.]]="RB1",_xlfn.XLOOKUP(Table1188717[[#This Row],[Opp]],Table4[DEF],'2025'!$H$38:$H$69),_xlfn.XLOOKUP(Table1188717[[#This Row],[Opp]],Table44[DEF],'2025'!$U$38:$U$69))</f>
        <v>#N/A</v>
      </c>
      <c r="H92" s="94" t="e" cm="1">
        <f t="array" ref="H92">IF(Table1188717[[#This Row],[Pos.]]="RB1",_xlfn.XLOOKUP(Table1188717[[#This Row],[Opp]],Table4[DEF],'2025'!$I$38:$I$69),_xlfn.XLOOKUP(Table1188717[[#This Row],[Opp]],Table4[DEF],'2025'!$V$38:$V$69))</f>
        <v>#N/A</v>
      </c>
      <c r="I92" s="94" t="e" cm="1">
        <f t="array" ref="I92">IF(Table1188717[[#This Row],[Pos.]]="RB1",_xlfn.XLOOKUP(Table1188717[[#This Row],[Opp]],Table4[DEF],'2025'!$J$38:$J$69),_xlfn.XLOOKUP(Table1188717[[#This Row],[Opp]],Table4[DEF],'2025'!$W$38:$W$69))</f>
        <v>#N/A</v>
      </c>
      <c r="J92" s="94" t="e" cm="1">
        <f t="array" ref="J92">IF(Table1188717[[#This Row],[Pos.]]="RB1",_xlfn.XLOOKUP(Table1188717[[#This Row],[Opp]],Table4[DEF],'2025'!$K$38:$K$69),_xlfn.XLOOKUP(Table1188717[[#This Row],[Opp]],Table4[DEF],'2025'!$X$38:$X$69))</f>
        <v>#N/A</v>
      </c>
      <c r="K92" s="94" t="e" cm="1">
        <f t="array" ref="K92">IF(Table1188717[[#This Row],[Pos.]]="RB1",_xlfn.XLOOKUP(Table1188717[[#This Row],[Opp]],Table4[DEF],'2025'!$L$38:$L$69),_xlfn.XLOOKUP(Table1188717[[#This Row],[Opp]],Table4[DEF],'2025'!$Y$38:$Y$69))</f>
        <v>#N/A</v>
      </c>
      <c r="L92" s="95" t="e">
        <f>IF(Table1188717[[#This Row],[Pos.]]="RB1",_xlfn.XLOOKUP(Table1188717[[#This Row],[Opp]],Table4[DEF],Table4[R]),_xlfn.XLOOKUP(Table1188717[[#This Row],[Opp]],Table44[DEF],Table44[R]))</f>
        <v>#N/A</v>
      </c>
      <c r="M92" s="96" t="e">
        <f>IF(Table1188717[[#This Row],[Pos.]]="RB1",_xlfn.XLOOKUP(Table1188717[[#This Row],[Opp]],Table4[DEF],Table4[REC]),_xlfn.XLOOKUP(Table1188717[[#This Row],[Opp]],Table44[DEF],Table44[REC]))</f>
        <v>#N/A</v>
      </c>
      <c r="N92" s="95" t="e">
        <f>IF(Table1188717[[#This Row],[Pos.]]="RB1",_xlfn.XLOOKUP(Table1188717[[#This Row],[Opp]],Table4[DEF],Table4[Y]),_xlfn.XLOOKUP(Table1188717[[#This Row],[Opp]],Table44[DEF],Table44[Y]))</f>
        <v>#N/A</v>
      </c>
      <c r="O92" s="95" t="e">
        <f>IF(Table1188717[[#This Row],[Pos.]]="RB1",_xlfn.XLOOKUP(Table1188717[[#This Row],[Opp]],Table4[DEF],Table4[R+R]),_xlfn.XLOOKUP(Table1188717[[#This Row],[Opp]],Table44[DEF],Table44[R+R]))</f>
        <v>#N/A</v>
      </c>
      <c r="P92" s="96" t="e">
        <f>IF(Table1188717[[#This Row],[Pos.]]="RB1",_xlfn.XLOOKUP(Table1188717[[#This Row],[Opp]],Table4[DEF],Table4[TD]),_xlfn.XLOOKUP(Table1188717[[#This Row],[Opp]],Table44[DEF],Table44[TD]))</f>
        <v>#N/A</v>
      </c>
      <c r="Q92" s="94" t="e">
        <f>AVERAGE(Table1188717[[#This Row],[*R*]:[*TD*]])</f>
        <v>#N/A</v>
      </c>
    </row>
    <row r="93" spans="2:17" hidden="1" x14ac:dyDescent="0.35">
      <c r="B93" s="6" t="s">
        <v>343</v>
      </c>
      <c r="C93" s="97" t="s">
        <v>51</v>
      </c>
      <c r="D93" s="97" t="s">
        <v>396</v>
      </c>
      <c r="E93" s="23" t="str" cm="1">
        <f t="array" ref="E93">_xlfn.XLOOKUP(Table1188717[[#This Row],[Team]],Table4334[Team],'2425'!$C$3:$C$34)</f>
        <v>n/a</v>
      </c>
      <c r="F93" s="97" t="str">
        <f>'2025'!$E$29</f>
        <v>n/a</v>
      </c>
      <c r="G93" s="94" t="e" cm="1">
        <f t="array" ref="G93">IF(Table1188717[[#This Row],[Pos.]]="RB1",_xlfn.XLOOKUP(Table1188717[[#This Row],[Opp]],Table4[DEF],'2025'!$H$38:$H$69),_xlfn.XLOOKUP(Table1188717[[#This Row],[Opp]],Table44[DEF],'2025'!$U$38:$U$69))</f>
        <v>#N/A</v>
      </c>
      <c r="H93" s="94" t="e" cm="1">
        <f t="array" ref="H93">IF(Table1188717[[#This Row],[Pos.]]="RB1",_xlfn.XLOOKUP(Table1188717[[#This Row],[Opp]],Table4[DEF],'2025'!$I$38:$I$69),_xlfn.XLOOKUP(Table1188717[[#This Row],[Opp]],Table4[DEF],'2025'!$V$38:$V$69))</f>
        <v>#N/A</v>
      </c>
      <c r="I93" s="94" t="e" cm="1">
        <f t="array" ref="I93">IF(Table1188717[[#This Row],[Pos.]]="RB1",_xlfn.XLOOKUP(Table1188717[[#This Row],[Opp]],Table4[DEF],'2025'!$J$38:$J$69),_xlfn.XLOOKUP(Table1188717[[#This Row],[Opp]],Table4[DEF],'2025'!$W$38:$W$69))</f>
        <v>#N/A</v>
      </c>
      <c r="J93" s="94" t="e" cm="1">
        <f t="array" ref="J93">IF(Table1188717[[#This Row],[Pos.]]="RB1",_xlfn.XLOOKUP(Table1188717[[#This Row],[Opp]],Table4[DEF],'2025'!$K$38:$K$69),_xlfn.XLOOKUP(Table1188717[[#This Row],[Opp]],Table4[DEF],'2025'!$X$38:$X$69))</f>
        <v>#N/A</v>
      </c>
      <c r="K93" s="94" t="e" cm="1">
        <f t="array" ref="K93">IF(Table1188717[[#This Row],[Pos.]]="RB1",_xlfn.XLOOKUP(Table1188717[[#This Row],[Opp]],Table4[DEF],'2025'!$L$38:$L$69),_xlfn.XLOOKUP(Table1188717[[#This Row],[Opp]],Table4[DEF],'2025'!$Y$38:$Y$69))</f>
        <v>#N/A</v>
      </c>
      <c r="L93" s="95" t="e">
        <f>IF(Table1188717[[#This Row],[Pos.]]="RB1",_xlfn.XLOOKUP(Table1188717[[#This Row],[Opp]],Table4[DEF],Table4[R]),_xlfn.XLOOKUP(Table1188717[[#This Row],[Opp]],Table44[DEF],Table44[R]))</f>
        <v>#N/A</v>
      </c>
      <c r="M93" s="96" t="e">
        <f>IF(Table1188717[[#This Row],[Pos.]]="RB1",_xlfn.XLOOKUP(Table1188717[[#This Row],[Opp]],Table4[DEF],Table4[REC]),_xlfn.XLOOKUP(Table1188717[[#This Row],[Opp]],Table44[DEF],Table44[REC]))</f>
        <v>#N/A</v>
      </c>
      <c r="N93" s="95" t="e">
        <f>IF(Table1188717[[#This Row],[Pos.]]="RB1",_xlfn.XLOOKUP(Table1188717[[#This Row],[Opp]],Table4[DEF],Table4[Y]),_xlfn.XLOOKUP(Table1188717[[#This Row],[Opp]],Table44[DEF],Table44[Y]))</f>
        <v>#N/A</v>
      </c>
      <c r="O93" s="95" t="e">
        <f>IF(Table1188717[[#This Row],[Pos.]]="RB1",_xlfn.XLOOKUP(Table1188717[[#This Row],[Opp]],Table4[DEF],Table4[R+R]),_xlfn.XLOOKUP(Table1188717[[#This Row],[Opp]],Table44[DEF],Table44[R+R]))</f>
        <v>#N/A</v>
      </c>
      <c r="P93" s="96" t="e">
        <f>IF(Table1188717[[#This Row],[Pos.]]="RB1",_xlfn.XLOOKUP(Table1188717[[#This Row],[Opp]],Table4[DEF],Table4[TD]),_xlfn.XLOOKUP(Table1188717[[#This Row],[Opp]],Table44[DEF],Table44[TD]))</f>
        <v>#N/A</v>
      </c>
      <c r="Q93" s="94" t="e">
        <f>AVERAGE(Table1188717[[#This Row],[*R*]:[*TD*]])</f>
        <v>#N/A</v>
      </c>
    </row>
    <row r="94" spans="2:17" hidden="1" x14ac:dyDescent="0.35">
      <c r="B94" s="6" t="s">
        <v>123</v>
      </c>
      <c r="C94" s="97" t="s">
        <v>0</v>
      </c>
      <c r="D94" s="97" t="s">
        <v>394</v>
      </c>
      <c r="E94" s="23" t="str" cm="1">
        <f t="array" ref="E94">_xlfn.XLOOKUP(Table1188717[[#This Row],[Team]],Table4334[Team],'2425'!$C$3:$C$34)</f>
        <v>n/a</v>
      </c>
      <c r="F94" s="97" t="str">
        <f>'2025'!$E$3</f>
        <v>n/a</v>
      </c>
      <c r="G94" s="94" t="e" cm="1">
        <f t="array" ref="G94">IF(Table1188717[[#This Row],[Pos.]]="RB1",_xlfn.XLOOKUP(Table1188717[[#This Row],[Opp]],Table4[DEF],'2025'!$H$38:$H$69),_xlfn.XLOOKUP(Table1188717[[#This Row],[Opp]],Table44[DEF],'2025'!$U$38:$U$69))</f>
        <v>#N/A</v>
      </c>
      <c r="H94" s="94" t="e" cm="1">
        <f t="array" ref="H94">IF(Table1188717[[#This Row],[Pos.]]="RB1",_xlfn.XLOOKUP(Table1188717[[#This Row],[Opp]],Table4[DEF],'2025'!$I$38:$I$69),_xlfn.XLOOKUP(Table1188717[[#This Row],[Opp]],Table4[DEF],'2025'!$V$38:$V$69))</f>
        <v>#N/A</v>
      </c>
      <c r="I94" s="94" t="e" cm="1">
        <f t="array" ref="I94">IF(Table1188717[[#This Row],[Pos.]]="RB1",_xlfn.XLOOKUP(Table1188717[[#This Row],[Opp]],Table4[DEF],'2025'!$J$38:$J$69),_xlfn.XLOOKUP(Table1188717[[#This Row],[Opp]],Table4[DEF],'2025'!$W$38:$W$69))</f>
        <v>#N/A</v>
      </c>
      <c r="J94" s="94" t="e" cm="1">
        <f t="array" ref="J94">IF(Table1188717[[#This Row],[Pos.]]="RB1",_xlfn.XLOOKUP(Table1188717[[#This Row],[Opp]],Table4[DEF],'2025'!$K$38:$K$69),_xlfn.XLOOKUP(Table1188717[[#This Row],[Opp]],Table4[DEF],'2025'!$X$38:$X$69))</f>
        <v>#N/A</v>
      </c>
      <c r="K94" s="94" t="e" cm="1">
        <f t="array" ref="K94">IF(Table1188717[[#This Row],[Pos.]]="RB1",_xlfn.XLOOKUP(Table1188717[[#This Row],[Opp]],Table4[DEF],'2025'!$L$38:$L$69),_xlfn.XLOOKUP(Table1188717[[#This Row],[Opp]],Table4[DEF],'2025'!$Y$38:$Y$69))</f>
        <v>#N/A</v>
      </c>
      <c r="L94" s="95" t="e">
        <f>IF(Table1188717[[#This Row],[Pos.]]="RB1",_xlfn.XLOOKUP(Table1188717[[#This Row],[Opp]],Table4[DEF],Table4[R]),_xlfn.XLOOKUP(Table1188717[[#This Row],[Opp]],Table44[DEF],Table44[R]))</f>
        <v>#N/A</v>
      </c>
      <c r="M94" s="96" t="e">
        <f>IF(Table1188717[[#This Row],[Pos.]]="RB1",_xlfn.XLOOKUP(Table1188717[[#This Row],[Opp]],Table4[DEF],Table4[REC]),_xlfn.XLOOKUP(Table1188717[[#This Row],[Opp]],Table44[DEF],Table44[REC]))</f>
        <v>#N/A</v>
      </c>
      <c r="N94" s="95" t="e">
        <f>IF(Table1188717[[#This Row],[Pos.]]="RB1",_xlfn.XLOOKUP(Table1188717[[#This Row],[Opp]],Table4[DEF],Table4[Y]),_xlfn.XLOOKUP(Table1188717[[#This Row],[Opp]],Table44[DEF],Table44[Y]))</f>
        <v>#N/A</v>
      </c>
      <c r="O94" s="95" t="e">
        <f>IF(Table1188717[[#This Row],[Pos.]]="RB1",_xlfn.XLOOKUP(Table1188717[[#This Row],[Opp]],Table4[DEF],Table4[R+R]),_xlfn.XLOOKUP(Table1188717[[#This Row],[Opp]],Table44[DEF],Table44[R+R]))</f>
        <v>#N/A</v>
      </c>
      <c r="P94" s="96" t="e">
        <f>IF(Table1188717[[#This Row],[Pos.]]="RB1",_xlfn.XLOOKUP(Table1188717[[#This Row],[Opp]],Table4[DEF],Table4[TD]),_xlfn.XLOOKUP(Table1188717[[#This Row],[Opp]],Table44[DEF],Table44[TD]))</f>
        <v>#N/A</v>
      </c>
      <c r="Q94" s="94" t="e">
        <f>AVERAGE(Table1188717[[#This Row],[*R*]:[*TD*]])</f>
        <v>#N/A</v>
      </c>
    </row>
    <row r="95" spans="2:17" hidden="1" x14ac:dyDescent="0.35">
      <c r="B95" s="6" t="s">
        <v>201</v>
      </c>
      <c r="C95" s="97" t="s">
        <v>35</v>
      </c>
      <c r="D95" s="97" t="s">
        <v>394</v>
      </c>
      <c r="E95" s="23" t="str" cm="1">
        <f t="array" ref="E95">_xlfn.XLOOKUP(Table1188717[[#This Row],[Team]],Table4334[Team],'2425'!$C$3:$C$34)</f>
        <v>n/a</v>
      </c>
      <c r="F95" s="97" t="str">
        <f>'2025'!$E$13</f>
        <v>n/a</v>
      </c>
      <c r="G95" s="94" t="e" cm="1">
        <f t="array" ref="G95">IF(Table1188717[[#This Row],[Pos.]]="RB1",_xlfn.XLOOKUP(Table1188717[[#This Row],[Opp]],Table4[DEF],'2025'!$H$38:$H$69),_xlfn.XLOOKUP(Table1188717[[#This Row],[Opp]],Table44[DEF],'2025'!$U$38:$U$69))</f>
        <v>#N/A</v>
      </c>
      <c r="H95" s="94" t="e" cm="1">
        <f t="array" ref="H95">IF(Table1188717[[#This Row],[Pos.]]="RB1",_xlfn.XLOOKUP(Table1188717[[#This Row],[Opp]],Table4[DEF],'2025'!$I$38:$I$69),_xlfn.XLOOKUP(Table1188717[[#This Row],[Opp]],Table4[DEF],'2025'!$V$38:$V$69))</f>
        <v>#N/A</v>
      </c>
      <c r="I95" s="94" t="e" cm="1">
        <f t="array" ref="I95">IF(Table1188717[[#This Row],[Pos.]]="RB1",_xlfn.XLOOKUP(Table1188717[[#This Row],[Opp]],Table4[DEF],'2025'!$J$38:$J$69),_xlfn.XLOOKUP(Table1188717[[#This Row],[Opp]],Table4[DEF],'2025'!$W$38:$W$69))</f>
        <v>#N/A</v>
      </c>
      <c r="J95" s="94" t="e" cm="1">
        <f t="array" ref="J95">IF(Table1188717[[#This Row],[Pos.]]="RB1",_xlfn.XLOOKUP(Table1188717[[#This Row],[Opp]],Table4[DEF],'2025'!$K$38:$K$69),_xlfn.XLOOKUP(Table1188717[[#This Row],[Opp]],Table4[DEF],'2025'!$X$38:$X$69))</f>
        <v>#N/A</v>
      </c>
      <c r="K95" s="94" t="e" cm="1">
        <f t="array" ref="K95">IF(Table1188717[[#This Row],[Pos.]]="RB1",_xlfn.XLOOKUP(Table1188717[[#This Row],[Opp]],Table4[DEF],'2025'!$L$38:$L$69),_xlfn.XLOOKUP(Table1188717[[#This Row],[Opp]],Table4[DEF],'2025'!$Y$38:$Y$69))</f>
        <v>#N/A</v>
      </c>
      <c r="L95" s="95" t="e">
        <f>IF(Table1188717[[#This Row],[Pos.]]="RB1",_xlfn.XLOOKUP(Table1188717[[#This Row],[Opp]],Table4[DEF],Table4[R]),_xlfn.XLOOKUP(Table1188717[[#This Row],[Opp]],Table44[DEF],Table44[R]))</f>
        <v>#N/A</v>
      </c>
      <c r="M95" s="96" t="e">
        <f>IF(Table1188717[[#This Row],[Pos.]]="RB1",_xlfn.XLOOKUP(Table1188717[[#This Row],[Opp]],Table4[DEF],Table4[REC]),_xlfn.XLOOKUP(Table1188717[[#This Row],[Opp]],Table44[DEF],Table44[REC]))</f>
        <v>#N/A</v>
      </c>
      <c r="N95" s="95" t="e">
        <f>IF(Table1188717[[#This Row],[Pos.]]="RB1",_xlfn.XLOOKUP(Table1188717[[#This Row],[Opp]],Table4[DEF],Table4[Y]),_xlfn.XLOOKUP(Table1188717[[#This Row],[Opp]],Table44[DEF],Table44[Y]))</f>
        <v>#N/A</v>
      </c>
      <c r="O95" s="95" t="e">
        <f>IF(Table1188717[[#This Row],[Pos.]]="RB1",_xlfn.XLOOKUP(Table1188717[[#This Row],[Opp]],Table4[DEF],Table4[R+R]),_xlfn.XLOOKUP(Table1188717[[#This Row],[Opp]],Table44[DEF],Table44[R+R]))</f>
        <v>#N/A</v>
      </c>
      <c r="P95" s="96" t="e">
        <f>IF(Table1188717[[#This Row],[Pos.]]="RB1",_xlfn.XLOOKUP(Table1188717[[#This Row],[Opp]],Table4[DEF],Table4[TD]),_xlfn.XLOOKUP(Table1188717[[#This Row],[Opp]],Table44[DEF],Table44[TD]))</f>
        <v>#N/A</v>
      </c>
      <c r="Q95" s="94" t="e">
        <f>AVERAGE(Table1188717[[#This Row],[*R*]:[*TD*]])</f>
        <v>#N/A</v>
      </c>
    </row>
    <row r="96" spans="2:17" hidden="1" x14ac:dyDescent="0.35">
      <c r="B96" s="6" t="s">
        <v>331</v>
      </c>
      <c r="C96" s="97" t="s">
        <v>49</v>
      </c>
      <c r="D96" s="97" t="s">
        <v>394</v>
      </c>
      <c r="E96" s="23" t="str" cm="1">
        <f t="array" ref="E96">_xlfn.XLOOKUP(Table1188717[[#This Row],[Team]],Table4334[Team],'2425'!$C$3:$C$34)</f>
        <v>n/a</v>
      </c>
      <c r="F96" s="97" t="str">
        <f>'2025'!$E$27</f>
        <v>n/a</v>
      </c>
      <c r="G96" s="94" t="e" cm="1">
        <f t="array" ref="G96">IF(Table1188717[[#This Row],[Pos.]]="RB1",_xlfn.XLOOKUP(Table1188717[[#This Row],[Opp]],Table4[DEF],'2025'!$H$38:$H$69),_xlfn.XLOOKUP(Table1188717[[#This Row],[Opp]],Table44[DEF],'2025'!$U$38:$U$69))</f>
        <v>#N/A</v>
      </c>
      <c r="H96" s="94" t="e" cm="1">
        <f t="array" ref="H96">IF(Table1188717[[#This Row],[Pos.]]="RB1",_xlfn.XLOOKUP(Table1188717[[#This Row],[Opp]],Table4[DEF],'2025'!$I$38:$I$69),_xlfn.XLOOKUP(Table1188717[[#This Row],[Opp]],Table4[DEF],'2025'!$V$38:$V$69))</f>
        <v>#N/A</v>
      </c>
      <c r="I96" s="94" t="e" cm="1">
        <f t="array" ref="I96">IF(Table1188717[[#This Row],[Pos.]]="RB1",_xlfn.XLOOKUP(Table1188717[[#This Row],[Opp]],Table4[DEF],'2025'!$J$38:$J$69),_xlfn.XLOOKUP(Table1188717[[#This Row],[Opp]],Table4[DEF],'2025'!$W$38:$W$69))</f>
        <v>#N/A</v>
      </c>
      <c r="J96" s="94" t="e" cm="1">
        <f t="array" ref="J96">IF(Table1188717[[#This Row],[Pos.]]="RB1",_xlfn.XLOOKUP(Table1188717[[#This Row],[Opp]],Table4[DEF],'2025'!$K$38:$K$69),_xlfn.XLOOKUP(Table1188717[[#This Row],[Opp]],Table4[DEF],'2025'!$X$38:$X$69))</f>
        <v>#N/A</v>
      </c>
      <c r="K96" s="94" t="e" cm="1">
        <f t="array" ref="K96">IF(Table1188717[[#This Row],[Pos.]]="RB1",_xlfn.XLOOKUP(Table1188717[[#This Row],[Opp]],Table4[DEF],'2025'!$L$38:$L$69),_xlfn.XLOOKUP(Table1188717[[#This Row],[Opp]],Table4[DEF],'2025'!$Y$38:$Y$69))</f>
        <v>#N/A</v>
      </c>
      <c r="L96" s="95" t="e">
        <f>IF(Table1188717[[#This Row],[Pos.]]="RB1",_xlfn.XLOOKUP(Table1188717[[#This Row],[Opp]],Table4[DEF],Table4[R]),_xlfn.XLOOKUP(Table1188717[[#This Row],[Opp]],Table44[DEF],Table44[R]))</f>
        <v>#N/A</v>
      </c>
      <c r="M96" s="96" t="e">
        <f>IF(Table1188717[[#This Row],[Pos.]]="RB1",_xlfn.XLOOKUP(Table1188717[[#This Row],[Opp]],Table4[DEF],Table4[REC]),_xlfn.XLOOKUP(Table1188717[[#This Row],[Opp]],Table44[DEF],Table44[REC]))</f>
        <v>#N/A</v>
      </c>
      <c r="N96" s="95" t="e">
        <f>IF(Table1188717[[#This Row],[Pos.]]="RB1",_xlfn.XLOOKUP(Table1188717[[#This Row],[Opp]],Table4[DEF],Table4[Y]),_xlfn.XLOOKUP(Table1188717[[#This Row],[Opp]],Table44[DEF],Table44[Y]))</f>
        <v>#N/A</v>
      </c>
      <c r="O96" s="95" t="e">
        <f>IF(Table1188717[[#This Row],[Pos.]]="RB1",_xlfn.XLOOKUP(Table1188717[[#This Row],[Opp]],Table4[DEF],Table4[R+R]),_xlfn.XLOOKUP(Table1188717[[#This Row],[Opp]],Table44[DEF],Table44[R+R]))</f>
        <v>#N/A</v>
      </c>
      <c r="P96" s="96" t="e">
        <f>IF(Table1188717[[#This Row],[Pos.]]="RB1",_xlfn.XLOOKUP(Table1188717[[#This Row],[Opp]],Table4[DEF],Table4[TD]),_xlfn.XLOOKUP(Table1188717[[#This Row],[Opp]],Table44[DEF],Table44[TD]))</f>
        <v>#N/A</v>
      </c>
      <c r="Q96" s="94" t="e">
        <f>AVERAGE(Table1188717[[#This Row],[*R*]:[*TD*]])</f>
        <v>#N/A</v>
      </c>
    </row>
    <row r="97" spans="2:17" hidden="1" x14ac:dyDescent="0.35">
      <c r="B97" s="6" t="s">
        <v>184</v>
      </c>
      <c r="C97" s="97" t="s">
        <v>54</v>
      </c>
      <c r="D97" s="97" t="s">
        <v>396</v>
      </c>
      <c r="E97" s="23" t="str" cm="1">
        <f t="array" ref="E97">_xlfn.XLOOKUP(Table1188717[[#This Row],[Team]],Table4334[Team],'2425'!$C$3:$C$34)</f>
        <v>n/a</v>
      </c>
      <c r="F97" s="97" t="str">
        <f>'2025'!$E$32</f>
        <v>n/a</v>
      </c>
      <c r="G97" s="94" t="e" cm="1">
        <f t="array" ref="G97">IF(Table1188717[[#This Row],[Pos.]]="RB1",_xlfn.XLOOKUP(Table1188717[[#This Row],[Opp]],Table4[DEF],'2025'!$H$38:$H$69),_xlfn.XLOOKUP(Table1188717[[#This Row],[Opp]],Table44[DEF],'2025'!$U$38:$U$69))</f>
        <v>#N/A</v>
      </c>
      <c r="H97" s="94" t="e" cm="1">
        <f t="array" ref="H97">IF(Table1188717[[#This Row],[Pos.]]="RB1",_xlfn.XLOOKUP(Table1188717[[#This Row],[Opp]],Table4[DEF],'2025'!$I$38:$I$69),_xlfn.XLOOKUP(Table1188717[[#This Row],[Opp]],Table4[DEF],'2025'!$V$38:$V$69))</f>
        <v>#N/A</v>
      </c>
      <c r="I97" s="94" t="e" cm="1">
        <f t="array" ref="I97">IF(Table1188717[[#This Row],[Pos.]]="RB1",_xlfn.XLOOKUP(Table1188717[[#This Row],[Opp]],Table4[DEF],'2025'!$J$38:$J$69),_xlfn.XLOOKUP(Table1188717[[#This Row],[Opp]],Table4[DEF],'2025'!$W$38:$W$69))</f>
        <v>#N/A</v>
      </c>
      <c r="J97" s="94" t="e" cm="1">
        <f t="array" ref="J97">IF(Table1188717[[#This Row],[Pos.]]="RB1",_xlfn.XLOOKUP(Table1188717[[#This Row],[Opp]],Table4[DEF],'2025'!$K$38:$K$69),_xlfn.XLOOKUP(Table1188717[[#This Row],[Opp]],Table4[DEF],'2025'!$X$38:$X$69))</f>
        <v>#N/A</v>
      </c>
      <c r="K97" s="94" t="e" cm="1">
        <f t="array" ref="K97">IF(Table1188717[[#This Row],[Pos.]]="RB1",_xlfn.XLOOKUP(Table1188717[[#This Row],[Opp]],Table4[DEF],'2025'!$L$38:$L$69),_xlfn.XLOOKUP(Table1188717[[#This Row],[Opp]],Table4[DEF],'2025'!$Y$38:$Y$69))</f>
        <v>#N/A</v>
      </c>
      <c r="L97" s="95" t="e">
        <f>IF(Table1188717[[#This Row],[Pos.]]="RB1",_xlfn.XLOOKUP(Table1188717[[#This Row],[Opp]],Table4[DEF],Table4[R]),_xlfn.XLOOKUP(Table1188717[[#This Row],[Opp]],Table44[DEF],Table44[R]))</f>
        <v>#N/A</v>
      </c>
      <c r="M97" s="96" t="e">
        <f>IF(Table1188717[[#This Row],[Pos.]]="RB1",_xlfn.XLOOKUP(Table1188717[[#This Row],[Opp]],Table4[DEF],Table4[REC]),_xlfn.XLOOKUP(Table1188717[[#This Row],[Opp]],Table44[DEF],Table44[REC]))</f>
        <v>#N/A</v>
      </c>
      <c r="N97" s="95" t="e">
        <f>IF(Table1188717[[#This Row],[Pos.]]="RB1",_xlfn.XLOOKUP(Table1188717[[#This Row],[Opp]],Table4[DEF],Table4[Y]),_xlfn.XLOOKUP(Table1188717[[#This Row],[Opp]],Table44[DEF],Table44[Y]))</f>
        <v>#N/A</v>
      </c>
      <c r="O97" s="95" t="e">
        <f>IF(Table1188717[[#This Row],[Pos.]]="RB1",_xlfn.XLOOKUP(Table1188717[[#This Row],[Opp]],Table4[DEF],Table4[R+R]),_xlfn.XLOOKUP(Table1188717[[#This Row],[Opp]],Table44[DEF],Table44[R+R]))</f>
        <v>#N/A</v>
      </c>
      <c r="P97" s="96" t="e">
        <f>IF(Table1188717[[#This Row],[Pos.]]="RB1",_xlfn.XLOOKUP(Table1188717[[#This Row],[Opp]],Table4[DEF],Table4[TD]),_xlfn.XLOOKUP(Table1188717[[#This Row],[Opp]],Table44[DEF],Table44[TD]))</f>
        <v>#N/A</v>
      </c>
      <c r="Q97" s="94" t="e">
        <f>AVERAGE(Table1188717[[#This Row],[*R*]:[*TD*]])</f>
        <v>#N/A</v>
      </c>
    </row>
    <row r="98" spans="2:17" hidden="1" x14ac:dyDescent="0.35">
      <c r="B98" s="6" t="s">
        <v>369</v>
      </c>
      <c r="C98" s="97" t="s">
        <v>54</v>
      </c>
      <c r="D98" s="97" t="s">
        <v>407</v>
      </c>
      <c r="E98" s="23" t="str" cm="1">
        <f t="array" ref="E98">_xlfn.XLOOKUP(Table1188717[[#This Row],[Team]],Table4334[Team],'2425'!$C$3:$C$34)</f>
        <v>n/a</v>
      </c>
      <c r="F98" s="97" t="str">
        <f>'2025'!$E$32</f>
        <v>n/a</v>
      </c>
      <c r="G98" s="94" t="e" cm="1">
        <f t="array" ref="G98">IF(Table1188717[[#This Row],[Pos.]]="RB1",_xlfn.XLOOKUP(Table1188717[[#This Row],[Opp]],Table4[DEF],'2025'!$H$38:$H$69),_xlfn.XLOOKUP(Table1188717[[#This Row],[Opp]],Table44[DEF],'2025'!$U$38:$U$69))</f>
        <v>#N/A</v>
      </c>
      <c r="H98" s="94" t="e" cm="1">
        <f t="array" ref="H98">IF(Table1188717[[#This Row],[Pos.]]="RB1",_xlfn.XLOOKUP(Table1188717[[#This Row],[Opp]],Table4[DEF],'2025'!$I$38:$I$69),_xlfn.XLOOKUP(Table1188717[[#This Row],[Opp]],Table4[DEF],'2025'!$V$38:$V$69))</f>
        <v>#N/A</v>
      </c>
      <c r="I98" s="94" t="e" cm="1">
        <f t="array" ref="I98">IF(Table1188717[[#This Row],[Pos.]]="RB1",_xlfn.XLOOKUP(Table1188717[[#This Row],[Opp]],Table4[DEF],'2025'!$J$38:$J$69),_xlfn.XLOOKUP(Table1188717[[#This Row],[Opp]],Table4[DEF],'2025'!$W$38:$W$69))</f>
        <v>#N/A</v>
      </c>
      <c r="J98" s="94" t="e" cm="1">
        <f t="array" ref="J98">IF(Table1188717[[#This Row],[Pos.]]="RB1",_xlfn.XLOOKUP(Table1188717[[#This Row],[Opp]],Table4[DEF],'2025'!$K$38:$K$69),_xlfn.XLOOKUP(Table1188717[[#This Row],[Opp]],Table4[DEF],'2025'!$X$38:$X$69))</f>
        <v>#N/A</v>
      </c>
      <c r="K98" s="94" t="e" cm="1">
        <f t="array" ref="K98">IF(Table1188717[[#This Row],[Pos.]]="RB1",_xlfn.XLOOKUP(Table1188717[[#This Row],[Opp]],Table4[DEF],'2025'!$L$38:$L$69),_xlfn.XLOOKUP(Table1188717[[#This Row],[Opp]],Table4[DEF],'2025'!$Y$38:$Y$69))</f>
        <v>#N/A</v>
      </c>
      <c r="L98" s="95" t="e">
        <f>IF(Table1188717[[#This Row],[Pos.]]="RB1",_xlfn.XLOOKUP(Table1188717[[#This Row],[Opp]],Table4[DEF],Table4[R]),_xlfn.XLOOKUP(Table1188717[[#This Row],[Opp]],Table44[DEF],Table44[R]))</f>
        <v>#N/A</v>
      </c>
      <c r="M98" s="96" t="e">
        <f>IF(Table1188717[[#This Row],[Pos.]]="RB1",_xlfn.XLOOKUP(Table1188717[[#This Row],[Opp]],Table4[DEF],Table4[REC]),_xlfn.XLOOKUP(Table1188717[[#This Row],[Opp]],Table44[DEF],Table44[REC]))</f>
        <v>#N/A</v>
      </c>
      <c r="N98" s="95" t="e">
        <f>IF(Table1188717[[#This Row],[Pos.]]="RB1",_xlfn.XLOOKUP(Table1188717[[#This Row],[Opp]],Table4[DEF],Table4[Y]),_xlfn.XLOOKUP(Table1188717[[#This Row],[Opp]],Table44[DEF],Table44[Y]))</f>
        <v>#N/A</v>
      </c>
      <c r="O98" s="95" t="e">
        <f>IF(Table1188717[[#This Row],[Pos.]]="RB1",_xlfn.XLOOKUP(Table1188717[[#This Row],[Opp]],Table4[DEF],Table4[R+R]),_xlfn.XLOOKUP(Table1188717[[#This Row],[Opp]],Table44[DEF],Table44[R+R]))</f>
        <v>#N/A</v>
      </c>
      <c r="P98" s="96" t="e">
        <f>IF(Table1188717[[#This Row],[Pos.]]="RB1",_xlfn.XLOOKUP(Table1188717[[#This Row],[Opp]],Table4[DEF],Table4[TD]),_xlfn.XLOOKUP(Table1188717[[#This Row],[Opp]],Table44[DEF],Table44[TD]))</f>
        <v>#N/A</v>
      </c>
      <c r="Q98" s="94" t="e">
        <f>AVERAGE(Table1188717[[#This Row],[*R*]:[*TD*]])</f>
        <v>#N/A</v>
      </c>
    </row>
    <row r="99" spans="2:17" hidden="1" x14ac:dyDescent="0.35">
      <c r="B99" s="6" t="s">
        <v>461</v>
      </c>
      <c r="C99" s="97" t="s">
        <v>56</v>
      </c>
      <c r="D99" s="98" t="s">
        <v>394</v>
      </c>
      <c r="E99" s="23" t="str" cm="1">
        <f t="array" ref="E99">_xlfn.XLOOKUP(Table1188717[[#This Row],[Team]],Table4334[Team],'2425'!$C$3:$C$34)</f>
        <v>n/a</v>
      </c>
      <c r="F99" s="97" t="str">
        <f>'2025'!$E$34</f>
        <v>n/a</v>
      </c>
      <c r="G99" s="94" t="e" cm="1">
        <f t="array" ref="G99">IF(Table1188717[[#This Row],[Pos.]]="RB1",_xlfn.XLOOKUP(Table1188717[[#This Row],[Opp]],Table4[DEF],'2025'!$H$38:$H$69),_xlfn.XLOOKUP(Table1188717[[#This Row],[Opp]],Table44[DEF],'2025'!$U$38:$U$69))</f>
        <v>#N/A</v>
      </c>
      <c r="H99" s="94" t="e" cm="1">
        <f t="array" ref="H99">IF(Table1188717[[#This Row],[Pos.]]="RB1",_xlfn.XLOOKUP(Table1188717[[#This Row],[Opp]],Table4[DEF],'2025'!$I$38:$I$69),_xlfn.XLOOKUP(Table1188717[[#This Row],[Opp]],Table4[DEF],'2025'!$V$38:$V$69))</f>
        <v>#N/A</v>
      </c>
      <c r="I99" s="94" t="e" cm="1">
        <f t="array" ref="I99">IF(Table1188717[[#This Row],[Pos.]]="RB1",_xlfn.XLOOKUP(Table1188717[[#This Row],[Opp]],Table4[DEF],'2025'!$J$38:$J$69),_xlfn.XLOOKUP(Table1188717[[#This Row],[Opp]],Table4[DEF],'2025'!$W$38:$W$69))</f>
        <v>#N/A</v>
      </c>
      <c r="J99" s="94" t="e" cm="1">
        <f t="array" ref="J99">IF(Table1188717[[#This Row],[Pos.]]="RB1",_xlfn.XLOOKUP(Table1188717[[#This Row],[Opp]],Table4[DEF],'2025'!$K$38:$K$69),_xlfn.XLOOKUP(Table1188717[[#This Row],[Opp]],Table4[DEF],'2025'!$X$38:$X$69))</f>
        <v>#N/A</v>
      </c>
      <c r="K99" s="94" t="e" cm="1">
        <f t="array" ref="K99">IF(Table1188717[[#This Row],[Pos.]]="RB1",_xlfn.XLOOKUP(Table1188717[[#This Row],[Opp]],Table4[DEF],'2025'!$L$38:$L$69),_xlfn.XLOOKUP(Table1188717[[#This Row],[Opp]],Table4[DEF],'2025'!$Y$38:$Y$69))</f>
        <v>#N/A</v>
      </c>
      <c r="L99" s="95" t="e">
        <f>IF(Table1188717[[#This Row],[Pos.]]="RB1",_xlfn.XLOOKUP(Table1188717[[#This Row],[Opp]],Table4[DEF],Table4[R]),_xlfn.XLOOKUP(Table1188717[[#This Row],[Opp]],Table44[DEF],Table44[R]))</f>
        <v>#N/A</v>
      </c>
      <c r="M99" s="96" t="e">
        <f>IF(Table1188717[[#This Row],[Pos.]]="RB1",_xlfn.XLOOKUP(Table1188717[[#This Row],[Opp]],Table4[DEF],Table4[REC]),_xlfn.XLOOKUP(Table1188717[[#This Row],[Opp]],Table44[DEF],Table44[REC]))</f>
        <v>#N/A</v>
      </c>
      <c r="N99" s="95" t="e">
        <f>IF(Table1188717[[#This Row],[Pos.]]="RB1",_xlfn.XLOOKUP(Table1188717[[#This Row],[Opp]],Table4[DEF],Table4[Y]),_xlfn.XLOOKUP(Table1188717[[#This Row],[Opp]],Table44[DEF],Table44[Y]))</f>
        <v>#N/A</v>
      </c>
      <c r="O99" s="95" t="e">
        <f>IF(Table1188717[[#This Row],[Pos.]]="RB1",_xlfn.XLOOKUP(Table1188717[[#This Row],[Opp]],Table4[DEF],Table4[R+R]),_xlfn.XLOOKUP(Table1188717[[#This Row],[Opp]],Table44[DEF],Table44[R+R]))</f>
        <v>#N/A</v>
      </c>
      <c r="P99" s="96" t="e">
        <f>IF(Table1188717[[#This Row],[Pos.]]="RB1",_xlfn.XLOOKUP(Table1188717[[#This Row],[Opp]],Table4[DEF],Table4[TD]),_xlfn.XLOOKUP(Table1188717[[#This Row],[Opp]],Table44[DEF],Table44[TD]))</f>
        <v>#N/A</v>
      </c>
      <c r="Q99" s="94" t="e">
        <f>AVERAGE(Table1188717[[#This Row],[*R*]:[*TD*]])</f>
        <v>#N/A</v>
      </c>
    </row>
    <row r="100" spans="2:17" x14ac:dyDescent="0.35">
      <c r="B100" s="6" t="s">
        <v>304</v>
      </c>
      <c r="C100" s="97" t="s">
        <v>46</v>
      </c>
      <c r="D100" s="97" t="s">
        <v>394</v>
      </c>
      <c r="E100" s="23" t="str" cm="1">
        <f t="array" ref="E100">_xlfn.XLOOKUP(Table1188717[[#This Row],[Team]],Table4334[Team],'2425'!$C$3:$C$34)</f>
        <v>SB LX</v>
      </c>
      <c r="F100" s="97" t="str">
        <f>'2025'!$E$24</f>
        <v>SEA</v>
      </c>
      <c r="G100" s="94" cm="1">
        <f t="array" ref="G100">IF(Table1188717[[#This Row],[Pos.]]="RB1",_xlfn.XLOOKUP(Table1188717[[#This Row],[Opp]],Table4[DEF],'2025'!$H$38:$H$69),_xlfn.XLOOKUP(Table1188717[[#This Row],[Opp]],Table44[DEF],'2025'!$U$38:$U$69))</f>
        <v>28</v>
      </c>
      <c r="H100" s="94" cm="1">
        <f t="array" ref="H100">IF(Table1188717[[#This Row],[Pos.]]="RB1",_xlfn.XLOOKUP(Table1188717[[#This Row],[Opp]],Table4[DEF],'2025'!$I$38:$I$69),_xlfn.XLOOKUP(Table1188717[[#This Row],[Opp]],Table4[DEF],'2025'!$V$38:$V$69))</f>
        <v>2.5</v>
      </c>
      <c r="I100" s="94" cm="1">
        <f t="array" ref="I100">IF(Table1188717[[#This Row],[Pos.]]="RB1",_xlfn.XLOOKUP(Table1188717[[#This Row],[Opp]],Table4[DEF],'2025'!$J$38:$J$69),_xlfn.XLOOKUP(Table1188717[[#This Row],[Opp]],Table4[DEF],'2025'!$W$38:$W$69))</f>
        <v>10</v>
      </c>
      <c r="J100" s="94" cm="1">
        <f t="array" ref="J100">IF(Table1188717[[#This Row],[Pos.]]="RB1",_xlfn.XLOOKUP(Table1188717[[#This Row],[Opp]],Table4[DEF],'2025'!$K$38:$K$69),_xlfn.XLOOKUP(Table1188717[[#This Row],[Opp]],Table4[DEF],'2025'!$X$38:$X$69))</f>
        <v>28</v>
      </c>
      <c r="K100" s="94" cm="1">
        <f t="array" ref="K100">IF(Table1188717[[#This Row],[Pos.]]="RB1",_xlfn.XLOOKUP(Table1188717[[#This Row],[Opp]],Table4[DEF],'2025'!$L$38:$L$69),_xlfn.XLOOKUP(Table1188717[[#This Row],[Opp]],Table4[DEF],'2025'!$Y$38:$Y$69))</f>
        <v>27.5</v>
      </c>
      <c r="L100" s="95">
        <f>IF(Table1188717[[#This Row],[Pos.]]="RB1",_xlfn.XLOOKUP(Table1188717[[#This Row],[Opp]],Table4[DEF],Table4[R]),_xlfn.XLOOKUP(Table1188717[[#This Row],[Opp]],Table44[DEF],Table44[R]))</f>
        <v>20.588235294117649</v>
      </c>
      <c r="M100" s="96">
        <f>IF(Table1188717[[#This Row],[Pos.]]="RB1",_xlfn.XLOOKUP(Table1188717[[#This Row],[Opp]],Table4[DEF],Table4[REC]),_xlfn.XLOOKUP(Table1188717[[#This Row],[Opp]],Table44[DEF],Table44[REC]))</f>
        <v>2.1764705882352939</v>
      </c>
      <c r="N100" s="95">
        <f>IF(Table1188717[[#This Row],[Pos.]]="RB1",_xlfn.XLOOKUP(Table1188717[[#This Row],[Opp]],Table4[DEF],Table4[Y]),_xlfn.XLOOKUP(Table1188717[[#This Row],[Opp]],Table44[DEF],Table44[Y]))</f>
        <v>12</v>
      </c>
      <c r="O100" s="95">
        <f>IF(Table1188717[[#This Row],[Pos.]]="RB1",_xlfn.XLOOKUP(Table1188717[[#This Row],[Opp]],Table4[DEF],Table4[R+R]),_xlfn.XLOOKUP(Table1188717[[#This Row],[Opp]],Table44[DEF],Table44[R+R]))</f>
        <v>32.588235294117652</v>
      </c>
      <c r="P100" s="96">
        <f>IF(Table1188717[[#This Row],[Pos.]]="RB1",_xlfn.XLOOKUP(Table1188717[[#This Row],[Opp]],Table4[DEF],Table4[TD]),_xlfn.XLOOKUP(Table1188717[[#This Row],[Opp]],Table44[DEF],Table44[TD]))</f>
        <v>0.11764705882352941</v>
      </c>
      <c r="Q100" s="94">
        <f>AVERAGE(Table1188717[[#This Row],[*R*]:[*TD*]])</f>
        <v>19.2</v>
      </c>
    </row>
    <row r="101" spans="2:17" hidden="1" x14ac:dyDescent="0.35">
      <c r="B101" s="6" t="s">
        <v>288</v>
      </c>
      <c r="C101" s="97" t="s">
        <v>44</v>
      </c>
      <c r="D101" s="97" t="s">
        <v>394</v>
      </c>
      <c r="E101" s="23" t="str" cm="1">
        <f t="array" ref="E101">_xlfn.XLOOKUP(Table1188717[[#This Row],[Team]],Table4334[Team],'2425'!$C$3:$C$34)</f>
        <v>n/a</v>
      </c>
      <c r="F101" s="97" t="str">
        <f>'2025'!$E$22</f>
        <v>n/a</v>
      </c>
      <c r="G101" s="94" t="e" cm="1">
        <f t="array" ref="G101">IF(Table1188717[[#This Row],[Pos.]]="RB1",_xlfn.XLOOKUP(Table1188717[[#This Row],[Opp]],Table4[DEF],'2025'!$H$38:$H$69),_xlfn.XLOOKUP(Table1188717[[#This Row],[Opp]],Table44[DEF],'2025'!$U$38:$U$69))</f>
        <v>#N/A</v>
      </c>
      <c r="H101" s="94" t="e" cm="1">
        <f t="array" ref="H101">IF(Table1188717[[#This Row],[Pos.]]="RB1",_xlfn.XLOOKUP(Table1188717[[#This Row],[Opp]],Table4[DEF],'2025'!$I$38:$I$69),_xlfn.XLOOKUP(Table1188717[[#This Row],[Opp]],Table4[DEF],'2025'!$V$38:$V$69))</f>
        <v>#N/A</v>
      </c>
      <c r="I101" s="94" t="e" cm="1">
        <f t="array" ref="I101">IF(Table1188717[[#This Row],[Pos.]]="RB1",_xlfn.XLOOKUP(Table1188717[[#This Row],[Opp]],Table4[DEF],'2025'!$J$38:$J$69),_xlfn.XLOOKUP(Table1188717[[#This Row],[Opp]],Table4[DEF],'2025'!$W$38:$W$69))</f>
        <v>#N/A</v>
      </c>
      <c r="J101" s="94" t="e" cm="1">
        <f t="array" ref="J101">IF(Table1188717[[#This Row],[Pos.]]="RB1",_xlfn.XLOOKUP(Table1188717[[#This Row],[Opp]],Table4[DEF],'2025'!$K$38:$K$69),_xlfn.XLOOKUP(Table1188717[[#This Row],[Opp]],Table4[DEF],'2025'!$X$38:$X$69))</f>
        <v>#N/A</v>
      </c>
      <c r="K101" s="94" t="e" cm="1">
        <f t="array" ref="K101">IF(Table1188717[[#This Row],[Pos.]]="RB1",_xlfn.XLOOKUP(Table1188717[[#This Row],[Opp]],Table4[DEF],'2025'!$L$38:$L$69),_xlfn.XLOOKUP(Table1188717[[#This Row],[Opp]],Table4[DEF],'2025'!$Y$38:$Y$69))</f>
        <v>#N/A</v>
      </c>
      <c r="L101" s="95" t="e">
        <f>IF(Table1188717[[#This Row],[Pos.]]="RB1",_xlfn.XLOOKUP(Table1188717[[#This Row],[Opp]],Table4[DEF],Table4[R]),_xlfn.XLOOKUP(Table1188717[[#This Row],[Opp]],Table44[DEF],Table44[R]))</f>
        <v>#N/A</v>
      </c>
      <c r="M101" s="96" t="e">
        <f>IF(Table1188717[[#This Row],[Pos.]]="RB1",_xlfn.XLOOKUP(Table1188717[[#This Row],[Opp]],Table4[DEF],Table4[REC]),_xlfn.XLOOKUP(Table1188717[[#This Row],[Opp]],Table44[DEF],Table44[REC]))</f>
        <v>#N/A</v>
      </c>
      <c r="N101" s="95" t="e">
        <f>IF(Table1188717[[#This Row],[Pos.]]="RB1",_xlfn.XLOOKUP(Table1188717[[#This Row],[Opp]],Table4[DEF],Table4[Y]),_xlfn.XLOOKUP(Table1188717[[#This Row],[Opp]],Table44[DEF],Table44[Y]))</f>
        <v>#N/A</v>
      </c>
      <c r="O101" s="95" t="e">
        <f>IF(Table1188717[[#This Row],[Pos.]]="RB1",_xlfn.XLOOKUP(Table1188717[[#This Row],[Opp]],Table4[DEF],Table4[R+R]),_xlfn.XLOOKUP(Table1188717[[#This Row],[Opp]],Table44[DEF],Table44[R+R]))</f>
        <v>#N/A</v>
      </c>
      <c r="P101" s="96" t="e">
        <f>IF(Table1188717[[#This Row],[Pos.]]="RB1",_xlfn.XLOOKUP(Table1188717[[#This Row],[Opp]],Table4[DEF],Table4[TD]),_xlfn.XLOOKUP(Table1188717[[#This Row],[Opp]],Table44[DEF],Table44[TD]))</f>
        <v>#N/A</v>
      </c>
      <c r="Q101" s="94" t="e">
        <f>AVERAGE(Table1188717[[#This Row],[*R*]:[*TD*]])</f>
        <v>#N/A</v>
      </c>
    </row>
    <row r="102" spans="2:17" hidden="1" x14ac:dyDescent="0.35">
      <c r="B102" s="6" t="s">
        <v>361</v>
      </c>
      <c r="C102" s="97" t="s">
        <v>53</v>
      </c>
      <c r="D102" s="97" t="s">
        <v>396</v>
      </c>
      <c r="E102" s="23" t="str" cm="1">
        <f t="array" ref="E102">_xlfn.XLOOKUP(Table1188717[[#This Row],[Team]],Table4334[Team],'2425'!$C$3:$C$34)</f>
        <v>n/a</v>
      </c>
      <c r="F102" s="97" t="str">
        <f>'2025'!$E$31</f>
        <v>n/a</v>
      </c>
      <c r="G102" s="94" t="e" cm="1">
        <f t="array" ref="G102">IF(Table1188717[[#This Row],[Pos.]]="RB1",_xlfn.XLOOKUP(Table1188717[[#This Row],[Opp]],Table4[DEF],'2025'!$H$38:$H$69),_xlfn.XLOOKUP(Table1188717[[#This Row],[Opp]],Table44[DEF],'2025'!$U$38:$U$69))</f>
        <v>#N/A</v>
      </c>
      <c r="H102" s="94" t="e" cm="1">
        <f t="array" ref="H102">IF(Table1188717[[#This Row],[Pos.]]="RB1",_xlfn.XLOOKUP(Table1188717[[#This Row],[Opp]],Table4[DEF],'2025'!$I$38:$I$69),_xlfn.XLOOKUP(Table1188717[[#This Row],[Opp]],Table4[DEF],'2025'!$V$38:$V$69))</f>
        <v>#N/A</v>
      </c>
      <c r="I102" s="94" t="e" cm="1">
        <f t="array" ref="I102">IF(Table1188717[[#This Row],[Pos.]]="RB1",_xlfn.XLOOKUP(Table1188717[[#This Row],[Opp]],Table4[DEF],'2025'!$J$38:$J$69),_xlfn.XLOOKUP(Table1188717[[#This Row],[Opp]],Table4[DEF],'2025'!$W$38:$W$69))</f>
        <v>#N/A</v>
      </c>
      <c r="J102" s="94" t="e" cm="1">
        <f t="array" ref="J102">IF(Table1188717[[#This Row],[Pos.]]="RB1",_xlfn.XLOOKUP(Table1188717[[#This Row],[Opp]],Table4[DEF],'2025'!$K$38:$K$69),_xlfn.XLOOKUP(Table1188717[[#This Row],[Opp]],Table4[DEF],'2025'!$X$38:$X$69))</f>
        <v>#N/A</v>
      </c>
      <c r="K102" s="94" t="e" cm="1">
        <f t="array" ref="K102">IF(Table1188717[[#This Row],[Pos.]]="RB1",_xlfn.XLOOKUP(Table1188717[[#This Row],[Opp]],Table4[DEF],'2025'!$L$38:$L$69),_xlfn.XLOOKUP(Table1188717[[#This Row],[Opp]],Table4[DEF],'2025'!$Y$38:$Y$69))</f>
        <v>#N/A</v>
      </c>
      <c r="L102" s="95" t="e">
        <f>IF(Table1188717[[#This Row],[Pos.]]="RB1",_xlfn.XLOOKUP(Table1188717[[#This Row],[Opp]],Table4[DEF],Table4[R]),_xlfn.XLOOKUP(Table1188717[[#This Row],[Opp]],Table44[DEF],Table44[R]))</f>
        <v>#N/A</v>
      </c>
      <c r="M102" s="96" t="e">
        <f>IF(Table1188717[[#This Row],[Pos.]]="RB1",_xlfn.XLOOKUP(Table1188717[[#This Row],[Opp]],Table4[DEF],Table4[REC]),_xlfn.XLOOKUP(Table1188717[[#This Row],[Opp]],Table44[DEF],Table44[REC]))</f>
        <v>#N/A</v>
      </c>
      <c r="N102" s="95" t="e">
        <f>IF(Table1188717[[#This Row],[Pos.]]="RB1",_xlfn.XLOOKUP(Table1188717[[#This Row],[Opp]],Table4[DEF],Table4[Y]),_xlfn.XLOOKUP(Table1188717[[#This Row],[Opp]],Table44[DEF],Table44[Y]))</f>
        <v>#N/A</v>
      </c>
      <c r="O102" s="95" t="e">
        <f>IF(Table1188717[[#This Row],[Pos.]]="RB1",_xlfn.XLOOKUP(Table1188717[[#This Row],[Opp]],Table4[DEF],Table4[R+R]),_xlfn.XLOOKUP(Table1188717[[#This Row],[Opp]],Table44[DEF],Table44[R+R]))</f>
        <v>#N/A</v>
      </c>
      <c r="P102" s="96" t="e">
        <f>IF(Table1188717[[#This Row],[Pos.]]="RB1",_xlfn.XLOOKUP(Table1188717[[#This Row],[Opp]],Table4[DEF],Table4[TD]),_xlfn.XLOOKUP(Table1188717[[#This Row],[Opp]],Table44[DEF],Table44[TD]))</f>
        <v>#N/A</v>
      </c>
      <c r="Q102" s="94" t="e">
        <f>AVERAGE(Table1188717[[#This Row],[*R*]:[*TD*]])</f>
        <v>#N/A</v>
      </c>
    </row>
    <row r="103" spans="2:17" hidden="1" x14ac:dyDescent="0.35">
      <c r="B103" s="6" t="s">
        <v>362</v>
      </c>
      <c r="C103" s="97" t="s">
        <v>53</v>
      </c>
      <c r="D103" s="97" t="s">
        <v>407</v>
      </c>
      <c r="E103" s="23" t="str" cm="1">
        <f t="array" ref="E103">_xlfn.XLOOKUP(Table1188717[[#This Row],[Team]],Table4334[Team],'2425'!$C$3:$C$34)</f>
        <v>n/a</v>
      </c>
      <c r="F103" s="97" t="str">
        <f>'2025'!$E$31</f>
        <v>n/a</v>
      </c>
      <c r="G103" s="94" t="e" cm="1">
        <f t="array" ref="G103">IF(Table1188717[[#This Row],[Pos.]]="RB1",_xlfn.XLOOKUP(Table1188717[[#This Row],[Opp]],Table4[DEF],'2025'!$H$38:$H$69),_xlfn.XLOOKUP(Table1188717[[#This Row],[Opp]],Table44[DEF],'2025'!$U$38:$U$69))</f>
        <v>#N/A</v>
      </c>
      <c r="H103" s="94" t="e" cm="1">
        <f t="array" ref="H103">IF(Table1188717[[#This Row],[Pos.]]="RB1",_xlfn.XLOOKUP(Table1188717[[#This Row],[Opp]],Table4[DEF],'2025'!$I$38:$I$69),_xlfn.XLOOKUP(Table1188717[[#This Row],[Opp]],Table4[DEF],'2025'!$V$38:$V$69))</f>
        <v>#N/A</v>
      </c>
      <c r="I103" s="94" t="e" cm="1">
        <f t="array" ref="I103">IF(Table1188717[[#This Row],[Pos.]]="RB1",_xlfn.XLOOKUP(Table1188717[[#This Row],[Opp]],Table4[DEF],'2025'!$J$38:$J$69),_xlfn.XLOOKUP(Table1188717[[#This Row],[Opp]],Table4[DEF],'2025'!$W$38:$W$69))</f>
        <v>#N/A</v>
      </c>
      <c r="J103" s="94" t="e" cm="1">
        <f t="array" ref="J103">IF(Table1188717[[#This Row],[Pos.]]="RB1",_xlfn.XLOOKUP(Table1188717[[#This Row],[Opp]],Table4[DEF],'2025'!$K$38:$K$69),_xlfn.XLOOKUP(Table1188717[[#This Row],[Opp]],Table4[DEF],'2025'!$X$38:$X$69))</f>
        <v>#N/A</v>
      </c>
      <c r="K103" s="94" t="e" cm="1">
        <f t="array" ref="K103">IF(Table1188717[[#This Row],[Pos.]]="RB1",_xlfn.XLOOKUP(Table1188717[[#This Row],[Opp]],Table4[DEF],'2025'!$L$38:$L$69),_xlfn.XLOOKUP(Table1188717[[#This Row],[Opp]],Table4[DEF],'2025'!$Y$38:$Y$69))</f>
        <v>#N/A</v>
      </c>
      <c r="L103" s="95" t="e">
        <f>IF(Table1188717[[#This Row],[Pos.]]="RB1",_xlfn.XLOOKUP(Table1188717[[#This Row],[Opp]],Table4[DEF],Table4[R]),_xlfn.XLOOKUP(Table1188717[[#This Row],[Opp]],Table44[DEF],Table44[R]))</f>
        <v>#N/A</v>
      </c>
      <c r="M103" s="96" t="e">
        <f>IF(Table1188717[[#This Row],[Pos.]]="RB1",_xlfn.XLOOKUP(Table1188717[[#This Row],[Opp]],Table4[DEF],Table4[REC]),_xlfn.XLOOKUP(Table1188717[[#This Row],[Opp]],Table44[DEF],Table44[REC]))</f>
        <v>#N/A</v>
      </c>
      <c r="N103" s="95" t="e">
        <f>IF(Table1188717[[#This Row],[Pos.]]="RB1",_xlfn.XLOOKUP(Table1188717[[#This Row],[Opp]],Table4[DEF],Table4[Y]),_xlfn.XLOOKUP(Table1188717[[#This Row],[Opp]],Table44[DEF],Table44[Y]))</f>
        <v>#N/A</v>
      </c>
      <c r="O103" s="95" t="e">
        <f>IF(Table1188717[[#This Row],[Pos.]]="RB1",_xlfn.XLOOKUP(Table1188717[[#This Row],[Opp]],Table4[DEF],Table4[R+R]),_xlfn.XLOOKUP(Table1188717[[#This Row],[Opp]],Table44[DEF],Table44[R+R]))</f>
        <v>#N/A</v>
      </c>
      <c r="P103" s="96" t="e">
        <f>IF(Table1188717[[#This Row],[Pos.]]="RB1",_xlfn.XLOOKUP(Table1188717[[#This Row],[Opp]],Table4[DEF],Table4[TD]),_xlfn.XLOOKUP(Table1188717[[#This Row],[Opp]],Table44[DEF],Table44[TD]))</f>
        <v>#N/A</v>
      </c>
      <c r="Q103" s="94" t="e">
        <f>AVERAGE(Table1188717[[#This Row],[*R*]:[*TD*]])</f>
        <v>#N/A</v>
      </c>
    </row>
    <row r="104" spans="2:17" hidden="1" x14ac:dyDescent="0.35">
      <c r="B104" s="6" t="s">
        <v>120</v>
      </c>
      <c r="C104" s="97" t="s">
        <v>16</v>
      </c>
      <c r="D104" s="97" t="s">
        <v>394</v>
      </c>
      <c r="E104" s="23" t="str" cm="1">
        <f t="array" ref="E104">_xlfn.XLOOKUP(Table1188717[[#This Row],[Team]],Table4334[Team],'2425'!$C$3:$C$34)</f>
        <v>n/a</v>
      </c>
      <c r="F104" s="97" t="str">
        <f>'2025'!$E$5</f>
        <v>n/a</v>
      </c>
      <c r="G104" s="94" t="e" cm="1">
        <f t="array" ref="G104">IF(Table1188717[[#This Row],[Pos.]]="RB1",_xlfn.XLOOKUP(Table1188717[[#This Row],[Opp]],Table4[DEF],'2025'!$H$38:$H$69),_xlfn.XLOOKUP(Table1188717[[#This Row],[Opp]],Table44[DEF],'2025'!$U$38:$U$69))</f>
        <v>#N/A</v>
      </c>
      <c r="H104" s="94" t="e" cm="1">
        <f t="array" ref="H104">IF(Table1188717[[#This Row],[Pos.]]="RB1",_xlfn.XLOOKUP(Table1188717[[#This Row],[Opp]],Table4[DEF],'2025'!$I$38:$I$69),_xlfn.XLOOKUP(Table1188717[[#This Row],[Opp]],Table4[DEF],'2025'!$V$38:$V$69))</f>
        <v>#N/A</v>
      </c>
      <c r="I104" s="94" t="e" cm="1">
        <f t="array" ref="I104">IF(Table1188717[[#This Row],[Pos.]]="RB1",_xlfn.XLOOKUP(Table1188717[[#This Row],[Opp]],Table4[DEF],'2025'!$J$38:$J$69),_xlfn.XLOOKUP(Table1188717[[#This Row],[Opp]],Table4[DEF],'2025'!$W$38:$W$69))</f>
        <v>#N/A</v>
      </c>
      <c r="J104" s="94" t="e" cm="1">
        <f t="array" ref="J104">IF(Table1188717[[#This Row],[Pos.]]="RB1",_xlfn.XLOOKUP(Table1188717[[#This Row],[Opp]],Table4[DEF],'2025'!$K$38:$K$69),_xlfn.XLOOKUP(Table1188717[[#This Row],[Opp]],Table4[DEF],'2025'!$X$38:$X$69))</f>
        <v>#N/A</v>
      </c>
      <c r="K104" s="94" t="e" cm="1">
        <f t="array" ref="K104">IF(Table1188717[[#This Row],[Pos.]]="RB1",_xlfn.XLOOKUP(Table1188717[[#This Row],[Opp]],Table4[DEF],'2025'!$L$38:$L$69),_xlfn.XLOOKUP(Table1188717[[#This Row],[Opp]],Table4[DEF],'2025'!$Y$38:$Y$69))</f>
        <v>#N/A</v>
      </c>
      <c r="L104" s="95" t="e">
        <f>IF(Table1188717[[#This Row],[Pos.]]="RB1",_xlfn.XLOOKUP(Table1188717[[#This Row],[Opp]],Table4[DEF],Table4[R]),_xlfn.XLOOKUP(Table1188717[[#This Row],[Opp]],Table44[DEF],Table44[R]))</f>
        <v>#N/A</v>
      </c>
      <c r="M104" s="96" t="e">
        <f>IF(Table1188717[[#This Row],[Pos.]]="RB1",_xlfn.XLOOKUP(Table1188717[[#This Row],[Opp]],Table4[DEF],Table4[REC]),_xlfn.XLOOKUP(Table1188717[[#This Row],[Opp]],Table44[DEF],Table44[REC]))</f>
        <v>#N/A</v>
      </c>
      <c r="N104" s="95" t="e">
        <f>IF(Table1188717[[#This Row],[Pos.]]="RB1",_xlfn.XLOOKUP(Table1188717[[#This Row],[Opp]],Table4[DEF],Table4[Y]),_xlfn.XLOOKUP(Table1188717[[#This Row],[Opp]],Table44[DEF],Table44[Y]))</f>
        <v>#N/A</v>
      </c>
      <c r="O104" s="95" t="e">
        <f>IF(Table1188717[[#This Row],[Pos.]]="RB1",_xlfn.XLOOKUP(Table1188717[[#This Row],[Opp]],Table4[DEF],Table4[R+R]),_xlfn.XLOOKUP(Table1188717[[#This Row],[Opp]],Table44[DEF],Table44[R+R]))</f>
        <v>#N/A</v>
      </c>
      <c r="P104" s="96" t="e">
        <f>IF(Table1188717[[#This Row],[Pos.]]="RB1",_xlfn.XLOOKUP(Table1188717[[#This Row],[Opp]],Table4[DEF],Table4[TD]),_xlfn.XLOOKUP(Table1188717[[#This Row],[Opp]],Table44[DEF],Table44[TD]))</f>
        <v>#N/A</v>
      </c>
      <c r="Q104" s="94" t="e">
        <f>AVERAGE(Table1188717[[#This Row],[*R*]:[*TD*]])</f>
        <v>#N/A</v>
      </c>
    </row>
    <row r="105" spans="2:17" x14ac:dyDescent="0.35">
      <c r="B105" s="6" t="s">
        <v>192</v>
      </c>
      <c r="C105" s="97" t="s">
        <v>34</v>
      </c>
      <c r="D105" s="97" t="s">
        <v>394</v>
      </c>
      <c r="E105" s="23" t="str" cm="1">
        <f t="array" ref="E105">_xlfn.XLOOKUP(Table1188717[[#This Row],[Team]],Table4334[Team],'2425'!$C$3:$C$34)</f>
        <v>n/a</v>
      </c>
      <c r="F105" s="97" t="str">
        <f>'2025'!$E$12</f>
        <v>n/a</v>
      </c>
      <c r="G105" s="94" t="e" cm="1">
        <f t="array" ref="G105">IF(Table1188717[[#This Row],[Pos.]]="RB1",_xlfn.XLOOKUP(Table1188717[[#This Row],[Opp]],Table4[DEF],'2025'!$H$38:$H$69),_xlfn.XLOOKUP(Table1188717[[#This Row],[Opp]],Table44[DEF],'2025'!$U$38:$U$69))</f>
        <v>#N/A</v>
      </c>
      <c r="H105" s="94" t="e" cm="1">
        <f t="array" ref="H105">IF(Table1188717[[#This Row],[Pos.]]="RB1",_xlfn.XLOOKUP(Table1188717[[#This Row],[Opp]],Table4[DEF],'2025'!$I$38:$I$69),_xlfn.XLOOKUP(Table1188717[[#This Row],[Opp]],Table4[DEF],'2025'!$V$38:$V$69))</f>
        <v>#N/A</v>
      </c>
      <c r="I105" s="94" t="e" cm="1">
        <f t="array" ref="I105">IF(Table1188717[[#This Row],[Pos.]]="RB1",_xlfn.XLOOKUP(Table1188717[[#This Row],[Opp]],Table4[DEF],'2025'!$J$38:$J$69),_xlfn.XLOOKUP(Table1188717[[#This Row],[Opp]],Table4[DEF],'2025'!$W$38:$W$69))</f>
        <v>#N/A</v>
      </c>
      <c r="J105" s="94" t="e" cm="1">
        <f t="array" ref="J105">IF(Table1188717[[#This Row],[Pos.]]="RB1",_xlfn.XLOOKUP(Table1188717[[#This Row],[Opp]],Table4[DEF],'2025'!$K$38:$K$69),_xlfn.XLOOKUP(Table1188717[[#This Row],[Opp]],Table4[DEF],'2025'!$X$38:$X$69))</f>
        <v>#N/A</v>
      </c>
      <c r="K105" s="94" t="e" cm="1">
        <f t="array" ref="K105">IF(Table1188717[[#This Row],[Pos.]]="RB1",_xlfn.XLOOKUP(Table1188717[[#This Row],[Opp]],Table4[DEF],'2025'!$L$38:$L$69),_xlfn.XLOOKUP(Table1188717[[#This Row],[Opp]],Table4[DEF],'2025'!$Y$38:$Y$69))</f>
        <v>#N/A</v>
      </c>
      <c r="L105" s="95" t="e">
        <f>IF(Table1188717[[#This Row],[Pos.]]="RB1",_xlfn.XLOOKUP(Table1188717[[#This Row],[Opp]],Table4[DEF],Table4[R]),_xlfn.XLOOKUP(Table1188717[[#This Row],[Opp]],Table44[DEF],Table44[R]))</f>
        <v>#N/A</v>
      </c>
      <c r="M105" s="96" t="e">
        <f>IF(Table1188717[[#This Row],[Pos.]]="RB1",_xlfn.XLOOKUP(Table1188717[[#This Row],[Opp]],Table4[DEF],Table4[REC]),_xlfn.XLOOKUP(Table1188717[[#This Row],[Opp]],Table44[DEF],Table44[REC]))</f>
        <v>#N/A</v>
      </c>
      <c r="N105" s="95" t="e">
        <f>IF(Table1188717[[#This Row],[Pos.]]="RB1",_xlfn.XLOOKUP(Table1188717[[#This Row],[Opp]],Table4[DEF],Table4[Y]),_xlfn.XLOOKUP(Table1188717[[#This Row],[Opp]],Table44[DEF],Table44[Y]))</f>
        <v>#N/A</v>
      </c>
      <c r="O105" s="95" t="e">
        <f>IF(Table1188717[[#This Row],[Pos.]]="RB1",_xlfn.XLOOKUP(Table1188717[[#This Row],[Opp]],Table4[DEF],Table4[R+R]),_xlfn.XLOOKUP(Table1188717[[#This Row],[Opp]],Table44[DEF],Table44[R+R]))</f>
        <v>#N/A</v>
      </c>
      <c r="P105" s="96" t="e">
        <f>IF(Table1188717[[#This Row],[Pos.]]="RB1",_xlfn.XLOOKUP(Table1188717[[#This Row],[Opp]],Table4[DEF],Table4[TD]),_xlfn.XLOOKUP(Table1188717[[#This Row],[Opp]],Table44[DEF],Table44[TD]))</f>
        <v>#N/A</v>
      </c>
      <c r="Q105" s="94" t="e">
        <f>AVERAGE(Table1188717[[#This Row],[*R*]:[*TD*]])</f>
        <v>#N/A</v>
      </c>
    </row>
    <row r="106" spans="2:17" hidden="1" x14ac:dyDescent="0.35">
      <c r="B106" s="6" t="s">
        <v>117</v>
      </c>
      <c r="C106" s="97" t="s">
        <v>29</v>
      </c>
      <c r="D106" s="97" t="s">
        <v>394</v>
      </c>
      <c r="E106" s="23" t="str" cm="1">
        <f t="array" ref="E106">_xlfn.XLOOKUP(Table1188717[[#This Row],[Team]],Table4334[Team],'2425'!$C$3:$C$34)</f>
        <v>n/a</v>
      </c>
      <c r="F106" s="97" t="str">
        <f>'2025'!$E$7</f>
        <v>n/a</v>
      </c>
      <c r="G106" s="94" t="e" cm="1">
        <f t="array" ref="G106">IF(Table1188717[[#This Row],[Pos.]]="RB1",_xlfn.XLOOKUP(Table1188717[[#This Row],[Opp]],Table4[DEF],'2025'!$H$38:$H$69),_xlfn.XLOOKUP(Table1188717[[#This Row],[Opp]],Table44[DEF],'2025'!$U$38:$U$69))</f>
        <v>#N/A</v>
      </c>
      <c r="H106" s="94" t="e" cm="1">
        <f t="array" ref="H106">IF(Table1188717[[#This Row],[Pos.]]="RB1",_xlfn.XLOOKUP(Table1188717[[#This Row],[Opp]],Table4[DEF],'2025'!$I$38:$I$69),_xlfn.XLOOKUP(Table1188717[[#This Row],[Opp]],Table4[DEF],'2025'!$V$38:$V$69))</f>
        <v>#N/A</v>
      </c>
      <c r="I106" s="94" t="e" cm="1">
        <f t="array" ref="I106">IF(Table1188717[[#This Row],[Pos.]]="RB1",_xlfn.XLOOKUP(Table1188717[[#This Row],[Opp]],Table4[DEF],'2025'!$J$38:$J$69),_xlfn.XLOOKUP(Table1188717[[#This Row],[Opp]],Table4[DEF],'2025'!$W$38:$W$69))</f>
        <v>#N/A</v>
      </c>
      <c r="J106" s="94" t="e" cm="1">
        <f t="array" ref="J106">IF(Table1188717[[#This Row],[Pos.]]="RB1",_xlfn.XLOOKUP(Table1188717[[#This Row],[Opp]],Table4[DEF],'2025'!$K$38:$K$69),_xlfn.XLOOKUP(Table1188717[[#This Row],[Opp]],Table4[DEF],'2025'!$X$38:$X$69))</f>
        <v>#N/A</v>
      </c>
      <c r="K106" s="94" t="e" cm="1">
        <f t="array" ref="K106">IF(Table1188717[[#This Row],[Pos.]]="RB1",_xlfn.XLOOKUP(Table1188717[[#This Row],[Opp]],Table4[DEF],'2025'!$L$38:$L$69),_xlfn.XLOOKUP(Table1188717[[#This Row],[Opp]],Table4[DEF],'2025'!$Y$38:$Y$69))</f>
        <v>#N/A</v>
      </c>
      <c r="L106" s="95" t="e">
        <f>IF(Table1188717[[#This Row],[Pos.]]="RB1",_xlfn.XLOOKUP(Table1188717[[#This Row],[Opp]],Table4[DEF],Table4[R]),_xlfn.XLOOKUP(Table1188717[[#This Row],[Opp]],Table44[DEF],Table44[R]))</f>
        <v>#N/A</v>
      </c>
      <c r="M106" s="96" t="e">
        <f>IF(Table1188717[[#This Row],[Pos.]]="RB1",_xlfn.XLOOKUP(Table1188717[[#This Row],[Opp]],Table4[DEF],Table4[REC]),_xlfn.XLOOKUP(Table1188717[[#This Row],[Opp]],Table44[DEF],Table44[REC]))</f>
        <v>#N/A</v>
      </c>
      <c r="N106" s="95" t="e">
        <f>IF(Table1188717[[#This Row],[Pos.]]="RB1",_xlfn.XLOOKUP(Table1188717[[#This Row],[Opp]],Table4[DEF],Table4[Y]),_xlfn.XLOOKUP(Table1188717[[#This Row],[Opp]],Table44[DEF],Table44[Y]))</f>
        <v>#N/A</v>
      </c>
      <c r="O106" s="95" t="e">
        <f>IF(Table1188717[[#This Row],[Pos.]]="RB1",_xlfn.XLOOKUP(Table1188717[[#This Row],[Opp]],Table4[DEF],Table4[R+R]),_xlfn.XLOOKUP(Table1188717[[#This Row],[Opp]],Table44[DEF],Table44[R+R]))</f>
        <v>#N/A</v>
      </c>
      <c r="P106" s="96" t="e">
        <f>IF(Table1188717[[#This Row],[Pos.]]="RB1",_xlfn.XLOOKUP(Table1188717[[#This Row],[Opp]],Table4[DEF],Table4[TD]),_xlfn.XLOOKUP(Table1188717[[#This Row],[Opp]],Table44[DEF],Table44[TD]))</f>
        <v>#N/A</v>
      </c>
      <c r="Q106" s="94" t="e">
        <f>AVERAGE(Table1188717[[#This Row],[*R*]:[*TD*]])</f>
        <v>#N/A</v>
      </c>
    </row>
    <row r="107" spans="2:17" hidden="1" x14ac:dyDescent="0.35">
      <c r="B107" s="6" t="s">
        <v>345</v>
      </c>
      <c r="C107" s="97" t="s">
        <v>51</v>
      </c>
      <c r="D107" s="97" t="s">
        <v>394</v>
      </c>
      <c r="E107" s="23" t="str" cm="1">
        <f t="array" ref="E107">_xlfn.XLOOKUP(Table1188717[[#This Row],[Team]],Table4334[Team],'2425'!$C$3:$C$34)</f>
        <v>n/a</v>
      </c>
      <c r="F107" s="97" t="str">
        <f>'2025'!$E$29</f>
        <v>n/a</v>
      </c>
      <c r="G107" s="94" t="e" cm="1">
        <f t="array" ref="G107">IF(Table1188717[[#This Row],[Pos.]]="RB1",_xlfn.XLOOKUP(Table1188717[[#This Row],[Opp]],Table4[DEF],'2025'!$H$38:$H$69),_xlfn.XLOOKUP(Table1188717[[#This Row],[Opp]],Table44[DEF],'2025'!$U$38:$U$69))</f>
        <v>#N/A</v>
      </c>
      <c r="H107" s="94" t="e" cm="1">
        <f t="array" ref="H107">IF(Table1188717[[#This Row],[Pos.]]="RB1",_xlfn.XLOOKUP(Table1188717[[#This Row],[Opp]],Table4[DEF],'2025'!$I$38:$I$69),_xlfn.XLOOKUP(Table1188717[[#This Row],[Opp]],Table4[DEF],'2025'!$V$38:$V$69))</f>
        <v>#N/A</v>
      </c>
      <c r="I107" s="94" t="e" cm="1">
        <f t="array" ref="I107">IF(Table1188717[[#This Row],[Pos.]]="RB1",_xlfn.XLOOKUP(Table1188717[[#This Row],[Opp]],Table4[DEF],'2025'!$J$38:$J$69),_xlfn.XLOOKUP(Table1188717[[#This Row],[Opp]],Table4[DEF],'2025'!$W$38:$W$69))</f>
        <v>#N/A</v>
      </c>
      <c r="J107" s="94" t="e" cm="1">
        <f t="array" ref="J107">IF(Table1188717[[#This Row],[Pos.]]="RB1",_xlfn.XLOOKUP(Table1188717[[#This Row],[Opp]],Table4[DEF],'2025'!$K$38:$K$69),_xlfn.XLOOKUP(Table1188717[[#This Row],[Opp]],Table4[DEF],'2025'!$X$38:$X$69))</f>
        <v>#N/A</v>
      </c>
      <c r="K107" s="94" t="e" cm="1">
        <f t="array" ref="K107">IF(Table1188717[[#This Row],[Pos.]]="RB1",_xlfn.XLOOKUP(Table1188717[[#This Row],[Opp]],Table4[DEF],'2025'!$L$38:$L$69),_xlfn.XLOOKUP(Table1188717[[#This Row],[Opp]],Table4[DEF],'2025'!$Y$38:$Y$69))</f>
        <v>#N/A</v>
      </c>
      <c r="L107" s="95" t="e">
        <f>IF(Table1188717[[#This Row],[Pos.]]="RB1",_xlfn.XLOOKUP(Table1188717[[#This Row],[Opp]],Table4[DEF],Table4[R]),_xlfn.XLOOKUP(Table1188717[[#This Row],[Opp]],Table44[DEF],Table44[R]))</f>
        <v>#N/A</v>
      </c>
      <c r="M107" s="96" t="e">
        <f>IF(Table1188717[[#This Row],[Pos.]]="RB1",_xlfn.XLOOKUP(Table1188717[[#This Row],[Opp]],Table4[DEF],Table4[REC]),_xlfn.XLOOKUP(Table1188717[[#This Row],[Opp]],Table44[DEF],Table44[REC]))</f>
        <v>#N/A</v>
      </c>
      <c r="N107" s="95" t="e">
        <f>IF(Table1188717[[#This Row],[Pos.]]="RB1",_xlfn.XLOOKUP(Table1188717[[#This Row],[Opp]],Table4[DEF],Table4[Y]),_xlfn.XLOOKUP(Table1188717[[#This Row],[Opp]],Table44[DEF],Table44[Y]))</f>
        <v>#N/A</v>
      </c>
      <c r="O107" s="95" t="e">
        <f>IF(Table1188717[[#This Row],[Pos.]]="RB1",_xlfn.XLOOKUP(Table1188717[[#This Row],[Opp]],Table4[DEF],Table4[R+R]),_xlfn.XLOOKUP(Table1188717[[#This Row],[Opp]],Table44[DEF],Table44[R+R]))</f>
        <v>#N/A</v>
      </c>
      <c r="P107" s="96" t="e">
        <f>IF(Table1188717[[#This Row],[Pos.]]="RB1",_xlfn.XLOOKUP(Table1188717[[#This Row],[Opp]],Table4[DEF],Table4[TD]),_xlfn.XLOOKUP(Table1188717[[#This Row],[Opp]],Table44[DEF],Table44[TD]))</f>
        <v>#N/A</v>
      </c>
      <c r="Q107" s="94" t="e">
        <f>AVERAGE(Table1188717[[#This Row],[*R*]:[*TD*]])</f>
        <v>#N/A</v>
      </c>
    </row>
    <row r="108" spans="2:17" hidden="1" x14ac:dyDescent="0.35">
      <c r="B108" s="6" t="s">
        <v>237</v>
      </c>
      <c r="C108" s="97" t="s">
        <v>39</v>
      </c>
      <c r="D108" s="97" t="s">
        <v>394</v>
      </c>
      <c r="E108" s="23" t="str" cm="1">
        <f t="array" ref="E108">_xlfn.XLOOKUP(Table1188717[[#This Row],[Team]],Table4334[Team],'2425'!$C$3:$C$34)</f>
        <v>n/a</v>
      </c>
      <c r="F108" s="97" t="str">
        <f>'2025'!$E$17</f>
        <v>n/a</v>
      </c>
      <c r="G108" s="94" t="e" cm="1">
        <f t="array" ref="G108">IF(Table1188717[[#This Row],[Pos.]]="RB1",_xlfn.XLOOKUP(Table1188717[[#This Row],[Opp]],Table4[DEF],'2025'!$H$38:$H$69),_xlfn.XLOOKUP(Table1188717[[#This Row],[Opp]],Table44[DEF],'2025'!$U$38:$U$69))</f>
        <v>#N/A</v>
      </c>
      <c r="H108" s="94" t="e" cm="1">
        <f t="array" ref="H108">IF(Table1188717[[#This Row],[Pos.]]="RB1",_xlfn.XLOOKUP(Table1188717[[#This Row],[Opp]],Table4[DEF],'2025'!$I$38:$I$69),_xlfn.XLOOKUP(Table1188717[[#This Row],[Opp]],Table4[DEF],'2025'!$V$38:$V$69))</f>
        <v>#N/A</v>
      </c>
      <c r="I108" s="94" t="e" cm="1">
        <f t="array" ref="I108">IF(Table1188717[[#This Row],[Pos.]]="RB1",_xlfn.XLOOKUP(Table1188717[[#This Row],[Opp]],Table4[DEF],'2025'!$J$38:$J$69),_xlfn.XLOOKUP(Table1188717[[#This Row],[Opp]],Table4[DEF],'2025'!$W$38:$W$69))</f>
        <v>#N/A</v>
      </c>
      <c r="J108" s="94" t="e" cm="1">
        <f t="array" ref="J108">IF(Table1188717[[#This Row],[Pos.]]="RB1",_xlfn.XLOOKUP(Table1188717[[#This Row],[Opp]],Table4[DEF],'2025'!$K$38:$K$69),_xlfn.XLOOKUP(Table1188717[[#This Row],[Opp]],Table4[DEF],'2025'!$X$38:$X$69))</f>
        <v>#N/A</v>
      </c>
      <c r="K108" s="94" t="e" cm="1">
        <f t="array" ref="K108">IF(Table1188717[[#This Row],[Pos.]]="RB1",_xlfn.XLOOKUP(Table1188717[[#This Row],[Opp]],Table4[DEF],'2025'!$L$38:$L$69),_xlfn.XLOOKUP(Table1188717[[#This Row],[Opp]],Table4[DEF],'2025'!$Y$38:$Y$69))</f>
        <v>#N/A</v>
      </c>
      <c r="L108" s="95" t="e">
        <f>IF(Table1188717[[#This Row],[Pos.]]="RB1",_xlfn.XLOOKUP(Table1188717[[#This Row],[Opp]],Table4[DEF],Table4[R]),_xlfn.XLOOKUP(Table1188717[[#This Row],[Opp]],Table44[DEF],Table44[R]))</f>
        <v>#N/A</v>
      </c>
      <c r="M108" s="96" t="e">
        <f>IF(Table1188717[[#This Row],[Pos.]]="RB1",_xlfn.XLOOKUP(Table1188717[[#This Row],[Opp]],Table4[DEF],Table4[REC]),_xlfn.XLOOKUP(Table1188717[[#This Row],[Opp]],Table44[DEF],Table44[REC]))</f>
        <v>#N/A</v>
      </c>
      <c r="N108" s="95" t="e">
        <f>IF(Table1188717[[#This Row],[Pos.]]="RB1",_xlfn.XLOOKUP(Table1188717[[#This Row],[Opp]],Table4[DEF],Table4[Y]),_xlfn.XLOOKUP(Table1188717[[#This Row],[Opp]],Table44[DEF],Table44[Y]))</f>
        <v>#N/A</v>
      </c>
      <c r="O108" s="95" t="e">
        <f>IF(Table1188717[[#This Row],[Pos.]]="RB1",_xlfn.XLOOKUP(Table1188717[[#This Row],[Opp]],Table4[DEF],Table4[R+R]),_xlfn.XLOOKUP(Table1188717[[#This Row],[Opp]],Table44[DEF],Table44[R+R]))</f>
        <v>#N/A</v>
      </c>
      <c r="P108" s="96" t="e">
        <f>IF(Table1188717[[#This Row],[Pos.]]="RB1",_xlfn.XLOOKUP(Table1188717[[#This Row],[Opp]],Table4[DEF],Table4[TD]),_xlfn.XLOOKUP(Table1188717[[#This Row],[Opp]],Table44[DEF],Table44[TD]))</f>
        <v>#N/A</v>
      </c>
      <c r="Q108" s="94" t="e">
        <f>AVERAGE(Table1188717[[#This Row],[*R*]:[*TD*]])</f>
        <v>#N/A</v>
      </c>
    </row>
    <row r="109" spans="2:17" hidden="1" x14ac:dyDescent="0.35">
      <c r="B109" s="6" t="s">
        <v>127</v>
      </c>
      <c r="C109" s="97" t="s">
        <v>29</v>
      </c>
      <c r="D109" s="97" t="s">
        <v>396</v>
      </c>
      <c r="E109" s="23" t="str" cm="1">
        <f t="array" ref="E109">_xlfn.XLOOKUP(Table1188717[[#This Row],[Team]],Table4334[Team],'2425'!$C$3:$C$34)</f>
        <v>n/a</v>
      </c>
      <c r="F109" s="97" t="str">
        <f>'2025'!$E$7</f>
        <v>n/a</v>
      </c>
      <c r="G109" s="94" t="e" cm="1">
        <f t="array" ref="G109">IF(Table1188717[[#This Row],[Pos.]]="RB1",_xlfn.XLOOKUP(Table1188717[[#This Row],[Opp]],Table4[DEF],'2025'!$H$38:$H$69),_xlfn.XLOOKUP(Table1188717[[#This Row],[Opp]],Table44[DEF],'2025'!$U$38:$U$69))</f>
        <v>#N/A</v>
      </c>
      <c r="H109" s="94" t="e" cm="1">
        <f t="array" ref="H109">IF(Table1188717[[#This Row],[Pos.]]="RB1",_xlfn.XLOOKUP(Table1188717[[#This Row],[Opp]],Table4[DEF],'2025'!$I$38:$I$69),_xlfn.XLOOKUP(Table1188717[[#This Row],[Opp]],Table4[DEF],'2025'!$V$38:$V$69))</f>
        <v>#N/A</v>
      </c>
      <c r="I109" s="94" t="e" cm="1">
        <f t="array" ref="I109">IF(Table1188717[[#This Row],[Pos.]]="RB1",_xlfn.XLOOKUP(Table1188717[[#This Row],[Opp]],Table4[DEF],'2025'!$J$38:$J$69),_xlfn.XLOOKUP(Table1188717[[#This Row],[Opp]],Table4[DEF],'2025'!$W$38:$W$69))</f>
        <v>#N/A</v>
      </c>
      <c r="J109" s="94" t="e" cm="1">
        <f t="array" ref="J109">IF(Table1188717[[#This Row],[Pos.]]="RB1",_xlfn.XLOOKUP(Table1188717[[#This Row],[Opp]],Table4[DEF],'2025'!$K$38:$K$69),_xlfn.XLOOKUP(Table1188717[[#This Row],[Opp]],Table4[DEF],'2025'!$X$38:$X$69))</f>
        <v>#N/A</v>
      </c>
      <c r="K109" s="94" t="e" cm="1">
        <f t="array" ref="K109">IF(Table1188717[[#This Row],[Pos.]]="RB1",_xlfn.XLOOKUP(Table1188717[[#This Row],[Opp]],Table4[DEF],'2025'!$L$38:$L$69),_xlfn.XLOOKUP(Table1188717[[#This Row],[Opp]],Table4[DEF],'2025'!$Y$38:$Y$69))</f>
        <v>#N/A</v>
      </c>
      <c r="L109" s="95" t="e">
        <f>IF(Table1188717[[#This Row],[Pos.]]="RB1",_xlfn.XLOOKUP(Table1188717[[#This Row],[Opp]],Table4[DEF],Table4[R]),_xlfn.XLOOKUP(Table1188717[[#This Row],[Opp]],Table44[DEF],Table44[R]))</f>
        <v>#N/A</v>
      </c>
      <c r="M109" s="96" t="e">
        <f>IF(Table1188717[[#This Row],[Pos.]]="RB1",_xlfn.XLOOKUP(Table1188717[[#This Row],[Opp]],Table4[DEF],Table4[REC]),_xlfn.XLOOKUP(Table1188717[[#This Row],[Opp]],Table44[DEF],Table44[REC]))</f>
        <v>#N/A</v>
      </c>
      <c r="N109" s="95" t="e">
        <f>IF(Table1188717[[#This Row],[Pos.]]="RB1",_xlfn.XLOOKUP(Table1188717[[#This Row],[Opp]],Table4[DEF],Table4[Y]),_xlfn.XLOOKUP(Table1188717[[#This Row],[Opp]],Table44[DEF],Table44[Y]))</f>
        <v>#N/A</v>
      </c>
      <c r="O109" s="95" t="e">
        <f>IF(Table1188717[[#This Row],[Pos.]]="RB1",_xlfn.XLOOKUP(Table1188717[[#This Row],[Opp]],Table4[DEF],Table4[R+R]),_xlfn.XLOOKUP(Table1188717[[#This Row],[Opp]],Table44[DEF],Table44[R+R]))</f>
        <v>#N/A</v>
      </c>
      <c r="P109" s="96" t="e">
        <f>IF(Table1188717[[#This Row],[Pos.]]="RB1",_xlfn.XLOOKUP(Table1188717[[#This Row],[Opp]],Table4[DEF],Table4[TD]),_xlfn.XLOOKUP(Table1188717[[#This Row],[Opp]],Table44[DEF],Table44[TD]))</f>
        <v>#N/A</v>
      </c>
      <c r="Q109" s="94" t="e">
        <f>AVERAGE(Table1188717[[#This Row],[*R*]:[*TD*]])</f>
        <v>#N/A</v>
      </c>
    </row>
    <row r="110" spans="2:17" hidden="1" x14ac:dyDescent="0.35">
      <c r="B110" s="6" t="s">
        <v>608</v>
      </c>
      <c r="C110" s="97" t="s">
        <v>29</v>
      </c>
      <c r="D110" s="97" t="s">
        <v>407</v>
      </c>
      <c r="E110" s="23" t="str" cm="1">
        <f t="array" ref="E110">_xlfn.XLOOKUP(Table1188717[[#This Row],[Team]],Table4334[Team],'2425'!$C$3:$C$34)</f>
        <v>n/a</v>
      </c>
      <c r="F110" s="97" t="str">
        <f>'2025'!$E$7</f>
        <v>n/a</v>
      </c>
      <c r="G110" s="94" t="e" cm="1">
        <f t="array" ref="G110">IF(Table1188717[[#This Row],[Pos.]]="RB1",_xlfn.XLOOKUP(Table1188717[[#This Row],[Opp]],Table4[DEF],'2025'!$H$38:$H$69),_xlfn.XLOOKUP(Table1188717[[#This Row],[Opp]],Table44[DEF],'2025'!$U$38:$U$69))</f>
        <v>#N/A</v>
      </c>
      <c r="H110" s="94" t="e" cm="1">
        <f t="array" ref="H110">IF(Table1188717[[#This Row],[Pos.]]="RB1",_xlfn.XLOOKUP(Table1188717[[#This Row],[Opp]],Table4[DEF],'2025'!$I$38:$I$69),_xlfn.XLOOKUP(Table1188717[[#This Row],[Opp]],Table4[DEF],'2025'!$V$38:$V$69))</f>
        <v>#N/A</v>
      </c>
      <c r="I110" s="94" t="e" cm="1">
        <f t="array" ref="I110">IF(Table1188717[[#This Row],[Pos.]]="RB1",_xlfn.XLOOKUP(Table1188717[[#This Row],[Opp]],Table4[DEF],'2025'!$J$38:$J$69),_xlfn.XLOOKUP(Table1188717[[#This Row],[Opp]],Table4[DEF],'2025'!$W$38:$W$69))</f>
        <v>#N/A</v>
      </c>
      <c r="J110" s="94" t="e" cm="1">
        <f t="array" ref="J110">IF(Table1188717[[#This Row],[Pos.]]="RB1",_xlfn.XLOOKUP(Table1188717[[#This Row],[Opp]],Table4[DEF],'2025'!$K$38:$K$69),_xlfn.XLOOKUP(Table1188717[[#This Row],[Opp]],Table4[DEF],'2025'!$X$38:$X$69))</f>
        <v>#N/A</v>
      </c>
      <c r="K110" s="94" t="e" cm="1">
        <f t="array" ref="K110">IF(Table1188717[[#This Row],[Pos.]]="RB1",_xlfn.XLOOKUP(Table1188717[[#This Row],[Opp]],Table4[DEF],'2025'!$L$38:$L$69),_xlfn.XLOOKUP(Table1188717[[#This Row],[Opp]],Table4[DEF],'2025'!$Y$38:$Y$69))</f>
        <v>#N/A</v>
      </c>
      <c r="L110" s="95" t="e">
        <f>IF(Table1188717[[#This Row],[Pos.]]="RB1",_xlfn.XLOOKUP(Table1188717[[#This Row],[Opp]],Table4[DEF],Table4[R]),_xlfn.XLOOKUP(Table1188717[[#This Row],[Opp]],Table44[DEF],Table44[R]))</f>
        <v>#N/A</v>
      </c>
      <c r="M110" s="96" t="e">
        <f>IF(Table1188717[[#This Row],[Pos.]]="RB1",_xlfn.XLOOKUP(Table1188717[[#This Row],[Opp]],Table4[DEF],Table4[REC]),_xlfn.XLOOKUP(Table1188717[[#This Row],[Opp]],Table44[DEF],Table44[REC]))</f>
        <v>#N/A</v>
      </c>
      <c r="N110" s="95" t="e">
        <f>IF(Table1188717[[#This Row],[Pos.]]="RB1",_xlfn.XLOOKUP(Table1188717[[#This Row],[Opp]],Table4[DEF],Table4[Y]),_xlfn.XLOOKUP(Table1188717[[#This Row],[Opp]],Table44[DEF],Table44[Y]))</f>
        <v>#N/A</v>
      </c>
      <c r="O110" s="95" t="e">
        <f>IF(Table1188717[[#This Row],[Pos.]]="RB1",_xlfn.XLOOKUP(Table1188717[[#This Row],[Opp]],Table4[DEF],Table4[R+R]),_xlfn.XLOOKUP(Table1188717[[#This Row],[Opp]],Table44[DEF],Table44[R+R]))</f>
        <v>#N/A</v>
      </c>
      <c r="P110" s="96" t="e">
        <f>IF(Table1188717[[#This Row],[Pos.]]="RB1",_xlfn.XLOOKUP(Table1188717[[#This Row],[Opp]],Table4[DEF],Table4[TD]),_xlfn.XLOOKUP(Table1188717[[#This Row],[Opp]],Table44[DEF],Table44[TD]))</f>
        <v>#N/A</v>
      </c>
      <c r="Q110" s="94" t="e">
        <f>AVERAGE(Table1188717[[#This Row],[*R*]:[*TD*]])</f>
        <v>#N/A</v>
      </c>
    </row>
    <row r="111" spans="2:17" x14ac:dyDescent="0.35">
      <c r="B111" s="6" t="s">
        <v>352</v>
      </c>
      <c r="C111" s="97" t="s">
        <v>52</v>
      </c>
      <c r="D111" s="97" t="s">
        <v>394</v>
      </c>
      <c r="E111" s="23" t="str" cm="1">
        <f t="array" ref="E111">_xlfn.XLOOKUP(Table1188717[[#This Row],[Team]],Table4334[Team],'2425'!$C$3:$C$34)</f>
        <v>SB LX</v>
      </c>
      <c r="F111" s="97" t="str">
        <f>'2025'!$E$30</f>
        <v>NE</v>
      </c>
      <c r="G111" s="94" cm="1">
        <f t="array" ref="G111">IF(Table1188717[[#This Row],[Pos.]]="RB1",_xlfn.XLOOKUP(Table1188717[[#This Row],[Opp]],Table4[DEF],'2025'!$H$38:$H$69),_xlfn.XLOOKUP(Table1188717[[#This Row],[Opp]],Table44[DEF],'2025'!$U$38:$U$69))</f>
        <v>29</v>
      </c>
      <c r="H111" s="94" cm="1">
        <f t="array" ref="H111">IF(Table1188717[[#This Row],[Pos.]]="RB1",_xlfn.XLOOKUP(Table1188717[[#This Row],[Opp]],Table4[DEF],'2025'!$I$38:$I$69),_xlfn.XLOOKUP(Table1188717[[#This Row],[Opp]],Table4[DEF],'2025'!$V$38:$V$69))</f>
        <v>19</v>
      </c>
      <c r="I111" s="94" cm="1">
        <f t="array" ref="I111">IF(Table1188717[[#This Row],[Pos.]]="RB1",_xlfn.XLOOKUP(Table1188717[[#This Row],[Opp]],Table4[DEF],'2025'!$J$38:$J$69),_xlfn.XLOOKUP(Table1188717[[#This Row],[Opp]],Table4[DEF],'2025'!$W$38:$W$69))</f>
        <v>31</v>
      </c>
      <c r="J111" s="94" cm="1">
        <f t="array" ref="J111">IF(Table1188717[[#This Row],[Pos.]]="RB1",_xlfn.XLOOKUP(Table1188717[[#This Row],[Opp]],Table4[DEF],'2025'!$K$38:$K$69),_xlfn.XLOOKUP(Table1188717[[#This Row],[Opp]],Table4[DEF],'2025'!$X$38:$X$69))</f>
        <v>31</v>
      </c>
      <c r="K111" s="94" cm="1">
        <f t="array" ref="K111">IF(Table1188717[[#This Row],[Pos.]]="RB1",_xlfn.XLOOKUP(Table1188717[[#This Row],[Opp]],Table4[DEF],'2025'!$L$38:$L$69),_xlfn.XLOOKUP(Table1188717[[#This Row],[Opp]],Table4[DEF],'2025'!$Y$38:$Y$69))</f>
        <v>31</v>
      </c>
      <c r="L111" s="95">
        <f>IF(Table1188717[[#This Row],[Pos.]]="RB1",_xlfn.XLOOKUP(Table1188717[[#This Row],[Opp]],Table4[DEF],Table4[R]),_xlfn.XLOOKUP(Table1188717[[#This Row],[Opp]],Table44[DEF],Table44[R]))</f>
        <v>20</v>
      </c>
      <c r="M111" s="96">
        <f>IF(Table1188717[[#This Row],[Pos.]]="RB1",_xlfn.XLOOKUP(Table1188717[[#This Row],[Opp]],Table4[DEF],Table4[REC]),_xlfn.XLOOKUP(Table1188717[[#This Row],[Opp]],Table44[DEF],Table44[REC]))</f>
        <v>1.411764705882353</v>
      </c>
      <c r="N111" s="95">
        <f>IF(Table1188717[[#This Row],[Pos.]]="RB1",_xlfn.XLOOKUP(Table1188717[[#This Row],[Opp]],Table4[DEF],Table4[Y]),_xlfn.XLOOKUP(Table1188717[[#This Row],[Opp]],Table44[DEF],Table44[Y]))</f>
        <v>5.5294117647058822</v>
      </c>
      <c r="O111" s="95">
        <f>IF(Table1188717[[#This Row],[Pos.]]="RB1",_xlfn.XLOOKUP(Table1188717[[#This Row],[Opp]],Table4[DEF],Table4[R+R]),_xlfn.XLOOKUP(Table1188717[[#This Row],[Opp]],Table44[DEF],Table44[R+R]))</f>
        <v>25.529411764705884</v>
      </c>
      <c r="P111" s="96">
        <f>IF(Table1188717[[#This Row],[Pos.]]="RB1",_xlfn.XLOOKUP(Table1188717[[#This Row],[Opp]],Table4[DEF],Table4[TD]),_xlfn.XLOOKUP(Table1188717[[#This Row],[Opp]],Table44[DEF],Table44[TD]))</f>
        <v>5.8823529411764705E-2</v>
      </c>
      <c r="Q111" s="94">
        <f>AVERAGE(Table1188717[[#This Row],[*R*]:[*TD*]])</f>
        <v>28.2</v>
      </c>
    </row>
    <row r="112" spans="2:17" x14ac:dyDescent="0.35">
      <c r="B112" s="6" t="s">
        <v>267</v>
      </c>
      <c r="C112" s="97" t="s">
        <v>42</v>
      </c>
      <c r="D112" s="97" t="s">
        <v>394</v>
      </c>
      <c r="E112" s="23" t="str" cm="1">
        <f t="array" ref="E112">_xlfn.XLOOKUP(Table1188717[[#This Row],[Team]],Table4334[Team],'2425'!$C$3:$C$34)</f>
        <v>n/a</v>
      </c>
      <c r="F112" s="97" t="str">
        <f>'2025'!$E$20</f>
        <v>n/a</v>
      </c>
      <c r="G112" s="94" t="e" cm="1">
        <f t="array" ref="G112">IF(Table1188717[[#This Row],[Pos.]]="RB1",_xlfn.XLOOKUP(Table1188717[[#This Row],[Opp]],Table4[DEF],'2025'!$H$38:$H$69),_xlfn.XLOOKUP(Table1188717[[#This Row],[Opp]],Table44[DEF],'2025'!$U$38:$U$69))</f>
        <v>#N/A</v>
      </c>
      <c r="H112" s="94" t="e" cm="1">
        <f t="array" ref="H112">IF(Table1188717[[#This Row],[Pos.]]="RB1",_xlfn.XLOOKUP(Table1188717[[#This Row],[Opp]],Table4[DEF],'2025'!$I$38:$I$69),_xlfn.XLOOKUP(Table1188717[[#This Row],[Opp]],Table4[DEF],'2025'!$V$38:$V$69))</f>
        <v>#N/A</v>
      </c>
      <c r="I112" s="94" t="e" cm="1">
        <f t="array" ref="I112">IF(Table1188717[[#This Row],[Pos.]]="RB1",_xlfn.XLOOKUP(Table1188717[[#This Row],[Opp]],Table4[DEF],'2025'!$J$38:$J$69),_xlfn.XLOOKUP(Table1188717[[#This Row],[Opp]],Table4[DEF],'2025'!$W$38:$W$69))</f>
        <v>#N/A</v>
      </c>
      <c r="J112" s="94" t="e" cm="1">
        <f t="array" ref="J112">IF(Table1188717[[#This Row],[Pos.]]="RB1",_xlfn.XLOOKUP(Table1188717[[#This Row],[Opp]],Table4[DEF],'2025'!$K$38:$K$69),_xlfn.XLOOKUP(Table1188717[[#This Row],[Opp]],Table4[DEF],'2025'!$X$38:$X$69))</f>
        <v>#N/A</v>
      </c>
      <c r="K112" s="94" t="e" cm="1">
        <f t="array" ref="K112">IF(Table1188717[[#This Row],[Pos.]]="RB1",_xlfn.XLOOKUP(Table1188717[[#This Row],[Opp]],Table4[DEF],'2025'!$L$38:$L$69),_xlfn.XLOOKUP(Table1188717[[#This Row],[Opp]],Table4[DEF],'2025'!$Y$38:$Y$69))</f>
        <v>#N/A</v>
      </c>
      <c r="L112" s="95" t="e">
        <f>IF(Table1188717[[#This Row],[Pos.]]="RB1",_xlfn.XLOOKUP(Table1188717[[#This Row],[Opp]],Table4[DEF],Table4[R]),_xlfn.XLOOKUP(Table1188717[[#This Row],[Opp]],Table44[DEF],Table44[R]))</f>
        <v>#N/A</v>
      </c>
      <c r="M112" s="96" t="e">
        <f>IF(Table1188717[[#This Row],[Pos.]]="RB1",_xlfn.XLOOKUP(Table1188717[[#This Row],[Opp]],Table4[DEF],Table4[REC]),_xlfn.XLOOKUP(Table1188717[[#This Row],[Opp]],Table44[DEF],Table44[REC]))</f>
        <v>#N/A</v>
      </c>
      <c r="N112" s="95" t="e">
        <f>IF(Table1188717[[#This Row],[Pos.]]="RB1",_xlfn.XLOOKUP(Table1188717[[#This Row],[Opp]],Table4[DEF],Table4[Y]),_xlfn.XLOOKUP(Table1188717[[#This Row],[Opp]],Table44[DEF],Table44[Y]))</f>
        <v>#N/A</v>
      </c>
      <c r="O112" s="95" t="e">
        <f>IF(Table1188717[[#This Row],[Pos.]]="RB1",_xlfn.XLOOKUP(Table1188717[[#This Row],[Opp]],Table4[DEF],Table4[R+R]),_xlfn.XLOOKUP(Table1188717[[#This Row],[Opp]],Table44[DEF],Table44[R+R]))</f>
        <v>#N/A</v>
      </c>
      <c r="P112" s="96" t="e">
        <f>IF(Table1188717[[#This Row],[Pos.]]="RB1",_xlfn.XLOOKUP(Table1188717[[#This Row],[Opp]],Table4[DEF],Table4[TD]),_xlfn.XLOOKUP(Table1188717[[#This Row],[Opp]],Table44[DEF],Table44[TD]))</f>
        <v>#N/A</v>
      </c>
      <c r="Q112" s="94" t="e">
        <f>AVERAGE(Table1188717[[#This Row],[*R*]:[*TD*]])</f>
        <v>#N/A</v>
      </c>
    </row>
    <row r="113" spans="2:17" hidden="1" x14ac:dyDescent="0.35">
      <c r="B113" s="6" t="s">
        <v>511</v>
      </c>
      <c r="C113" s="97" t="s">
        <v>36</v>
      </c>
      <c r="D113" s="97" t="s">
        <v>396</v>
      </c>
      <c r="E113" s="23" t="str" cm="1">
        <f t="array" ref="E113">_xlfn.XLOOKUP(Table1188717[[#This Row],[Team]],Table4334[Team],'2425'!$C$3:$C$34)</f>
        <v>n/a</v>
      </c>
      <c r="F113" s="97" t="str">
        <f>'2025'!$E$14</f>
        <v>n/a</v>
      </c>
      <c r="G113" s="94" t="e" cm="1">
        <f t="array" ref="G113">IF(Table1188717[[#This Row],[Pos.]]="RB1",_xlfn.XLOOKUP(Table1188717[[#This Row],[Opp]],Table4[DEF],'2025'!$H$38:$H$69),_xlfn.XLOOKUP(Table1188717[[#This Row],[Opp]],Table44[DEF],'2025'!$U$38:$U$69))</f>
        <v>#N/A</v>
      </c>
      <c r="H113" s="94" t="e" cm="1">
        <f t="array" ref="H113">IF(Table1188717[[#This Row],[Pos.]]="RB1",_xlfn.XLOOKUP(Table1188717[[#This Row],[Opp]],Table4[DEF],'2025'!$I$38:$I$69),_xlfn.XLOOKUP(Table1188717[[#This Row],[Opp]],Table4[DEF],'2025'!$V$38:$V$69))</f>
        <v>#N/A</v>
      </c>
      <c r="I113" s="94" t="e" cm="1">
        <f t="array" ref="I113">IF(Table1188717[[#This Row],[Pos.]]="RB1",_xlfn.XLOOKUP(Table1188717[[#This Row],[Opp]],Table4[DEF],'2025'!$J$38:$J$69),_xlfn.XLOOKUP(Table1188717[[#This Row],[Opp]],Table4[DEF],'2025'!$W$38:$W$69))</f>
        <v>#N/A</v>
      </c>
      <c r="J113" s="94" t="e" cm="1">
        <f t="array" ref="J113">IF(Table1188717[[#This Row],[Pos.]]="RB1",_xlfn.XLOOKUP(Table1188717[[#This Row],[Opp]],Table4[DEF],'2025'!$K$38:$K$69),_xlfn.XLOOKUP(Table1188717[[#This Row],[Opp]],Table4[DEF],'2025'!$X$38:$X$69))</f>
        <v>#N/A</v>
      </c>
      <c r="K113" s="94" t="e" cm="1">
        <f t="array" ref="K113">IF(Table1188717[[#This Row],[Pos.]]="RB1",_xlfn.XLOOKUP(Table1188717[[#This Row],[Opp]],Table4[DEF],'2025'!$L$38:$L$69),_xlfn.XLOOKUP(Table1188717[[#This Row],[Opp]],Table4[DEF],'2025'!$Y$38:$Y$69))</f>
        <v>#N/A</v>
      </c>
      <c r="L113" s="95" t="e">
        <f>IF(Table1188717[[#This Row],[Pos.]]="RB1",_xlfn.XLOOKUP(Table1188717[[#This Row],[Opp]],Table4[DEF],Table4[R]),_xlfn.XLOOKUP(Table1188717[[#This Row],[Opp]],Table44[DEF],Table44[R]))</f>
        <v>#N/A</v>
      </c>
      <c r="M113" s="96" t="e">
        <f>IF(Table1188717[[#This Row],[Pos.]]="RB1",_xlfn.XLOOKUP(Table1188717[[#This Row],[Opp]],Table4[DEF],Table4[REC]),_xlfn.XLOOKUP(Table1188717[[#This Row],[Opp]],Table44[DEF],Table44[REC]))</f>
        <v>#N/A</v>
      </c>
      <c r="N113" s="95" t="e">
        <f>IF(Table1188717[[#This Row],[Pos.]]="RB1",_xlfn.XLOOKUP(Table1188717[[#This Row],[Opp]],Table4[DEF],Table4[Y]),_xlfn.XLOOKUP(Table1188717[[#This Row],[Opp]],Table44[DEF],Table44[Y]))</f>
        <v>#N/A</v>
      </c>
      <c r="O113" s="95" t="e">
        <f>IF(Table1188717[[#This Row],[Pos.]]="RB1",_xlfn.XLOOKUP(Table1188717[[#This Row],[Opp]],Table4[DEF],Table4[R+R]),_xlfn.XLOOKUP(Table1188717[[#This Row],[Opp]],Table44[DEF],Table44[R+R]))</f>
        <v>#N/A</v>
      </c>
      <c r="P113" s="96" t="e">
        <f>IF(Table1188717[[#This Row],[Pos.]]="RB1",_xlfn.XLOOKUP(Table1188717[[#This Row],[Opp]],Table4[DEF],Table4[TD]),_xlfn.XLOOKUP(Table1188717[[#This Row],[Opp]],Table44[DEF],Table44[TD]))</f>
        <v>#N/A</v>
      </c>
      <c r="Q113" s="94" t="e">
        <f>AVERAGE(Table1188717[[#This Row],[*R*]:[*TD*]])</f>
        <v>#N/A</v>
      </c>
    </row>
    <row r="114" spans="2:17" hidden="1" x14ac:dyDescent="0.35">
      <c r="B114" s="6" t="s">
        <v>208</v>
      </c>
      <c r="C114" s="97" t="s">
        <v>36</v>
      </c>
      <c r="D114" s="97" t="s">
        <v>407</v>
      </c>
      <c r="E114" s="23" t="str" cm="1">
        <f t="array" ref="E114">_xlfn.XLOOKUP(Table1188717[[#This Row],[Team]],Table4334[Team],'2425'!$C$3:$C$34)</f>
        <v>n/a</v>
      </c>
      <c r="F114" s="97" t="str">
        <f>'2025'!$E$14</f>
        <v>n/a</v>
      </c>
      <c r="G114" s="94" t="e" cm="1">
        <f t="array" ref="G114">IF(Table1188717[[#This Row],[Pos.]]="RB1",_xlfn.XLOOKUP(Table1188717[[#This Row],[Opp]],Table4[DEF],'2025'!$H$38:$H$69),_xlfn.XLOOKUP(Table1188717[[#This Row],[Opp]],Table44[DEF],'2025'!$U$38:$U$69))</f>
        <v>#N/A</v>
      </c>
      <c r="H114" s="94" t="e" cm="1">
        <f t="array" ref="H114">IF(Table1188717[[#This Row],[Pos.]]="RB1",_xlfn.XLOOKUP(Table1188717[[#This Row],[Opp]],Table4[DEF],'2025'!$I$38:$I$69),_xlfn.XLOOKUP(Table1188717[[#This Row],[Opp]],Table4[DEF],'2025'!$V$38:$V$69))</f>
        <v>#N/A</v>
      </c>
      <c r="I114" s="94" t="e" cm="1">
        <f t="array" ref="I114">IF(Table1188717[[#This Row],[Pos.]]="RB1",_xlfn.XLOOKUP(Table1188717[[#This Row],[Opp]],Table4[DEF],'2025'!$J$38:$J$69),_xlfn.XLOOKUP(Table1188717[[#This Row],[Opp]],Table4[DEF],'2025'!$W$38:$W$69))</f>
        <v>#N/A</v>
      </c>
      <c r="J114" s="94" t="e" cm="1">
        <f t="array" ref="J114">IF(Table1188717[[#This Row],[Pos.]]="RB1",_xlfn.XLOOKUP(Table1188717[[#This Row],[Opp]],Table4[DEF],'2025'!$K$38:$K$69),_xlfn.XLOOKUP(Table1188717[[#This Row],[Opp]],Table4[DEF],'2025'!$X$38:$X$69))</f>
        <v>#N/A</v>
      </c>
      <c r="K114" s="94" t="e" cm="1">
        <f t="array" ref="K114">IF(Table1188717[[#This Row],[Pos.]]="RB1",_xlfn.XLOOKUP(Table1188717[[#This Row],[Opp]],Table4[DEF],'2025'!$L$38:$L$69),_xlfn.XLOOKUP(Table1188717[[#This Row],[Opp]],Table4[DEF],'2025'!$Y$38:$Y$69))</f>
        <v>#N/A</v>
      </c>
      <c r="L114" s="95" t="e">
        <f>IF(Table1188717[[#This Row],[Pos.]]="RB1",_xlfn.XLOOKUP(Table1188717[[#This Row],[Opp]],Table4[DEF],Table4[R]),_xlfn.XLOOKUP(Table1188717[[#This Row],[Opp]],Table44[DEF],Table44[R]))</f>
        <v>#N/A</v>
      </c>
      <c r="M114" s="96" t="e">
        <f>IF(Table1188717[[#This Row],[Pos.]]="RB1",_xlfn.XLOOKUP(Table1188717[[#This Row],[Opp]],Table4[DEF],Table4[REC]),_xlfn.XLOOKUP(Table1188717[[#This Row],[Opp]],Table44[DEF],Table44[REC]))</f>
        <v>#N/A</v>
      </c>
      <c r="N114" s="95" t="e">
        <f>IF(Table1188717[[#This Row],[Pos.]]="RB1",_xlfn.XLOOKUP(Table1188717[[#This Row],[Opp]],Table4[DEF],Table4[Y]),_xlfn.XLOOKUP(Table1188717[[#This Row],[Opp]],Table44[DEF],Table44[Y]))</f>
        <v>#N/A</v>
      </c>
      <c r="O114" s="95" t="e">
        <f>IF(Table1188717[[#This Row],[Pos.]]="RB1",_xlfn.XLOOKUP(Table1188717[[#This Row],[Opp]],Table4[DEF],Table4[R+R]),_xlfn.XLOOKUP(Table1188717[[#This Row],[Opp]],Table44[DEF],Table44[R+R]))</f>
        <v>#N/A</v>
      </c>
      <c r="P114" s="96" t="e">
        <f>IF(Table1188717[[#This Row],[Pos.]]="RB1",_xlfn.XLOOKUP(Table1188717[[#This Row],[Opp]],Table4[DEF],Table4[TD]),_xlfn.XLOOKUP(Table1188717[[#This Row],[Opp]],Table44[DEF],Table44[TD]))</f>
        <v>#N/A</v>
      </c>
      <c r="Q114" s="94" t="e">
        <f>AVERAGE(Table1188717[[#This Row],[*R*]:[*TD*]])</f>
        <v>#N/A</v>
      </c>
    </row>
    <row r="115" spans="2:17" hidden="1" x14ac:dyDescent="0.35">
      <c r="B115" s="6" t="s">
        <v>207</v>
      </c>
      <c r="C115" s="97" t="s">
        <v>36</v>
      </c>
      <c r="D115" s="97" t="s">
        <v>394</v>
      </c>
      <c r="E115" s="23" t="str" cm="1">
        <f t="array" ref="E115">_xlfn.XLOOKUP(Table1188717[[#This Row],[Team]],Table4334[Team],'2425'!$C$3:$C$34)</f>
        <v>n/a</v>
      </c>
      <c r="F115" s="97" t="str">
        <f>'2025'!$E$14</f>
        <v>n/a</v>
      </c>
      <c r="G115" s="94" t="e" cm="1">
        <f t="array" ref="G115">IF(Table1188717[[#This Row],[Pos.]]="RB1",_xlfn.XLOOKUP(Table1188717[[#This Row],[Opp]],Table4[DEF],'2025'!$H$38:$H$69),_xlfn.XLOOKUP(Table1188717[[#This Row],[Opp]],Table44[DEF],'2025'!$U$38:$U$69))</f>
        <v>#N/A</v>
      </c>
      <c r="H115" s="94" t="e" cm="1">
        <f t="array" ref="H115">IF(Table1188717[[#This Row],[Pos.]]="RB1",_xlfn.XLOOKUP(Table1188717[[#This Row],[Opp]],Table4[DEF],'2025'!$I$38:$I$69),_xlfn.XLOOKUP(Table1188717[[#This Row],[Opp]],Table4[DEF],'2025'!$V$38:$V$69))</f>
        <v>#N/A</v>
      </c>
      <c r="I115" s="94" t="e" cm="1">
        <f t="array" ref="I115">IF(Table1188717[[#This Row],[Pos.]]="RB1",_xlfn.XLOOKUP(Table1188717[[#This Row],[Opp]],Table4[DEF],'2025'!$J$38:$J$69),_xlfn.XLOOKUP(Table1188717[[#This Row],[Opp]],Table4[DEF],'2025'!$W$38:$W$69))</f>
        <v>#N/A</v>
      </c>
      <c r="J115" s="94" t="e" cm="1">
        <f t="array" ref="J115">IF(Table1188717[[#This Row],[Pos.]]="RB1",_xlfn.XLOOKUP(Table1188717[[#This Row],[Opp]],Table4[DEF],'2025'!$K$38:$K$69),_xlfn.XLOOKUP(Table1188717[[#This Row],[Opp]],Table4[DEF],'2025'!$X$38:$X$69))</f>
        <v>#N/A</v>
      </c>
      <c r="K115" s="94" t="e" cm="1">
        <f t="array" ref="K115">IF(Table1188717[[#This Row],[Pos.]]="RB1",_xlfn.XLOOKUP(Table1188717[[#This Row],[Opp]],Table4[DEF],'2025'!$L$38:$L$69),_xlfn.XLOOKUP(Table1188717[[#This Row],[Opp]],Table4[DEF],'2025'!$Y$38:$Y$69))</f>
        <v>#N/A</v>
      </c>
      <c r="L115" s="95" t="e">
        <f>IF(Table1188717[[#This Row],[Pos.]]="RB1",_xlfn.XLOOKUP(Table1188717[[#This Row],[Opp]],Table4[DEF],Table4[R]),_xlfn.XLOOKUP(Table1188717[[#This Row],[Opp]],Table44[DEF],Table44[R]))</f>
        <v>#N/A</v>
      </c>
      <c r="M115" s="96" t="e">
        <f>IF(Table1188717[[#This Row],[Pos.]]="RB1",_xlfn.XLOOKUP(Table1188717[[#This Row],[Opp]],Table4[DEF],Table4[REC]),_xlfn.XLOOKUP(Table1188717[[#This Row],[Opp]],Table44[DEF],Table44[REC]))</f>
        <v>#N/A</v>
      </c>
      <c r="N115" s="95" t="e">
        <f>IF(Table1188717[[#This Row],[Pos.]]="RB1",_xlfn.XLOOKUP(Table1188717[[#This Row],[Opp]],Table4[DEF],Table4[Y]),_xlfn.XLOOKUP(Table1188717[[#This Row],[Opp]],Table44[DEF],Table44[Y]))</f>
        <v>#N/A</v>
      </c>
      <c r="O115" s="95" t="e">
        <f>IF(Table1188717[[#This Row],[Pos.]]="RB1",_xlfn.XLOOKUP(Table1188717[[#This Row],[Opp]],Table4[DEF],Table4[R+R]),_xlfn.XLOOKUP(Table1188717[[#This Row],[Opp]],Table44[DEF],Table44[R+R]))</f>
        <v>#N/A</v>
      </c>
      <c r="P115" s="96" t="e">
        <f>IF(Table1188717[[#This Row],[Pos.]]="RB1",_xlfn.XLOOKUP(Table1188717[[#This Row],[Opp]],Table4[DEF],Table4[TD]),_xlfn.XLOOKUP(Table1188717[[#This Row],[Opp]],Table44[DEF],Table44[TD]))</f>
        <v>#N/A</v>
      </c>
      <c r="Q115" s="94" t="e">
        <f>AVERAGE(Table1188717[[#This Row],[*R*]:[*TD*]])</f>
        <v>#N/A</v>
      </c>
    </row>
    <row r="116" spans="2:17" x14ac:dyDescent="0.35">
      <c r="B116" s="6" t="s">
        <v>116</v>
      </c>
      <c r="C116" s="97" t="s">
        <v>17</v>
      </c>
      <c r="D116" s="97" t="s">
        <v>394</v>
      </c>
      <c r="E116" s="23" t="str" cm="1">
        <f t="array" ref="E116">_xlfn.XLOOKUP(Table1188717[[#This Row],[Team]],Table4334[Team],'2425'!$C$3:$C$34)</f>
        <v>n/a</v>
      </c>
      <c r="F116" s="97" t="str">
        <f>'2025'!$E$6</f>
        <v>n/a</v>
      </c>
      <c r="G116" s="94" t="e" cm="1">
        <f t="array" ref="G116">IF(Table1188717[[#This Row],[Pos.]]="RB1",_xlfn.XLOOKUP(Table1188717[[#This Row],[Opp]],Table4[DEF],'2025'!$H$38:$H$69),_xlfn.XLOOKUP(Table1188717[[#This Row],[Opp]],Table44[DEF],'2025'!$U$38:$U$69))</f>
        <v>#N/A</v>
      </c>
      <c r="H116" s="94" t="e" cm="1">
        <f t="array" ref="H116">IF(Table1188717[[#This Row],[Pos.]]="RB1",_xlfn.XLOOKUP(Table1188717[[#This Row],[Opp]],Table4[DEF],'2025'!$I$38:$I$69),_xlfn.XLOOKUP(Table1188717[[#This Row],[Opp]],Table4[DEF],'2025'!$V$38:$V$69))</f>
        <v>#N/A</v>
      </c>
      <c r="I116" s="94" t="e" cm="1">
        <f t="array" ref="I116">IF(Table1188717[[#This Row],[Pos.]]="RB1",_xlfn.XLOOKUP(Table1188717[[#This Row],[Opp]],Table4[DEF],'2025'!$J$38:$J$69),_xlfn.XLOOKUP(Table1188717[[#This Row],[Opp]],Table4[DEF],'2025'!$W$38:$W$69))</f>
        <v>#N/A</v>
      </c>
      <c r="J116" s="94" t="e" cm="1">
        <f t="array" ref="J116">IF(Table1188717[[#This Row],[Pos.]]="RB1",_xlfn.XLOOKUP(Table1188717[[#This Row],[Opp]],Table4[DEF],'2025'!$K$38:$K$69),_xlfn.XLOOKUP(Table1188717[[#This Row],[Opp]],Table4[DEF],'2025'!$X$38:$X$69))</f>
        <v>#N/A</v>
      </c>
      <c r="K116" s="94" t="e" cm="1">
        <f t="array" ref="K116">IF(Table1188717[[#This Row],[Pos.]]="RB1",_xlfn.XLOOKUP(Table1188717[[#This Row],[Opp]],Table4[DEF],'2025'!$L$38:$L$69),_xlfn.XLOOKUP(Table1188717[[#This Row],[Opp]],Table4[DEF],'2025'!$Y$38:$Y$69))</f>
        <v>#N/A</v>
      </c>
      <c r="L116" s="95" t="e">
        <f>IF(Table1188717[[#This Row],[Pos.]]="RB1",_xlfn.XLOOKUP(Table1188717[[#This Row],[Opp]],Table4[DEF],Table4[R]),_xlfn.XLOOKUP(Table1188717[[#This Row],[Opp]],Table44[DEF],Table44[R]))</f>
        <v>#N/A</v>
      </c>
      <c r="M116" s="96" t="e">
        <f>IF(Table1188717[[#This Row],[Pos.]]="RB1",_xlfn.XLOOKUP(Table1188717[[#This Row],[Opp]],Table4[DEF],Table4[REC]),_xlfn.XLOOKUP(Table1188717[[#This Row],[Opp]],Table44[DEF],Table44[REC]))</f>
        <v>#N/A</v>
      </c>
      <c r="N116" s="95" t="e">
        <f>IF(Table1188717[[#This Row],[Pos.]]="RB1",_xlfn.XLOOKUP(Table1188717[[#This Row],[Opp]],Table4[DEF],Table4[Y]),_xlfn.XLOOKUP(Table1188717[[#This Row],[Opp]],Table44[DEF],Table44[Y]))</f>
        <v>#N/A</v>
      </c>
      <c r="O116" s="95" t="e">
        <f>IF(Table1188717[[#This Row],[Pos.]]="RB1",_xlfn.XLOOKUP(Table1188717[[#This Row],[Opp]],Table4[DEF],Table4[R+R]),_xlfn.XLOOKUP(Table1188717[[#This Row],[Opp]],Table44[DEF],Table44[R+R]))</f>
        <v>#N/A</v>
      </c>
      <c r="P116" s="96" t="e">
        <f>IF(Table1188717[[#This Row],[Pos.]]="RB1",_xlfn.XLOOKUP(Table1188717[[#This Row],[Opp]],Table4[DEF],Table4[TD]),_xlfn.XLOOKUP(Table1188717[[#This Row],[Opp]],Table44[DEF],Table44[TD]))</f>
        <v>#N/A</v>
      </c>
      <c r="Q116" s="94" t="e">
        <f>AVERAGE(Table1188717[[#This Row],[*R*]:[*TD*]])</f>
        <v>#N/A</v>
      </c>
    </row>
    <row r="117" spans="2:17" hidden="1" x14ac:dyDescent="0.35">
      <c r="B117" s="6" t="s">
        <v>338</v>
      </c>
      <c r="C117" s="97" t="s">
        <v>50</v>
      </c>
      <c r="D117" s="97" t="s">
        <v>394</v>
      </c>
      <c r="E117" s="23" t="str" cm="1">
        <f t="array" ref="E117">_xlfn.XLOOKUP(Table1188717[[#This Row],[Team]],Table4334[Team],'2425'!$C$3:$C$34)</f>
        <v>n/a</v>
      </c>
      <c r="F117" s="97" t="str">
        <f>'2025'!$E$28</f>
        <v>n/a</v>
      </c>
      <c r="G117" s="94" t="e" cm="1">
        <f t="array" ref="G117">IF(Table1188717[[#This Row],[Pos.]]="RB1",_xlfn.XLOOKUP(Table1188717[[#This Row],[Opp]],Table4[DEF],'2025'!$H$38:$H$69),_xlfn.XLOOKUP(Table1188717[[#This Row],[Opp]],Table44[DEF],'2025'!$U$38:$U$69))</f>
        <v>#N/A</v>
      </c>
      <c r="H117" s="94" t="e" cm="1">
        <f t="array" ref="H117">IF(Table1188717[[#This Row],[Pos.]]="RB1",_xlfn.XLOOKUP(Table1188717[[#This Row],[Opp]],Table4[DEF],'2025'!$I$38:$I$69),_xlfn.XLOOKUP(Table1188717[[#This Row],[Opp]],Table4[DEF],'2025'!$V$38:$V$69))</f>
        <v>#N/A</v>
      </c>
      <c r="I117" s="94" t="e" cm="1">
        <f t="array" ref="I117">IF(Table1188717[[#This Row],[Pos.]]="RB1",_xlfn.XLOOKUP(Table1188717[[#This Row],[Opp]],Table4[DEF],'2025'!$J$38:$J$69),_xlfn.XLOOKUP(Table1188717[[#This Row],[Opp]],Table4[DEF],'2025'!$W$38:$W$69))</f>
        <v>#N/A</v>
      </c>
      <c r="J117" s="94" t="e" cm="1">
        <f t="array" ref="J117">IF(Table1188717[[#This Row],[Pos.]]="RB1",_xlfn.XLOOKUP(Table1188717[[#This Row],[Opp]],Table4[DEF],'2025'!$K$38:$K$69),_xlfn.XLOOKUP(Table1188717[[#This Row],[Opp]],Table4[DEF],'2025'!$X$38:$X$69))</f>
        <v>#N/A</v>
      </c>
      <c r="K117" s="94" t="e" cm="1">
        <f t="array" ref="K117">IF(Table1188717[[#This Row],[Pos.]]="RB1",_xlfn.XLOOKUP(Table1188717[[#This Row],[Opp]],Table4[DEF],'2025'!$L$38:$L$69),_xlfn.XLOOKUP(Table1188717[[#This Row],[Opp]],Table4[DEF],'2025'!$Y$38:$Y$69))</f>
        <v>#N/A</v>
      </c>
      <c r="L117" s="95" t="e">
        <f>IF(Table1188717[[#This Row],[Pos.]]="RB1",_xlfn.XLOOKUP(Table1188717[[#This Row],[Opp]],Table4[DEF],Table4[R]),_xlfn.XLOOKUP(Table1188717[[#This Row],[Opp]],Table44[DEF],Table44[R]))</f>
        <v>#N/A</v>
      </c>
      <c r="M117" s="96" t="e">
        <f>IF(Table1188717[[#This Row],[Pos.]]="RB1",_xlfn.XLOOKUP(Table1188717[[#This Row],[Opp]],Table4[DEF],Table4[REC]),_xlfn.XLOOKUP(Table1188717[[#This Row],[Opp]],Table44[DEF],Table44[REC]))</f>
        <v>#N/A</v>
      </c>
      <c r="N117" s="95" t="e">
        <f>IF(Table1188717[[#This Row],[Pos.]]="RB1",_xlfn.XLOOKUP(Table1188717[[#This Row],[Opp]],Table4[DEF],Table4[Y]),_xlfn.XLOOKUP(Table1188717[[#This Row],[Opp]],Table44[DEF],Table44[Y]))</f>
        <v>#N/A</v>
      </c>
      <c r="O117" s="95" t="e">
        <f>IF(Table1188717[[#This Row],[Pos.]]="RB1",_xlfn.XLOOKUP(Table1188717[[#This Row],[Opp]],Table4[DEF],Table4[R+R]),_xlfn.XLOOKUP(Table1188717[[#This Row],[Opp]],Table44[DEF],Table44[R+R]))</f>
        <v>#N/A</v>
      </c>
      <c r="P117" s="96" t="e">
        <f>IF(Table1188717[[#This Row],[Pos.]]="RB1",_xlfn.XLOOKUP(Table1188717[[#This Row],[Opp]],Table4[DEF],Table4[TD]),_xlfn.XLOOKUP(Table1188717[[#This Row],[Opp]],Table44[DEF],Table44[TD]))</f>
        <v>#N/A</v>
      </c>
      <c r="Q117" s="94" t="e">
        <f>AVERAGE(Table1188717[[#This Row],[*R*]:[*TD*]])</f>
        <v>#N/A</v>
      </c>
    </row>
    <row r="118" spans="2:17" hidden="1" x14ac:dyDescent="0.35">
      <c r="B118" s="6" t="s">
        <v>598</v>
      </c>
      <c r="C118" s="97" t="s">
        <v>15</v>
      </c>
      <c r="D118" s="97" t="s">
        <v>396</v>
      </c>
      <c r="E118" s="23" t="str" cm="1">
        <f t="array" ref="E118">_xlfn.XLOOKUP(Table1188717[[#This Row],[Team]],Table4334[Team],'2425'!$C$3:$C$34)</f>
        <v>n/a</v>
      </c>
      <c r="F118" s="97" t="str">
        <f>'2025'!$E$4</f>
        <v>n/a</v>
      </c>
      <c r="G118" s="94" t="e" cm="1">
        <f t="array" ref="G118">IF(Table1188717[[#This Row],[Pos.]]="RB1",_xlfn.XLOOKUP(Table1188717[[#This Row],[Opp]],Table4[DEF],'2025'!$H$38:$H$69),_xlfn.XLOOKUP(Table1188717[[#This Row],[Opp]],Table44[DEF],'2025'!$U$38:$U$69))</f>
        <v>#N/A</v>
      </c>
      <c r="H118" s="94" t="e" cm="1">
        <f t="array" ref="H118">IF(Table1188717[[#This Row],[Pos.]]="RB1",_xlfn.XLOOKUP(Table1188717[[#This Row],[Opp]],Table4[DEF],'2025'!$I$38:$I$69),_xlfn.XLOOKUP(Table1188717[[#This Row],[Opp]],Table4[DEF],'2025'!$V$38:$V$69))</f>
        <v>#N/A</v>
      </c>
      <c r="I118" s="94" t="e" cm="1">
        <f t="array" ref="I118">IF(Table1188717[[#This Row],[Pos.]]="RB1",_xlfn.XLOOKUP(Table1188717[[#This Row],[Opp]],Table4[DEF],'2025'!$J$38:$J$69),_xlfn.XLOOKUP(Table1188717[[#This Row],[Opp]],Table4[DEF],'2025'!$W$38:$W$69))</f>
        <v>#N/A</v>
      </c>
      <c r="J118" s="94" t="e" cm="1">
        <f t="array" ref="J118">IF(Table1188717[[#This Row],[Pos.]]="RB1",_xlfn.XLOOKUP(Table1188717[[#This Row],[Opp]],Table4[DEF],'2025'!$K$38:$K$69),_xlfn.XLOOKUP(Table1188717[[#This Row],[Opp]],Table4[DEF],'2025'!$X$38:$X$69))</f>
        <v>#N/A</v>
      </c>
      <c r="K118" s="94" t="e" cm="1">
        <f t="array" ref="K118">IF(Table1188717[[#This Row],[Pos.]]="RB1",_xlfn.XLOOKUP(Table1188717[[#This Row],[Opp]],Table4[DEF],'2025'!$L$38:$L$69),_xlfn.XLOOKUP(Table1188717[[#This Row],[Opp]],Table4[DEF],'2025'!$Y$38:$Y$69))</f>
        <v>#N/A</v>
      </c>
      <c r="L118" s="95" t="e">
        <f>IF(Table1188717[[#This Row],[Pos.]]="RB1",_xlfn.XLOOKUP(Table1188717[[#This Row],[Opp]],Table4[DEF],Table4[R]),_xlfn.XLOOKUP(Table1188717[[#This Row],[Opp]],Table44[DEF],Table44[R]))</f>
        <v>#N/A</v>
      </c>
      <c r="M118" s="96" t="e">
        <f>IF(Table1188717[[#This Row],[Pos.]]="RB1",_xlfn.XLOOKUP(Table1188717[[#This Row],[Opp]],Table4[DEF],Table4[REC]),_xlfn.XLOOKUP(Table1188717[[#This Row],[Opp]],Table44[DEF],Table44[REC]))</f>
        <v>#N/A</v>
      </c>
      <c r="N118" s="95" t="e">
        <f>IF(Table1188717[[#This Row],[Pos.]]="RB1",_xlfn.XLOOKUP(Table1188717[[#This Row],[Opp]],Table4[DEF],Table4[Y]),_xlfn.XLOOKUP(Table1188717[[#This Row],[Opp]],Table44[DEF],Table44[Y]))</f>
        <v>#N/A</v>
      </c>
      <c r="O118" s="95" t="e">
        <f>IF(Table1188717[[#This Row],[Pos.]]="RB1",_xlfn.XLOOKUP(Table1188717[[#This Row],[Opp]],Table4[DEF],Table4[R+R]),_xlfn.XLOOKUP(Table1188717[[#This Row],[Opp]],Table44[DEF],Table44[R+R]))</f>
        <v>#N/A</v>
      </c>
      <c r="P118" s="96" t="e">
        <f>IF(Table1188717[[#This Row],[Pos.]]="RB1",_xlfn.XLOOKUP(Table1188717[[#This Row],[Opp]],Table4[DEF],Table4[TD]),_xlfn.XLOOKUP(Table1188717[[#This Row],[Opp]],Table44[DEF],Table44[TD]))</f>
        <v>#N/A</v>
      </c>
      <c r="Q118" s="94" t="e">
        <f>AVERAGE(Table1188717[[#This Row],[*R*]:[*TD*]])</f>
        <v>#N/A</v>
      </c>
    </row>
    <row r="119" spans="2:17" x14ac:dyDescent="0.35">
      <c r="B119" s="6" t="s">
        <v>359</v>
      </c>
      <c r="C119" s="97" t="s">
        <v>53</v>
      </c>
      <c r="D119" s="97" t="s">
        <v>394</v>
      </c>
      <c r="E119" s="23" t="str" cm="1">
        <f t="array" ref="E119">_xlfn.XLOOKUP(Table1188717[[#This Row],[Team]],Table4334[Team],'2425'!$C$3:$C$34)</f>
        <v>n/a</v>
      </c>
      <c r="F119" s="97" t="str">
        <f>'2025'!$E$31</f>
        <v>n/a</v>
      </c>
      <c r="G119" s="94" t="e" cm="1">
        <f t="array" ref="G119">IF(Table1188717[[#This Row],[Pos.]]="RB1",_xlfn.XLOOKUP(Table1188717[[#This Row],[Opp]],Table4[DEF],'2025'!$H$38:$H$69),_xlfn.XLOOKUP(Table1188717[[#This Row],[Opp]],Table44[DEF],'2025'!$U$38:$U$69))</f>
        <v>#N/A</v>
      </c>
      <c r="H119" s="94" t="e" cm="1">
        <f t="array" ref="H119">IF(Table1188717[[#This Row],[Pos.]]="RB1",_xlfn.XLOOKUP(Table1188717[[#This Row],[Opp]],Table4[DEF],'2025'!$I$38:$I$69),_xlfn.XLOOKUP(Table1188717[[#This Row],[Opp]],Table4[DEF],'2025'!$V$38:$V$69))</f>
        <v>#N/A</v>
      </c>
      <c r="I119" s="94" t="e" cm="1">
        <f t="array" ref="I119">IF(Table1188717[[#This Row],[Pos.]]="RB1",_xlfn.XLOOKUP(Table1188717[[#This Row],[Opp]],Table4[DEF],'2025'!$J$38:$J$69),_xlfn.XLOOKUP(Table1188717[[#This Row],[Opp]],Table4[DEF],'2025'!$W$38:$W$69))</f>
        <v>#N/A</v>
      </c>
      <c r="J119" s="94" t="e" cm="1">
        <f t="array" ref="J119">IF(Table1188717[[#This Row],[Pos.]]="RB1",_xlfn.XLOOKUP(Table1188717[[#This Row],[Opp]],Table4[DEF],'2025'!$K$38:$K$69),_xlfn.XLOOKUP(Table1188717[[#This Row],[Opp]],Table4[DEF],'2025'!$X$38:$X$69))</f>
        <v>#N/A</v>
      </c>
      <c r="K119" s="94" t="e" cm="1">
        <f t="array" ref="K119">IF(Table1188717[[#This Row],[Pos.]]="RB1",_xlfn.XLOOKUP(Table1188717[[#This Row],[Opp]],Table4[DEF],'2025'!$L$38:$L$69),_xlfn.XLOOKUP(Table1188717[[#This Row],[Opp]],Table4[DEF],'2025'!$Y$38:$Y$69))</f>
        <v>#N/A</v>
      </c>
      <c r="L119" s="95" t="e">
        <f>IF(Table1188717[[#This Row],[Pos.]]="RB1",_xlfn.XLOOKUP(Table1188717[[#This Row],[Opp]],Table4[DEF],Table4[R]),_xlfn.XLOOKUP(Table1188717[[#This Row],[Opp]],Table44[DEF],Table44[R]))</f>
        <v>#N/A</v>
      </c>
      <c r="M119" s="96" t="e">
        <f>IF(Table1188717[[#This Row],[Pos.]]="RB1",_xlfn.XLOOKUP(Table1188717[[#This Row],[Opp]],Table4[DEF],Table4[REC]),_xlfn.XLOOKUP(Table1188717[[#This Row],[Opp]],Table44[DEF],Table44[REC]))</f>
        <v>#N/A</v>
      </c>
      <c r="N119" s="95" t="e">
        <f>IF(Table1188717[[#This Row],[Pos.]]="RB1",_xlfn.XLOOKUP(Table1188717[[#This Row],[Opp]],Table4[DEF],Table4[Y]),_xlfn.XLOOKUP(Table1188717[[#This Row],[Opp]],Table44[DEF],Table44[Y]))</f>
        <v>#N/A</v>
      </c>
      <c r="O119" s="95" t="e">
        <f>IF(Table1188717[[#This Row],[Pos.]]="RB1",_xlfn.XLOOKUP(Table1188717[[#This Row],[Opp]],Table4[DEF],Table4[R+R]),_xlfn.XLOOKUP(Table1188717[[#This Row],[Opp]],Table44[DEF],Table44[R+R]))</f>
        <v>#N/A</v>
      </c>
      <c r="P119" s="96" t="e">
        <f>IF(Table1188717[[#This Row],[Pos.]]="RB1",_xlfn.XLOOKUP(Table1188717[[#This Row],[Opp]],Table4[DEF],Table4[TD]),_xlfn.XLOOKUP(Table1188717[[#This Row],[Opp]],Table44[DEF],Table44[TD]))</f>
        <v>#N/A</v>
      </c>
      <c r="Q119" s="94" t="e">
        <f>AVERAGE(Table1188717[[#This Row],[*R*]:[*TD*]])</f>
        <v>#N/A</v>
      </c>
    </row>
    <row r="120" spans="2:17" hidden="1" x14ac:dyDescent="0.35">
      <c r="B120" s="6" t="s">
        <v>561</v>
      </c>
      <c r="C120" s="97" t="s">
        <v>41</v>
      </c>
      <c r="D120" s="97" t="s">
        <v>394</v>
      </c>
      <c r="E120" s="23" t="str" cm="1">
        <f t="array" ref="E120">_xlfn.XLOOKUP(Table1188717[[#This Row],[Team]],Table4334[Team],'2425'!$C$3:$C$34)</f>
        <v>n/a</v>
      </c>
      <c r="F120" s="97" t="str">
        <f>'2025'!$E$19</f>
        <v>n/a</v>
      </c>
      <c r="G120" s="94" t="e" cm="1">
        <f t="array" ref="G120">IF(Table1188717[[#This Row],[Pos.]]="RB1",_xlfn.XLOOKUP(Table1188717[[#This Row],[Opp]],Table4[DEF],'2025'!$H$38:$H$69),_xlfn.XLOOKUP(Table1188717[[#This Row],[Opp]],Table44[DEF],'2025'!$U$38:$U$69))</f>
        <v>#N/A</v>
      </c>
      <c r="H120" s="94" t="e" cm="1">
        <f t="array" ref="H120">IF(Table1188717[[#This Row],[Pos.]]="RB1",_xlfn.XLOOKUP(Table1188717[[#This Row],[Opp]],Table4[DEF],'2025'!$I$38:$I$69),_xlfn.XLOOKUP(Table1188717[[#This Row],[Opp]],Table4[DEF],'2025'!$V$38:$V$69))</f>
        <v>#N/A</v>
      </c>
      <c r="I120" s="94" t="e" cm="1">
        <f t="array" ref="I120">IF(Table1188717[[#This Row],[Pos.]]="RB1",_xlfn.XLOOKUP(Table1188717[[#This Row],[Opp]],Table4[DEF],'2025'!$J$38:$J$69),_xlfn.XLOOKUP(Table1188717[[#This Row],[Opp]],Table4[DEF],'2025'!$W$38:$W$69))</f>
        <v>#N/A</v>
      </c>
      <c r="J120" s="94" t="e" cm="1">
        <f t="array" ref="J120">IF(Table1188717[[#This Row],[Pos.]]="RB1",_xlfn.XLOOKUP(Table1188717[[#This Row],[Opp]],Table4[DEF],'2025'!$K$38:$K$69),_xlfn.XLOOKUP(Table1188717[[#This Row],[Opp]],Table4[DEF],'2025'!$X$38:$X$69))</f>
        <v>#N/A</v>
      </c>
      <c r="K120" s="94" t="e" cm="1">
        <f t="array" ref="K120">IF(Table1188717[[#This Row],[Pos.]]="RB1",_xlfn.XLOOKUP(Table1188717[[#This Row],[Opp]],Table4[DEF],'2025'!$L$38:$L$69),_xlfn.XLOOKUP(Table1188717[[#This Row],[Opp]],Table4[DEF],'2025'!$Y$38:$Y$69))</f>
        <v>#N/A</v>
      </c>
      <c r="L120" s="95" t="e">
        <f>IF(Table1188717[[#This Row],[Pos.]]="RB1",_xlfn.XLOOKUP(Table1188717[[#This Row],[Opp]],Table4[DEF],Table4[R]),_xlfn.XLOOKUP(Table1188717[[#This Row],[Opp]],Table44[DEF],Table44[R]))</f>
        <v>#N/A</v>
      </c>
      <c r="M120" s="96" t="e">
        <f>IF(Table1188717[[#This Row],[Pos.]]="RB1",_xlfn.XLOOKUP(Table1188717[[#This Row],[Opp]],Table4[DEF],Table4[REC]),_xlfn.XLOOKUP(Table1188717[[#This Row],[Opp]],Table44[DEF],Table44[REC]))</f>
        <v>#N/A</v>
      </c>
      <c r="N120" s="95" t="e">
        <f>IF(Table1188717[[#This Row],[Pos.]]="RB1",_xlfn.XLOOKUP(Table1188717[[#This Row],[Opp]],Table4[DEF],Table4[Y]),_xlfn.XLOOKUP(Table1188717[[#This Row],[Opp]],Table44[DEF],Table44[Y]))</f>
        <v>#N/A</v>
      </c>
      <c r="O120" s="95" t="e">
        <f>IF(Table1188717[[#This Row],[Pos.]]="RB1",_xlfn.XLOOKUP(Table1188717[[#This Row],[Opp]],Table4[DEF],Table4[R+R]),_xlfn.XLOOKUP(Table1188717[[#This Row],[Opp]],Table44[DEF],Table44[R+R]))</f>
        <v>#N/A</v>
      </c>
      <c r="P120" s="96" t="e">
        <f>IF(Table1188717[[#This Row],[Pos.]]="RB1",_xlfn.XLOOKUP(Table1188717[[#This Row],[Opp]],Table4[DEF],Table4[TD]),_xlfn.XLOOKUP(Table1188717[[#This Row],[Opp]],Table44[DEF],Table44[TD]))</f>
        <v>#N/A</v>
      </c>
      <c r="Q120" s="94" t="e">
        <f>AVERAGE(Table1188717[[#This Row],[*R*]:[*TD*]])</f>
        <v>#N/A</v>
      </c>
    </row>
    <row r="121" spans="2:17" hidden="1" x14ac:dyDescent="0.35">
      <c r="B121" s="6" t="s">
        <v>326</v>
      </c>
      <c r="C121" s="97" t="s">
        <v>48</v>
      </c>
      <c r="D121" s="97" t="s">
        <v>396</v>
      </c>
      <c r="E121" s="23" t="str" cm="1">
        <f t="array" ref="E121">_xlfn.XLOOKUP(Table1188717[[#This Row],[Team]],Table4334[Team],'2425'!$C$3:$C$34)</f>
        <v>n/a</v>
      </c>
      <c r="F121" s="97" t="str">
        <f>'2025'!$E$26</f>
        <v>n/a</v>
      </c>
      <c r="G121" s="94" t="e" cm="1">
        <f t="array" ref="G121">IF(Table1188717[[#This Row],[Pos.]]="RB1",_xlfn.XLOOKUP(Table1188717[[#This Row],[Opp]],Table4[DEF],'2025'!$H$38:$H$69),_xlfn.XLOOKUP(Table1188717[[#This Row],[Opp]],Table44[DEF],'2025'!$U$38:$U$69))</f>
        <v>#N/A</v>
      </c>
      <c r="H121" s="94" t="e" cm="1">
        <f t="array" ref="H121">IF(Table1188717[[#This Row],[Pos.]]="RB1",_xlfn.XLOOKUP(Table1188717[[#This Row],[Opp]],Table4[DEF],'2025'!$I$38:$I$69),_xlfn.XLOOKUP(Table1188717[[#This Row],[Opp]],Table4[DEF],'2025'!$V$38:$V$69))</f>
        <v>#N/A</v>
      </c>
      <c r="I121" s="94" t="e" cm="1">
        <f t="array" ref="I121">IF(Table1188717[[#This Row],[Pos.]]="RB1",_xlfn.XLOOKUP(Table1188717[[#This Row],[Opp]],Table4[DEF],'2025'!$J$38:$J$69),_xlfn.XLOOKUP(Table1188717[[#This Row],[Opp]],Table4[DEF],'2025'!$W$38:$W$69))</f>
        <v>#N/A</v>
      </c>
      <c r="J121" s="94" t="e" cm="1">
        <f t="array" ref="J121">IF(Table1188717[[#This Row],[Pos.]]="RB1",_xlfn.XLOOKUP(Table1188717[[#This Row],[Opp]],Table4[DEF],'2025'!$K$38:$K$69),_xlfn.XLOOKUP(Table1188717[[#This Row],[Opp]],Table4[DEF],'2025'!$X$38:$X$69))</f>
        <v>#N/A</v>
      </c>
      <c r="K121" s="94" t="e" cm="1">
        <f t="array" ref="K121">IF(Table1188717[[#This Row],[Pos.]]="RB1",_xlfn.XLOOKUP(Table1188717[[#This Row],[Opp]],Table4[DEF],'2025'!$L$38:$L$69),_xlfn.XLOOKUP(Table1188717[[#This Row],[Opp]],Table4[DEF],'2025'!$Y$38:$Y$69))</f>
        <v>#N/A</v>
      </c>
      <c r="L121" s="95" t="e">
        <f>IF(Table1188717[[#This Row],[Pos.]]="RB1",_xlfn.XLOOKUP(Table1188717[[#This Row],[Opp]],Table4[DEF],Table4[R]),_xlfn.XLOOKUP(Table1188717[[#This Row],[Opp]],Table44[DEF],Table44[R]))</f>
        <v>#N/A</v>
      </c>
      <c r="M121" s="96" t="e">
        <f>IF(Table1188717[[#This Row],[Pos.]]="RB1",_xlfn.XLOOKUP(Table1188717[[#This Row],[Opp]],Table4[DEF],Table4[REC]),_xlfn.XLOOKUP(Table1188717[[#This Row],[Opp]],Table44[DEF],Table44[REC]))</f>
        <v>#N/A</v>
      </c>
      <c r="N121" s="95" t="e">
        <f>IF(Table1188717[[#This Row],[Pos.]]="RB1",_xlfn.XLOOKUP(Table1188717[[#This Row],[Opp]],Table4[DEF],Table4[Y]),_xlfn.XLOOKUP(Table1188717[[#This Row],[Opp]],Table44[DEF],Table44[Y]))</f>
        <v>#N/A</v>
      </c>
      <c r="O121" s="95" t="e">
        <f>IF(Table1188717[[#This Row],[Pos.]]="RB1",_xlfn.XLOOKUP(Table1188717[[#This Row],[Opp]],Table4[DEF],Table4[R+R]),_xlfn.XLOOKUP(Table1188717[[#This Row],[Opp]],Table44[DEF],Table44[R+R]))</f>
        <v>#N/A</v>
      </c>
      <c r="P121" s="96" t="e">
        <f>IF(Table1188717[[#This Row],[Pos.]]="RB1",_xlfn.XLOOKUP(Table1188717[[#This Row],[Opp]],Table4[DEF],Table4[TD]),_xlfn.XLOOKUP(Table1188717[[#This Row],[Opp]],Table44[DEF],Table44[TD]))</f>
        <v>#N/A</v>
      </c>
      <c r="Q121" s="94" t="e">
        <f>AVERAGE(Table1188717[[#This Row],[*R*]:[*TD*]])</f>
        <v>#N/A</v>
      </c>
    </row>
    <row r="122" spans="2:17" hidden="1" x14ac:dyDescent="0.35">
      <c r="B122" s="6" t="s">
        <v>438</v>
      </c>
      <c r="C122" s="97" t="s">
        <v>48</v>
      </c>
      <c r="D122" s="97" t="s">
        <v>407</v>
      </c>
      <c r="E122" s="23" t="str" cm="1">
        <f t="array" ref="E122">_xlfn.XLOOKUP(Table1188717[[#This Row],[Team]],Table4334[Team],'2425'!$C$3:$C$34)</f>
        <v>n/a</v>
      </c>
      <c r="F122" s="97" t="str">
        <f>'2025'!$E$26</f>
        <v>n/a</v>
      </c>
      <c r="G122" s="94" t="e" cm="1">
        <f t="array" ref="G122">IF(Table1188717[[#This Row],[Pos.]]="RB1",_xlfn.XLOOKUP(Table1188717[[#This Row],[Opp]],Table4[DEF],'2025'!$H$38:$H$69),_xlfn.XLOOKUP(Table1188717[[#This Row],[Opp]],Table44[DEF],'2025'!$U$38:$U$69))</f>
        <v>#N/A</v>
      </c>
      <c r="H122" s="94" t="e" cm="1">
        <f t="array" ref="H122">IF(Table1188717[[#This Row],[Pos.]]="RB1",_xlfn.XLOOKUP(Table1188717[[#This Row],[Opp]],Table4[DEF],'2025'!$I$38:$I$69),_xlfn.XLOOKUP(Table1188717[[#This Row],[Opp]],Table4[DEF],'2025'!$V$38:$V$69))</f>
        <v>#N/A</v>
      </c>
      <c r="I122" s="94" t="e" cm="1">
        <f t="array" ref="I122">IF(Table1188717[[#This Row],[Pos.]]="RB1",_xlfn.XLOOKUP(Table1188717[[#This Row],[Opp]],Table4[DEF],'2025'!$J$38:$J$69),_xlfn.XLOOKUP(Table1188717[[#This Row],[Opp]],Table4[DEF],'2025'!$W$38:$W$69))</f>
        <v>#N/A</v>
      </c>
      <c r="J122" s="94" t="e" cm="1">
        <f t="array" ref="J122">IF(Table1188717[[#This Row],[Pos.]]="RB1",_xlfn.XLOOKUP(Table1188717[[#This Row],[Opp]],Table4[DEF],'2025'!$K$38:$K$69),_xlfn.XLOOKUP(Table1188717[[#This Row],[Opp]],Table4[DEF],'2025'!$X$38:$X$69))</f>
        <v>#N/A</v>
      </c>
      <c r="K122" s="94" t="e" cm="1">
        <f t="array" ref="K122">IF(Table1188717[[#This Row],[Pos.]]="RB1",_xlfn.XLOOKUP(Table1188717[[#This Row],[Opp]],Table4[DEF],'2025'!$L$38:$L$69),_xlfn.XLOOKUP(Table1188717[[#This Row],[Opp]],Table4[DEF],'2025'!$Y$38:$Y$69))</f>
        <v>#N/A</v>
      </c>
      <c r="L122" s="95" t="e">
        <f>IF(Table1188717[[#This Row],[Pos.]]="RB1",_xlfn.XLOOKUP(Table1188717[[#This Row],[Opp]],Table4[DEF],Table4[R]),_xlfn.XLOOKUP(Table1188717[[#This Row],[Opp]],Table44[DEF],Table44[R]))</f>
        <v>#N/A</v>
      </c>
      <c r="M122" s="96" t="e">
        <f>IF(Table1188717[[#This Row],[Pos.]]="RB1",_xlfn.XLOOKUP(Table1188717[[#This Row],[Opp]],Table4[DEF],Table4[REC]),_xlfn.XLOOKUP(Table1188717[[#This Row],[Opp]],Table44[DEF],Table44[REC]))</f>
        <v>#N/A</v>
      </c>
      <c r="N122" s="95" t="e">
        <f>IF(Table1188717[[#This Row],[Pos.]]="RB1",_xlfn.XLOOKUP(Table1188717[[#This Row],[Opp]],Table4[DEF],Table4[Y]),_xlfn.XLOOKUP(Table1188717[[#This Row],[Opp]],Table44[DEF],Table44[Y]))</f>
        <v>#N/A</v>
      </c>
      <c r="O122" s="95" t="e">
        <f>IF(Table1188717[[#This Row],[Pos.]]="RB1",_xlfn.XLOOKUP(Table1188717[[#This Row],[Opp]],Table4[DEF],Table4[R+R]),_xlfn.XLOOKUP(Table1188717[[#This Row],[Opp]],Table44[DEF],Table44[R+R]))</f>
        <v>#N/A</v>
      </c>
      <c r="P122" s="96" t="e">
        <f>IF(Table1188717[[#This Row],[Pos.]]="RB1",_xlfn.XLOOKUP(Table1188717[[#This Row],[Opp]],Table4[DEF],Table4[TD]),_xlfn.XLOOKUP(Table1188717[[#This Row],[Opp]],Table44[DEF],Table44[TD]))</f>
        <v>#N/A</v>
      </c>
      <c r="Q122" s="94" t="e">
        <f>AVERAGE(Table1188717[[#This Row],[*R*]:[*TD*]])</f>
        <v>#N/A</v>
      </c>
    </row>
    <row r="123" spans="2:17" x14ac:dyDescent="0.35">
      <c r="B123" s="6" t="s">
        <v>217</v>
      </c>
      <c r="C123" s="97" t="s">
        <v>37</v>
      </c>
      <c r="D123" s="97" t="s">
        <v>394</v>
      </c>
      <c r="E123" s="23" t="str" cm="1">
        <f t="array" ref="E123">_xlfn.XLOOKUP(Table1188717[[#This Row],[Team]],Table4334[Team],'2425'!$C$3:$C$34)</f>
        <v>n/a</v>
      </c>
      <c r="F123" s="97" t="str">
        <f>'2025'!$E$15</f>
        <v>n/a</v>
      </c>
      <c r="G123" s="94" t="e" cm="1">
        <f t="array" ref="G123">IF(Table1188717[[#This Row],[Pos.]]="RB1",_xlfn.XLOOKUP(Table1188717[[#This Row],[Opp]],Table4[DEF],'2025'!$H$38:$H$69),_xlfn.XLOOKUP(Table1188717[[#This Row],[Opp]],Table44[DEF],'2025'!$U$38:$U$69))</f>
        <v>#N/A</v>
      </c>
      <c r="H123" s="94" t="e" cm="1">
        <f t="array" ref="H123">IF(Table1188717[[#This Row],[Pos.]]="RB1",_xlfn.XLOOKUP(Table1188717[[#This Row],[Opp]],Table4[DEF],'2025'!$I$38:$I$69),_xlfn.XLOOKUP(Table1188717[[#This Row],[Opp]],Table4[DEF],'2025'!$V$38:$V$69))</f>
        <v>#N/A</v>
      </c>
      <c r="I123" s="94" t="e" cm="1">
        <f t="array" ref="I123">IF(Table1188717[[#This Row],[Pos.]]="RB1",_xlfn.XLOOKUP(Table1188717[[#This Row],[Opp]],Table4[DEF],'2025'!$J$38:$J$69),_xlfn.XLOOKUP(Table1188717[[#This Row],[Opp]],Table4[DEF],'2025'!$W$38:$W$69))</f>
        <v>#N/A</v>
      </c>
      <c r="J123" s="94" t="e" cm="1">
        <f t="array" ref="J123">IF(Table1188717[[#This Row],[Pos.]]="RB1",_xlfn.XLOOKUP(Table1188717[[#This Row],[Opp]],Table4[DEF],'2025'!$K$38:$K$69),_xlfn.XLOOKUP(Table1188717[[#This Row],[Opp]],Table4[DEF],'2025'!$X$38:$X$69))</f>
        <v>#N/A</v>
      </c>
      <c r="K123" s="94" t="e" cm="1">
        <f t="array" ref="K123">IF(Table1188717[[#This Row],[Pos.]]="RB1",_xlfn.XLOOKUP(Table1188717[[#This Row],[Opp]],Table4[DEF],'2025'!$L$38:$L$69),_xlfn.XLOOKUP(Table1188717[[#This Row],[Opp]],Table4[DEF],'2025'!$Y$38:$Y$69))</f>
        <v>#N/A</v>
      </c>
      <c r="L123" s="95" t="e">
        <f>IF(Table1188717[[#This Row],[Pos.]]="RB1",_xlfn.XLOOKUP(Table1188717[[#This Row],[Opp]],Table4[DEF],Table4[R]),_xlfn.XLOOKUP(Table1188717[[#This Row],[Opp]],Table44[DEF],Table44[R]))</f>
        <v>#N/A</v>
      </c>
      <c r="M123" s="96" t="e">
        <f>IF(Table1188717[[#This Row],[Pos.]]="RB1",_xlfn.XLOOKUP(Table1188717[[#This Row],[Opp]],Table4[DEF],Table4[REC]),_xlfn.XLOOKUP(Table1188717[[#This Row],[Opp]],Table44[DEF],Table44[REC]))</f>
        <v>#N/A</v>
      </c>
      <c r="N123" s="95" t="e">
        <f>IF(Table1188717[[#This Row],[Pos.]]="RB1",_xlfn.XLOOKUP(Table1188717[[#This Row],[Opp]],Table4[DEF],Table4[Y]),_xlfn.XLOOKUP(Table1188717[[#This Row],[Opp]],Table44[DEF],Table44[Y]))</f>
        <v>#N/A</v>
      </c>
      <c r="O123" s="95" t="e">
        <f>IF(Table1188717[[#This Row],[Pos.]]="RB1",_xlfn.XLOOKUP(Table1188717[[#This Row],[Opp]],Table4[DEF],Table4[R+R]),_xlfn.XLOOKUP(Table1188717[[#This Row],[Opp]],Table44[DEF],Table44[R+R]))</f>
        <v>#N/A</v>
      </c>
      <c r="P123" s="96" t="e">
        <f>IF(Table1188717[[#This Row],[Pos.]]="RB1",_xlfn.XLOOKUP(Table1188717[[#This Row],[Opp]],Table4[DEF],Table4[TD]),_xlfn.XLOOKUP(Table1188717[[#This Row],[Opp]],Table44[DEF],Table44[TD]))</f>
        <v>#N/A</v>
      </c>
      <c r="Q123" s="94" t="e">
        <f>AVERAGE(Table1188717[[#This Row],[*R*]:[*TD*]])</f>
        <v>#N/A</v>
      </c>
    </row>
    <row r="124" spans="2:17" hidden="1" x14ac:dyDescent="0.35">
      <c r="B124" s="6" t="s">
        <v>462</v>
      </c>
      <c r="C124" s="97" t="s">
        <v>56</v>
      </c>
      <c r="D124" s="97" t="s">
        <v>396</v>
      </c>
      <c r="E124" s="23" t="str" cm="1">
        <f t="array" ref="E124">_xlfn.XLOOKUP(Table1188717[[#This Row],[Team]],Table4334[Team],'2425'!$C$3:$C$34)</f>
        <v>n/a</v>
      </c>
      <c r="F124" s="97" t="str">
        <f>'2025'!$E$34</f>
        <v>n/a</v>
      </c>
      <c r="G124" s="94" t="e" cm="1">
        <f t="array" ref="G124">IF(Table1188717[[#This Row],[Pos.]]="RB1",_xlfn.XLOOKUP(Table1188717[[#This Row],[Opp]],Table4[DEF],'2025'!$H$38:$H$69),_xlfn.XLOOKUP(Table1188717[[#This Row],[Opp]],Table44[DEF],'2025'!$U$38:$U$69))</f>
        <v>#N/A</v>
      </c>
      <c r="H124" s="94" t="e" cm="1">
        <f t="array" ref="H124">IF(Table1188717[[#This Row],[Pos.]]="RB1",_xlfn.XLOOKUP(Table1188717[[#This Row],[Opp]],Table4[DEF],'2025'!$I$38:$I$69),_xlfn.XLOOKUP(Table1188717[[#This Row],[Opp]],Table4[DEF],'2025'!$V$38:$V$69))</f>
        <v>#N/A</v>
      </c>
      <c r="I124" s="94" t="e" cm="1">
        <f t="array" ref="I124">IF(Table1188717[[#This Row],[Pos.]]="RB1",_xlfn.XLOOKUP(Table1188717[[#This Row],[Opp]],Table4[DEF],'2025'!$J$38:$J$69),_xlfn.XLOOKUP(Table1188717[[#This Row],[Opp]],Table4[DEF],'2025'!$W$38:$W$69))</f>
        <v>#N/A</v>
      </c>
      <c r="J124" s="94" t="e" cm="1">
        <f t="array" ref="J124">IF(Table1188717[[#This Row],[Pos.]]="RB1",_xlfn.XLOOKUP(Table1188717[[#This Row],[Opp]],Table4[DEF],'2025'!$K$38:$K$69),_xlfn.XLOOKUP(Table1188717[[#This Row],[Opp]],Table4[DEF],'2025'!$X$38:$X$69))</f>
        <v>#N/A</v>
      </c>
      <c r="K124" s="94" t="e" cm="1">
        <f t="array" ref="K124">IF(Table1188717[[#This Row],[Pos.]]="RB1",_xlfn.XLOOKUP(Table1188717[[#This Row],[Opp]],Table4[DEF],'2025'!$L$38:$L$69),_xlfn.XLOOKUP(Table1188717[[#This Row],[Opp]],Table4[DEF],'2025'!$Y$38:$Y$69))</f>
        <v>#N/A</v>
      </c>
      <c r="L124" s="95" t="e">
        <f>IF(Table1188717[[#This Row],[Pos.]]="RB1",_xlfn.XLOOKUP(Table1188717[[#This Row],[Opp]],Table4[DEF],Table4[R]),_xlfn.XLOOKUP(Table1188717[[#This Row],[Opp]],Table44[DEF],Table44[R]))</f>
        <v>#N/A</v>
      </c>
      <c r="M124" s="96" t="e">
        <f>IF(Table1188717[[#This Row],[Pos.]]="RB1",_xlfn.XLOOKUP(Table1188717[[#This Row],[Opp]],Table4[DEF],Table4[REC]),_xlfn.XLOOKUP(Table1188717[[#This Row],[Opp]],Table44[DEF],Table44[REC]))</f>
        <v>#N/A</v>
      </c>
      <c r="N124" s="95" t="e">
        <f>IF(Table1188717[[#This Row],[Pos.]]="RB1",_xlfn.XLOOKUP(Table1188717[[#This Row],[Opp]],Table4[DEF],Table4[Y]),_xlfn.XLOOKUP(Table1188717[[#This Row],[Opp]],Table44[DEF],Table44[Y]))</f>
        <v>#N/A</v>
      </c>
      <c r="O124" s="95" t="e">
        <f>IF(Table1188717[[#This Row],[Pos.]]="RB1",_xlfn.XLOOKUP(Table1188717[[#This Row],[Opp]],Table4[DEF],Table4[R+R]),_xlfn.XLOOKUP(Table1188717[[#This Row],[Opp]],Table44[DEF],Table44[R+R]))</f>
        <v>#N/A</v>
      </c>
      <c r="P124" s="96" t="e">
        <f>IF(Table1188717[[#This Row],[Pos.]]="RB1",_xlfn.XLOOKUP(Table1188717[[#This Row],[Opp]],Table4[DEF],Table4[TD]),_xlfn.XLOOKUP(Table1188717[[#This Row],[Opp]],Table44[DEF],Table44[TD]))</f>
        <v>#N/A</v>
      </c>
      <c r="Q124" s="94" t="e">
        <f>AVERAGE(Table1188717[[#This Row],[*R*]:[*TD*]])</f>
        <v>#N/A</v>
      </c>
    </row>
    <row r="125" spans="2:17" hidden="1" x14ac:dyDescent="0.35">
      <c r="B125" s="6" t="s">
        <v>387</v>
      </c>
      <c r="C125" s="97" t="s">
        <v>56</v>
      </c>
      <c r="D125" s="97" t="s">
        <v>407</v>
      </c>
      <c r="E125" s="23" t="str" cm="1">
        <f t="array" ref="E125">_xlfn.XLOOKUP(Table1188717[[#This Row],[Team]],Table4334[Team],'2425'!$C$3:$C$34)</f>
        <v>n/a</v>
      </c>
      <c r="F125" s="97" t="str">
        <f>'2025'!$E$34</f>
        <v>n/a</v>
      </c>
      <c r="G125" s="94" t="e" cm="1">
        <f t="array" ref="G125">IF(Table1188717[[#This Row],[Pos.]]="RB1",_xlfn.XLOOKUP(Table1188717[[#This Row],[Opp]],Table4[DEF],'2025'!$H$38:$H$69),_xlfn.XLOOKUP(Table1188717[[#This Row],[Opp]],Table44[DEF],'2025'!$U$38:$U$69))</f>
        <v>#N/A</v>
      </c>
      <c r="H125" s="94" t="e" cm="1">
        <f t="array" ref="H125">IF(Table1188717[[#This Row],[Pos.]]="RB1",_xlfn.XLOOKUP(Table1188717[[#This Row],[Opp]],Table4[DEF],'2025'!$I$38:$I$69),_xlfn.XLOOKUP(Table1188717[[#This Row],[Opp]],Table4[DEF],'2025'!$V$38:$V$69))</f>
        <v>#N/A</v>
      </c>
      <c r="I125" s="94" t="e" cm="1">
        <f t="array" ref="I125">IF(Table1188717[[#This Row],[Pos.]]="RB1",_xlfn.XLOOKUP(Table1188717[[#This Row],[Opp]],Table4[DEF],'2025'!$J$38:$J$69),_xlfn.XLOOKUP(Table1188717[[#This Row],[Opp]],Table4[DEF],'2025'!$W$38:$W$69))</f>
        <v>#N/A</v>
      </c>
      <c r="J125" s="94" t="e" cm="1">
        <f t="array" ref="J125">IF(Table1188717[[#This Row],[Pos.]]="RB1",_xlfn.XLOOKUP(Table1188717[[#This Row],[Opp]],Table4[DEF],'2025'!$K$38:$K$69),_xlfn.XLOOKUP(Table1188717[[#This Row],[Opp]],Table4[DEF],'2025'!$X$38:$X$69))</f>
        <v>#N/A</v>
      </c>
      <c r="K125" s="94" t="e" cm="1">
        <f t="array" ref="K125">IF(Table1188717[[#This Row],[Pos.]]="RB1",_xlfn.XLOOKUP(Table1188717[[#This Row],[Opp]],Table4[DEF],'2025'!$L$38:$L$69),_xlfn.XLOOKUP(Table1188717[[#This Row],[Opp]],Table4[DEF],'2025'!$Y$38:$Y$69))</f>
        <v>#N/A</v>
      </c>
      <c r="L125" s="95" t="e">
        <f>IF(Table1188717[[#This Row],[Pos.]]="RB1",_xlfn.XLOOKUP(Table1188717[[#This Row],[Opp]],Table4[DEF],Table4[R]),_xlfn.XLOOKUP(Table1188717[[#This Row],[Opp]],Table44[DEF],Table44[R]))</f>
        <v>#N/A</v>
      </c>
      <c r="M125" s="96" t="e">
        <f>IF(Table1188717[[#This Row],[Pos.]]="RB1",_xlfn.XLOOKUP(Table1188717[[#This Row],[Opp]],Table4[DEF],Table4[REC]),_xlfn.XLOOKUP(Table1188717[[#This Row],[Opp]],Table44[DEF],Table44[REC]))</f>
        <v>#N/A</v>
      </c>
      <c r="N125" s="95" t="e">
        <f>IF(Table1188717[[#This Row],[Pos.]]="RB1",_xlfn.XLOOKUP(Table1188717[[#This Row],[Opp]],Table4[DEF],Table4[Y]),_xlfn.XLOOKUP(Table1188717[[#This Row],[Opp]],Table44[DEF],Table44[Y]))</f>
        <v>#N/A</v>
      </c>
      <c r="O125" s="95" t="e">
        <f>IF(Table1188717[[#This Row],[Pos.]]="RB1",_xlfn.XLOOKUP(Table1188717[[#This Row],[Opp]],Table4[DEF],Table4[R+R]),_xlfn.XLOOKUP(Table1188717[[#This Row],[Opp]],Table44[DEF],Table44[R+R]))</f>
        <v>#N/A</v>
      </c>
      <c r="P125" s="96" t="e">
        <f>IF(Table1188717[[#This Row],[Pos.]]="RB1",_xlfn.XLOOKUP(Table1188717[[#This Row],[Opp]],Table4[DEF],Table4[TD]),_xlfn.XLOOKUP(Table1188717[[#This Row],[Opp]],Table44[DEF],Table44[TD]))</f>
        <v>#N/A</v>
      </c>
      <c r="Q125" s="94" t="e">
        <f>AVERAGE(Table1188717[[#This Row],[*R*]:[*TD*]])</f>
        <v>#N/A</v>
      </c>
    </row>
  </sheetData>
  <conditionalFormatting sqref="C2:C125 F2:F125">
    <cfRule type="cellIs" dxfId="3054" priority="65" operator="equal">
      <formula>"BYE"</formula>
    </cfRule>
    <cfRule type="cellIs" dxfId="3053" priority="89" operator="equal">
      <formula>"DAL"</formula>
    </cfRule>
    <cfRule type="cellIs" dxfId="3052" priority="90" operator="equal">
      <formula>"CIN"</formula>
    </cfRule>
    <cfRule type="cellIs" dxfId="3051" priority="91" operator="equal">
      <formula>"ARI"</formula>
    </cfRule>
    <cfRule type="cellIs" dxfId="3050" priority="92" operator="equal">
      <formula>"HOU"</formula>
    </cfRule>
    <cfRule type="cellIs" dxfId="3049" priority="93" operator="equal">
      <formula>"IND"</formula>
    </cfRule>
    <cfRule type="cellIs" dxfId="3048" priority="94" operator="equal">
      <formula>"KC"</formula>
    </cfRule>
    <cfRule type="cellIs" dxfId="3047" priority="95" operator="equal">
      <formula>"BAL"</formula>
    </cfRule>
    <cfRule type="cellIs" dxfId="3046" priority="96" operator="equal">
      <formula>"PHI"</formula>
    </cfRule>
    <cfRule type="cellIs" dxfId="3045" priority="74" operator="equal">
      <formula>"TEN"</formula>
    </cfRule>
    <cfRule type="cellIs" dxfId="3044" priority="66" operator="equal">
      <formula>"LV"</formula>
    </cfRule>
    <cfRule type="cellIs" dxfId="3043" priority="67" operator="equal">
      <formula>"NE"</formula>
    </cfRule>
    <cfRule type="cellIs" dxfId="3042" priority="68" operator="equal">
      <formula>"MIN"</formula>
    </cfRule>
    <cfRule type="cellIs" dxfId="3041" priority="69" operator="equal">
      <formula>"PIT"</formula>
    </cfRule>
    <cfRule type="cellIs" dxfId="3040" priority="70" operator="equal">
      <formula>"DEN"</formula>
    </cfRule>
    <cfRule type="cellIs" dxfId="3039" priority="71" operator="equal">
      <formula>"CAR"</formula>
    </cfRule>
    <cfRule type="cellIs" dxfId="3038" priority="72" operator="equal">
      <formula>"NYG"</formula>
    </cfRule>
    <cfRule type="cellIs" dxfId="3037" priority="73" operator="equal">
      <formula>"NO"</formula>
    </cfRule>
    <cfRule type="cellIs" dxfId="3036" priority="97" operator="equal">
      <formula>"BUF"</formula>
    </cfRule>
    <cfRule type="cellIs" dxfId="3035" priority="75" operator="equal">
      <formula>"TB"</formula>
    </cfRule>
    <cfRule type="cellIs" dxfId="3034" priority="76" operator="equal">
      <formula>"CLE"</formula>
    </cfRule>
    <cfRule type="cellIs" dxfId="3033" priority="77" operator="equal">
      <formula>"NYJ"</formula>
    </cfRule>
    <cfRule type="cellIs" dxfId="3032" priority="78" operator="equal">
      <formula>"SEA"</formula>
    </cfRule>
    <cfRule type="cellIs" dxfId="3031" priority="79" operator="equal">
      <formula>"LAC"</formula>
    </cfRule>
    <cfRule type="cellIs" dxfId="3030" priority="80" operator="equal">
      <formula>"LAR"</formula>
    </cfRule>
    <cfRule type="cellIs" dxfId="3029" priority="81" operator="equal">
      <formula>"ATL"</formula>
    </cfRule>
    <cfRule type="cellIs" dxfId="3028" priority="82" operator="equal">
      <formula>"JAX"</formula>
    </cfRule>
    <cfRule type="cellIs" dxfId="3027" priority="83" operator="equal">
      <formula>"CHI"</formula>
    </cfRule>
    <cfRule type="cellIs" dxfId="3026" priority="84" operator="equal">
      <formula>"MIA"</formula>
    </cfRule>
    <cfRule type="cellIs" dxfId="3025" priority="85" operator="equal">
      <formula>"DET"</formula>
    </cfRule>
    <cfRule type="cellIs" dxfId="3024" priority="86" operator="equal">
      <formula>"SF"</formula>
    </cfRule>
    <cfRule type="cellIs" dxfId="3023" priority="87" operator="equal">
      <formula>"WAS"</formula>
    </cfRule>
    <cfRule type="cellIs" dxfId="3022" priority="88" operator="equal">
      <formula>"GB"</formula>
    </cfRule>
  </conditionalFormatting>
  <conditionalFormatting sqref="D2:D125">
    <cfRule type="cellIs" dxfId="3021" priority="99" operator="equal">
      <formula>"WR8"</formula>
    </cfRule>
    <cfRule type="cellIs" dxfId="3020" priority="102" operator="equal">
      <formula>"TE5"</formula>
    </cfRule>
    <cfRule type="cellIs" dxfId="3019" priority="103" operator="equal">
      <formula>"WR5"</formula>
    </cfRule>
    <cfRule type="cellIs" dxfId="3018" priority="104" operator="equal">
      <formula>"RB5"</formula>
    </cfRule>
    <cfRule type="cellIs" dxfId="3017" priority="105" operator="equal">
      <formula>"QB5"</formula>
    </cfRule>
    <cfRule type="cellIs" dxfId="3016" priority="110" operator="equal">
      <formula>"TE3"</formula>
    </cfRule>
    <cfRule type="cellIs" dxfId="3015" priority="106" operator="equal">
      <formula>"TE4"</formula>
    </cfRule>
    <cfRule type="cellIs" dxfId="3014" priority="107" operator="equal">
      <formula>"WR4"</formula>
    </cfRule>
    <cfRule type="cellIs" dxfId="3013" priority="108" operator="equal">
      <formula>"RB4"</formula>
    </cfRule>
    <cfRule type="cellIs" dxfId="3012" priority="98" operator="equal">
      <formula>"WR9"</formula>
    </cfRule>
    <cfRule type="cellIs" dxfId="3011" priority="109" operator="equal">
      <formula>"QB4"</formula>
    </cfRule>
    <cfRule type="cellIs" dxfId="3010" priority="100" operator="equal">
      <formula>"WR7"</formula>
    </cfRule>
    <cfRule type="cellIs" dxfId="3009" priority="101" operator="equal">
      <formula>"WR6"</formula>
    </cfRule>
    <cfRule type="cellIs" dxfId="3008" priority="111" operator="equal">
      <formula>"WR3"</formula>
    </cfRule>
    <cfRule type="cellIs" dxfId="3007" priority="112" operator="equal">
      <formula>"RB3"</formula>
    </cfRule>
    <cfRule type="cellIs" dxfId="3006" priority="113" operator="equal">
      <formula>"QB3"</formula>
    </cfRule>
    <cfRule type="cellIs" dxfId="3005" priority="114" operator="equal">
      <formula>"TE2"</formula>
    </cfRule>
    <cfRule type="cellIs" dxfId="3004" priority="115" operator="equal">
      <formula>"WR2"</formula>
    </cfRule>
    <cfRule type="cellIs" dxfId="3003" priority="116" operator="equal">
      <formula>"RB2"</formula>
    </cfRule>
    <cfRule type="cellIs" dxfId="3002" priority="117" operator="equal">
      <formula>"QB2"</formula>
    </cfRule>
    <cfRule type="cellIs" dxfId="3001" priority="118" operator="equal">
      <formula>"TE1"</formula>
    </cfRule>
    <cfRule type="cellIs" dxfId="3000" priority="119" operator="equal">
      <formula>"WR1"</formula>
    </cfRule>
    <cfRule type="cellIs" dxfId="2999" priority="120" operator="equal">
      <formula>"RB1"</formula>
    </cfRule>
    <cfRule type="cellIs" dxfId="2998" priority="121" operator="equal">
      <formula>"QB1"</formula>
    </cfRule>
  </conditionalFormatting>
  <conditionalFormatting sqref="E2:E125">
    <cfRule type="cellIs" dxfId="2997" priority="5" operator="equal">
      <formula>"pm"</formula>
    </cfRule>
    <cfRule type="cellIs" dxfId="2996" priority="6" operator="equal">
      <formula>"am"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2995" priority="1" operator="equal">
      <formula>"FRI"</formula>
    </cfRule>
    <cfRule type="cellIs" dxfId="2994" priority="7" operator="equal">
      <formula>"tnf"</formula>
    </cfRule>
    <cfRule type="cellIs" dxfId="2993" priority="2" operator="equal">
      <formula>"bye"</formula>
    </cfRule>
    <cfRule type="cellIs" dxfId="2992" priority="3" operator="equal">
      <formula>"snf"</formula>
    </cfRule>
    <cfRule type="cellIs" dxfId="2991" priority="4" operator="equal">
      <formula>"mnf"</formula>
    </cfRule>
  </conditionalFormatting>
  <conditionalFormatting sqref="G2:K125">
    <cfRule type="colorScale" priority="83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125">
    <cfRule type="colorScale" priority="8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5">
    <cfRule type="colorScale" priority="8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25">
    <cfRule type="colorScale" priority="8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25">
    <cfRule type="colorScale" priority="8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25">
    <cfRule type="colorScale" priority="8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5">
    <cfRule type="colorScale" priority="837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verticalCentered="1"/>
  <pageMargins left="0" right="0" top="0.25" bottom="0.25" header="0.05" footer="0.05"/>
  <pageSetup paperSize="3" scale="68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C2DADAA7-C1CC-46BD-8704-F061F316C3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E2:E125</xm:sqref>
        </x14:conditionalFormatting>
        <x14:conditionalFormatting xmlns:xm="http://schemas.microsoft.com/office/excel/2006/main">
          <x14:cfRule type="iconSet" priority="8361" id="{A5BC8A4E-8617-4489-BC3D-48353D2F0F3F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G2:K125</xm:sqref>
        </x14:conditionalFormatting>
        <x14:conditionalFormatting xmlns:xm="http://schemas.microsoft.com/office/excel/2006/main">
          <x14:cfRule type="iconSet" priority="8375" id="{88EEA2DE-DBD2-406A-BFE5-90F1A41450B6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Q2:Q125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E2EA-9A70-418F-9257-1CA33B760439}">
  <sheetPr>
    <tabColor theme="3" tint="0.89999084444715716"/>
    <pageSetUpPr fitToPage="1"/>
  </sheetPr>
  <dimension ref="B1:Q125"/>
  <sheetViews>
    <sheetView zoomScale="115" zoomScaleNormal="115" workbookViewId="0">
      <selection activeCell="E83" sqref="E83"/>
    </sheetView>
  </sheetViews>
  <sheetFormatPr defaultRowHeight="14.5" x14ac:dyDescent="0.35"/>
  <cols>
    <col min="1" max="1" width="1.6328125" customWidth="1"/>
    <col min="2" max="2" width="13.453125" bestFit="1" customWidth="1"/>
    <col min="3" max="3" width="8.453125" bestFit="1" customWidth="1"/>
    <col min="4" max="4" width="7.7265625" bestFit="1" customWidth="1"/>
    <col min="5" max="5" width="8.26953125" style="147" bestFit="1" customWidth="1"/>
    <col min="6" max="6" width="7.6328125" bestFit="1" customWidth="1"/>
    <col min="7" max="7" width="7.453125" bestFit="1" customWidth="1"/>
    <col min="8" max="8" width="7.54296875" bestFit="1" customWidth="1"/>
    <col min="9" max="9" width="7.36328125" bestFit="1" customWidth="1"/>
    <col min="10" max="10" width="9" bestFit="1" customWidth="1"/>
    <col min="11" max="11" width="8.1796875" bestFit="1" customWidth="1"/>
    <col min="12" max="12" width="6" bestFit="1" customWidth="1"/>
    <col min="13" max="13" width="6.08984375" bestFit="1" customWidth="1"/>
    <col min="14" max="14" width="5.90625" bestFit="1" customWidth="1"/>
    <col min="15" max="15" width="7.54296875" bestFit="1" customWidth="1"/>
    <col min="16" max="16" width="6.7265625" bestFit="1" customWidth="1"/>
    <col min="17" max="17" width="5.90625" bestFit="1" customWidth="1"/>
  </cols>
  <sheetData>
    <row r="1" spans="2:17" ht="15" thickBot="1" x14ac:dyDescent="0.4">
      <c r="B1" s="91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2" t="s">
        <v>655</v>
      </c>
      <c r="H1" s="92" t="s">
        <v>657</v>
      </c>
      <c r="I1" s="92" t="s">
        <v>652</v>
      </c>
      <c r="J1" s="92" t="s">
        <v>658</v>
      </c>
      <c r="K1" s="92" t="s">
        <v>653</v>
      </c>
      <c r="L1" s="107" t="s">
        <v>74</v>
      </c>
      <c r="M1" s="107" t="s">
        <v>656</v>
      </c>
      <c r="N1" s="107" t="s">
        <v>104</v>
      </c>
      <c r="O1" s="107" t="s">
        <v>662</v>
      </c>
      <c r="P1" s="107" t="s">
        <v>72</v>
      </c>
      <c r="Q1" s="107" t="s">
        <v>649</v>
      </c>
    </row>
    <row r="2" spans="2:17" hidden="1" x14ac:dyDescent="0.35">
      <c r="B2" s="6" t="s">
        <v>368</v>
      </c>
      <c r="C2" s="97" t="s">
        <v>54</v>
      </c>
      <c r="D2" s="97" t="s">
        <v>395</v>
      </c>
      <c r="E2" s="23" t="str" cm="1">
        <f t="array" ref="E2">_xlfn.XLOOKUP(Table118871730[[#This Row],[Team]],Table4334[Team],'2425'!$C$3:$C$34)</f>
        <v>n/a</v>
      </c>
      <c r="F2" s="97" t="str">
        <f>'2025'!$E$32</f>
        <v>n/a</v>
      </c>
      <c r="G2" s="94" t="e" cm="1">
        <f t="array" ref="G2">_xlfn.XLOOKUP(Table118871730[[#This Row],[Opp]],Table2040[DEF],'2425'!$H$38:$H$69)</f>
        <v>#N/A</v>
      </c>
      <c r="H2" s="94" t="e" cm="1">
        <f t="array" ref="H2">_xlfn.XLOOKUP(Table118871730[[#This Row],[Opp]],Table2040[DEF],'2425'!$I$38:$I$69)</f>
        <v>#N/A</v>
      </c>
      <c r="I2" s="94" t="e" cm="1">
        <f t="array" ref="I2">_xlfn.XLOOKUP(Table118871730[[#This Row],[Opp]],Table2040[DEF],'2425'!$J$38:$J$69)</f>
        <v>#N/A</v>
      </c>
      <c r="J2" s="94" t="e" cm="1">
        <f t="array" ref="J2">_xlfn.XLOOKUP(Table118871730[[#This Row],[Opp]],Table2040[DEF],'2425'!$K$38:$K$69)</f>
        <v>#N/A</v>
      </c>
      <c r="K2" s="94" t="e" cm="1">
        <f t="array" ref="K2">_xlfn.XLOOKUP(Table118871730[[#This Row],[Opp]],Table2040[DEF],'2425'!$L$38:$L$69)</f>
        <v>#N/A</v>
      </c>
      <c r="L2" s="95" t="e">
        <f>_xlfn.XLOOKUP(Table118871730[[#This Row],[Opp]],Table2040[DEF],Table2040[R])</f>
        <v>#N/A</v>
      </c>
      <c r="M2" s="96" t="e">
        <f>_xlfn.XLOOKUP(Table118871730[[#This Row],[Opp]],Table2040[DEF],Table2040[REC])</f>
        <v>#N/A</v>
      </c>
      <c r="N2" s="95" t="e">
        <f>_xlfn.XLOOKUP(Table118871730[[#This Row],[Opp]],Table2040[DEF],Table2040[Y])</f>
        <v>#N/A</v>
      </c>
      <c r="O2" s="95" t="e">
        <f>_xlfn.XLOOKUP(Table118871730[[#This Row],[Opp]],Table2040[DEF],Table2040[R+R])</f>
        <v>#N/A</v>
      </c>
      <c r="P2" s="96" t="e">
        <f>_xlfn.XLOOKUP(Table118871730[[#This Row],[Opp]],Table2040[DEF],Table2040[TD])</f>
        <v>#N/A</v>
      </c>
      <c r="Q2" s="94" t="e">
        <f>AVERAGE(Table118871730[[#This Row],[*R*]:[*TD*]])</f>
        <v>#N/A</v>
      </c>
    </row>
    <row r="3" spans="2:17" hidden="1" x14ac:dyDescent="0.35">
      <c r="B3" s="6" t="s">
        <v>304</v>
      </c>
      <c r="C3" s="97" t="s">
        <v>46</v>
      </c>
      <c r="D3" s="97" t="s">
        <v>394</v>
      </c>
      <c r="E3" s="23" t="str" cm="1">
        <f t="array" ref="E3">_xlfn.XLOOKUP(Table118871730[[#This Row],[Team]],Table4334[Team],'2425'!$C$3:$C$34)</f>
        <v>SB LX</v>
      </c>
      <c r="F3" s="97" t="str">
        <f>'2025'!$E$24</f>
        <v>SEA</v>
      </c>
      <c r="G3" s="94" cm="1">
        <f t="array" ref="G3">_xlfn.XLOOKUP(Table118871730[[#This Row],[Opp]],Table2040[DEF],'2425'!$H$38:$H$69)</f>
        <v>25</v>
      </c>
      <c r="H3" s="94" cm="1">
        <f t="array" ref="H3">_xlfn.XLOOKUP(Table118871730[[#This Row],[Opp]],Table2040[DEF],'2425'!$I$38:$I$69)</f>
        <v>1.5</v>
      </c>
      <c r="I3" s="94" cm="1">
        <f t="array" ref="I3">_xlfn.XLOOKUP(Table118871730[[#This Row],[Opp]],Table2040[DEF],'2425'!$J$38:$J$69)</f>
        <v>5</v>
      </c>
      <c r="J3" s="94" cm="1">
        <f t="array" ref="J3">_xlfn.XLOOKUP(Table118871730[[#This Row],[Opp]],Table2040[DEF],'2425'!$K$38:$K$69)</f>
        <v>19</v>
      </c>
      <c r="K3" s="94" cm="1">
        <f t="array" ref="K3">_xlfn.XLOOKUP(Table118871730[[#This Row],[Opp]],Table2040[DEF],'2425'!$L$38:$L$69)</f>
        <v>32</v>
      </c>
      <c r="L3" s="95">
        <f>_xlfn.XLOOKUP(Table118871730[[#This Row],[Opp]],Table2040[DEF],Table2040[R])</f>
        <v>87.058823529411768</v>
      </c>
      <c r="M3" s="96">
        <f>_xlfn.XLOOKUP(Table118871730[[#This Row],[Opp]],Table2040[DEF],Table2040[REC])</f>
        <v>5.1470588235294112</v>
      </c>
      <c r="N3" s="95">
        <f>_xlfn.XLOOKUP(Table118871730[[#This Row],[Opp]],Table2040[DEF],Table2040[Y])</f>
        <v>37.17647058823529</v>
      </c>
      <c r="O3" s="95">
        <f>_xlfn.XLOOKUP(Table118871730[[#This Row],[Opp]],Table2040[DEF],Table2040[R+R])</f>
        <v>124.23529411764706</v>
      </c>
      <c r="P3" s="96">
        <f>_xlfn.XLOOKUP(Table118871730[[#This Row],[Opp]],Table2040[DEF],Table2040[TD])</f>
        <v>0.52941176470588236</v>
      </c>
      <c r="Q3" s="94">
        <f>AVERAGE(Table118871730[[#This Row],[*R*]:[*TD*]])</f>
        <v>16.5</v>
      </c>
    </row>
    <row r="4" spans="2:17" hidden="1" x14ac:dyDescent="0.35">
      <c r="B4" s="6" t="s">
        <v>306</v>
      </c>
      <c r="C4" s="97" t="s">
        <v>46</v>
      </c>
      <c r="D4" s="97" t="s">
        <v>396</v>
      </c>
      <c r="E4" s="23" t="str" cm="1">
        <f t="array" ref="E4">_xlfn.XLOOKUP(Table118871730[[#This Row],[Team]],Table4334[Team],'2425'!$C$3:$C$34)</f>
        <v>SB LX</v>
      </c>
      <c r="F4" s="97" t="str">
        <f>'2025'!$E$24</f>
        <v>SEA</v>
      </c>
      <c r="G4" s="94" cm="1">
        <f t="array" ref="G4">_xlfn.XLOOKUP(Table118871730[[#This Row],[Opp]],Table2040[DEF],'2425'!$H$38:$H$69)</f>
        <v>25</v>
      </c>
      <c r="H4" s="94" cm="1">
        <f t="array" ref="H4">_xlfn.XLOOKUP(Table118871730[[#This Row],[Opp]],Table2040[DEF],'2425'!$I$38:$I$69)</f>
        <v>1.5</v>
      </c>
      <c r="I4" s="94" cm="1">
        <f t="array" ref="I4">_xlfn.XLOOKUP(Table118871730[[#This Row],[Opp]],Table2040[DEF],'2425'!$J$38:$J$69)</f>
        <v>5</v>
      </c>
      <c r="J4" s="94" cm="1">
        <f t="array" ref="J4">_xlfn.XLOOKUP(Table118871730[[#This Row],[Opp]],Table2040[DEF],'2425'!$K$38:$K$69)</f>
        <v>19</v>
      </c>
      <c r="K4" s="94" cm="1">
        <f t="array" ref="K4">_xlfn.XLOOKUP(Table118871730[[#This Row],[Opp]],Table2040[DEF],'2425'!$L$38:$L$69)</f>
        <v>32</v>
      </c>
      <c r="L4" s="95">
        <f>_xlfn.XLOOKUP(Table118871730[[#This Row],[Opp]],Table2040[DEF],Table2040[R])</f>
        <v>87.058823529411768</v>
      </c>
      <c r="M4" s="96">
        <f>_xlfn.XLOOKUP(Table118871730[[#This Row],[Opp]],Table2040[DEF],Table2040[REC])</f>
        <v>5.1470588235294112</v>
      </c>
      <c r="N4" s="95">
        <f>_xlfn.XLOOKUP(Table118871730[[#This Row],[Opp]],Table2040[DEF],Table2040[Y])</f>
        <v>37.17647058823529</v>
      </c>
      <c r="O4" s="95">
        <f>_xlfn.XLOOKUP(Table118871730[[#This Row],[Opp]],Table2040[DEF],Table2040[R+R])</f>
        <v>124.23529411764706</v>
      </c>
      <c r="P4" s="96">
        <f>_xlfn.XLOOKUP(Table118871730[[#This Row],[Opp]],Table2040[DEF],Table2040[TD])</f>
        <v>0.52941176470588236</v>
      </c>
      <c r="Q4" s="94">
        <f>AVERAGE(Table118871730[[#This Row],[*R*]:[*TD*]])</f>
        <v>16.5</v>
      </c>
    </row>
    <row r="5" spans="2:17" hidden="1" x14ac:dyDescent="0.35">
      <c r="B5" s="6" t="s">
        <v>449</v>
      </c>
      <c r="C5" s="97" t="s">
        <v>46</v>
      </c>
      <c r="D5" s="97" t="s">
        <v>407</v>
      </c>
      <c r="E5" s="23" t="str" cm="1">
        <f t="array" ref="E5">_xlfn.XLOOKUP(Table118871730[[#This Row],[Team]],Table4334[Team],'2425'!$C$3:$C$34)</f>
        <v>SB LX</v>
      </c>
      <c r="F5" s="97" t="str">
        <f>'2025'!$E$24</f>
        <v>SEA</v>
      </c>
      <c r="G5" s="94" cm="1">
        <f t="array" ref="G5">_xlfn.XLOOKUP(Table118871730[[#This Row],[Opp]],Table2040[DEF],'2425'!$H$38:$H$69)</f>
        <v>25</v>
      </c>
      <c r="H5" s="94" cm="1">
        <f t="array" ref="H5">_xlfn.XLOOKUP(Table118871730[[#This Row],[Opp]],Table2040[DEF],'2425'!$I$38:$I$69)</f>
        <v>1.5</v>
      </c>
      <c r="I5" s="94" cm="1">
        <f t="array" ref="I5">_xlfn.XLOOKUP(Table118871730[[#This Row],[Opp]],Table2040[DEF],'2425'!$J$38:$J$69)</f>
        <v>5</v>
      </c>
      <c r="J5" s="94" cm="1">
        <f t="array" ref="J5">_xlfn.XLOOKUP(Table118871730[[#This Row],[Opp]],Table2040[DEF],'2425'!$K$38:$K$69)</f>
        <v>19</v>
      </c>
      <c r="K5" s="94" cm="1">
        <f t="array" ref="K5">_xlfn.XLOOKUP(Table118871730[[#This Row],[Opp]],Table2040[DEF],'2425'!$L$38:$L$69)</f>
        <v>32</v>
      </c>
      <c r="L5" s="95">
        <f>_xlfn.XLOOKUP(Table118871730[[#This Row],[Opp]],Table2040[DEF],Table2040[R])</f>
        <v>87.058823529411768</v>
      </c>
      <c r="M5" s="96">
        <f>_xlfn.XLOOKUP(Table118871730[[#This Row],[Opp]],Table2040[DEF],Table2040[REC])</f>
        <v>5.1470588235294112</v>
      </c>
      <c r="N5" s="95">
        <f>_xlfn.XLOOKUP(Table118871730[[#This Row],[Opp]],Table2040[DEF],Table2040[Y])</f>
        <v>37.17647058823529</v>
      </c>
      <c r="O5" s="95">
        <f>_xlfn.XLOOKUP(Table118871730[[#This Row],[Opp]],Table2040[DEF],Table2040[R+R])</f>
        <v>124.23529411764706</v>
      </c>
      <c r="P5" s="96">
        <f>_xlfn.XLOOKUP(Table118871730[[#This Row],[Opp]],Table2040[DEF],Table2040[TD])</f>
        <v>0.52941176470588236</v>
      </c>
      <c r="Q5" s="94">
        <f>AVERAGE(Table118871730[[#This Row],[*R*]:[*TD*]])</f>
        <v>16.5</v>
      </c>
    </row>
    <row r="6" spans="2:17" x14ac:dyDescent="0.35">
      <c r="B6" s="6" t="s">
        <v>193</v>
      </c>
      <c r="C6" s="97" t="s">
        <v>34</v>
      </c>
      <c r="D6" s="97" t="s">
        <v>395</v>
      </c>
      <c r="E6" s="23" t="str" cm="1">
        <f t="array" ref="E6">_xlfn.XLOOKUP(Table118871730[[#This Row],[Team]],Table4334[Team],'2425'!$C$3:$C$34)</f>
        <v>n/a</v>
      </c>
      <c r="F6" s="97" t="str">
        <f>'2025'!$E$12</f>
        <v>n/a</v>
      </c>
      <c r="G6" s="94" t="e" cm="1">
        <f t="array" ref="G6">_xlfn.XLOOKUP(Table118871730[[#This Row],[Opp]],Table2040[DEF],'2425'!$H$38:$H$69)</f>
        <v>#N/A</v>
      </c>
      <c r="H6" s="94" t="e" cm="1">
        <f t="array" ref="H6">_xlfn.XLOOKUP(Table118871730[[#This Row],[Opp]],Table2040[DEF],'2425'!$I$38:$I$69)</f>
        <v>#N/A</v>
      </c>
      <c r="I6" s="94" t="e" cm="1">
        <f t="array" ref="I6">_xlfn.XLOOKUP(Table118871730[[#This Row],[Opp]],Table2040[DEF],'2425'!$J$38:$J$69)</f>
        <v>#N/A</v>
      </c>
      <c r="J6" s="94" t="e" cm="1">
        <f t="array" ref="J6">_xlfn.XLOOKUP(Table118871730[[#This Row],[Opp]],Table2040[DEF],'2425'!$K$38:$K$69)</f>
        <v>#N/A</v>
      </c>
      <c r="K6" s="94" t="e" cm="1">
        <f t="array" ref="K6">_xlfn.XLOOKUP(Table118871730[[#This Row],[Opp]],Table2040[DEF],'2425'!$L$38:$L$69)</f>
        <v>#N/A</v>
      </c>
      <c r="L6" s="95" t="e">
        <f>_xlfn.XLOOKUP(Table118871730[[#This Row],[Opp]],Table2040[DEF],Table2040[R])</f>
        <v>#N/A</v>
      </c>
      <c r="M6" s="96" t="e">
        <f>_xlfn.XLOOKUP(Table118871730[[#This Row],[Opp]],Table2040[DEF],Table2040[REC])</f>
        <v>#N/A</v>
      </c>
      <c r="N6" s="95" t="e">
        <f>_xlfn.XLOOKUP(Table118871730[[#This Row],[Opp]],Table2040[DEF],Table2040[Y])</f>
        <v>#N/A</v>
      </c>
      <c r="O6" s="95" t="e">
        <f>_xlfn.XLOOKUP(Table118871730[[#This Row],[Opp]],Table2040[DEF],Table2040[R+R])</f>
        <v>#N/A</v>
      </c>
      <c r="P6" s="96" t="e">
        <f>_xlfn.XLOOKUP(Table118871730[[#This Row],[Opp]],Table2040[DEF],Table2040[TD])</f>
        <v>#N/A</v>
      </c>
      <c r="Q6" s="94" t="e">
        <f>AVERAGE(Table118871730[[#This Row],[*R*]:[*TD*]])</f>
        <v>#N/A</v>
      </c>
    </row>
    <row r="7" spans="2:17" hidden="1" x14ac:dyDescent="0.35">
      <c r="B7" s="6" t="s">
        <v>120</v>
      </c>
      <c r="C7" s="97" t="s">
        <v>16</v>
      </c>
      <c r="D7" s="97" t="s">
        <v>394</v>
      </c>
      <c r="E7" s="23" t="str" cm="1">
        <f t="array" ref="E7">_xlfn.XLOOKUP(Table118871730[[#This Row],[Team]],Table4334[Team],'2425'!$C$3:$C$34)</f>
        <v>n/a</v>
      </c>
      <c r="F7" s="97" t="str">
        <f>'2025'!$E$5</f>
        <v>n/a</v>
      </c>
      <c r="G7" s="94" t="e" cm="1">
        <f t="array" ref="G7">_xlfn.XLOOKUP(Table118871730[[#This Row],[Opp]],Table2040[DEF],'2425'!$H$38:$H$69)</f>
        <v>#N/A</v>
      </c>
      <c r="H7" s="94" t="e" cm="1">
        <f t="array" ref="H7">_xlfn.XLOOKUP(Table118871730[[#This Row],[Opp]],Table2040[DEF],'2425'!$I$38:$I$69)</f>
        <v>#N/A</v>
      </c>
      <c r="I7" s="94" t="e" cm="1">
        <f t="array" ref="I7">_xlfn.XLOOKUP(Table118871730[[#This Row],[Opp]],Table2040[DEF],'2425'!$J$38:$J$69)</f>
        <v>#N/A</v>
      </c>
      <c r="J7" s="94" t="e" cm="1">
        <f t="array" ref="J7">_xlfn.XLOOKUP(Table118871730[[#This Row],[Opp]],Table2040[DEF],'2425'!$K$38:$K$69)</f>
        <v>#N/A</v>
      </c>
      <c r="K7" s="94" t="e" cm="1">
        <f t="array" ref="K7">_xlfn.XLOOKUP(Table118871730[[#This Row],[Opp]],Table2040[DEF],'2425'!$L$38:$L$69)</f>
        <v>#N/A</v>
      </c>
      <c r="L7" s="95" t="e">
        <f>_xlfn.XLOOKUP(Table118871730[[#This Row],[Opp]],Table2040[DEF],Table2040[R])</f>
        <v>#N/A</v>
      </c>
      <c r="M7" s="96" t="e">
        <f>_xlfn.XLOOKUP(Table118871730[[#This Row],[Opp]],Table2040[DEF],Table2040[REC])</f>
        <v>#N/A</v>
      </c>
      <c r="N7" s="95" t="e">
        <f>_xlfn.XLOOKUP(Table118871730[[#This Row],[Opp]],Table2040[DEF],Table2040[Y])</f>
        <v>#N/A</v>
      </c>
      <c r="O7" s="95" t="e">
        <f>_xlfn.XLOOKUP(Table118871730[[#This Row],[Opp]],Table2040[DEF],Table2040[R+R])</f>
        <v>#N/A</v>
      </c>
      <c r="P7" s="96" t="e">
        <f>_xlfn.XLOOKUP(Table118871730[[#This Row],[Opp]],Table2040[DEF],Table2040[TD])</f>
        <v>#N/A</v>
      </c>
      <c r="Q7" s="94" t="e">
        <f>AVERAGE(Table118871730[[#This Row],[*R*]:[*TD*]])</f>
        <v>#N/A</v>
      </c>
    </row>
    <row r="8" spans="2:17" hidden="1" x14ac:dyDescent="0.35">
      <c r="B8" s="6" t="s">
        <v>125</v>
      </c>
      <c r="C8" s="97" t="s">
        <v>16</v>
      </c>
      <c r="D8" s="97" t="s">
        <v>396</v>
      </c>
      <c r="E8" s="23" t="str" cm="1">
        <f t="array" ref="E8">_xlfn.XLOOKUP(Table118871730[[#This Row],[Team]],Table4334[Team],'2425'!$C$3:$C$34)</f>
        <v>n/a</v>
      </c>
      <c r="F8" s="97" t="str">
        <f>'2025'!$E$5</f>
        <v>n/a</v>
      </c>
      <c r="G8" s="94" t="e" cm="1">
        <f t="array" ref="G8">_xlfn.XLOOKUP(Table118871730[[#This Row],[Opp]],Table2040[DEF],'2425'!$H$38:$H$69)</f>
        <v>#N/A</v>
      </c>
      <c r="H8" s="94" t="e" cm="1">
        <f t="array" ref="H8">_xlfn.XLOOKUP(Table118871730[[#This Row],[Opp]],Table2040[DEF],'2425'!$I$38:$I$69)</f>
        <v>#N/A</v>
      </c>
      <c r="I8" s="94" t="e" cm="1">
        <f t="array" ref="I8">_xlfn.XLOOKUP(Table118871730[[#This Row],[Opp]],Table2040[DEF],'2425'!$J$38:$J$69)</f>
        <v>#N/A</v>
      </c>
      <c r="J8" s="94" t="e" cm="1">
        <f t="array" ref="J8">_xlfn.XLOOKUP(Table118871730[[#This Row],[Opp]],Table2040[DEF],'2425'!$K$38:$K$69)</f>
        <v>#N/A</v>
      </c>
      <c r="K8" s="94" t="e" cm="1">
        <f t="array" ref="K8">_xlfn.XLOOKUP(Table118871730[[#This Row],[Opp]],Table2040[DEF],'2425'!$L$38:$L$69)</f>
        <v>#N/A</v>
      </c>
      <c r="L8" s="95" t="e">
        <f>_xlfn.XLOOKUP(Table118871730[[#This Row],[Opp]],Table2040[DEF],Table2040[R])</f>
        <v>#N/A</v>
      </c>
      <c r="M8" s="96" t="e">
        <f>_xlfn.XLOOKUP(Table118871730[[#This Row],[Opp]],Table2040[DEF],Table2040[REC])</f>
        <v>#N/A</v>
      </c>
      <c r="N8" s="95" t="e">
        <f>_xlfn.XLOOKUP(Table118871730[[#This Row],[Opp]],Table2040[DEF],Table2040[Y])</f>
        <v>#N/A</v>
      </c>
      <c r="O8" s="95" t="e">
        <f>_xlfn.XLOOKUP(Table118871730[[#This Row],[Opp]],Table2040[DEF],Table2040[R+R])</f>
        <v>#N/A</v>
      </c>
      <c r="P8" s="96" t="e">
        <f>_xlfn.XLOOKUP(Table118871730[[#This Row],[Opp]],Table2040[DEF],Table2040[TD])</f>
        <v>#N/A</v>
      </c>
      <c r="Q8" s="94" t="e">
        <f>AVERAGE(Table118871730[[#This Row],[*R*]:[*TD*]])</f>
        <v>#N/A</v>
      </c>
    </row>
    <row r="9" spans="2:17" hidden="1" x14ac:dyDescent="0.35">
      <c r="B9" s="6" t="s">
        <v>469</v>
      </c>
      <c r="C9" s="97" t="s">
        <v>16</v>
      </c>
      <c r="D9" s="97" t="s">
        <v>407</v>
      </c>
      <c r="E9" s="23" t="str" cm="1">
        <f t="array" ref="E9">_xlfn.XLOOKUP(Table118871730[[#This Row],[Team]],Table4334[Team],'2425'!$C$3:$C$34)</f>
        <v>n/a</v>
      </c>
      <c r="F9" s="97" t="str">
        <f>'2025'!$E$5</f>
        <v>n/a</v>
      </c>
      <c r="G9" s="94" t="e" cm="1">
        <f t="array" ref="G9">_xlfn.XLOOKUP(Table118871730[[#This Row],[Opp]],Table2040[DEF],'2425'!$H$38:$H$69)</f>
        <v>#N/A</v>
      </c>
      <c r="H9" s="94" t="e" cm="1">
        <f t="array" ref="H9">_xlfn.XLOOKUP(Table118871730[[#This Row],[Opp]],Table2040[DEF],'2425'!$I$38:$I$69)</f>
        <v>#N/A</v>
      </c>
      <c r="I9" s="94" t="e" cm="1">
        <f t="array" ref="I9">_xlfn.XLOOKUP(Table118871730[[#This Row],[Opp]],Table2040[DEF],'2425'!$J$38:$J$69)</f>
        <v>#N/A</v>
      </c>
      <c r="J9" s="94" t="e" cm="1">
        <f t="array" ref="J9">_xlfn.XLOOKUP(Table118871730[[#This Row],[Opp]],Table2040[DEF],'2425'!$K$38:$K$69)</f>
        <v>#N/A</v>
      </c>
      <c r="K9" s="94" t="e" cm="1">
        <f t="array" ref="K9">_xlfn.XLOOKUP(Table118871730[[#This Row],[Opp]],Table2040[DEF],'2425'!$L$38:$L$69)</f>
        <v>#N/A</v>
      </c>
      <c r="L9" s="95" t="e">
        <f>_xlfn.XLOOKUP(Table118871730[[#This Row],[Opp]],Table2040[DEF],Table2040[R])</f>
        <v>#N/A</v>
      </c>
      <c r="M9" s="96" t="e">
        <f>_xlfn.XLOOKUP(Table118871730[[#This Row],[Opp]],Table2040[DEF],Table2040[REC])</f>
        <v>#N/A</v>
      </c>
      <c r="N9" s="95" t="e">
        <f>_xlfn.XLOOKUP(Table118871730[[#This Row],[Opp]],Table2040[DEF],Table2040[Y])</f>
        <v>#N/A</v>
      </c>
      <c r="O9" s="95" t="e">
        <f>_xlfn.XLOOKUP(Table118871730[[#This Row],[Opp]],Table2040[DEF],Table2040[R+R])</f>
        <v>#N/A</v>
      </c>
      <c r="P9" s="96" t="e">
        <f>_xlfn.XLOOKUP(Table118871730[[#This Row],[Opp]],Table2040[DEF],Table2040[TD])</f>
        <v>#N/A</v>
      </c>
      <c r="Q9" s="94" t="e">
        <f>AVERAGE(Table118871730[[#This Row],[*R*]:[*TD*]])</f>
        <v>#N/A</v>
      </c>
    </row>
    <row r="10" spans="2:17" hidden="1" x14ac:dyDescent="0.35">
      <c r="B10" s="6" t="s">
        <v>537</v>
      </c>
      <c r="C10" s="97" t="s">
        <v>16</v>
      </c>
      <c r="D10" s="97" t="s">
        <v>536</v>
      </c>
      <c r="E10" s="23" t="str" cm="1">
        <f t="array" ref="E10">_xlfn.XLOOKUP(Table118871730[[#This Row],[Team]],Table4334[Team],'2425'!$C$3:$C$34)</f>
        <v>n/a</v>
      </c>
      <c r="F10" s="97" t="str">
        <f>'2025'!$E$5</f>
        <v>n/a</v>
      </c>
      <c r="G10" s="94" t="e" cm="1">
        <f t="array" ref="G10">_xlfn.XLOOKUP(Table118871730[[#This Row],[Opp]],Table2040[DEF],'2425'!$H$38:$H$69)</f>
        <v>#N/A</v>
      </c>
      <c r="H10" s="94" t="e" cm="1">
        <f t="array" ref="H10">_xlfn.XLOOKUP(Table118871730[[#This Row],[Opp]],Table2040[DEF],'2425'!$I$38:$I$69)</f>
        <v>#N/A</v>
      </c>
      <c r="I10" s="94" t="e" cm="1">
        <f t="array" ref="I10">_xlfn.XLOOKUP(Table118871730[[#This Row],[Opp]],Table2040[DEF],'2425'!$J$38:$J$69)</f>
        <v>#N/A</v>
      </c>
      <c r="J10" s="94" t="e" cm="1">
        <f t="array" ref="J10">_xlfn.XLOOKUP(Table118871730[[#This Row],[Opp]],Table2040[DEF],'2425'!$K$38:$K$69)</f>
        <v>#N/A</v>
      </c>
      <c r="K10" s="94" t="e" cm="1">
        <f t="array" ref="K10">_xlfn.XLOOKUP(Table118871730[[#This Row],[Opp]],Table2040[DEF],'2425'!$L$38:$L$69)</f>
        <v>#N/A</v>
      </c>
      <c r="L10" s="95" t="e">
        <f>_xlfn.XLOOKUP(Table118871730[[#This Row],[Opp]],Table2040[DEF],Table2040[R])</f>
        <v>#N/A</v>
      </c>
      <c r="M10" s="96" t="e">
        <f>_xlfn.XLOOKUP(Table118871730[[#This Row],[Opp]],Table2040[DEF],Table2040[REC])</f>
        <v>#N/A</v>
      </c>
      <c r="N10" s="95" t="e">
        <f>_xlfn.XLOOKUP(Table118871730[[#This Row],[Opp]],Table2040[DEF],Table2040[Y])</f>
        <v>#N/A</v>
      </c>
      <c r="O10" s="95" t="e">
        <f>_xlfn.XLOOKUP(Table118871730[[#This Row],[Opp]],Table2040[DEF],Table2040[R+R])</f>
        <v>#N/A</v>
      </c>
      <c r="P10" s="96" t="e">
        <f>_xlfn.XLOOKUP(Table118871730[[#This Row],[Opp]],Table2040[DEF],Table2040[TD])</f>
        <v>#N/A</v>
      </c>
      <c r="Q10" s="94" t="e">
        <f>AVERAGE(Table118871730[[#This Row],[*R*]:[*TD*]])</f>
        <v>#N/A</v>
      </c>
    </row>
    <row r="11" spans="2:17" hidden="1" x14ac:dyDescent="0.35">
      <c r="B11" s="6" t="s">
        <v>174</v>
      </c>
      <c r="C11" s="97" t="s">
        <v>32</v>
      </c>
      <c r="D11" s="97" t="s">
        <v>395</v>
      </c>
      <c r="E11" s="23" t="str" cm="1">
        <f t="array" ref="E11">_xlfn.XLOOKUP(Table118871730[[#This Row],[Team]],Table4334[Team],'2425'!$C$3:$C$34)</f>
        <v>n/a</v>
      </c>
      <c r="F11" s="97" t="str">
        <f>'2025'!$E$10</f>
        <v>n/a</v>
      </c>
      <c r="G11" s="94" t="e" cm="1">
        <f t="array" ref="G11">_xlfn.XLOOKUP(Table118871730[[#This Row],[Opp]],Table2040[DEF],'2425'!$H$38:$H$69)</f>
        <v>#N/A</v>
      </c>
      <c r="H11" s="94" t="e" cm="1">
        <f t="array" ref="H11">_xlfn.XLOOKUP(Table118871730[[#This Row],[Opp]],Table2040[DEF],'2425'!$I$38:$I$69)</f>
        <v>#N/A</v>
      </c>
      <c r="I11" s="94" t="e" cm="1">
        <f t="array" ref="I11">_xlfn.XLOOKUP(Table118871730[[#This Row],[Opp]],Table2040[DEF],'2425'!$J$38:$J$69)</f>
        <v>#N/A</v>
      </c>
      <c r="J11" s="94" t="e" cm="1">
        <f t="array" ref="J11">_xlfn.XLOOKUP(Table118871730[[#This Row],[Opp]],Table2040[DEF],'2425'!$K$38:$K$69)</f>
        <v>#N/A</v>
      </c>
      <c r="K11" s="94" t="e" cm="1">
        <f t="array" ref="K11">_xlfn.XLOOKUP(Table118871730[[#This Row],[Opp]],Table2040[DEF],'2425'!$L$38:$L$69)</f>
        <v>#N/A</v>
      </c>
      <c r="L11" s="95" t="e">
        <f>_xlfn.XLOOKUP(Table118871730[[#This Row],[Opp]],Table2040[DEF],Table2040[R])</f>
        <v>#N/A</v>
      </c>
      <c r="M11" s="96" t="e">
        <f>_xlfn.XLOOKUP(Table118871730[[#This Row],[Opp]],Table2040[DEF],Table2040[REC])</f>
        <v>#N/A</v>
      </c>
      <c r="N11" s="95" t="e">
        <f>_xlfn.XLOOKUP(Table118871730[[#This Row],[Opp]],Table2040[DEF],Table2040[Y])</f>
        <v>#N/A</v>
      </c>
      <c r="O11" s="95" t="e">
        <f>_xlfn.XLOOKUP(Table118871730[[#This Row],[Opp]],Table2040[DEF],Table2040[R+R])</f>
        <v>#N/A</v>
      </c>
      <c r="P11" s="96" t="e">
        <f>_xlfn.XLOOKUP(Table118871730[[#This Row],[Opp]],Table2040[DEF],Table2040[TD])</f>
        <v>#N/A</v>
      </c>
      <c r="Q11" s="94" t="e">
        <f>AVERAGE(Table118871730[[#This Row],[*R*]:[*TD*]])</f>
        <v>#N/A</v>
      </c>
    </row>
    <row r="12" spans="2:17" hidden="1" x14ac:dyDescent="0.35">
      <c r="B12" s="6" t="s">
        <v>267</v>
      </c>
      <c r="C12" s="97" t="s">
        <v>42</v>
      </c>
      <c r="D12" s="97" t="s">
        <v>394</v>
      </c>
      <c r="E12" s="23" t="str" cm="1">
        <f t="array" ref="E12">_xlfn.XLOOKUP(Table118871730[[#This Row],[Team]],Table4334[Team],'2425'!$C$3:$C$34)</f>
        <v>n/a</v>
      </c>
      <c r="F12" s="97" t="str">
        <f>'2025'!$E$20</f>
        <v>n/a</v>
      </c>
      <c r="G12" s="94" t="e" cm="1">
        <f t="array" ref="G12">_xlfn.XLOOKUP(Table118871730[[#This Row],[Opp]],Table2040[DEF],'2425'!$H$38:$H$69)</f>
        <v>#N/A</v>
      </c>
      <c r="H12" s="94" t="e" cm="1">
        <f t="array" ref="H12">_xlfn.XLOOKUP(Table118871730[[#This Row],[Opp]],Table2040[DEF],'2425'!$I$38:$I$69)</f>
        <v>#N/A</v>
      </c>
      <c r="I12" s="94" t="e" cm="1">
        <f t="array" ref="I12">_xlfn.XLOOKUP(Table118871730[[#This Row],[Opp]],Table2040[DEF],'2425'!$J$38:$J$69)</f>
        <v>#N/A</v>
      </c>
      <c r="J12" s="94" t="e" cm="1">
        <f t="array" ref="J12">_xlfn.XLOOKUP(Table118871730[[#This Row],[Opp]],Table2040[DEF],'2425'!$K$38:$K$69)</f>
        <v>#N/A</v>
      </c>
      <c r="K12" s="94" t="e" cm="1">
        <f t="array" ref="K12">_xlfn.XLOOKUP(Table118871730[[#This Row],[Opp]],Table2040[DEF],'2425'!$L$38:$L$69)</f>
        <v>#N/A</v>
      </c>
      <c r="L12" s="95" t="e">
        <f>_xlfn.XLOOKUP(Table118871730[[#This Row],[Opp]],Table2040[DEF],Table2040[R])</f>
        <v>#N/A</v>
      </c>
      <c r="M12" s="96" t="e">
        <f>_xlfn.XLOOKUP(Table118871730[[#This Row],[Opp]],Table2040[DEF],Table2040[REC])</f>
        <v>#N/A</v>
      </c>
      <c r="N12" s="95" t="e">
        <f>_xlfn.XLOOKUP(Table118871730[[#This Row],[Opp]],Table2040[DEF],Table2040[Y])</f>
        <v>#N/A</v>
      </c>
      <c r="O12" s="95" t="e">
        <f>_xlfn.XLOOKUP(Table118871730[[#This Row],[Opp]],Table2040[DEF],Table2040[R+R])</f>
        <v>#N/A</v>
      </c>
      <c r="P12" s="96" t="e">
        <f>_xlfn.XLOOKUP(Table118871730[[#This Row],[Opp]],Table2040[DEF],Table2040[TD])</f>
        <v>#N/A</v>
      </c>
      <c r="Q12" s="94" t="e">
        <f>AVERAGE(Table118871730[[#This Row],[*R*]:[*TD*]])</f>
        <v>#N/A</v>
      </c>
    </row>
    <row r="13" spans="2:17" hidden="1" x14ac:dyDescent="0.35">
      <c r="B13" s="6" t="s">
        <v>268</v>
      </c>
      <c r="C13" s="97" t="s">
        <v>42</v>
      </c>
      <c r="D13" s="97" t="s">
        <v>396</v>
      </c>
      <c r="E13" s="23" t="str" cm="1">
        <f t="array" ref="E13">_xlfn.XLOOKUP(Table118871730[[#This Row],[Team]],Table4334[Team],'2425'!$C$3:$C$34)</f>
        <v>n/a</v>
      </c>
      <c r="F13" s="97" t="str">
        <f>'2025'!$E$20</f>
        <v>n/a</v>
      </c>
      <c r="G13" s="94" t="e" cm="1">
        <f t="array" ref="G13">_xlfn.XLOOKUP(Table118871730[[#This Row],[Opp]],Table2040[DEF],'2425'!$H$38:$H$69)</f>
        <v>#N/A</v>
      </c>
      <c r="H13" s="94" t="e" cm="1">
        <f t="array" ref="H13">_xlfn.XLOOKUP(Table118871730[[#This Row],[Opp]],Table2040[DEF],'2425'!$I$38:$I$69)</f>
        <v>#N/A</v>
      </c>
      <c r="I13" s="94" t="e" cm="1">
        <f t="array" ref="I13">_xlfn.XLOOKUP(Table118871730[[#This Row],[Opp]],Table2040[DEF],'2425'!$J$38:$J$69)</f>
        <v>#N/A</v>
      </c>
      <c r="J13" s="94" t="e" cm="1">
        <f t="array" ref="J13">_xlfn.XLOOKUP(Table118871730[[#This Row],[Opp]],Table2040[DEF],'2425'!$K$38:$K$69)</f>
        <v>#N/A</v>
      </c>
      <c r="K13" s="94" t="e" cm="1">
        <f t="array" ref="K13">_xlfn.XLOOKUP(Table118871730[[#This Row],[Opp]],Table2040[DEF],'2425'!$L$38:$L$69)</f>
        <v>#N/A</v>
      </c>
      <c r="L13" s="95" t="e">
        <f>_xlfn.XLOOKUP(Table118871730[[#This Row],[Opp]],Table2040[DEF],Table2040[R])</f>
        <v>#N/A</v>
      </c>
      <c r="M13" s="96" t="e">
        <f>_xlfn.XLOOKUP(Table118871730[[#This Row],[Opp]],Table2040[DEF],Table2040[REC])</f>
        <v>#N/A</v>
      </c>
      <c r="N13" s="95" t="e">
        <f>_xlfn.XLOOKUP(Table118871730[[#This Row],[Opp]],Table2040[DEF],Table2040[Y])</f>
        <v>#N/A</v>
      </c>
      <c r="O13" s="95" t="e">
        <f>_xlfn.XLOOKUP(Table118871730[[#This Row],[Opp]],Table2040[DEF],Table2040[R+R])</f>
        <v>#N/A</v>
      </c>
      <c r="P13" s="96" t="e">
        <f>_xlfn.XLOOKUP(Table118871730[[#This Row],[Opp]],Table2040[DEF],Table2040[TD])</f>
        <v>#N/A</v>
      </c>
      <c r="Q13" s="94" t="e">
        <f>AVERAGE(Table118871730[[#This Row],[*R*]:[*TD*]])</f>
        <v>#N/A</v>
      </c>
    </row>
    <row r="14" spans="2:17" hidden="1" x14ac:dyDescent="0.35">
      <c r="B14" s="6" t="s">
        <v>325</v>
      </c>
      <c r="C14" s="97" t="s">
        <v>48</v>
      </c>
      <c r="D14" s="97" t="s">
        <v>395</v>
      </c>
      <c r="E14" s="23" t="str" cm="1">
        <f t="array" ref="E14">_xlfn.XLOOKUP(Table118871730[[#This Row],[Team]],Table4334[Team],'2425'!$C$3:$C$34)</f>
        <v>n/a</v>
      </c>
      <c r="F14" s="97" t="str">
        <f>'2025'!$E$26</f>
        <v>n/a</v>
      </c>
      <c r="G14" s="94" t="e" cm="1">
        <f t="array" ref="G14">_xlfn.XLOOKUP(Table118871730[[#This Row],[Opp]],Table2040[DEF],'2425'!$H$38:$H$69)</f>
        <v>#N/A</v>
      </c>
      <c r="H14" s="94" t="e" cm="1">
        <f t="array" ref="H14">_xlfn.XLOOKUP(Table118871730[[#This Row],[Opp]],Table2040[DEF],'2425'!$I$38:$I$69)</f>
        <v>#N/A</v>
      </c>
      <c r="I14" s="94" t="e" cm="1">
        <f t="array" ref="I14">_xlfn.XLOOKUP(Table118871730[[#This Row],[Opp]],Table2040[DEF],'2425'!$J$38:$J$69)</f>
        <v>#N/A</v>
      </c>
      <c r="J14" s="94" t="e" cm="1">
        <f t="array" ref="J14">_xlfn.XLOOKUP(Table118871730[[#This Row],[Opp]],Table2040[DEF],'2425'!$K$38:$K$69)</f>
        <v>#N/A</v>
      </c>
      <c r="K14" s="94" t="e" cm="1">
        <f t="array" ref="K14">_xlfn.XLOOKUP(Table118871730[[#This Row],[Opp]],Table2040[DEF],'2425'!$L$38:$L$69)</f>
        <v>#N/A</v>
      </c>
      <c r="L14" s="95" t="e">
        <f>_xlfn.XLOOKUP(Table118871730[[#This Row],[Opp]],Table2040[DEF],Table2040[R])</f>
        <v>#N/A</v>
      </c>
      <c r="M14" s="96" t="e">
        <f>_xlfn.XLOOKUP(Table118871730[[#This Row],[Opp]],Table2040[DEF],Table2040[REC])</f>
        <v>#N/A</v>
      </c>
      <c r="N14" s="95" t="e">
        <f>_xlfn.XLOOKUP(Table118871730[[#This Row],[Opp]],Table2040[DEF],Table2040[Y])</f>
        <v>#N/A</v>
      </c>
      <c r="O14" s="95" t="e">
        <f>_xlfn.XLOOKUP(Table118871730[[#This Row],[Opp]],Table2040[DEF],Table2040[R+R])</f>
        <v>#N/A</v>
      </c>
      <c r="P14" s="96" t="e">
        <f>_xlfn.XLOOKUP(Table118871730[[#This Row],[Opp]],Table2040[DEF],Table2040[TD])</f>
        <v>#N/A</v>
      </c>
      <c r="Q14" s="94" t="e">
        <f>AVERAGE(Table118871730[[#This Row],[*R*]:[*TD*]])</f>
        <v>#N/A</v>
      </c>
    </row>
    <row r="15" spans="2:17" hidden="1" x14ac:dyDescent="0.35">
      <c r="B15" s="6" t="s">
        <v>345</v>
      </c>
      <c r="C15" s="97" t="s">
        <v>51</v>
      </c>
      <c r="D15" s="97" t="s">
        <v>394</v>
      </c>
      <c r="E15" s="23" t="str" cm="1">
        <f t="array" ref="E15">_xlfn.XLOOKUP(Table118871730[[#This Row],[Team]],Table4334[Team],'2425'!$C$3:$C$34)</f>
        <v>n/a</v>
      </c>
      <c r="F15" s="97" t="str">
        <f>'2025'!$E$29</f>
        <v>n/a</v>
      </c>
      <c r="G15" s="94" t="e" cm="1">
        <f t="array" ref="G15">_xlfn.XLOOKUP(Table118871730[[#This Row],[Opp]],Table2040[DEF],'2425'!$H$38:$H$69)</f>
        <v>#N/A</v>
      </c>
      <c r="H15" s="94" t="e" cm="1">
        <f t="array" ref="H15">_xlfn.XLOOKUP(Table118871730[[#This Row],[Opp]],Table2040[DEF],'2425'!$I$38:$I$69)</f>
        <v>#N/A</v>
      </c>
      <c r="I15" s="94" t="e" cm="1">
        <f t="array" ref="I15">_xlfn.XLOOKUP(Table118871730[[#This Row],[Opp]],Table2040[DEF],'2425'!$J$38:$J$69)</f>
        <v>#N/A</v>
      </c>
      <c r="J15" s="94" t="e" cm="1">
        <f t="array" ref="J15">_xlfn.XLOOKUP(Table118871730[[#This Row],[Opp]],Table2040[DEF],'2425'!$K$38:$K$69)</f>
        <v>#N/A</v>
      </c>
      <c r="K15" s="94" t="e" cm="1">
        <f t="array" ref="K15">_xlfn.XLOOKUP(Table118871730[[#This Row],[Opp]],Table2040[DEF],'2425'!$L$38:$L$69)</f>
        <v>#N/A</v>
      </c>
      <c r="L15" s="95" t="e">
        <f>_xlfn.XLOOKUP(Table118871730[[#This Row],[Opp]],Table2040[DEF],Table2040[R])</f>
        <v>#N/A</v>
      </c>
      <c r="M15" s="96" t="e">
        <f>_xlfn.XLOOKUP(Table118871730[[#This Row],[Opp]],Table2040[DEF],Table2040[REC])</f>
        <v>#N/A</v>
      </c>
      <c r="N15" s="95" t="e">
        <f>_xlfn.XLOOKUP(Table118871730[[#This Row],[Opp]],Table2040[DEF],Table2040[Y])</f>
        <v>#N/A</v>
      </c>
      <c r="O15" s="95" t="e">
        <f>_xlfn.XLOOKUP(Table118871730[[#This Row],[Opp]],Table2040[DEF],Table2040[R+R])</f>
        <v>#N/A</v>
      </c>
      <c r="P15" s="96" t="e">
        <f>_xlfn.XLOOKUP(Table118871730[[#This Row],[Opp]],Table2040[DEF],Table2040[TD])</f>
        <v>#N/A</v>
      </c>
      <c r="Q15" s="94" t="e">
        <f>AVERAGE(Table118871730[[#This Row],[*R*]:[*TD*]])</f>
        <v>#N/A</v>
      </c>
    </row>
    <row r="16" spans="2:17" hidden="1" x14ac:dyDescent="0.35">
      <c r="B16" s="6" t="s">
        <v>343</v>
      </c>
      <c r="C16" s="97" t="s">
        <v>51</v>
      </c>
      <c r="D16" s="97" t="s">
        <v>396</v>
      </c>
      <c r="E16" s="23" t="str" cm="1">
        <f t="array" ref="E16">_xlfn.XLOOKUP(Table118871730[[#This Row],[Team]],Table4334[Team],'2425'!$C$3:$C$34)</f>
        <v>n/a</v>
      </c>
      <c r="F16" s="97" t="str">
        <f>'2025'!$E$29</f>
        <v>n/a</v>
      </c>
      <c r="G16" s="94" t="e" cm="1">
        <f t="array" ref="G16">_xlfn.XLOOKUP(Table118871730[[#This Row],[Opp]],Table2040[DEF],'2425'!$H$38:$H$69)</f>
        <v>#N/A</v>
      </c>
      <c r="H16" s="94" t="e" cm="1">
        <f t="array" ref="H16">_xlfn.XLOOKUP(Table118871730[[#This Row],[Opp]],Table2040[DEF],'2425'!$I$38:$I$69)</f>
        <v>#N/A</v>
      </c>
      <c r="I16" s="94" t="e" cm="1">
        <f t="array" ref="I16">_xlfn.XLOOKUP(Table118871730[[#This Row],[Opp]],Table2040[DEF],'2425'!$J$38:$J$69)</f>
        <v>#N/A</v>
      </c>
      <c r="J16" s="94" t="e" cm="1">
        <f t="array" ref="J16">_xlfn.XLOOKUP(Table118871730[[#This Row],[Opp]],Table2040[DEF],'2425'!$K$38:$K$69)</f>
        <v>#N/A</v>
      </c>
      <c r="K16" s="94" t="e" cm="1">
        <f t="array" ref="K16">_xlfn.XLOOKUP(Table118871730[[#This Row],[Opp]],Table2040[DEF],'2425'!$L$38:$L$69)</f>
        <v>#N/A</v>
      </c>
      <c r="L16" s="95" t="e">
        <f>_xlfn.XLOOKUP(Table118871730[[#This Row],[Opp]],Table2040[DEF],Table2040[R])</f>
        <v>#N/A</v>
      </c>
      <c r="M16" s="96" t="e">
        <f>_xlfn.XLOOKUP(Table118871730[[#This Row],[Opp]],Table2040[DEF],Table2040[REC])</f>
        <v>#N/A</v>
      </c>
      <c r="N16" s="95" t="e">
        <f>_xlfn.XLOOKUP(Table118871730[[#This Row],[Opp]],Table2040[DEF],Table2040[Y])</f>
        <v>#N/A</v>
      </c>
      <c r="O16" s="95" t="e">
        <f>_xlfn.XLOOKUP(Table118871730[[#This Row],[Opp]],Table2040[DEF],Table2040[R+R])</f>
        <v>#N/A</v>
      </c>
      <c r="P16" s="96" t="e">
        <f>_xlfn.XLOOKUP(Table118871730[[#This Row],[Opp]],Table2040[DEF],Table2040[TD])</f>
        <v>#N/A</v>
      </c>
      <c r="Q16" s="94" t="e">
        <f>AVERAGE(Table118871730[[#This Row],[*R*]:[*TD*]])</f>
        <v>#N/A</v>
      </c>
    </row>
    <row r="17" spans="2:17" hidden="1" x14ac:dyDescent="0.35">
      <c r="B17" s="6" t="s">
        <v>378</v>
      </c>
      <c r="C17" s="97" t="s">
        <v>55</v>
      </c>
      <c r="D17" s="97" t="s">
        <v>395</v>
      </c>
      <c r="E17" s="23" t="str" cm="1">
        <f t="array" ref="E17">_xlfn.XLOOKUP(Table118871730[[#This Row],[Team]],Table4334[Team],'2425'!$C$3:$C$34)</f>
        <v>n/a</v>
      </c>
      <c r="F17" s="97" t="str">
        <f>'2025'!$E$33</f>
        <v>n/a</v>
      </c>
      <c r="G17" s="94" t="e" cm="1">
        <f t="array" ref="G17">_xlfn.XLOOKUP(Table118871730[[#This Row],[Opp]],Table2040[DEF],'2425'!$H$38:$H$69)</f>
        <v>#N/A</v>
      </c>
      <c r="H17" s="94" t="e" cm="1">
        <f t="array" ref="H17">_xlfn.XLOOKUP(Table118871730[[#This Row],[Opp]],Table2040[DEF],'2425'!$I$38:$I$69)</f>
        <v>#N/A</v>
      </c>
      <c r="I17" s="94" t="e" cm="1">
        <f t="array" ref="I17">_xlfn.XLOOKUP(Table118871730[[#This Row],[Opp]],Table2040[DEF],'2425'!$J$38:$J$69)</f>
        <v>#N/A</v>
      </c>
      <c r="J17" s="94" t="e" cm="1">
        <f t="array" ref="J17">_xlfn.XLOOKUP(Table118871730[[#This Row],[Opp]],Table2040[DEF],'2425'!$K$38:$K$69)</f>
        <v>#N/A</v>
      </c>
      <c r="K17" s="94" t="e" cm="1">
        <f t="array" ref="K17">_xlfn.XLOOKUP(Table118871730[[#This Row],[Opp]],Table2040[DEF],'2425'!$L$38:$L$69)</f>
        <v>#N/A</v>
      </c>
      <c r="L17" s="95" t="e">
        <f>_xlfn.XLOOKUP(Table118871730[[#This Row],[Opp]],Table2040[DEF],Table2040[R])</f>
        <v>#N/A</v>
      </c>
      <c r="M17" s="96" t="e">
        <f>_xlfn.XLOOKUP(Table118871730[[#This Row],[Opp]],Table2040[DEF],Table2040[REC])</f>
        <v>#N/A</v>
      </c>
      <c r="N17" s="95" t="e">
        <f>_xlfn.XLOOKUP(Table118871730[[#This Row],[Opp]],Table2040[DEF],Table2040[Y])</f>
        <v>#N/A</v>
      </c>
      <c r="O17" s="95" t="e">
        <f>_xlfn.XLOOKUP(Table118871730[[#This Row],[Opp]],Table2040[DEF],Table2040[R+R])</f>
        <v>#N/A</v>
      </c>
      <c r="P17" s="96" t="e">
        <f>_xlfn.XLOOKUP(Table118871730[[#This Row],[Opp]],Table2040[DEF],Table2040[TD])</f>
        <v>#N/A</v>
      </c>
      <c r="Q17" s="94" t="e">
        <f>AVERAGE(Table118871730[[#This Row],[*R*]:[*TD*]])</f>
        <v>#N/A</v>
      </c>
    </row>
    <row r="18" spans="2:17" hidden="1" x14ac:dyDescent="0.35">
      <c r="B18" s="6" t="s">
        <v>176</v>
      </c>
      <c r="C18" s="97" t="s">
        <v>32</v>
      </c>
      <c r="D18" s="97" t="s">
        <v>394</v>
      </c>
      <c r="E18" s="23" t="str" cm="1">
        <f t="array" ref="E18">_xlfn.XLOOKUP(Table118871730[[#This Row],[Team]],Table4334[Team],'2425'!$C$3:$C$34)</f>
        <v>n/a</v>
      </c>
      <c r="F18" s="97" t="str">
        <f>'2025'!$E$10</f>
        <v>n/a</v>
      </c>
      <c r="G18" s="94" t="e" cm="1">
        <f t="array" ref="G18">_xlfn.XLOOKUP(Table118871730[[#This Row],[Opp]],Table2040[DEF],'2425'!$H$38:$H$69)</f>
        <v>#N/A</v>
      </c>
      <c r="H18" s="94" t="e" cm="1">
        <f t="array" ref="H18">_xlfn.XLOOKUP(Table118871730[[#This Row],[Opp]],Table2040[DEF],'2425'!$I$38:$I$69)</f>
        <v>#N/A</v>
      </c>
      <c r="I18" s="94" t="e" cm="1">
        <f t="array" ref="I18">_xlfn.XLOOKUP(Table118871730[[#This Row],[Opp]],Table2040[DEF],'2425'!$J$38:$J$69)</f>
        <v>#N/A</v>
      </c>
      <c r="J18" s="94" t="e" cm="1">
        <f t="array" ref="J18">_xlfn.XLOOKUP(Table118871730[[#This Row],[Opp]],Table2040[DEF],'2425'!$K$38:$K$69)</f>
        <v>#N/A</v>
      </c>
      <c r="K18" s="94" t="e" cm="1">
        <f t="array" ref="K18">_xlfn.XLOOKUP(Table118871730[[#This Row],[Opp]],Table2040[DEF],'2425'!$L$38:$L$69)</f>
        <v>#N/A</v>
      </c>
      <c r="L18" s="95" t="e">
        <f>_xlfn.XLOOKUP(Table118871730[[#This Row],[Opp]],Table2040[DEF],Table2040[R])</f>
        <v>#N/A</v>
      </c>
      <c r="M18" s="96" t="e">
        <f>_xlfn.XLOOKUP(Table118871730[[#This Row],[Opp]],Table2040[DEF],Table2040[REC])</f>
        <v>#N/A</v>
      </c>
      <c r="N18" s="95" t="e">
        <f>_xlfn.XLOOKUP(Table118871730[[#This Row],[Opp]],Table2040[DEF],Table2040[Y])</f>
        <v>#N/A</v>
      </c>
      <c r="O18" s="95" t="e">
        <f>_xlfn.XLOOKUP(Table118871730[[#This Row],[Opp]],Table2040[DEF],Table2040[R+R])</f>
        <v>#N/A</v>
      </c>
      <c r="P18" s="96" t="e">
        <f>_xlfn.XLOOKUP(Table118871730[[#This Row],[Opp]],Table2040[DEF],Table2040[TD])</f>
        <v>#N/A</v>
      </c>
      <c r="Q18" s="94" t="e">
        <f>AVERAGE(Table118871730[[#This Row],[*R*]:[*TD*]])</f>
        <v>#N/A</v>
      </c>
    </row>
    <row r="19" spans="2:17" hidden="1" x14ac:dyDescent="0.35">
      <c r="B19" s="6" t="s">
        <v>175</v>
      </c>
      <c r="C19" s="97" t="s">
        <v>32</v>
      </c>
      <c r="D19" s="97" t="s">
        <v>396</v>
      </c>
      <c r="E19" s="23" t="str" cm="1">
        <f t="array" ref="E19">_xlfn.XLOOKUP(Table118871730[[#This Row],[Team]],Table4334[Team],'2425'!$C$3:$C$34)</f>
        <v>n/a</v>
      </c>
      <c r="F19" s="97" t="str">
        <f>'2025'!$E$10</f>
        <v>n/a</v>
      </c>
      <c r="G19" s="94" t="e" cm="1">
        <f t="array" ref="G19">_xlfn.XLOOKUP(Table118871730[[#This Row],[Opp]],Table2040[DEF],'2425'!$H$38:$H$69)</f>
        <v>#N/A</v>
      </c>
      <c r="H19" s="94" t="e" cm="1">
        <f t="array" ref="H19">_xlfn.XLOOKUP(Table118871730[[#This Row],[Opp]],Table2040[DEF],'2425'!$I$38:$I$69)</f>
        <v>#N/A</v>
      </c>
      <c r="I19" s="94" t="e" cm="1">
        <f t="array" ref="I19">_xlfn.XLOOKUP(Table118871730[[#This Row],[Opp]],Table2040[DEF],'2425'!$J$38:$J$69)</f>
        <v>#N/A</v>
      </c>
      <c r="J19" s="94" t="e" cm="1">
        <f t="array" ref="J19">_xlfn.XLOOKUP(Table118871730[[#This Row],[Opp]],Table2040[DEF],'2425'!$K$38:$K$69)</f>
        <v>#N/A</v>
      </c>
      <c r="K19" s="94" t="e" cm="1">
        <f t="array" ref="K19">_xlfn.XLOOKUP(Table118871730[[#This Row],[Opp]],Table2040[DEF],'2425'!$L$38:$L$69)</f>
        <v>#N/A</v>
      </c>
      <c r="L19" s="95" t="e">
        <f>_xlfn.XLOOKUP(Table118871730[[#This Row],[Opp]],Table2040[DEF],Table2040[R])</f>
        <v>#N/A</v>
      </c>
      <c r="M19" s="96" t="e">
        <f>_xlfn.XLOOKUP(Table118871730[[#This Row],[Opp]],Table2040[DEF],Table2040[REC])</f>
        <v>#N/A</v>
      </c>
      <c r="N19" s="95" t="e">
        <f>_xlfn.XLOOKUP(Table118871730[[#This Row],[Opp]],Table2040[DEF],Table2040[Y])</f>
        <v>#N/A</v>
      </c>
      <c r="O19" s="95" t="e">
        <f>_xlfn.XLOOKUP(Table118871730[[#This Row],[Opp]],Table2040[DEF],Table2040[R+R])</f>
        <v>#N/A</v>
      </c>
      <c r="P19" s="96" t="e">
        <f>_xlfn.XLOOKUP(Table118871730[[#This Row],[Opp]],Table2040[DEF],Table2040[TD])</f>
        <v>#N/A</v>
      </c>
      <c r="Q19" s="94" t="e">
        <f>AVERAGE(Table118871730[[#This Row],[*R*]:[*TD*]])</f>
        <v>#N/A</v>
      </c>
    </row>
    <row r="20" spans="2:17" hidden="1" x14ac:dyDescent="0.35">
      <c r="B20" s="6" t="s">
        <v>481</v>
      </c>
      <c r="C20" s="97" t="s">
        <v>32</v>
      </c>
      <c r="D20" s="97" t="s">
        <v>407</v>
      </c>
      <c r="E20" s="23" t="str" cm="1">
        <f t="array" ref="E20">_xlfn.XLOOKUP(Table118871730[[#This Row],[Team]],Table4334[Team],'2425'!$C$3:$C$34)</f>
        <v>n/a</v>
      </c>
      <c r="F20" s="97" t="str">
        <f>'2025'!$E$10</f>
        <v>n/a</v>
      </c>
      <c r="G20" s="94" t="e" cm="1">
        <f t="array" ref="G20">_xlfn.XLOOKUP(Table118871730[[#This Row],[Opp]],Table2040[DEF],'2425'!$H$38:$H$69)</f>
        <v>#N/A</v>
      </c>
      <c r="H20" s="94" t="e" cm="1">
        <f t="array" ref="H20">_xlfn.XLOOKUP(Table118871730[[#This Row],[Opp]],Table2040[DEF],'2425'!$I$38:$I$69)</f>
        <v>#N/A</v>
      </c>
      <c r="I20" s="94" t="e" cm="1">
        <f t="array" ref="I20">_xlfn.XLOOKUP(Table118871730[[#This Row],[Opp]],Table2040[DEF],'2425'!$J$38:$J$69)</f>
        <v>#N/A</v>
      </c>
      <c r="J20" s="94" t="e" cm="1">
        <f t="array" ref="J20">_xlfn.XLOOKUP(Table118871730[[#This Row],[Opp]],Table2040[DEF],'2425'!$K$38:$K$69)</f>
        <v>#N/A</v>
      </c>
      <c r="K20" s="94" t="e" cm="1">
        <f t="array" ref="K20">_xlfn.XLOOKUP(Table118871730[[#This Row],[Opp]],Table2040[DEF],'2425'!$L$38:$L$69)</f>
        <v>#N/A</v>
      </c>
      <c r="L20" s="95" t="e">
        <f>_xlfn.XLOOKUP(Table118871730[[#This Row],[Opp]],Table2040[DEF],Table2040[R])</f>
        <v>#N/A</v>
      </c>
      <c r="M20" s="96" t="e">
        <f>_xlfn.XLOOKUP(Table118871730[[#This Row],[Opp]],Table2040[DEF],Table2040[REC])</f>
        <v>#N/A</v>
      </c>
      <c r="N20" s="95" t="e">
        <f>_xlfn.XLOOKUP(Table118871730[[#This Row],[Opp]],Table2040[DEF],Table2040[Y])</f>
        <v>#N/A</v>
      </c>
      <c r="O20" s="95" t="e">
        <f>_xlfn.XLOOKUP(Table118871730[[#This Row],[Opp]],Table2040[DEF],Table2040[R+R])</f>
        <v>#N/A</v>
      </c>
      <c r="P20" s="96" t="e">
        <f>_xlfn.XLOOKUP(Table118871730[[#This Row],[Opp]],Table2040[DEF],Table2040[TD])</f>
        <v>#N/A</v>
      </c>
      <c r="Q20" s="94" t="e">
        <f>AVERAGE(Table118871730[[#This Row],[*R*]:[*TD*]])</f>
        <v>#N/A</v>
      </c>
    </row>
    <row r="21" spans="2:17" hidden="1" x14ac:dyDescent="0.35">
      <c r="B21" s="6" t="s">
        <v>184</v>
      </c>
      <c r="C21" s="97" t="s">
        <v>33</v>
      </c>
      <c r="D21" s="97" t="s">
        <v>395</v>
      </c>
      <c r="E21" s="23" t="str" cm="1">
        <f t="array" ref="E21">_xlfn.XLOOKUP(Table118871730[[#This Row],[Team]],Table4334[Team],'2425'!$C$3:$C$34)</f>
        <v>n/a</v>
      </c>
      <c r="F21" s="97" t="str">
        <f>'2025'!$E$11</f>
        <v>n/a</v>
      </c>
      <c r="G21" s="94" t="e" cm="1">
        <f t="array" ref="G21">_xlfn.XLOOKUP(Table118871730[[#This Row],[Opp]],Table2040[DEF],'2425'!$H$38:$H$69)</f>
        <v>#N/A</v>
      </c>
      <c r="H21" s="94" t="e" cm="1">
        <f t="array" ref="H21">_xlfn.XLOOKUP(Table118871730[[#This Row],[Opp]],Table2040[DEF],'2425'!$I$38:$I$69)</f>
        <v>#N/A</v>
      </c>
      <c r="I21" s="94" t="e" cm="1">
        <f t="array" ref="I21">_xlfn.XLOOKUP(Table118871730[[#This Row],[Opp]],Table2040[DEF],'2425'!$J$38:$J$69)</f>
        <v>#N/A</v>
      </c>
      <c r="J21" s="94" t="e" cm="1">
        <f t="array" ref="J21">_xlfn.XLOOKUP(Table118871730[[#This Row],[Opp]],Table2040[DEF],'2425'!$K$38:$K$69)</f>
        <v>#N/A</v>
      </c>
      <c r="K21" s="94" t="e" cm="1">
        <f t="array" ref="K21">_xlfn.XLOOKUP(Table118871730[[#This Row],[Opp]],Table2040[DEF],'2425'!$L$38:$L$69)</f>
        <v>#N/A</v>
      </c>
      <c r="L21" s="95" t="e">
        <f>_xlfn.XLOOKUP(Table118871730[[#This Row],[Opp]],Table2040[DEF],Table2040[R])</f>
        <v>#N/A</v>
      </c>
      <c r="M21" s="96" t="e">
        <f>_xlfn.XLOOKUP(Table118871730[[#This Row],[Opp]],Table2040[DEF],Table2040[REC])</f>
        <v>#N/A</v>
      </c>
      <c r="N21" s="95" t="e">
        <f>_xlfn.XLOOKUP(Table118871730[[#This Row],[Opp]],Table2040[DEF],Table2040[Y])</f>
        <v>#N/A</v>
      </c>
      <c r="O21" s="95" t="e">
        <f>_xlfn.XLOOKUP(Table118871730[[#This Row],[Opp]],Table2040[DEF],Table2040[R+R])</f>
        <v>#N/A</v>
      </c>
      <c r="P21" s="96" t="e">
        <f>_xlfn.XLOOKUP(Table118871730[[#This Row],[Opp]],Table2040[DEF],Table2040[TD])</f>
        <v>#N/A</v>
      </c>
      <c r="Q21" s="94" t="e">
        <f>AVERAGE(Table118871730[[#This Row],[*R*]:[*TD*]])</f>
        <v>#N/A</v>
      </c>
    </row>
    <row r="22" spans="2:17" hidden="1" x14ac:dyDescent="0.35">
      <c r="B22" s="6" t="s">
        <v>246</v>
      </c>
      <c r="C22" s="97" t="s">
        <v>40</v>
      </c>
      <c r="D22" s="97" t="s">
        <v>394</v>
      </c>
      <c r="E22" s="23" t="str" cm="1">
        <f t="array" ref="E22">_xlfn.XLOOKUP(Table118871730[[#This Row],[Team]],Table4334[Team],'2425'!$C$3:$C$34)</f>
        <v>n/a</v>
      </c>
      <c r="F22" s="97" t="str">
        <f>'2025'!$E$18</f>
        <v>n/a</v>
      </c>
      <c r="G22" s="94" t="e" cm="1">
        <f t="array" ref="G22">_xlfn.XLOOKUP(Table118871730[[#This Row],[Opp]],Table2040[DEF],'2425'!$H$38:$H$69)</f>
        <v>#N/A</v>
      </c>
      <c r="H22" s="94" t="e" cm="1">
        <f t="array" ref="H22">_xlfn.XLOOKUP(Table118871730[[#This Row],[Opp]],Table2040[DEF],'2425'!$I$38:$I$69)</f>
        <v>#N/A</v>
      </c>
      <c r="I22" s="94" t="e" cm="1">
        <f t="array" ref="I22">_xlfn.XLOOKUP(Table118871730[[#This Row],[Opp]],Table2040[DEF],'2425'!$J$38:$J$69)</f>
        <v>#N/A</v>
      </c>
      <c r="J22" s="94" t="e" cm="1">
        <f t="array" ref="J22">_xlfn.XLOOKUP(Table118871730[[#This Row],[Opp]],Table2040[DEF],'2425'!$K$38:$K$69)</f>
        <v>#N/A</v>
      </c>
      <c r="K22" s="94" t="e" cm="1">
        <f t="array" ref="K22">_xlfn.XLOOKUP(Table118871730[[#This Row],[Opp]],Table2040[DEF],'2425'!$L$38:$L$69)</f>
        <v>#N/A</v>
      </c>
      <c r="L22" s="95" t="e">
        <f>_xlfn.XLOOKUP(Table118871730[[#This Row],[Opp]],Table2040[DEF],Table2040[R])</f>
        <v>#N/A</v>
      </c>
      <c r="M22" s="96" t="e">
        <f>_xlfn.XLOOKUP(Table118871730[[#This Row],[Opp]],Table2040[DEF],Table2040[REC])</f>
        <v>#N/A</v>
      </c>
      <c r="N22" s="95" t="e">
        <f>_xlfn.XLOOKUP(Table118871730[[#This Row],[Opp]],Table2040[DEF],Table2040[Y])</f>
        <v>#N/A</v>
      </c>
      <c r="O22" s="95" t="e">
        <f>_xlfn.XLOOKUP(Table118871730[[#This Row],[Opp]],Table2040[DEF],Table2040[R+R])</f>
        <v>#N/A</v>
      </c>
      <c r="P22" s="96" t="e">
        <f>_xlfn.XLOOKUP(Table118871730[[#This Row],[Opp]],Table2040[DEF],Table2040[TD])</f>
        <v>#N/A</v>
      </c>
      <c r="Q22" s="94" t="e">
        <f>AVERAGE(Table118871730[[#This Row],[*R*]:[*TD*]])</f>
        <v>#N/A</v>
      </c>
    </row>
    <row r="23" spans="2:17" hidden="1" x14ac:dyDescent="0.35">
      <c r="B23" s="6" t="s">
        <v>247</v>
      </c>
      <c r="C23" s="97" t="s">
        <v>40</v>
      </c>
      <c r="D23" s="97" t="s">
        <v>396</v>
      </c>
      <c r="E23" s="23" t="str" cm="1">
        <f t="array" ref="E23">_xlfn.XLOOKUP(Table118871730[[#This Row],[Team]],Table4334[Team],'2425'!$C$3:$C$34)</f>
        <v>n/a</v>
      </c>
      <c r="F23" s="97" t="str">
        <f>'2025'!$E$18</f>
        <v>n/a</v>
      </c>
      <c r="G23" s="94" t="e" cm="1">
        <f t="array" ref="G23">_xlfn.XLOOKUP(Table118871730[[#This Row],[Opp]],Table2040[DEF],'2425'!$H$38:$H$69)</f>
        <v>#N/A</v>
      </c>
      <c r="H23" s="94" t="e" cm="1">
        <f t="array" ref="H23">_xlfn.XLOOKUP(Table118871730[[#This Row],[Opp]],Table2040[DEF],'2425'!$I$38:$I$69)</f>
        <v>#N/A</v>
      </c>
      <c r="I23" s="94" t="e" cm="1">
        <f t="array" ref="I23">_xlfn.XLOOKUP(Table118871730[[#This Row],[Opp]],Table2040[DEF],'2425'!$J$38:$J$69)</f>
        <v>#N/A</v>
      </c>
      <c r="J23" s="94" t="e" cm="1">
        <f t="array" ref="J23">_xlfn.XLOOKUP(Table118871730[[#This Row],[Opp]],Table2040[DEF],'2425'!$K$38:$K$69)</f>
        <v>#N/A</v>
      </c>
      <c r="K23" s="94" t="e" cm="1">
        <f t="array" ref="K23">_xlfn.XLOOKUP(Table118871730[[#This Row],[Opp]],Table2040[DEF],'2425'!$L$38:$L$69)</f>
        <v>#N/A</v>
      </c>
      <c r="L23" s="95" t="e">
        <f>_xlfn.XLOOKUP(Table118871730[[#This Row],[Opp]],Table2040[DEF],Table2040[R])</f>
        <v>#N/A</v>
      </c>
      <c r="M23" s="96" t="e">
        <f>_xlfn.XLOOKUP(Table118871730[[#This Row],[Opp]],Table2040[DEF],Table2040[REC])</f>
        <v>#N/A</v>
      </c>
      <c r="N23" s="95" t="e">
        <f>_xlfn.XLOOKUP(Table118871730[[#This Row],[Opp]],Table2040[DEF],Table2040[Y])</f>
        <v>#N/A</v>
      </c>
      <c r="O23" s="95" t="e">
        <f>_xlfn.XLOOKUP(Table118871730[[#This Row],[Opp]],Table2040[DEF],Table2040[R+R])</f>
        <v>#N/A</v>
      </c>
      <c r="P23" s="96" t="e">
        <f>_xlfn.XLOOKUP(Table118871730[[#This Row],[Opp]],Table2040[DEF],Table2040[TD])</f>
        <v>#N/A</v>
      </c>
      <c r="Q23" s="94" t="e">
        <f>AVERAGE(Table118871730[[#This Row],[*R*]:[*TD*]])</f>
        <v>#N/A</v>
      </c>
    </row>
    <row r="24" spans="2:17" hidden="1" x14ac:dyDescent="0.35">
      <c r="B24" s="6" t="s">
        <v>248</v>
      </c>
      <c r="C24" s="97" t="s">
        <v>40</v>
      </c>
      <c r="D24" s="97" t="s">
        <v>407</v>
      </c>
      <c r="E24" s="23" t="str" cm="1">
        <f t="array" ref="E24">_xlfn.XLOOKUP(Table118871730[[#This Row],[Team]],Table4334[Team],'2425'!$C$3:$C$34)</f>
        <v>n/a</v>
      </c>
      <c r="F24" s="97" t="str">
        <f>'2025'!$E$18</f>
        <v>n/a</v>
      </c>
      <c r="G24" s="94" t="e" cm="1">
        <f t="array" ref="G24">_xlfn.XLOOKUP(Table118871730[[#This Row],[Opp]],Table2040[DEF],'2425'!$H$38:$H$69)</f>
        <v>#N/A</v>
      </c>
      <c r="H24" s="94" t="e" cm="1">
        <f t="array" ref="H24">_xlfn.XLOOKUP(Table118871730[[#This Row],[Opp]],Table2040[DEF],'2425'!$I$38:$I$69)</f>
        <v>#N/A</v>
      </c>
      <c r="I24" s="94" t="e" cm="1">
        <f t="array" ref="I24">_xlfn.XLOOKUP(Table118871730[[#This Row],[Opp]],Table2040[DEF],'2425'!$J$38:$J$69)</f>
        <v>#N/A</v>
      </c>
      <c r="J24" s="94" t="e" cm="1">
        <f t="array" ref="J24">_xlfn.XLOOKUP(Table118871730[[#This Row],[Opp]],Table2040[DEF],'2425'!$K$38:$K$69)</f>
        <v>#N/A</v>
      </c>
      <c r="K24" s="94" t="e" cm="1">
        <f t="array" ref="K24">_xlfn.XLOOKUP(Table118871730[[#This Row],[Opp]],Table2040[DEF],'2425'!$L$38:$L$69)</f>
        <v>#N/A</v>
      </c>
      <c r="L24" s="95" t="e">
        <f>_xlfn.XLOOKUP(Table118871730[[#This Row],[Opp]],Table2040[DEF],Table2040[R])</f>
        <v>#N/A</v>
      </c>
      <c r="M24" s="96" t="e">
        <f>_xlfn.XLOOKUP(Table118871730[[#This Row],[Opp]],Table2040[DEF],Table2040[REC])</f>
        <v>#N/A</v>
      </c>
      <c r="N24" s="95" t="e">
        <f>_xlfn.XLOOKUP(Table118871730[[#This Row],[Opp]],Table2040[DEF],Table2040[Y])</f>
        <v>#N/A</v>
      </c>
      <c r="O24" s="95" t="e">
        <f>_xlfn.XLOOKUP(Table118871730[[#This Row],[Opp]],Table2040[DEF],Table2040[R+R])</f>
        <v>#N/A</v>
      </c>
      <c r="P24" s="96" t="e">
        <f>_xlfn.XLOOKUP(Table118871730[[#This Row],[Opp]],Table2040[DEF],Table2040[TD])</f>
        <v>#N/A</v>
      </c>
      <c r="Q24" s="94" t="e">
        <f>AVERAGE(Table118871730[[#This Row],[*R*]:[*TD*]])</f>
        <v>#N/A</v>
      </c>
    </row>
    <row r="25" spans="2:17" hidden="1" x14ac:dyDescent="0.35">
      <c r="B25" s="6" t="s">
        <v>119</v>
      </c>
      <c r="C25" s="97" t="s">
        <v>15</v>
      </c>
      <c r="D25" s="97" t="s">
        <v>395</v>
      </c>
      <c r="E25" s="23" t="str" cm="1">
        <f t="array" ref="E25">_xlfn.XLOOKUP(Table118871730[[#This Row],[Team]],Table4334[Team],'2425'!$C$3:$C$34)</f>
        <v>n/a</v>
      </c>
      <c r="F25" s="97" t="str">
        <f>'2025'!$E$4</f>
        <v>n/a</v>
      </c>
      <c r="G25" s="94" t="e" cm="1">
        <f t="array" ref="G25">_xlfn.XLOOKUP(Table118871730[[#This Row],[Opp]],Table2040[DEF],'2425'!$H$38:$H$69)</f>
        <v>#N/A</v>
      </c>
      <c r="H25" s="94" t="e" cm="1">
        <f t="array" ref="H25">_xlfn.XLOOKUP(Table118871730[[#This Row],[Opp]],Table2040[DEF],'2425'!$I$38:$I$69)</f>
        <v>#N/A</v>
      </c>
      <c r="I25" s="94" t="e" cm="1">
        <f t="array" ref="I25">_xlfn.XLOOKUP(Table118871730[[#This Row],[Opp]],Table2040[DEF],'2425'!$J$38:$J$69)</f>
        <v>#N/A</v>
      </c>
      <c r="J25" s="94" t="e" cm="1">
        <f t="array" ref="J25">_xlfn.XLOOKUP(Table118871730[[#This Row],[Opp]],Table2040[DEF],'2425'!$K$38:$K$69)</f>
        <v>#N/A</v>
      </c>
      <c r="K25" s="94" t="e" cm="1">
        <f t="array" ref="K25">_xlfn.XLOOKUP(Table118871730[[#This Row],[Opp]],Table2040[DEF],'2425'!$L$38:$L$69)</f>
        <v>#N/A</v>
      </c>
      <c r="L25" s="95" t="e">
        <f>_xlfn.XLOOKUP(Table118871730[[#This Row],[Opp]],Table2040[DEF],Table2040[R])</f>
        <v>#N/A</v>
      </c>
      <c r="M25" s="96" t="e">
        <f>_xlfn.XLOOKUP(Table118871730[[#This Row],[Opp]],Table2040[DEF],Table2040[REC])</f>
        <v>#N/A</v>
      </c>
      <c r="N25" s="95" t="e">
        <f>_xlfn.XLOOKUP(Table118871730[[#This Row],[Opp]],Table2040[DEF],Table2040[Y])</f>
        <v>#N/A</v>
      </c>
      <c r="O25" s="95" t="e">
        <f>_xlfn.XLOOKUP(Table118871730[[#This Row],[Opp]],Table2040[DEF],Table2040[R+R])</f>
        <v>#N/A</v>
      </c>
      <c r="P25" s="96" t="e">
        <f>_xlfn.XLOOKUP(Table118871730[[#This Row],[Opp]],Table2040[DEF],Table2040[TD])</f>
        <v>#N/A</v>
      </c>
      <c r="Q25" s="94" t="e">
        <f>AVERAGE(Table118871730[[#This Row],[*R*]:[*TD*]])</f>
        <v>#N/A</v>
      </c>
    </row>
    <row r="26" spans="2:17" hidden="1" x14ac:dyDescent="0.35">
      <c r="B26" s="6" t="s">
        <v>331</v>
      </c>
      <c r="C26" s="97" t="s">
        <v>49</v>
      </c>
      <c r="D26" s="97" t="s">
        <v>394</v>
      </c>
      <c r="E26" s="23" t="str" cm="1">
        <f t="array" ref="E26">_xlfn.XLOOKUP(Table118871730[[#This Row],[Team]],Table4334[Team],'2425'!$C$3:$C$34)</f>
        <v>n/a</v>
      </c>
      <c r="F26" s="97" t="str">
        <f>'2025'!$E$27</f>
        <v>n/a</v>
      </c>
      <c r="G26" s="94" t="e" cm="1">
        <f t="array" ref="G26">_xlfn.XLOOKUP(Table118871730[[#This Row],[Opp]],Table2040[DEF],'2425'!$H$38:$H$69)</f>
        <v>#N/A</v>
      </c>
      <c r="H26" s="94" t="e" cm="1">
        <f t="array" ref="H26">_xlfn.XLOOKUP(Table118871730[[#This Row],[Opp]],Table2040[DEF],'2425'!$I$38:$I$69)</f>
        <v>#N/A</v>
      </c>
      <c r="I26" s="94" t="e" cm="1">
        <f t="array" ref="I26">_xlfn.XLOOKUP(Table118871730[[#This Row],[Opp]],Table2040[DEF],'2425'!$J$38:$J$69)</f>
        <v>#N/A</v>
      </c>
      <c r="J26" s="94" t="e" cm="1">
        <f t="array" ref="J26">_xlfn.XLOOKUP(Table118871730[[#This Row],[Opp]],Table2040[DEF],'2425'!$K$38:$K$69)</f>
        <v>#N/A</v>
      </c>
      <c r="K26" s="94" t="e" cm="1">
        <f t="array" ref="K26">_xlfn.XLOOKUP(Table118871730[[#This Row],[Opp]],Table2040[DEF],'2425'!$L$38:$L$69)</f>
        <v>#N/A</v>
      </c>
      <c r="L26" s="95" t="e">
        <f>_xlfn.XLOOKUP(Table118871730[[#This Row],[Opp]],Table2040[DEF],Table2040[R])</f>
        <v>#N/A</v>
      </c>
      <c r="M26" s="96" t="e">
        <f>_xlfn.XLOOKUP(Table118871730[[#This Row],[Opp]],Table2040[DEF],Table2040[REC])</f>
        <v>#N/A</v>
      </c>
      <c r="N26" s="95" t="e">
        <f>_xlfn.XLOOKUP(Table118871730[[#This Row],[Opp]],Table2040[DEF],Table2040[Y])</f>
        <v>#N/A</v>
      </c>
      <c r="O26" s="95" t="e">
        <f>_xlfn.XLOOKUP(Table118871730[[#This Row],[Opp]],Table2040[DEF],Table2040[R+R])</f>
        <v>#N/A</v>
      </c>
      <c r="P26" s="96" t="e">
        <f>_xlfn.XLOOKUP(Table118871730[[#This Row],[Opp]],Table2040[DEF],Table2040[TD])</f>
        <v>#N/A</v>
      </c>
      <c r="Q26" s="94" t="e">
        <f>AVERAGE(Table118871730[[#This Row],[*R*]:[*TD*]])</f>
        <v>#N/A</v>
      </c>
    </row>
    <row r="27" spans="2:17" hidden="1" x14ac:dyDescent="0.35">
      <c r="B27" s="6" t="s">
        <v>333</v>
      </c>
      <c r="C27" s="97" t="s">
        <v>49</v>
      </c>
      <c r="D27" s="97" t="s">
        <v>396</v>
      </c>
      <c r="E27" s="23" t="str" cm="1">
        <f t="array" ref="E27">_xlfn.XLOOKUP(Table118871730[[#This Row],[Team]],Table4334[Team],'2425'!$C$3:$C$34)</f>
        <v>n/a</v>
      </c>
      <c r="F27" s="97" t="str">
        <f>'2025'!$E$27</f>
        <v>n/a</v>
      </c>
      <c r="G27" s="94" t="e" cm="1">
        <f t="array" ref="G27">_xlfn.XLOOKUP(Table118871730[[#This Row],[Opp]],Table2040[DEF],'2425'!$H$38:$H$69)</f>
        <v>#N/A</v>
      </c>
      <c r="H27" s="94" t="e" cm="1">
        <f t="array" ref="H27">_xlfn.XLOOKUP(Table118871730[[#This Row],[Opp]],Table2040[DEF],'2425'!$I$38:$I$69)</f>
        <v>#N/A</v>
      </c>
      <c r="I27" s="94" t="e" cm="1">
        <f t="array" ref="I27">_xlfn.XLOOKUP(Table118871730[[#This Row],[Opp]],Table2040[DEF],'2425'!$J$38:$J$69)</f>
        <v>#N/A</v>
      </c>
      <c r="J27" s="94" t="e" cm="1">
        <f t="array" ref="J27">_xlfn.XLOOKUP(Table118871730[[#This Row],[Opp]],Table2040[DEF],'2425'!$K$38:$K$69)</f>
        <v>#N/A</v>
      </c>
      <c r="K27" s="94" t="e" cm="1">
        <f t="array" ref="K27">_xlfn.XLOOKUP(Table118871730[[#This Row],[Opp]],Table2040[DEF],'2425'!$L$38:$L$69)</f>
        <v>#N/A</v>
      </c>
      <c r="L27" s="95" t="e">
        <f>_xlfn.XLOOKUP(Table118871730[[#This Row],[Opp]],Table2040[DEF],Table2040[R])</f>
        <v>#N/A</v>
      </c>
      <c r="M27" s="96" t="e">
        <f>_xlfn.XLOOKUP(Table118871730[[#This Row],[Opp]],Table2040[DEF],Table2040[REC])</f>
        <v>#N/A</v>
      </c>
      <c r="N27" s="95" t="e">
        <f>_xlfn.XLOOKUP(Table118871730[[#This Row],[Opp]],Table2040[DEF],Table2040[Y])</f>
        <v>#N/A</v>
      </c>
      <c r="O27" s="95" t="e">
        <f>_xlfn.XLOOKUP(Table118871730[[#This Row],[Opp]],Table2040[DEF],Table2040[R+R])</f>
        <v>#N/A</v>
      </c>
      <c r="P27" s="96" t="e">
        <f>_xlfn.XLOOKUP(Table118871730[[#This Row],[Opp]],Table2040[DEF],Table2040[TD])</f>
        <v>#N/A</v>
      </c>
      <c r="Q27" s="94" t="e">
        <f>AVERAGE(Table118871730[[#This Row],[*R*]:[*TD*]])</f>
        <v>#N/A</v>
      </c>
    </row>
    <row r="28" spans="2:17" hidden="1" x14ac:dyDescent="0.35">
      <c r="B28" s="6" t="s">
        <v>419</v>
      </c>
      <c r="C28" s="97" t="s">
        <v>49</v>
      </c>
      <c r="D28" s="97" t="s">
        <v>407</v>
      </c>
      <c r="E28" s="23" t="str" cm="1">
        <f t="array" ref="E28">_xlfn.XLOOKUP(Table118871730[[#This Row],[Team]],Table4334[Team],'2425'!$C$3:$C$34)</f>
        <v>n/a</v>
      </c>
      <c r="F28" s="97" t="str">
        <f>'2025'!$E$27</f>
        <v>n/a</v>
      </c>
      <c r="G28" s="94" t="e" cm="1">
        <f t="array" ref="G28">_xlfn.XLOOKUP(Table118871730[[#This Row],[Opp]],Table2040[DEF],'2425'!$H$38:$H$69)</f>
        <v>#N/A</v>
      </c>
      <c r="H28" s="94" t="e" cm="1">
        <f t="array" ref="H28">_xlfn.XLOOKUP(Table118871730[[#This Row],[Opp]],Table2040[DEF],'2425'!$I$38:$I$69)</f>
        <v>#N/A</v>
      </c>
      <c r="I28" s="94" t="e" cm="1">
        <f t="array" ref="I28">_xlfn.XLOOKUP(Table118871730[[#This Row],[Opp]],Table2040[DEF],'2425'!$J$38:$J$69)</f>
        <v>#N/A</v>
      </c>
      <c r="J28" s="94" t="e" cm="1">
        <f t="array" ref="J28">_xlfn.XLOOKUP(Table118871730[[#This Row],[Opp]],Table2040[DEF],'2425'!$K$38:$K$69)</f>
        <v>#N/A</v>
      </c>
      <c r="K28" s="94" t="e" cm="1">
        <f t="array" ref="K28">_xlfn.XLOOKUP(Table118871730[[#This Row],[Opp]],Table2040[DEF],'2425'!$L$38:$L$69)</f>
        <v>#N/A</v>
      </c>
      <c r="L28" s="95" t="e">
        <f>_xlfn.XLOOKUP(Table118871730[[#This Row],[Opp]],Table2040[DEF],Table2040[R])</f>
        <v>#N/A</v>
      </c>
      <c r="M28" s="96" t="e">
        <f>_xlfn.XLOOKUP(Table118871730[[#This Row],[Opp]],Table2040[DEF],Table2040[REC])</f>
        <v>#N/A</v>
      </c>
      <c r="N28" s="95" t="e">
        <f>_xlfn.XLOOKUP(Table118871730[[#This Row],[Opp]],Table2040[DEF],Table2040[Y])</f>
        <v>#N/A</v>
      </c>
      <c r="O28" s="95" t="e">
        <f>_xlfn.XLOOKUP(Table118871730[[#This Row],[Opp]],Table2040[DEF],Table2040[R+R])</f>
        <v>#N/A</v>
      </c>
      <c r="P28" s="96" t="e">
        <f>_xlfn.XLOOKUP(Table118871730[[#This Row],[Opp]],Table2040[DEF],Table2040[TD])</f>
        <v>#N/A</v>
      </c>
      <c r="Q28" s="94" t="e">
        <f>AVERAGE(Table118871730[[#This Row],[*R*]:[*TD*]])</f>
        <v>#N/A</v>
      </c>
    </row>
    <row r="29" spans="2:17" hidden="1" x14ac:dyDescent="0.35">
      <c r="B29" s="6" t="s">
        <v>161</v>
      </c>
      <c r="C29" s="97" t="s">
        <v>31</v>
      </c>
      <c r="D29" s="97" t="s">
        <v>395</v>
      </c>
      <c r="E29" s="23" t="str" cm="1">
        <f t="array" ref="E29">_xlfn.XLOOKUP(Table118871730[[#This Row],[Team]],Table4334[Team],'2425'!$C$3:$C$34)</f>
        <v>n/a</v>
      </c>
      <c r="F29" s="97" t="str">
        <f>'2025'!$E$9</f>
        <v>n/a</v>
      </c>
      <c r="G29" s="94" t="e" cm="1">
        <f t="array" ref="G29">_xlfn.XLOOKUP(Table118871730[[#This Row],[Opp]],Table2040[DEF],'2425'!$H$38:$H$69)</f>
        <v>#N/A</v>
      </c>
      <c r="H29" s="94" t="e" cm="1">
        <f t="array" ref="H29">_xlfn.XLOOKUP(Table118871730[[#This Row],[Opp]],Table2040[DEF],'2425'!$I$38:$I$69)</f>
        <v>#N/A</v>
      </c>
      <c r="I29" s="94" t="e" cm="1">
        <f t="array" ref="I29">_xlfn.XLOOKUP(Table118871730[[#This Row],[Opp]],Table2040[DEF],'2425'!$J$38:$J$69)</f>
        <v>#N/A</v>
      </c>
      <c r="J29" s="94" t="e" cm="1">
        <f t="array" ref="J29">_xlfn.XLOOKUP(Table118871730[[#This Row],[Opp]],Table2040[DEF],'2425'!$K$38:$K$69)</f>
        <v>#N/A</v>
      </c>
      <c r="K29" s="94" t="e" cm="1">
        <f t="array" ref="K29">_xlfn.XLOOKUP(Table118871730[[#This Row],[Opp]],Table2040[DEF],'2425'!$L$38:$L$69)</f>
        <v>#N/A</v>
      </c>
      <c r="L29" s="95" t="e">
        <f>_xlfn.XLOOKUP(Table118871730[[#This Row],[Opp]],Table2040[DEF],Table2040[R])</f>
        <v>#N/A</v>
      </c>
      <c r="M29" s="96" t="e">
        <f>_xlfn.XLOOKUP(Table118871730[[#This Row],[Opp]],Table2040[DEF],Table2040[REC])</f>
        <v>#N/A</v>
      </c>
      <c r="N29" s="95" t="e">
        <f>_xlfn.XLOOKUP(Table118871730[[#This Row],[Opp]],Table2040[DEF],Table2040[Y])</f>
        <v>#N/A</v>
      </c>
      <c r="O29" s="95" t="e">
        <f>_xlfn.XLOOKUP(Table118871730[[#This Row],[Opp]],Table2040[DEF],Table2040[R+R])</f>
        <v>#N/A</v>
      </c>
      <c r="P29" s="96" t="e">
        <f>_xlfn.XLOOKUP(Table118871730[[#This Row],[Opp]],Table2040[DEF],Table2040[TD])</f>
        <v>#N/A</v>
      </c>
      <c r="Q29" s="94" t="e">
        <f>AVERAGE(Table118871730[[#This Row],[*R*]:[*TD*]])</f>
        <v>#N/A</v>
      </c>
    </row>
    <row r="30" spans="2:17" hidden="1" x14ac:dyDescent="0.35">
      <c r="B30" s="6" t="s">
        <v>379</v>
      </c>
      <c r="C30" s="97" t="s">
        <v>55</v>
      </c>
      <c r="D30" s="97" t="s">
        <v>394</v>
      </c>
      <c r="E30" s="23" t="str" cm="1">
        <f t="array" ref="E30">_xlfn.XLOOKUP(Table118871730[[#This Row],[Team]],Table4334[Team],'2425'!$C$3:$C$34)</f>
        <v>n/a</v>
      </c>
      <c r="F30" s="97" t="str">
        <f>'2025'!$E$33</f>
        <v>n/a</v>
      </c>
      <c r="G30" s="94" t="e" cm="1">
        <f t="array" ref="G30">_xlfn.XLOOKUP(Table118871730[[#This Row],[Opp]],Table2040[DEF],'2425'!$H$38:$H$69)</f>
        <v>#N/A</v>
      </c>
      <c r="H30" s="94" t="e" cm="1">
        <f t="array" ref="H30">_xlfn.XLOOKUP(Table118871730[[#This Row],[Opp]],Table2040[DEF],'2425'!$I$38:$I$69)</f>
        <v>#N/A</v>
      </c>
      <c r="I30" s="94" t="e" cm="1">
        <f t="array" ref="I30">_xlfn.XLOOKUP(Table118871730[[#This Row],[Opp]],Table2040[DEF],'2425'!$J$38:$J$69)</f>
        <v>#N/A</v>
      </c>
      <c r="J30" s="94" t="e" cm="1">
        <f t="array" ref="J30">_xlfn.XLOOKUP(Table118871730[[#This Row],[Opp]],Table2040[DEF],'2425'!$K$38:$K$69)</f>
        <v>#N/A</v>
      </c>
      <c r="K30" s="94" t="e" cm="1">
        <f t="array" ref="K30">_xlfn.XLOOKUP(Table118871730[[#This Row],[Opp]],Table2040[DEF],'2425'!$L$38:$L$69)</f>
        <v>#N/A</v>
      </c>
      <c r="L30" s="95" t="e">
        <f>_xlfn.XLOOKUP(Table118871730[[#This Row],[Opp]],Table2040[DEF],Table2040[R])</f>
        <v>#N/A</v>
      </c>
      <c r="M30" s="96" t="e">
        <f>_xlfn.XLOOKUP(Table118871730[[#This Row],[Opp]],Table2040[DEF],Table2040[REC])</f>
        <v>#N/A</v>
      </c>
      <c r="N30" s="95" t="e">
        <f>_xlfn.XLOOKUP(Table118871730[[#This Row],[Opp]],Table2040[DEF],Table2040[Y])</f>
        <v>#N/A</v>
      </c>
      <c r="O30" s="95" t="e">
        <f>_xlfn.XLOOKUP(Table118871730[[#This Row],[Opp]],Table2040[DEF],Table2040[R+R])</f>
        <v>#N/A</v>
      </c>
      <c r="P30" s="96" t="e">
        <f>_xlfn.XLOOKUP(Table118871730[[#This Row],[Opp]],Table2040[DEF],Table2040[TD])</f>
        <v>#N/A</v>
      </c>
      <c r="Q30" s="94" t="e">
        <f>AVERAGE(Table118871730[[#This Row],[*R*]:[*TD*]])</f>
        <v>#N/A</v>
      </c>
    </row>
    <row r="31" spans="2:17" hidden="1" x14ac:dyDescent="0.35">
      <c r="B31" s="6" t="s">
        <v>589</v>
      </c>
      <c r="C31" s="97" t="s">
        <v>55</v>
      </c>
      <c r="D31" s="97" t="s">
        <v>396</v>
      </c>
      <c r="E31" s="23" t="str" cm="1">
        <f t="array" ref="E31">_xlfn.XLOOKUP(Table118871730[[#This Row],[Team]],Table4334[Team],'2425'!$C$3:$C$34)</f>
        <v>n/a</v>
      </c>
      <c r="F31" s="97" t="str">
        <f>'2025'!$E$33</f>
        <v>n/a</v>
      </c>
      <c r="G31" s="94" t="e" cm="1">
        <f t="array" ref="G31">_xlfn.XLOOKUP(Table118871730[[#This Row],[Opp]],Table2040[DEF],'2425'!$H$38:$H$69)</f>
        <v>#N/A</v>
      </c>
      <c r="H31" s="94" t="e" cm="1">
        <f t="array" ref="H31">_xlfn.XLOOKUP(Table118871730[[#This Row],[Opp]],Table2040[DEF],'2425'!$I$38:$I$69)</f>
        <v>#N/A</v>
      </c>
      <c r="I31" s="94" t="e" cm="1">
        <f t="array" ref="I31">_xlfn.XLOOKUP(Table118871730[[#This Row],[Opp]],Table2040[DEF],'2425'!$J$38:$J$69)</f>
        <v>#N/A</v>
      </c>
      <c r="J31" s="94" t="e" cm="1">
        <f t="array" ref="J31">_xlfn.XLOOKUP(Table118871730[[#This Row],[Opp]],Table2040[DEF],'2425'!$K$38:$K$69)</f>
        <v>#N/A</v>
      </c>
      <c r="K31" s="94" t="e" cm="1">
        <f t="array" ref="K31">_xlfn.XLOOKUP(Table118871730[[#This Row],[Opp]],Table2040[DEF],'2425'!$L$38:$L$69)</f>
        <v>#N/A</v>
      </c>
      <c r="L31" s="95" t="e">
        <f>_xlfn.XLOOKUP(Table118871730[[#This Row],[Opp]],Table2040[DEF],Table2040[R])</f>
        <v>#N/A</v>
      </c>
      <c r="M31" s="96" t="e">
        <f>_xlfn.XLOOKUP(Table118871730[[#This Row],[Opp]],Table2040[DEF],Table2040[REC])</f>
        <v>#N/A</v>
      </c>
      <c r="N31" s="95" t="e">
        <f>_xlfn.XLOOKUP(Table118871730[[#This Row],[Opp]],Table2040[DEF],Table2040[Y])</f>
        <v>#N/A</v>
      </c>
      <c r="O31" s="95" t="e">
        <f>_xlfn.XLOOKUP(Table118871730[[#This Row],[Opp]],Table2040[DEF],Table2040[R+R])</f>
        <v>#N/A</v>
      </c>
      <c r="P31" s="96" t="e">
        <f>_xlfn.XLOOKUP(Table118871730[[#This Row],[Opp]],Table2040[DEF],Table2040[TD])</f>
        <v>#N/A</v>
      </c>
      <c r="Q31" s="94" t="e">
        <f>AVERAGE(Table118871730[[#This Row],[*R*]:[*TD*]])</f>
        <v>#N/A</v>
      </c>
    </row>
    <row r="32" spans="2:17" hidden="1" x14ac:dyDescent="0.35">
      <c r="B32" s="6" t="s">
        <v>380</v>
      </c>
      <c r="C32" s="97" t="s">
        <v>55</v>
      </c>
      <c r="D32" s="97" t="s">
        <v>407</v>
      </c>
      <c r="E32" s="23" t="str" cm="1">
        <f t="array" ref="E32">_xlfn.XLOOKUP(Table118871730[[#This Row],[Team]],Table4334[Team],'2425'!$C$3:$C$34)</f>
        <v>n/a</v>
      </c>
      <c r="F32" s="97" t="str">
        <f>'2025'!$E$33</f>
        <v>n/a</v>
      </c>
      <c r="G32" s="94" t="e" cm="1">
        <f t="array" ref="G32">_xlfn.XLOOKUP(Table118871730[[#This Row],[Opp]],Table2040[DEF],'2425'!$H$38:$H$69)</f>
        <v>#N/A</v>
      </c>
      <c r="H32" s="94" t="e" cm="1">
        <f t="array" ref="H32">_xlfn.XLOOKUP(Table118871730[[#This Row],[Opp]],Table2040[DEF],'2425'!$I$38:$I$69)</f>
        <v>#N/A</v>
      </c>
      <c r="I32" s="94" t="e" cm="1">
        <f t="array" ref="I32">_xlfn.XLOOKUP(Table118871730[[#This Row],[Opp]],Table2040[DEF],'2425'!$J$38:$J$69)</f>
        <v>#N/A</v>
      </c>
      <c r="J32" s="94" t="e" cm="1">
        <f t="array" ref="J32">_xlfn.XLOOKUP(Table118871730[[#This Row],[Opp]],Table2040[DEF],'2425'!$K$38:$K$69)</f>
        <v>#N/A</v>
      </c>
      <c r="K32" s="94" t="e" cm="1">
        <f t="array" ref="K32">_xlfn.XLOOKUP(Table118871730[[#This Row],[Opp]],Table2040[DEF],'2425'!$L$38:$L$69)</f>
        <v>#N/A</v>
      </c>
      <c r="L32" s="95" t="e">
        <f>_xlfn.XLOOKUP(Table118871730[[#This Row],[Opp]],Table2040[DEF],Table2040[R])</f>
        <v>#N/A</v>
      </c>
      <c r="M32" s="96" t="e">
        <f>_xlfn.XLOOKUP(Table118871730[[#This Row],[Opp]],Table2040[DEF],Table2040[REC])</f>
        <v>#N/A</v>
      </c>
      <c r="N32" s="95" t="e">
        <f>_xlfn.XLOOKUP(Table118871730[[#This Row],[Opp]],Table2040[DEF],Table2040[Y])</f>
        <v>#N/A</v>
      </c>
      <c r="O32" s="95" t="e">
        <f>_xlfn.XLOOKUP(Table118871730[[#This Row],[Opp]],Table2040[DEF],Table2040[R+R])</f>
        <v>#N/A</v>
      </c>
      <c r="P32" s="96" t="e">
        <f>_xlfn.XLOOKUP(Table118871730[[#This Row],[Opp]],Table2040[DEF],Table2040[TD])</f>
        <v>#N/A</v>
      </c>
      <c r="Q32" s="94" t="e">
        <f>AVERAGE(Table118871730[[#This Row],[*R*]:[*TD*]])</f>
        <v>#N/A</v>
      </c>
    </row>
    <row r="33" spans="2:17" hidden="1" x14ac:dyDescent="0.35">
      <c r="B33" s="6" t="s">
        <v>295</v>
      </c>
      <c r="C33" s="97" t="s">
        <v>45</v>
      </c>
      <c r="D33" s="97" t="s">
        <v>395</v>
      </c>
      <c r="E33" s="23" t="str" cm="1">
        <f t="array" ref="E33">_xlfn.XLOOKUP(Table118871730[[#This Row],[Team]],Table4334[Team],'2425'!$C$3:$C$34)</f>
        <v>n/a</v>
      </c>
      <c r="F33" s="97" t="str">
        <f>'2025'!$E$23</f>
        <v>n/a</v>
      </c>
      <c r="G33" s="94" t="e" cm="1">
        <f t="array" ref="G33">_xlfn.XLOOKUP(Table118871730[[#This Row],[Opp]],Table2040[DEF],'2425'!$H$38:$H$69)</f>
        <v>#N/A</v>
      </c>
      <c r="H33" s="94" t="e" cm="1">
        <f t="array" ref="H33">_xlfn.XLOOKUP(Table118871730[[#This Row],[Opp]],Table2040[DEF],'2425'!$I$38:$I$69)</f>
        <v>#N/A</v>
      </c>
      <c r="I33" s="94" t="e" cm="1">
        <f t="array" ref="I33">_xlfn.XLOOKUP(Table118871730[[#This Row],[Opp]],Table2040[DEF],'2425'!$J$38:$J$69)</f>
        <v>#N/A</v>
      </c>
      <c r="J33" s="94" t="e" cm="1">
        <f t="array" ref="J33">_xlfn.XLOOKUP(Table118871730[[#This Row],[Opp]],Table2040[DEF],'2425'!$K$38:$K$69)</f>
        <v>#N/A</v>
      </c>
      <c r="K33" s="94" t="e" cm="1">
        <f t="array" ref="K33">_xlfn.XLOOKUP(Table118871730[[#This Row],[Opp]],Table2040[DEF],'2425'!$L$38:$L$69)</f>
        <v>#N/A</v>
      </c>
      <c r="L33" s="95" t="e">
        <f>_xlfn.XLOOKUP(Table118871730[[#This Row],[Opp]],Table2040[DEF],Table2040[R])</f>
        <v>#N/A</v>
      </c>
      <c r="M33" s="96" t="e">
        <f>_xlfn.XLOOKUP(Table118871730[[#This Row],[Opp]],Table2040[DEF],Table2040[REC])</f>
        <v>#N/A</v>
      </c>
      <c r="N33" s="95" t="e">
        <f>_xlfn.XLOOKUP(Table118871730[[#This Row],[Opp]],Table2040[DEF],Table2040[Y])</f>
        <v>#N/A</v>
      </c>
      <c r="O33" s="95" t="e">
        <f>_xlfn.XLOOKUP(Table118871730[[#This Row],[Opp]],Table2040[DEF],Table2040[R+R])</f>
        <v>#N/A</v>
      </c>
      <c r="P33" s="96" t="e">
        <f>_xlfn.XLOOKUP(Table118871730[[#This Row],[Opp]],Table2040[DEF],Table2040[TD])</f>
        <v>#N/A</v>
      </c>
      <c r="Q33" s="94" t="e">
        <f>AVERAGE(Table118871730[[#This Row],[*R*]:[*TD*]])</f>
        <v>#N/A</v>
      </c>
    </row>
    <row r="34" spans="2:17" hidden="1" x14ac:dyDescent="0.35">
      <c r="B34" s="6" t="s">
        <v>338</v>
      </c>
      <c r="C34" s="97" t="s">
        <v>50</v>
      </c>
      <c r="D34" s="97" t="s">
        <v>394</v>
      </c>
      <c r="E34" s="23" t="str" cm="1">
        <f t="array" ref="E34">_xlfn.XLOOKUP(Table118871730[[#This Row],[Team]],Table4334[Team],'2425'!$C$3:$C$34)</f>
        <v>n/a</v>
      </c>
      <c r="F34" s="97" t="str">
        <f>'2025'!$E$28</f>
        <v>n/a</v>
      </c>
      <c r="G34" s="94" t="e" cm="1">
        <f t="array" ref="G34">_xlfn.XLOOKUP(Table118871730[[#This Row],[Opp]],Table2040[DEF],'2425'!$H$38:$H$69)</f>
        <v>#N/A</v>
      </c>
      <c r="H34" s="94" t="e" cm="1">
        <f t="array" ref="H34">_xlfn.XLOOKUP(Table118871730[[#This Row],[Opp]],Table2040[DEF],'2425'!$I$38:$I$69)</f>
        <v>#N/A</v>
      </c>
      <c r="I34" s="94" t="e" cm="1">
        <f t="array" ref="I34">_xlfn.XLOOKUP(Table118871730[[#This Row],[Opp]],Table2040[DEF],'2425'!$J$38:$J$69)</f>
        <v>#N/A</v>
      </c>
      <c r="J34" s="94" t="e" cm="1">
        <f t="array" ref="J34">_xlfn.XLOOKUP(Table118871730[[#This Row],[Opp]],Table2040[DEF],'2425'!$K$38:$K$69)</f>
        <v>#N/A</v>
      </c>
      <c r="K34" s="94" t="e" cm="1">
        <f t="array" ref="K34">_xlfn.XLOOKUP(Table118871730[[#This Row],[Opp]],Table2040[DEF],'2425'!$L$38:$L$69)</f>
        <v>#N/A</v>
      </c>
      <c r="L34" s="95" t="e">
        <f>_xlfn.XLOOKUP(Table118871730[[#This Row],[Opp]],Table2040[DEF],Table2040[R])</f>
        <v>#N/A</v>
      </c>
      <c r="M34" s="96" t="e">
        <f>_xlfn.XLOOKUP(Table118871730[[#This Row],[Opp]],Table2040[DEF],Table2040[REC])</f>
        <v>#N/A</v>
      </c>
      <c r="N34" s="95" t="e">
        <f>_xlfn.XLOOKUP(Table118871730[[#This Row],[Opp]],Table2040[DEF],Table2040[Y])</f>
        <v>#N/A</v>
      </c>
      <c r="O34" s="95" t="e">
        <f>_xlfn.XLOOKUP(Table118871730[[#This Row],[Opp]],Table2040[DEF],Table2040[R+R])</f>
        <v>#N/A</v>
      </c>
      <c r="P34" s="96" t="e">
        <f>_xlfn.XLOOKUP(Table118871730[[#This Row],[Opp]],Table2040[DEF],Table2040[TD])</f>
        <v>#N/A</v>
      </c>
      <c r="Q34" s="94" t="e">
        <f>AVERAGE(Table118871730[[#This Row],[*R*]:[*TD*]])</f>
        <v>#N/A</v>
      </c>
    </row>
    <row r="35" spans="2:17" hidden="1" x14ac:dyDescent="0.35">
      <c r="B35" s="6" t="s">
        <v>453</v>
      </c>
      <c r="C35" s="97" t="s">
        <v>50</v>
      </c>
      <c r="D35" s="97" t="s">
        <v>396</v>
      </c>
      <c r="E35" s="23" t="str" cm="1">
        <f t="array" ref="E35">_xlfn.XLOOKUP(Table118871730[[#This Row],[Team]],Table4334[Team],'2425'!$C$3:$C$34)</f>
        <v>n/a</v>
      </c>
      <c r="F35" s="97" t="str">
        <f>'2025'!$E$28</f>
        <v>n/a</v>
      </c>
      <c r="G35" s="94" t="e" cm="1">
        <f t="array" ref="G35">_xlfn.XLOOKUP(Table118871730[[#This Row],[Opp]],Table2040[DEF],'2425'!$H$38:$H$69)</f>
        <v>#N/A</v>
      </c>
      <c r="H35" s="94" t="e" cm="1">
        <f t="array" ref="H35">_xlfn.XLOOKUP(Table118871730[[#This Row],[Opp]],Table2040[DEF],'2425'!$I$38:$I$69)</f>
        <v>#N/A</v>
      </c>
      <c r="I35" s="94" t="e" cm="1">
        <f t="array" ref="I35">_xlfn.XLOOKUP(Table118871730[[#This Row],[Opp]],Table2040[DEF],'2425'!$J$38:$J$69)</f>
        <v>#N/A</v>
      </c>
      <c r="J35" s="94" t="e" cm="1">
        <f t="array" ref="J35">_xlfn.XLOOKUP(Table118871730[[#This Row],[Opp]],Table2040[DEF],'2425'!$K$38:$K$69)</f>
        <v>#N/A</v>
      </c>
      <c r="K35" s="94" t="e" cm="1">
        <f t="array" ref="K35">_xlfn.XLOOKUP(Table118871730[[#This Row],[Opp]],Table2040[DEF],'2425'!$L$38:$L$69)</f>
        <v>#N/A</v>
      </c>
      <c r="L35" s="95" t="e">
        <f>_xlfn.XLOOKUP(Table118871730[[#This Row],[Opp]],Table2040[DEF],Table2040[R])</f>
        <v>#N/A</v>
      </c>
      <c r="M35" s="96" t="e">
        <f>_xlfn.XLOOKUP(Table118871730[[#This Row],[Opp]],Table2040[DEF],Table2040[REC])</f>
        <v>#N/A</v>
      </c>
      <c r="N35" s="95" t="e">
        <f>_xlfn.XLOOKUP(Table118871730[[#This Row],[Opp]],Table2040[DEF],Table2040[Y])</f>
        <v>#N/A</v>
      </c>
      <c r="O35" s="95" t="e">
        <f>_xlfn.XLOOKUP(Table118871730[[#This Row],[Opp]],Table2040[DEF],Table2040[R+R])</f>
        <v>#N/A</v>
      </c>
      <c r="P35" s="96" t="e">
        <f>_xlfn.XLOOKUP(Table118871730[[#This Row],[Opp]],Table2040[DEF],Table2040[TD])</f>
        <v>#N/A</v>
      </c>
      <c r="Q35" s="94" t="e">
        <f>AVERAGE(Table118871730[[#This Row],[*R*]:[*TD*]])</f>
        <v>#N/A</v>
      </c>
    </row>
    <row r="36" spans="2:17" hidden="1" x14ac:dyDescent="0.35">
      <c r="B36" s="6" t="s">
        <v>227</v>
      </c>
      <c r="C36" s="97" t="s">
        <v>38</v>
      </c>
      <c r="D36" s="97" t="s">
        <v>395</v>
      </c>
      <c r="E36" s="23" t="str" cm="1">
        <f t="array" ref="E36">_xlfn.XLOOKUP(Table118871730[[#This Row],[Team]],Table4334[Team],'2425'!$C$3:$C$34)</f>
        <v>n/a</v>
      </c>
      <c r="F36" s="97" t="str">
        <f>'2025'!$E$16</f>
        <v>n/a</v>
      </c>
      <c r="G36" s="94" t="e" cm="1">
        <f t="array" ref="G36">_xlfn.XLOOKUP(Table118871730[[#This Row],[Opp]],Table2040[DEF],'2425'!$H$38:$H$69)</f>
        <v>#N/A</v>
      </c>
      <c r="H36" s="94" t="e" cm="1">
        <f t="array" ref="H36">_xlfn.XLOOKUP(Table118871730[[#This Row],[Opp]],Table2040[DEF],'2425'!$I$38:$I$69)</f>
        <v>#N/A</v>
      </c>
      <c r="I36" s="94" t="e" cm="1">
        <f t="array" ref="I36">_xlfn.XLOOKUP(Table118871730[[#This Row],[Opp]],Table2040[DEF],'2425'!$J$38:$J$69)</f>
        <v>#N/A</v>
      </c>
      <c r="J36" s="94" t="e" cm="1">
        <f t="array" ref="J36">_xlfn.XLOOKUP(Table118871730[[#This Row],[Opp]],Table2040[DEF],'2425'!$K$38:$K$69)</f>
        <v>#N/A</v>
      </c>
      <c r="K36" s="94" t="e" cm="1">
        <f t="array" ref="K36">_xlfn.XLOOKUP(Table118871730[[#This Row],[Opp]],Table2040[DEF],'2425'!$L$38:$L$69)</f>
        <v>#N/A</v>
      </c>
      <c r="L36" s="95" t="e">
        <f>_xlfn.XLOOKUP(Table118871730[[#This Row],[Opp]],Table2040[DEF],Table2040[R])</f>
        <v>#N/A</v>
      </c>
      <c r="M36" s="96" t="e">
        <f>_xlfn.XLOOKUP(Table118871730[[#This Row],[Opp]],Table2040[DEF],Table2040[REC])</f>
        <v>#N/A</v>
      </c>
      <c r="N36" s="95" t="e">
        <f>_xlfn.XLOOKUP(Table118871730[[#This Row],[Opp]],Table2040[DEF],Table2040[Y])</f>
        <v>#N/A</v>
      </c>
      <c r="O36" s="95" t="e">
        <f>_xlfn.XLOOKUP(Table118871730[[#This Row],[Opp]],Table2040[DEF],Table2040[R+R])</f>
        <v>#N/A</v>
      </c>
      <c r="P36" s="96" t="e">
        <f>_xlfn.XLOOKUP(Table118871730[[#This Row],[Opp]],Table2040[DEF],Table2040[TD])</f>
        <v>#N/A</v>
      </c>
      <c r="Q36" s="94" t="e">
        <f>AVERAGE(Table118871730[[#This Row],[*R*]:[*TD*]])</f>
        <v>#N/A</v>
      </c>
    </row>
    <row r="37" spans="2:17" hidden="1" x14ac:dyDescent="0.35">
      <c r="B37" s="6" t="s">
        <v>370</v>
      </c>
      <c r="C37" s="97" t="s">
        <v>54</v>
      </c>
      <c r="D37" s="97" t="s">
        <v>394</v>
      </c>
      <c r="E37" s="23" t="str" cm="1">
        <f t="array" ref="E37">_xlfn.XLOOKUP(Table118871730[[#This Row],[Team]],Table4334[Team],'2425'!$C$3:$C$34)</f>
        <v>n/a</v>
      </c>
      <c r="F37" s="97" t="str">
        <f>'2025'!$E$32</f>
        <v>n/a</v>
      </c>
      <c r="G37" s="94" t="e" cm="1">
        <f t="array" ref="G37">_xlfn.XLOOKUP(Table118871730[[#This Row],[Opp]],Table2040[DEF],'2425'!$H$38:$H$69)</f>
        <v>#N/A</v>
      </c>
      <c r="H37" s="94" t="e" cm="1">
        <f t="array" ref="H37">_xlfn.XLOOKUP(Table118871730[[#This Row],[Opp]],Table2040[DEF],'2425'!$I$38:$I$69)</f>
        <v>#N/A</v>
      </c>
      <c r="I37" s="94" t="e" cm="1">
        <f t="array" ref="I37">_xlfn.XLOOKUP(Table118871730[[#This Row],[Opp]],Table2040[DEF],'2425'!$J$38:$J$69)</f>
        <v>#N/A</v>
      </c>
      <c r="J37" s="94" t="e" cm="1">
        <f t="array" ref="J37">_xlfn.XLOOKUP(Table118871730[[#This Row],[Opp]],Table2040[DEF],'2425'!$K$38:$K$69)</f>
        <v>#N/A</v>
      </c>
      <c r="K37" s="94" t="e" cm="1">
        <f t="array" ref="K37">_xlfn.XLOOKUP(Table118871730[[#This Row],[Opp]],Table2040[DEF],'2425'!$L$38:$L$69)</f>
        <v>#N/A</v>
      </c>
      <c r="L37" s="95" t="e">
        <f>_xlfn.XLOOKUP(Table118871730[[#This Row],[Opp]],Table2040[DEF],Table2040[R])</f>
        <v>#N/A</v>
      </c>
      <c r="M37" s="96" t="e">
        <f>_xlfn.XLOOKUP(Table118871730[[#This Row],[Opp]],Table2040[DEF],Table2040[REC])</f>
        <v>#N/A</v>
      </c>
      <c r="N37" s="95" t="e">
        <f>_xlfn.XLOOKUP(Table118871730[[#This Row],[Opp]],Table2040[DEF],Table2040[Y])</f>
        <v>#N/A</v>
      </c>
      <c r="O37" s="95" t="e">
        <f>_xlfn.XLOOKUP(Table118871730[[#This Row],[Opp]],Table2040[DEF],Table2040[R+R])</f>
        <v>#N/A</v>
      </c>
      <c r="P37" s="96" t="e">
        <f>_xlfn.XLOOKUP(Table118871730[[#This Row],[Opp]],Table2040[DEF],Table2040[TD])</f>
        <v>#N/A</v>
      </c>
      <c r="Q37" s="94" t="e">
        <f>AVERAGE(Table118871730[[#This Row],[*R*]:[*TD*]])</f>
        <v>#N/A</v>
      </c>
    </row>
    <row r="38" spans="2:17" hidden="1" x14ac:dyDescent="0.35">
      <c r="B38" s="6" t="s">
        <v>184</v>
      </c>
      <c r="C38" s="97" t="s">
        <v>54</v>
      </c>
      <c r="D38" s="97" t="s">
        <v>396</v>
      </c>
      <c r="E38" s="23" t="str" cm="1">
        <f t="array" ref="E38">_xlfn.XLOOKUP(Table118871730[[#This Row],[Team]],Table4334[Team],'2425'!$C$3:$C$34)</f>
        <v>n/a</v>
      </c>
      <c r="F38" s="97" t="str">
        <f>'2025'!$E$32</f>
        <v>n/a</v>
      </c>
      <c r="G38" s="94" t="e" cm="1">
        <f t="array" ref="G38">_xlfn.XLOOKUP(Table118871730[[#This Row],[Opp]],Table2040[DEF],'2425'!$H$38:$H$69)</f>
        <v>#N/A</v>
      </c>
      <c r="H38" s="94" t="e" cm="1">
        <f t="array" ref="H38">_xlfn.XLOOKUP(Table118871730[[#This Row],[Opp]],Table2040[DEF],'2425'!$I$38:$I$69)</f>
        <v>#N/A</v>
      </c>
      <c r="I38" s="94" t="e" cm="1">
        <f t="array" ref="I38">_xlfn.XLOOKUP(Table118871730[[#This Row],[Opp]],Table2040[DEF],'2425'!$J$38:$J$69)</f>
        <v>#N/A</v>
      </c>
      <c r="J38" s="94" t="e" cm="1">
        <f t="array" ref="J38">_xlfn.XLOOKUP(Table118871730[[#This Row],[Opp]],Table2040[DEF],'2425'!$K$38:$K$69)</f>
        <v>#N/A</v>
      </c>
      <c r="K38" s="94" t="e" cm="1">
        <f t="array" ref="K38">_xlfn.XLOOKUP(Table118871730[[#This Row],[Opp]],Table2040[DEF],'2425'!$L$38:$L$69)</f>
        <v>#N/A</v>
      </c>
      <c r="L38" s="95" t="e">
        <f>_xlfn.XLOOKUP(Table118871730[[#This Row],[Opp]],Table2040[DEF],Table2040[R])</f>
        <v>#N/A</v>
      </c>
      <c r="M38" s="96" t="e">
        <f>_xlfn.XLOOKUP(Table118871730[[#This Row],[Opp]],Table2040[DEF],Table2040[REC])</f>
        <v>#N/A</v>
      </c>
      <c r="N38" s="95" t="e">
        <f>_xlfn.XLOOKUP(Table118871730[[#This Row],[Opp]],Table2040[DEF],Table2040[Y])</f>
        <v>#N/A</v>
      </c>
      <c r="O38" s="95" t="e">
        <f>_xlfn.XLOOKUP(Table118871730[[#This Row],[Opp]],Table2040[DEF],Table2040[R+R])</f>
        <v>#N/A</v>
      </c>
      <c r="P38" s="96" t="e">
        <f>_xlfn.XLOOKUP(Table118871730[[#This Row],[Opp]],Table2040[DEF],Table2040[TD])</f>
        <v>#N/A</v>
      </c>
      <c r="Q38" s="94" t="e">
        <f>AVERAGE(Table118871730[[#This Row],[*R*]:[*TD*]])</f>
        <v>#N/A</v>
      </c>
    </row>
    <row r="39" spans="2:17" hidden="1" x14ac:dyDescent="0.35">
      <c r="B39" s="6" t="s">
        <v>369</v>
      </c>
      <c r="C39" s="97" t="s">
        <v>54</v>
      </c>
      <c r="D39" s="97" t="s">
        <v>407</v>
      </c>
      <c r="E39" s="23" t="str" cm="1">
        <f t="array" ref="E39">_xlfn.XLOOKUP(Table118871730[[#This Row],[Team]],Table4334[Team],'2425'!$C$3:$C$34)</f>
        <v>n/a</v>
      </c>
      <c r="F39" s="97" t="str">
        <f>'2025'!$E$32</f>
        <v>n/a</v>
      </c>
      <c r="G39" s="94" t="e" cm="1">
        <f t="array" ref="G39">_xlfn.XLOOKUP(Table118871730[[#This Row],[Opp]],Table2040[DEF],'2425'!$H$38:$H$69)</f>
        <v>#N/A</v>
      </c>
      <c r="H39" s="94" t="e" cm="1">
        <f t="array" ref="H39">_xlfn.XLOOKUP(Table118871730[[#This Row],[Opp]],Table2040[DEF],'2425'!$I$38:$I$69)</f>
        <v>#N/A</v>
      </c>
      <c r="I39" s="94" t="e" cm="1">
        <f t="array" ref="I39">_xlfn.XLOOKUP(Table118871730[[#This Row],[Opp]],Table2040[DEF],'2425'!$J$38:$J$69)</f>
        <v>#N/A</v>
      </c>
      <c r="J39" s="94" t="e" cm="1">
        <f t="array" ref="J39">_xlfn.XLOOKUP(Table118871730[[#This Row],[Opp]],Table2040[DEF],'2425'!$K$38:$K$69)</f>
        <v>#N/A</v>
      </c>
      <c r="K39" s="94" t="e" cm="1">
        <f t="array" ref="K39">_xlfn.XLOOKUP(Table118871730[[#This Row],[Opp]],Table2040[DEF],'2425'!$L$38:$L$69)</f>
        <v>#N/A</v>
      </c>
      <c r="L39" s="95" t="e">
        <f>_xlfn.XLOOKUP(Table118871730[[#This Row],[Opp]],Table2040[DEF],Table2040[R])</f>
        <v>#N/A</v>
      </c>
      <c r="M39" s="96" t="e">
        <f>_xlfn.XLOOKUP(Table118871730[[#This Row],[Opp]],Table2040[DEF],Table2040[REC])</f>
        <v>#N/A</v>
      </c>
      <c r="N39" s="95" t="e">
        <f>_xlfn.XLOOKUP(Table118871730[[#This Row],[Opp]],Table2040[DEF],Table2040[Y])</f>
        <v>#N/A</v>
      </c>
      <c r="O39" s="95" t="e">
        <f>_xlfn.XLOOKUP(Table118871730[[#This Row],[Opp]],Table2040[DEF],Table2040[R+R])</f>
        <v>#N/A</v>
      </c>
      <c r="P39" s="96" t="e">
        <f>_xlfn.XLOOKUP(Table118871730[[#This Row],[Opp]],Table2040[DEF],Table2040[TD])</f>
        <v>#N/A</v>
      </c>
      <c r="Q39" s="94" t="e">
        <f>AVERAGE(Table118871730[[#This Row],[*R*]:[*TD*]])</f>
        <v>#N/A</v>
      </c>
    </row>
    <row r="40" spans="2:17" hidden="1" x14ac:dyDescent="0.35">
      <c r="B40" s="6" t="s">
        <v>314</v>
      </c>
      <c r="C40" s="97" t="s">
        <v>47</v>
      </c>
      <c r="D40" s="97" t="s">
        <v>395</v>
      </c>
      <c r="E40" s="23" t="str" cm="1">
        <f t="array" ref="E40">_xlfn.XLOOKUP(Table118871730[[#This Row],[Team]],Table4334[Team],'2425'!$C$3:$C$34)</f>
        <v>n/a</v>
      </c>
      <c r="F40" s="97" t="str">
        <f>'2025'!$E$25</f>
        <v>n/a</v>
      </c>
      <c r="G40" s="94" t="e" cm="1">
        <f t="array" ref="G40">_xlfn.XLOOKUP(Table118871730[[#This Row],[Opp]],Table2040[DEF],'2425'!$H$38:$H$69)</f>
        <v>#N/A</v>
      </c>
      <c r="H40" s="94" t="e" cm="1">
        <f t="array" ref="H40">_xlfn.XLOOKUP(Table118871730[[#This Row],[Opp]],Table2040[DEF],'2425'!$I$38:$I$69)</f>
        <v>#N/A</v>
      </c>
      <c r="I40" s="94" t="e" cm="1">
        <f t="array" ref="I40">_xlfn.XLOOKUP(Table118871730[[#This Row],[Opp]],Table2040[DEF],'2425'!$J$38:$J$69)</f>
        <v>#N/A</v>
      </c>
      <c r="J40" s="94" t="e" cm="1">
        <f t="array" ref="J40">_xlfn.XLOOKUP(Table118871730[[#This Row],[Opp]],Table2040[DEF],'2425'!$K$38:$K$69)</f>
        <v>#N/A</v>
      </c>
      <c r="K40" s="94" t="e" cm="1">
        <f t="array" ref="K40">_xlfn.XLOOKUP(Table118871730[[#This Row],[Opp]],Table2040[DEF],'2425'!$L$38:$L$69)</f>
        <v>#N/A</v>
      </c>
      <c r="L40" s="95" t="e">
        <f>_xlfn.XLOOKUP(Table118871730[[#This Row],[Opp]],Table2040[DEF],Table2040[R])</f>
        <v>#N/A</v>
      </c>
      <c r="M40" s="96" t="e">
        <f>_xlfn.XLOOKUP(Table118871730[[#This Row],[Opp]],Table2040[DEF],Table2040[REC])</f>
        <v>#N/A</v>
      </c>
      <c r="N40" s="95" t="e">
        <f>_xlfn.XLOOKUP(Table118871730[[#This Row],[Opp]],Table2040[DEF],Table2040[Y])</f>
        <v>#N/A</v>
      </c>
      <c r="O40" s="95" t="e">
        <f>_xlfn.XLOOKUP(Table118871730[[#This Row],[Opp]],Table2040[DEF],Table2040[R+R])</f>
        <v>#N/A</v>
      </c>
      <c r="P40" s="96" t="e">
        <f>_xlfn.XLOOKUP(Table118871730[[#This Row],[Opp]],Table2040[DEF],Table2040[TD])</f>
        <v>#N/A</v>
      </c>
      <c r="Q40" s="94" t="e">
        <f>AVERAGE(Table118871730[[#This Row],[*R*]:[*TD*]])</f>
        <v>#N/A</v>
      </c>
    </row>
    <row r="41" spans="2:17" hidden="1" x14ac:dyDescent="0.35">
      <c r="B41" s="6" t="s">
        <v>316</v>
      </c>
      <c r="C41" s="97" t="s">
        <v>47</v>
      </c>
      <c r="D41" s="97" t="s">
        <v>394</v>
      </c>
      <c r="E41" s="23" t="str" cm="1">
        <f t="array" ref="E41">_xlfn.XLOOKUP(Table118871730[[#This Row],[Team]],Table4334[Team],'2425'!$C$3:$C$34)</f>
        <v>n/a</v>
      </c>
      <c r="F41" s="97" t="str">
        <f>'2025'!$E$25</f>
        <v>n/a</v>
      </c>
      <c r="G41" s="94" t="e" cm="1">
        <f t="array" ref="G41">_xlfn.XLOOKUP(Table118871730[[#This Row],[Opp]],Table2040[DEF],'2425'!$H$38:$H$69)</f>
        <v>#N/A</v>
      </c>
      <c r="H41" s="94" t="e" cm="1">
        <f t="array" ref="H41">_xlfn.XLOOKUP(Table118871730[[#This Row],[Opp]],Table2040[DEF],'2425'!$I$38:$I$69)</f>
        <v>#N/A</v>
      </c>
      <c r="I41" s="94" t="e" cm="1">
        <f t="array" ref="I41">_xlfn.XLOOKUP(Table118871730[[#This Row],[Opp]],Table2040[DEF],'2425'!$J$38:$J$69)</f>
        <v>#N/A</v>
      </c>
      <c r="J41" s="94" t="e" cm="1">
        <f t="array" ref="J41">_xlfn.XLOOKUP(Table118871730[[#This Row],[Opp]],Table2040[DEF],'2425'!$K$38:$K$69)</f>
        <v>#N/A</v>
      </c>
      <c r="K41" s="94" t="e" cm="1">
        <f t="array" ref="K41">_xlfn.XLOOKUP(Table118871730[[#This Row],[Opp]],Table2040[DEF],'2425'!$L$38:$L$69)</f>
        <v>#N/A</v>
      </c>
      <c r="L41" s="95" t="e">
        <f>_xlfn.XLOOKUP(Table118871730[[#This Row],[Opp]],Table2040[DEF],Table2040[R])</f>
        <v>#N/A</v>
      </c>
      <c r="M41" s="96" t="e">
        <f>_xlfn.XLOOKUP(Table118871730[[#This Row],[Opp]],Table2040[DEF],Table2040[REC])</f>
        <v>#N/A</v>
      </c>
      <c r="N41" s="95" t="e">
        <f>_xlfn.XLOOKUP(Table118871730[[#This Row],[Opp]],Table2040[DEF],Table2040[Y])</f>
        <v>#N/A</v>
      </c>
      <c r="O41" s="95" t="e">
        <f>_xlfn.XLOOKUP(Table118871730[[#This Row],[Opp]],Table2040[DEF],Table2040[R+R])</f>
        <v>#N/A</v>
      </c>
      <c r="P41" s="96" t="e">
        <f>_xlfn.XLOOKUP(Table118871730[[#This Row],[Opp]],Table2040[DEF],Table2040[TD])</f>
        <v>#N/A</v>
      </c>
      <c r="Q41" s="94" t="e">
        <f>AVERAGE(Table118871730[[#This Row],[*R*]:[*TD*]])</f>
        <v>#N/A</v>
      </c>
    </row>
    <row r="42" spans="2:17" hidden="1" x14ac:dyDescent="0.35">
      <c r="B42" s="6" t="s">
        <v>315</v>
      </c>
      <c r="C42" s="97" t="s">
        <v>47</v>
      </c>
      <c r="D42" s="97" t="s">
        <v>396</v>
      </c>
      <c r="E42" s="23" t="str" cm="1">
        <f t="array" ref="E42">_xlfn.XLOOKUP(Table118871730[[#This Row],[Team]],Table4334[Team],'2425'!$C$3:$C$34)</f>
        <v>n/a</v>
      </c>
      <c r="F42" s="97" t="str">
        <f>'2025'!$E$25</f>
        <v>n/a</v>
      </c>
      <c r="G42" s="94" t="e" cm="1">
        <f t="array" ref="G42">_xlfn.XLOOKUP(Table118871730[[#This Row],[Opp]],Table2040[DEF],'2425'!$H$38:$H$69)</f>
        <v>#N/A</v>
      </c>
      <c r="H42" s="94" t="e" cm="1">
        <f t="array" ref="H42">_xlfn.XLOOKUP(Table118871730[[#This Row],[Opp]],Table2040[DEF],'2425'!$I$38:$I$69)</f>
        <v>#N/A</v>
      </c>
      <c r="I42" s="94" t="e" cm="1">
        <f t="array" ref="I42">_xlfn.XLOOKUP(Table118871730[[#This Row],[Opp]],Table2040[DEF],'2425'!$J$38:$J$69)</f>
        <v>#N/A</v>
      </c>
      <c r="J42" s="94" t="e" cm="1">
        <f t="array" ref="J42">_xlfn.XLOOKUP(Table118871730[[#This Row],[Opp]],Table2040[DEF],'2425'!$K$38:$K$69)</f>
        <v>#N/A</v>
      </c>
      <c r="K42" s="94" t="e" cm="1">
        <f t="array" ref="K42">_xlfn.XLOOKUP(Table118871730[[#This Row],[Opp]],Table2040[DEF],'2425'!$L$38:$L$69)</f>
        <v>#N/A</v>
      </c>
      <c r="L42" s="95" t="e">
        <f>_xlfn.XLOOKUP(Table118871730[[#This Row],[Opp]],Table2040[DEF],Table2040[R])</f>
        <v>#N/A</v>
      </c>
      <c r="M42" s="96" t="e">
        <f>_xlfn.XLOOKUP(Table118871730[[#This Row],[Opp]],Table2040[DEF],Table2040[REC])</f>
        <v>#N/A</v>
      </c>
      <c r="N42" s="95" t="e">
        <f>_xlfn.XLOOKUP(Table118871730[[#This Row],[Opp]],Table2040[DEF],Table2040[Y])</f>
        <v>#N/A</v>
      </c>
      <c r="O42" s="95" t="e">
        <f>_xlfn.XLOOKUP(Table118871730[[#This Row],[Opp]],Table2040[DEF],Table2040[R+R])</f>
        <v>#N/A</v>
      </c>
      <c r="P42" s="96" t="e">
        <f>_xlfn.XLOOKUP(Table118871730[[#This Row],[Opp]],Table2040[DEF],Table2040[TD])</f>
        <v>#N/A</v>
      </c>
      <c r="Q42" s="94" t="e">
        <f>AVERAGE(Table118871730[[#This Row],[*R*]:[*TD*]])</f>
        <v>#N/A</v>
      </c>
    </row>
    <row r="43" spans="2:17" hidden="1" x14ac:dyDescent="0.35">
      <c r="B43" s="6" t="s">
        <v>616</v>
      </c>
      <c r="C43" s="97" t="s">
        <v>47</v>
      </c>
      <c r="D43" s="97" t="s">
        <v>407</v>
      </c>
      <c r="E43" s="23" t="str" cm="1">
        <f t="array" ref="E43">_xlfn.XLOOKUP(Table118871730[[#This Row],[Team]],Table4334[Team],'2425'!$C$3:$C$34)</f>
        <v>n/a</v>
      </c>
      <c r="F43" s="97" t="str">
        <f>'2025'!$E$25</f>
        <v>n/a</v>
      </c>
      <c r="G43" s="94" t="e" cm="1">
        <f t="array" ref="G43">_xlfn.XLOOKUP(Table118871730[[#This Row],[Opp]],Table2040[DEF],'2425'!$H$38:$H$69)</f>
        <v>#N/A</v>
      </c>
      <c r="H43" s="94" t="e" cm="1">
        <f t="array" ref="H43">_xlfn.XLOOKUP(Table118871730[[#This Row],[Opp]],Table2040[DEF],'2425'!$I$38:$I$69)</f>
        <v>#N/A</v>
      </c>
      <c r="I43" s="94" t="e" cm="1">
        <f t="array" ref="I43">_xlfn.XLOOKUP(Table118871730[[#This Row],[Opp]],Table2040[DEF],'2425'!$J$38:$J$69)</f>
        <v>#N/A</v>
      </c>
      <c r="J43" s="94" t="e" cm="1">
        <f t="array" ref="J43">_xlfn.XLOOKUP(Table118871730[[#This Row],[Opp]],Table2040[DEF],'2425'!$K$38:$K$69)</f>
        <v>#N/A</v>
      </c>
      <c r="K43" s="94" t="e" cm="1">
        <f t="array" ref="K43">_xlfn.XLOOKUP(Table118871730[[#This Row],[Opp]],Table2040[DEF],'2425'!$L$38:$L$69)</f>
        <v>#N/A</v>
      </c>
      <c r="L43" s="95" t="e">
        <f>_xlfn.XLOOKUP(Table118871730[[#This Row],[Opp]],Table2040[DEF],Table2040[R])</f>
        <v>#N/A</v>
      </c>
      <c r="M43" s="96" t="e">
        <f>_xlfn.XLOOKUP(Table118871730[[#This Row],[Opp]],Table2040[DEF],Table2040[REC])</f>
        <v>#N/A</v>
      </c>
      <c r="N43" s="95" t="e">
        <f>_xlfn.XLOOKUP(Table118871730[[#This Row],[Opp]],Table2040[DEF],Table2040[Y])</f>
        <v>#N/A</v>
      </c>
      <c r="O43" s="95" t="e">
        <f>_xlfn.XLOOKUP(Table118871730[[#This Row],[Opp]],Table2040[DEF],Table2040[R+R])</f>
        <v>#N/A</v>
      </c>
      <c r="P43" s="96" t="e">
        <f>_xlfn.XLOOKUP(Table118871730[[#This Row],[Opp]],Table2040[DEF],Table2040[TD])</f>
        <v>#N/A</v>
      </c>
      <c r="Q43" s="94" t="e">
        <f>AVERAGE(Table118871730[[#This Row],[*R*]:[*TD*]])</f>
        <v>#N/A</v>
      </c>
    </row>
    <row r="44" spans="2:17" hidden="1" x14ac:dyDescent="0.35">
      <c r="B44" s="6" t="s">
        <v>332</v>
      </c>
      <c r="C44" s="97" t="s">
        <v>49</v>
      </c>
      <c r="D44" s="97" t="s">
        <v>395</v>
      </c>
      <c r="E44" s="23" t="str" cm="1">
        <f t="array" ref="E44">_xlfn.XLOOKUP(Table118871730[[#This Row],[Team]],Table4334[Team],'2425'!$C$3:$C$34)</f>
        <v>n/a</v>
      </c>
      <c r="F44" s="97" t="str">
        <f>'2025'!$E$27</f>
        <v>n/a</v>
      </c>
      <c r="G44" s="94" t="e" cm="1">
        <f t="array" ref="G44">_xlfn.XLOOKUP(Table118871730[[#This Row],[Opp]],Table2040[DEF],'2425'!$H$38:$H$69)</f>
        <v>#N/A</v>
      </c>
      <c r="H44" s="94" t="e" cm="1">
        <f t="array" ref="H44">_xlfn.XLOOKUP(Table118871730[[#This Row],[Opp]],Table2040[DEF],'2425'!$I$38:$I$69)</f>
        <v>#N/A</v>
      </c>
      <c r="I44" s="94" t="e" cm="1">
        <f t="array" ref="I44">_xlfn.XLOOKUP(Table118871730[[#This Row],[Opp]],Table2040[DEF],'2425'!$J$38:$J$69)</f>
        <v>#N/A</v>
      </c>
      <c r="J44" s="94" t="e" cm="1">
        <f t="array" ref="J44">_xlfn.XLOOKUP(Table118871730[[#This Row],[Opp]],Table2040[DEF],'2425'!$K$38:$K$69)</f>
        <v>#N/A</v>
      </c>
      <c r="K44" s="94" t="e" cm="1">
        <f t="array" ref="K44">_xlfn.XLOOKUP(Table118871730[[#This Row],[Opp]],Table2040[DEF],'2425'!$L$38:$L$69)</f>
        <v>#N/A</v>
      </c>
      <c r="L44" s="95" t="e">
        <f>_xlfn.XLOOKUP(Table118871730[[#This Row],[Opp]],Table2040[DEF],Table2040[R])</f>
        <v>#N/A</v>
      </c>
      <c r="M44" s="96" t="e">
        <f>_xlfn.XLOOKUP(Table118871730[[#This Row],[Opp]],Table2040[DEF],Table2040[REC])</f>
        <v>#N/A</v>
      </c>
      <c r="N44" s="95" t="e">
        <f>_xlfn.XLOOKUP(Table118871730[[#This Row],[Opp]],Table2040[DEF],Table2040[Y])</f>
        <v>#N/A</v>
      </c>
      <c r="O44" s="95" t="e">
        <f>_xlfn.XLOOKUP(Table118871730[[#This Row],[Opp]],Table2040[DEF],Table2040[R+R])</f>
        <v>#N/A</v>
      </c>
      <c r="P44" s="96" t="e">
        <f>_xlfn.XLOOKUP(Table118871730[[#This Row],[Opp]],Table2040[DEF],Table2040[TD])</f>
        <v>#N/A</v>
      </c>
      <c r="Q44" s="94" t="e">
        <f>AVERAGE(Table118871730[[#This Row],[*R*]:[*TD*]])</f>
        <v>#N/A</v>
      </c>
    </row>
    <row r="45" spans="2:17" hidden="1" x14ac:dyDescent="0.35">
      <c r="B45" s="6" t="s">
        <v>217</v>
      </c>
      <c r="C45" s="97" t="s">
        <v>37</v>
      </c>
      <c r="D45" s="97" t="s">
        <v>394</v>
      </c>
      <c r="E45" s="23" t="str" cm="1">
        <f t="array" ref="E45">_xlfn.XLOOKUP(Table118871730[[#This Row],[Team]],Table4334[Team],'2425'!$C$3:$C$34)</f>
        <v>n/a</v>
      </c>
      <c r="F45" s="97" t="str">
        <f>'2025'!$E$15</f>
        <v>n/a</v>
      </c>
      <c r="G45" s="94" t="e" cm="1">
        <f t="array" ref="G45">_xlfn.XLOOKUP(Table118871730[[#This Row],[Opp]],Table2040[DEF],'2425'!$H$38:$H$69)</f>
        <v>#N/A</v>
      </c>
      <c r="H45" s="94" t="e" cm="1">
        <f t="array" ref="H45">_xlfn.XLOOKUP(Table118871730[[#This Row],[Opp]],Table2040[DEF],'2425'!$I$38:$I$69)</f>
        <v>#N/A</v>
      </c>
      <c r="I45" s="94" t="e" cm="1">
        <f t="array" ref="I45">_xlfn.XLOOKUP(Table118871730[[#This Row],[Opp]],Table2040[DEF],'2425'!$J$38:$J$69)</f>
        <v>#N/A</v>
      </c>
      <c r="J45" s="94" t="e" cm="1">
        <f t="array" ref="J45">_xlfn.XLOOKUP(Table118871730[[#This Row],[Opp]],Table2040[DEF],'2425'!$K$38:$K$69)</f>
        <v>#N/A</v>
      </c>
      <c r="K45" s="94" t="e" cm="1">
        <f t="array" ref="K45">_xlfn.XLOOKUP(Table118871730[[#This Row],[Opp]],Table2040[DEF],'2425'!$L$38:$L$69)</f>
        <v>#N/A</v>
      </c>
      <c r="L45" s="95" t="e">
        <f>_xlfn.XLOOKUP(Table118871730[[#This Row],[Opp]],Table2040[DEF],Table2040[R])</f>
        <v>#N/A</v>
      </c>
      <c r="M45" s="96" t="e">
        <f>_xlfn.XLOOKUP(Table118871730[[#This Row],[Opp]],Table2040[DEF],Table2040[REC])</f>
        <v>#N/A</v>
      </c>
      <c r="N45" s="95" t="e">
        <f>_xlfn.XLOOKUP(Table118871730[[#This Row],[Opp]],Table2040[DEF],Table2040[Y])</f>
        <v>#N/A</v>
      </c>
      <c r="O45" s="95" t="e">
        <f>_xlfn.XLOOKUP(Table118871730[[#This Row],[Opp]],Table2040[DEF],Table2040[R+R])</f>
        <v>#N/A</v>
      </c>
      <c r="P45" s="96" t="e">
        <f>_xlfn.XLOOKUP(Table118871730[[#This Row],[Opp]],Table2040[DEF],Table2040[TD])</f>
        <v>#N/A</v>
      </c>
      <c r="Q45" s="94" t="e">
        <f>AVERAGE(Table118871730[[#This Row],[*R*]:[*TD*]])</f>
        <v>#N/A</v>
      </c>
    </row>
    <row r="46" spans="2:17" hidden="1" x14ac:dyDescent="0.35">
      <c r="B46" s="6" t="s">
        <v>219</v>
      </c>
      <c r="C46" s="97" t="s">
        <v>37</v>
      </c>
      <c r="D46" s="97" t="s">
        <v>396</v>
      </c>
      <c r="E46" s="23" t="str" cm="1">
        <f t="array" ref="E46">_xlfn.XLOOKUP(Table118871730[[#This Row],[Team]],Table4334[Team],'2425'!$C$3:$C$34)</f>
        <v>n/a</v>
      </c>
      <c r="F46" s="97" t="str">
        <f>'2025'!$E$15</f>
        <v>n/a</v>
      </c>
      <c r="G46" s="94" t="e" cm="1">
        <f t="array" ref="G46">_xlfn.XLOOKUP(Table118871730[[#This Row],[Opp]],Table2040[DEF],'2425'!$H$38:$H$69)</f>
        <v>#N/A</v>
      </c>
      <c r="H46" s="94" t="e" cm="1">
        <f t="array" ref="H46">_xlfn.XLOOKUP(Table118871730[[#This Row],[Opp]],Table2040[DEF],'2425'!$I$38:$I$69)</f>
        <v>#N/A</v>
      </c>
      <c r="I46" s="94" t="e" cm="1">
        <f t="array" ref="I46">_xlfn.XLOOKUP(Table118871730[[#This Row],[Opp]],Table2040[DEF],'2425'!$J$38:$J$69)</f>
        <v>#N/A</v>
      </c>
      <c r="J46" s="94" t="e" cm="1">
        <f t="array" ref="J46">_xlfn.XLOOKUP(Table118871730[[#This Row],[Opp]],Table2040[DEF],'2425'!$K$38:$K$69)</f>
        <v>#N/A</v>
      </c>
      <c r="K46" s="94" t="e" cm="1">
        <f t="array" ref="K46">_xlfn.XLOOKUP(Table118871730[[#This Row],[Opp]],Table2040[DEF],'2425'!$L$38:$L$69)</f>
        <v>#N/A</v>
      </c>
      <c r="L46" s="95" t="e">
        <f>_xlfn.XLOOKUP(Table118871730[[#This Row],[Opp]],Table2040[DEF],Table2040[R])</f>
        <v>#N/A</v>
      </c>
      <c r="M46" s="96" t="e">
        <f>_xlfn.XLOOKUP(Table118871730[[#This Row],[Opp]],Table2040[DEF],Table2040[REC])</f>
        <v>#N/A</v>
      </c>
      <c r="N46" s="95" t="e">
        <f>_xlfn.XLOOKUP(Table118871730[[#This Row],[Opp]],Table2040[DEF],Table2040[Y])</f>
        <v>#N/A</v>
      </c>
      <c r="O46" s="95" t="e">
        <f>_xlfn.XLOOKUP(Table118871730[[#This Row],[Opp]],Table2040[DEF],Table2040[R+R])</f>
        <v>#N/A</v>
      </c>
      <c r="P46" s="96" t="e">
        <f>_xlfn.XLOOKUP(Table118871730[[#This Row],[Opp]],Table2040[DEF],Table2040[TD])</f>
        <v>#N/A</v>
      </c>
      <c r="Q46" s="94" t="e">
        <f>AVERAGE(Table118871730[[#This Row],[*R*]:[*TD*]])</f>
        <v>#N/A</v>
      </c>
    </row>
    <row r="47" spans="2:17" hidden="1" x14ac:dyDescent="0.35">
      <c r="B47" s="6" t="s">
        <v>220</v>
      </c>
      <c r="C47" s="97" t="s">
        <v>37</v>
      </c>
      <c r="D47" s="97" t="s">
        <v>407</v>
      </c>
      <c r="E47" s="23" t="str" cm="1">
        <f t="array" ref="E47">_xlfn.XLOOKUP(Table118871730[[#This Row],[Team]],Table4334[Team],'2425'!$C$3:$C$34)</f>
        <v>n/a</v>
      </c>
      <c r="F47" s="97" t="str">
        <f>'2025'!$E$15</f>
        <v>n/a</v>
      </c>
      <c r="G47" s="94" t="e" cm="1">
        <f t="array" ref="G47">_xlfn.XLOOKUP(Table118871730[[#This Row],[Opp]],Table2040[DEF],'2425'!$H$38:$H$69)</f>
        <v>#N/A</v>
      </c>
      <c r="H47" s="94" t="e" cm="1">
        <f t="array" ref="H47">_xlfn.XLOOKUP(Table118871730[[#This Row],[Opp]],Table2040[DEF],'2425'!$I$38:$I$69)</f>
        <v>#N/A</v>
      </c>
      <c r="I47" s="94" t="e" cm="1">
        <f t="array" ref="I47">_xlfn.XLOOKUP(Table118871730[[#This Row],[Opp]],Table2040[DEF],'2425'!$J$38:$J$69)</f>
        <v>#N/A</v>
      </c>
      <c r="J47" s="94" t="e" cm="1">
        <f t="array" ref="J47">_xlfn.XLOOKUP(Table118871730[[#This Row],[Opp]],Table2040[DEF],'2425'!$K$38:$K$69)</f>
        <v>#N/A</v>
      </c>
      <c r="K47" s="94" t="e" cm="1">
        <f t="array" ref="K47">_xlfn.XLOOKUP(Table118871730[[#This Row],[Opp]],Table2040[DEF],'2425'!$L$38:$L$69)</f>
        <v>#N/A</v>
      </c>
      <c r="L47" s="95" t="e">
        <f>_xlfn.XLOOKUP(Table118871730[[#This Row],[Opp]],Table2040[DEF],Table2040[R])</f>
        <v>#N/A</v>
      </c>
      <c r="M47" s="96" t="e">
        <f>_xlfn.XLOOKUP(Table118871730[[#This Row],[Opp]],Table2040[DEF],Table2040[REC])</f>
        <v>#N/A</v>
      </c>
      <c r="N47" s="95" t="e">
        <f>_xlfn.XLOOKUP(Table118871730[[#This Row],[Opp]],Table2040[DEF],Table2040[Y])</f>
        <v>#N/A</v>
      </c>
      <c r="O47" s="95" t="e">
        <f>_xlfn.XLOOKUP(Table118871730[[#This Row],[Opp]],Table2040[DEF],Table2040[R+R])</f>
        <v>#N/A</v>
      </c>
      <c r="P47" s="96" t="e">
        <f>_xlfn.XLOOKUP(Table118871730[[#This Row],[Opp]],Table2040[DEF],Table2040[TD])</f>
        <v>#N/A</v>
      </c>
      <c r="Q47" s="94" t="e">
        <f>AVERAGE(Table118871730[[#This Row],[*R*]:[*TD*]])</f>
        <v>#N/A</v>
      </c>
    </row>
    <row r="48" spans="2:17" hidden="1" x14ac:dyDescent="0.35">
      <c r="B48" s="6" t="s">
        <v>216</v>
      </c>
      <c r="C48" s="97" t="s">
        <v>37</v>
      </c>
      <c r="D48" s="97" t="s">
        <v>536</v>
      </c>
      <c r="E48" s="23" t="str" cm="1">
        <f t="array" ref="E48">_xlfn.XLOOKUP(Table118871730[[#This Row],[Team]],Table4334[Team],'2425'!$C$3:$C$34)</f>
        <v>n/a</v>
      </c>
      <c r="F48" s="97" t="str">
        <f>'2025'!$E$15</f>
        <v>n/a</v>
      </c>
      <c r="G48" s="94" t="e" cm="1">
        <f t="array" ref="G48">_xlfn.XLOOKUP(Table118871730[[#This Row],[Opp]],Table2040[DEF],'2425'!$H$38:$H$69)</f>
        <v>#N/A</v>
      </c>
      <c r="H48" s="94" t="e" cm="1">
        <f t="array" ref="H48">_xlfn.XLOOKUP(Table118871730[[#This Row],[Opp]],Table2040[DEF],'2425'!$I$38:$I$69)</f>
        <v>#N/A</v>
      </c>
      <c r="I48" s="94" t="e" cm="1">
        <f t="array" ref="I48">_xlfn.XLOOKUP(Table118871730[[#This Row],[Opp]],Table2040[DEF],'2425'!$J$38:$J$69)</f>
        <v>#N/A</v>
      </c>
      <c r="J48" s="94" t="e" cm="1">
        <f t="array" ref="J48">_xlfn.XLOOKUP(Table118871730[[#This Row],[Opp]],Table2040[DEF],'2425'!$K$38:$K$69)</f>
        <v>#N/A</v>
      </c>
      <c r="K48" s="94" t="e" cm="1">
        <f t="array" ref="K48">_xlfn.XLOOKUP(Table118871730[[#This Row],[Opp]],Table2040[DEF],'2425'!$L$38:$L$69)</f>
        <v>#N/A</v>
      </c>
      <c r="L48" s="95" t="e">
        <f>_xlfn.XLOOKUP(Table118871730[[#This Row],[Opp]],Table2040[DEF],Table2040[R])</f>
        <v>#N/A</v>
      </c>
      <c r="M48" s="96" t="e">
        <f>_xlfn.XLOOKUP(Table118871730[[#This Row],[Opp]],Table2040[DEF],Table2040[REC])</f>
        <v>#N/A</v>
      </c>
      <c r="N48" s="95" t="e">
        <f>_xlfn.XLOOKUP(Table118871730[[#This Row],[Opp]],Table2040[DEF],Table2040[Y])</f>
        <v>#N/A</v>
      </c>
      <c r="O48" s="95" t="e">
        <f>_xlfn.XLOOKUP(Table118871730[[#This Row],[Opp]],Table2040[DEF],Table2040[R+R])</f>
        <v>#N/A</v>
      </c>
      <c r="P48" s="96" t="e">
        <f>_xlfn.XLOOKUP(Table118871730[[#This Row],[Opp]],Table2040[DEF],Table2040[TD])</f>
        <v>#N/A</v>
      </c>
      <c r="Q48" s="94" t="e">
        <f>AVERAGE(Table118871730[[#This Row],[*R*]:[*TD*]])</f>
        <v>#N/A</v>
      </c>
    </row>
    <row r="49" spans="2:17" hidden="1" x14ac:dyDescent="0.35">
      <c r="B49" s="6" t="s">
        <v>245</v>
      </c>
      <c r="C49" s="97" t="s">
        <v>40</v>
      </c>
      <c r="D49" s="97" t="s">
        <v>395</v>
      </c>
      <c r="E49" s="23" t="str" cm="1">
        <f t="array" ref="E49">_xlfn.XLOOKUP(Table118871730[[#This Row],[Team]],Table4334[Team],'2425'!$C$3:$C$34)</f>
        <v>n/a</v>
      </c>
      <c r="F49" s="97" t="str">
        <f>'2025'!$E$18</f>
        <v>n/a</v>
      </c>
      <c r="G49" s="94" t="e" cm="1">
        <f t="array" ref="G49">_xlfn.XLOOKUP(Table118871730[[#This Row],[Opp]],Table2040[DEF],'2425'!$H$38:$H$69)</f>
        <v>#N/A</v>
      </c>
      <c r="H49" s="94" t="e" cm="1">
        <f t="array" ref="H49">_xlfn.XLOOKUP(Table118871730[[#This Row],[Opp]],Table2040[DEF],'2425'!$I$38:$I$69)</f>
        <v>#N/A</v>
      </c>
      <c r="I49" s="94" t="e" cm="1">
        <f t="array" ref="I49">_xlfn.XLOOKUP(Table118871730[[#This Row],[Opp]],Table2040[DEF],'2425'!$J$38:$J$69)</f>
        <v>#N/A</v>
      </c>
      <c r="J49" s="94" t="e" cm="1">
        <f t="array" ref="J49">_xlfn.XLOOKUP(Table118871730[[#This Row],[Opp]],Table2040[DEF],'2425'!$K$38:$K$69)</f>
        <v>#N/A</v>
      </c>
      <c r="K49" s="94" t="e" cm="1">
        <f t="array" ref="K49">_xlfn.XLOOKUP(Table118871730[[#This Row],[Opp]],Table2040[DEF],'2425'!$L$38:$L$69)</f>
        <v>#N/A</v>
      </c>
      <c r="L49" s="95" t="e">
        <f>_xlfn.XLOOKUP(Table118871730[[#This Row],[Opp]],Table2040[DEF],Table2040[R])</f>
        <v>#N/A</v>
      </c>
      <c r="M49" s="96" t="e">
        <f>_xlfn.XLOOKUP(Table118871730[[#This Row],[Opp]],Table2040[DEF],Table2040[REC])</f>
        <v>#N/A</v>
      </c>
      <c r="N49" s="95" t="e">
        <f>_xlfn.XLOOKUP(Table118871730[[#This Row],[Opp]],Table2040[DEF],Table2040[Y])</f>
        <v>#N/A</v>
      </c>
      <c r="O49" s="95" t="e">
        <f>_xlfn.XLOOKUP(Table118871730[[#This Row],[Opp]],Table2040[DEF],Table2040[R+R])</f>
        <v>#N/A</v>
      </c>
      <c r="P49" s="96" t="e">
        <f>_xlfn.XLOOKUP(Table118871730[[#This Row],[Opp]],Table2040[DEF],Table2040[TD])</f>
        <v>#N/A</v>
      </c>
      <c r="Q49" s="94" t="e">
        <f>AVERAGE(Table118871730[[#This Row],[*R*]:[*TD*]])</f>
        <v>#N/A</v>
      </c>
    </row>
    <row r="50" spans="2:17" hidden="1" x14ac:dyDescent="0.35">
      <c r="B50" s="6" t="s">
        <v>192</v>
      </c>
      <c r="C50" s="97" t="s">
        <v>34</v>
      </c>
      <c r="D50" s="97" t="s">
        <v>394</v>
      </c>
      <c r="E50" s="23" t="str" cm="1">
        <f t="array" ref="E50">_xlfn.XLOOKUP(Table118871730[[#This Row],[Team]],Table4334[Team],'2425'!$C$3:$C$34)</f>
        <v>n/a</v>
      </c>
      <c r="F50" s="97" t="str">
        <f>'2025'!$E$12</f>
        <v>n/a</v>
      </c>
      <c r="G50" s="94" t="e" cm="1">
        <f t="array" ref="G50">_xlfn.XLOOKUP(Table118871730[[#This Row],[Opp]],Table2040[DEF],'2425'!$H$38:$H$69)</f>
        <v>#N/A</v>
      </c>
      <c r="H50" s="94" t="e" cm="1">
        <f t="array" ref="H50">_xlfn.XLOOKUP(Table118871730[[#This Row],[Opp]],Table2040[DEF],'2425'!$I$38:$I$69)</f>
        <v>#N/A</v>
      </c>
      <c r="I50" s="94" t="e" cm="1">
        <f t="array" ref="I50">_xlfn.XLOOKUP(Table118871730[[#This Row],[Opp]],Table2040[DEF],'2425'!$J$38:$J$69)</f>
        <v>#N/A</v>
      </c>
      <c r="J50" s="94" t="e" cm="1">
        <f t="array" ref="J50">_xlfn.XLOOKUP(Table118871730[[#This Row],[Opp]],Table2040[DEF],'2425'!$K$38:$K$69)</f>
        <v>#N/A</v>
      </c>
      <c r="K50" s="94" t="e" cm="1">
        <f t="array" ref="K50">_xlfn.XLOOKUP(Table118871730[[#This Row],[Opp]],Table2040[DEF],'2425'!$L$38:$L$69)</f>
        <v>#N/A</v>
      </c>
      <c r="L50" s="95" t="e">
        <f>_xlfn.XLOOKUP(Table118871730[[#This Row],[Opp]],Table2040[DEF],Table2040[R])</f>
        <v>#N/A</v>
      </c>
      <c r="M50" s="96" t="e">
        <f>_xlfn.XLOOKUP(Table118871730[[#This Row],[Opp]],Table2040[DEF],Table2040[REC])</f>
        <v>#N/A</v>
      </c>
      <c r="N50" s="95" t="e">
        <f>_xlfn.XLOOKUP(Table118871730[[#This Row],[Opp]],Table2040[DEF],Table2040[Y])</f>
        <v>#N/A</v>
      </c>
      <c r="O50" s="95" t="e">
        <f>_xlfn.XLOOKUP(Table118871730[[#This Row],[Opp]],Table2040[DEF],Table2040[R+R])</f>
        <v>#N/A</v>
      </c>
      <c r="P50" s="96" t="e">
        <f>_xlfn.XLOOKUP(Table118871730[[#This Row],[Opp]],Table2040[DEF],Table2040[TD])</f>
        <v>#N/A</v>
      </c>
      <c r="Q50" s="94" t="e">
        <f>AVERAGE(Table118871730[[#This Row],[*R*]:[*TD*]])</f>
        <v>#N/A</v>
      </c>
    </row>
    <row r="51" spans="2:17" hidden="1" x14ac:dyDescent="0.35">
      <c r="B51" s="6" t="s">
        <v>577</v>
      </c>
      <c r="C51" s="97" t="s">
        <v>34</v>
      </c>
      <c r="D51" s="97" t="s">
        <v>396</v>
      </c>
      <c r="E51" s="23" t="str" cm="1">
        <f t="array" ref="E51">_xlfn.XLOOKUP(Table118871730[[#This Row],[Team]],Table4334[Team],'2425'!$C$3:$C$34)</f>
        <v>n/a</v>
      </c>
      <c r="F51" s="97" t="str">
        <f>'2025'!$E$12</f>
        <v>n/a</v>
      </c>
      <c r="G51" s="94" t="e" cm="1">
        <f t="array" ref="G51">_xlfn.XLOOKUP(Table118871730[[#This Row],[Opp]],Table2040[DEF],'2425'!$H$38:$H$69)</f>
        <v>#N/A</v>
      </c>
      <c r="H51" s="94" t="e" cm="1">
        <f t="array" ref="H51">_xlfn.XLOOKUP(Table118871730[[#This Row],[Opp]],Table2040[DEF],'2425'!$I$38:$I$69)</f>
        <v>#N/A</v>
      </c>
      <c r="I51" s="94" t="e" cm="1">
        <f t="array" ref="I51">_xlfn.XLOOKUP(Table118871730[[#This Row],[Opp]],Table2040[DEF],'2425'!$J$38:$J$69)</f>
        <v>#N/A</v>
      </c>
      <c r="J51" s="94" t="e" cm="1">
        <f t="array" ref="J51">_xlfn.XLOOKUP(Table118871730[[#This Row],[Opp]],Table2040[DEF],'2425'!$K$38:$K$69)</f>
        <v>#N/A</v>
      </c>
      <c r="K51" s="94" t="e" cm="1">
        <f t="array" ref="K51">_xlfn.XLOOKUP(Table118871730[[#This Row],[Opp]],Table2040[DEF],'2425'!$L$38:$L$69)</f>
        <v>#N/A</v>
      </c>
      <c r="L51" s="95" t="e">
        <f>_xlfn.XLOOKUP(Table118871730[[#This Row],[Opp]],Table2040[DEF],Table2040[R])</f>
        <v>#N/A</v>
      </c>
      <c r="M51" s="96" t="e">
        <f>_xlfn.XLOOKUP(Table118871730[[#This Row],[Opp]],Table2040[DEF],Table2040[REC])</f>
        <v>#N/A</v>
      </c>
      <c r="N51" s="95" t="e">
        <f>_xlfn.XLOOKUP(Table118871730[[#This Row],[Opp]],Table2040[DEF],Table2040[Y])</f>
        <v>#N/A</v>
      </c>
      <c r="O51" s="95" t="e">
        <f>_xlfn.XLOOKUP(Table118871730[[#This Row],[Opp]],Table2040[DEF],Table2040[R+R])</f>
        <v>#N/A</v>
      </c>
      <c r="P51" s="96" t="e">
        <f>_xlfn.XLOOKUP(Table118871730[[#This Row],[Opp]],Table2040[DEF],Table2040[TD])</f>
        <v>#N/A</v>
      </c>
      <c r="Q51" s="94" t="e">
        <f>AVERAGE(Table118871730[[#This Row],[*R*]:[*TD*]])</f>
        <v>#N/A</v>
      </c>
    </row>
    <row r="52" spans="2:17" hidden="1" x14ac:dyDescent="0.35">
      <c r="B52" s="6" t="s">
        <v>194</v>
      </c>
      <c r="C52" s="97" t="s">
        <v>34</v>
      </c>
      <c r="D52" s="97" t="s">
        <v>407</v>
      </c>
      <c r="E52" s="23" t="str" cm="1">
        <f t="array" ref="E52">_xlfn.XLOOKUP(Table118871730[[#This Row],[Team]],Table4334[Team],'2425'!$C$3:$C$34)</f>
        <v>n/a</v>
      </c>
      <c r="F52" s="97" t="str">
        <f>'2025'!$E$12</f>
        <v>n/a</v>
      </c>
      <c r="G52" s="94" t="e" cm="1">
        <f t="array" ref="G52">_xlfn.XLOOKUP(Table118871730[[#This Row],[Opp]],Table2040[DEF],'2425'!$H$38:$H$69)</f>
        <v>#N/A</v>
      </c>
      <c r="H52" s="94" t="e" cm="1">
        <f t="array" ref="H52">_xlfn.XLOOKUP(Table118871730[[#This Row],[Opp]],Table2040[DEF],'2425'!$I$38:$I$69)</f>
        <v>#N/A</v>
      </c>
      <c r="I52" s="94" t="e" cm="1">
        <f t="array" ref="I52">_xlfn.XLOOKUP(Table118871730[[#This Row],[Opp]],Table2040[DEF],'2425'!$J$38:$J$69)</f>
        <v>#N/A</v>
      </c>
      <c r="J52" s="94" t="e" cm="1">
        <f t="array" ref="J52">_xlfn.XLOOKUP(Table118871730[[#This Row],[Opp]],Table2040[DEF],'2425'!$K$38:$K$69)</f>
        <v>#N/A</v>
      </c>
      <c r="K52" s="94" t="e" cm="1">
        <f t="array" ref="K52">_xlfn.XLOOKUP(Table118871730[[#This Row],[Opp]],Table2040[DEF],'2425'!$L$38:$L$69)</f>
        <v>#N/A</v>
      </c>
      <c r="L52" s="95" t="e">
        <f>_xlfn.XLOOKUP(Table118871730[[#This Row],[Opp]],Table2040[DEF],Table2040[R])</f>
        <v>#N/A</v>
      </c>
      <c r="M52" s="96" t="e">
        <f>_xlfn.XLOOKUP(Table118871730[[#This Row],[Opp]],Table2040[DEF],Table2040[REC])</f>
        <v>#N/A</v>
      </c>
      <c r="N52" s="95" t="e">
        <f>_xlfn.XLOOKUP(Table118871730[[#This Row],[Opp]],Table2040[DEF],Table2040[Y])</f>
        <v>#N/A</v>
      </c>
      <c r="O52" s="95" t="e">
        <f>_xlfn.XLOOKUP(Table118871730[[#This Row],[Opp]],Table2040[DEF],Table2040[R+R])</f>
        <v>#N/A</v>
      </c>
      <c r="P52" s="96" t="e">
        <f>_xlfn.XLOOKUP(Table118871730[[#This Row],[Opp]],Table2040[DEF],Table2040[TD])</f>
        <v>#N/A</v>
      </c>
      <c r="Q52" s="94" t="e">
        <f>AVERAGE(Table118871730[[#This Row],[*R*]:[*TD*]])</f>
        <v>#N/A</v>
      </c>
    </row>
    <row r="53" spans="2:17" hidden="1" x14ac:dyDescent="0.35">
      <c r="B53" s="6" t="s">
        <v>200</v>
      </c>
      <c r="C53" s="97" t="s">
        <v>35</v>
      </c>
      <c r="D53" s="97" t="s">
        <v>395</v>
      </c>
      <c r="E53" s="23" t="str" cm="1">
        <f t="array" ref="E53">_xlfn.XLOOKUP(Table118871730[[#This Row],[Team]],Table4334[Team],'2425'!$C$3:$C$34)</f>
        <v>n/a</v>
      </c>
      <c r="F53" s="97" t="str">
        <f>'2025'!$E$13</f>
        <v>n/a</v>
      </c>
      <c r="G53" s="94" t="e" cm="1">
        <f t="array" ref="G53">_xlfn.XLOOKUP(Table118871730[[#This Row],[Opp]],Table2040[DEF],'2425'!$H$38:$H$69)</f>
        <v>#N/A</v>
      </c>
      <c r="H53" s="94" t="e" cm="1">
        <f t="array" ref="H53">_xlfn.XLOOKUP(Table118871730[[#This Row],[Opp]],Table2040[DEF],'2425'!$I$38:$I$69)</f>
        <v>#N/A</v>
      </c>
      <c r="I53" s="94" t="e" cm="1">
        <f t="array" ref="I53">_xlfn.XLOOKUP(Table118871730[[#This Row],[Opp]],Table2040[DEF],'2425'!$J$38:$J$69)</f>
        <v>#N/A</v>
      </c>
      <c r="J53" s="94" t="e" cm="1">
        <f t="array" ref="J53">_xlfn.XLOOKUP(Table118871730[[#This Row],[Opp]],Table2040[DEF],'2425'!$K$38:$K$69)</f>
        <v>#N/A</v>
      </c>
      <c r="K53" s="94" t="e" cm="1">
        <f t="array" ref="K53">_xlfn.XLOOKUP(Table118871730[[#This Row],[Opp]],Table2040[DEF],'2425'!$L$38:$L$69)</f>
        <v>#N/A</v>
      </c>
      <c r="L53" s="95" t="e">
        <f>_xlfn.XLOOKUP(Table118871730[[#This Row],[Opp]],Table2040[DEF],Table2040[R])</f>
        <v>#N/A</v>
      </c>
      <c r="M53" s="96" t="e">
        <f>_xlfn.XLOOKUP(Table118871730[[#This Row],[Opp]],Table2040[DEF],Table2040[REC])</f>
        <v>#N/A</v>
      </c>
      <c r="N53" s="95" t="e">
        <f>_xlfn.XLOOKUP(Table118871730[[#This Row],[Opp]],Table2040[DEF],Table2040[Y])</f>
        <v>#N/A</v>
      </c>
      <c r="O53" s="95" t="e">
        <f>_xlfn.XLOOKUP(Table118871730[[#This Row],[Opp]],Table2040[DEF],Table2040[R+R])</f>
        <v>#N/A</v>
      </c>
      <c r="P53" s="96" t="e">
        <f>_xlfn.XLOOKUP(Table118871730[[#This Row],[Opp]],Table2040[DEF],Table2040[TD])</f>
        <v>#N/A</v>
      </c>
      <c r="Q53" s="94" t="e">
        <f>AVERAGE(Table118871730[[#This Row],[*R*]:[*TD*]])</f>
        <v>#N/A</v>
      </c>
    </row>
    <row r="54" spans="2:17" hidden="1" x14ac:dyDescent="0.35">
      <c r="B54" s="6" t="s">
        <v>288</v>
      </c>
      <c r="C54" s="97" t="s">
        <v>44</v>
      </c>
      <c r="D54" s="97" t="s">
        <v>394</v>
      </c>
      <c r="E54" s="23" t="str" cm="1">
        <f t="array" ref="E54">_xlfn.XLOOKUP(Table118871730[[#This Row],[Team]],Table4334[Team],'2425'!$C$3:$C$34)</f>
        <v>n/a</v>
      </c>
      <c r="F54" s="97" t="str">
        <f>'2025'!$E$22</f>
        <v>n/a</v>
      </c>
      <c r="G54" s="94" t="e" cm="1">
        <f t="array" ref="G54">_xlfn.XLOOKUP(Table118871730[[#This Row],[Opp]],Table2040[DEF],'2425'!$H$38:$H$69)</f>
        <v>#N/A</v>
      </c>
      <c r="H54" s="94" t="e" cm="1">
        <f t="array" ref="H54">_xlfn.XLOOKUP(Table118871730[[#This Row],[Opp]],Table2040[DEF],'2425'!$I$38:$I$69)</f>
        <v>#N/A</v>
      </c>
      <c r="I54" s="94" t="e" cm="1">
        <f t="array" ref="I54">_xlfn.XLOOKUP(Table118871730[[#This Row],[Opp]],Table2040[DEF],'2425'!$J$38:$J$69)</f>
        <v>#N/A</v>
      </c>
      <c r="J54" s="94" t="e" cm="1">
        <f t="array" ref="J54">_xlfn.XLOOKUP(Table118871730[[#This Row],[Opp]],Table2040[DEF],'2425'!$K$38:$K$69)</f>
        <v>#N/A</v>
      </c>
      <c r="K54" s="94" t="e" cm="1">
        <f t="array" ref="K54">_xlfn.XLOOKUP(Table118871730[[#This Row],[Opp]],Table2040[DEF],'2425'!$L$38:$L$69)</f>
        <v>#N/A</v>
      </c>
      <c r="L54" s="95" t="e">
        <f>_xlfn.XLOOKUP(Table118871730[[#This Row],[Opp]],Table2040[DEF],Table2040[R])</f>
        <v>#N/A</v>
      </c>
      <c r="M54" s="96" t="e">
        <f>_xlfn.XLOOKUP(Table118871730[[#This Row],[Opp]],Table2040[DEF],Table2040[REC])</f>
        <v>#N/A</v>
      </c>
      <c r="N54" s="95" t="e">
        <f>_xlfn.XLOOKUP(Table118871730[[#This Row],[Opp]],Table2040[DEF],Table2040[Y])</f>
        <v>#N/A</v>
      </c>
      <c r="O54" s="95" t="e">
        <f>_xlfn.XLOOKUP(Table118871730[[#This Row],[Opp]],Table2040[DEF],Table2040[R+R])</f>
        <v>#N/A</v>
      </c>
      <c r="P54" s="96" t="e">
        <f>_xlfn.XLOOKUP(Table118871730[[#This Row],[Opp]],Table2040[DEF],Table2040[TD])</f>
        <v>#N/A</v>
      </c>
      <c r="Q54" s="94" t="e">
        <f>AVERAGE(Table118871730[[#This Row],[*R*]:[*TD*]])</f>
        <v>#N/A</v>
      </c>
    </row>
    <row r="55" spans="2:17" hidden="1" x14ac:dyDescent="0.35">
      <c r="B55" s="6" t="s">
        <v>285</v>
      </c>
      <c r="C55" s="97" t="s">
        <v>44</v>
      </c>
      <c r="D55" s="97" t="s">
        <v>396</v>
      </c>
      <c r="E55" s="23" t="str" cm="1">
        <f t="array" ref="E55">_xlfn.XLOOKUP(Table118871730[[#This Row],[Team]],Table4334[Team],'2425'!$C$3:$C$34)</f>
        <v>n/a</v>
      </c>
      <c r="F55" s="97" t="str">
        <f>'2025'!$E$22</f>
        <v>n/a</v>
      </c>
      <c r="G55" s="94" t="e" cm="1">
        <f t="array" ref="G55">_xlfn.XLOOKUP(Table118871730[[#This Row],[Opp]],Table2040[DEF],'2425'!$H$38:$H$69)</f>
        <v>#N/A</v>
      </c>
      <c r="H55" s="94" t="e" cm="1">
        <f t="array" ref="H55">_xlfn.XLOOKUP(Table118871730[[#This Row],[Opp]],Table2040[DEF],'2425'!$I$38:$I$69)</f>
        <v>#N/A</v>
      </c>
      <c r="I55" s="94" t="e" cm="1">
        <f t="array" ref="I55">_xlfn.XLOOKUP(Table118871730[[#This Row],[Opp]],Table2040[DEF],'2425'!$J$38:$J$69)</f>
        <v>#N/A</v>
      </c>
      <c r="J55" s="94" t="e" cm="1">
        <f t="array" ref="J55">_xlfn.XLOOKUP(Table118871730[[#This Row],[Opp]],Table2040[DEF],'2425'!$K$38:$K$69)</f>
        <v>#N/A</v>
      </c>
      <c r="K55" s="94" t="e" cm="1">
        <f t="array" ref="K55">_xlfn.XLOOKUP(Table118871730[[#This Row],[Opp]],Table2040[DEF],'2425'!$L$38:$L$69)</f>
        <v>#N/A</v>
      </c>
      <c r="L55" s="95" t="e">
        <f>_xlfn.XLOOKUP(Table118871730[[#This Row],[Opp]],Table2040[DEF],Table2040[R])</f>
        <v>#N/A</v>
      </c>
      <c r="M55" s="96" t="e">
        <f>_xlfn.XLOOKUP(Table118871730[[#This Row],[Opp]],Table2040[DEF],Table2040[REC])</f>
        <v>#N/A</v>
      </c>
      <c r="N55" s="95" t="e">
        <f>_xlfn.XLOOKUP(Table118871730[[#This Row],[Opp]],Table2040[DEF],Table2040[Y])</f>
        <v>#N/A</v>
      </c>
      <c r="O55" s="95" t="e">
        <f>_xlfn.XLOOKUP(Table118871730[[#This Row],[Opp]],Table2040[DEF],Table2040[R+R])</f>
        <v>#N/A</v>
      </c>
      <c r="P55" s="96" t="e">
        <f>_xlfn.XLOOKUP(Table118871730[[#This Row],[Opp]],Table2040[DEF],Table2040[TD])</f>
        <v>#N/A</v>
      </c>
      <c r="Q55" s="94" t="e">
        <f>AVERAGE(Table118871730[[#This Row],[*R*]:[*TD*]])</f>
        <v>#N/A</v>
      </c>
    </row>
    <row r="56" spans="2:17" hidden="1" x14ac:dyDescent="0.35">
      <c r="B56" s="6" t="s">
        <v>287</v>
      </c>
      <c r="C56" s="97" t="s">
        <v>44</v>
      </c>
      <c r="D56" s="97" t="s">
        <v>407</v>
      </c>
      <c r="E56" s="23" t="str" cm="1">
        <f t="array" ref="E56">_xlfn.XLOOKUP(Table118871730[[#This Row],[Team]],Table4334[Team],'2425'!$C$3:$C$34)</f>
        <v>n/a</v>
      </c>
      <c r="F56" s="97" t="str">
        <f>'2025'!$E$22</f>
        <v>n/a</v>
      </c>
      <c r="G56" s="94" t="e" cm="1">
        <f t="array" ref="G56">_xlfn.XLOOKUP(Table118871730[[#This Row],[Opp]],Table2040[DEF],'2425'!$H$38:$H$69)</f>
        <v>#N/A</v>
      </c>
      <c r="H56" s="94" t="e" cm="1">
        <f t="array" ref="H56">_xlfn.XLOOKUP(Table118871730[[#This Row],[Opp]],Table2040[DEF],'2425'!$I$38:$I$69)</f>
        <v>#N/A</v>
      </c>
      <c r="I56" s="94" t="e" cm="1">
        <f t="array" ref="I56">_xlfn.XLOOKUP(Table118871730[[#This Row],[Opp]],Table2040[DEF],'2425'!$J$38:$J$69)</f>
        <v>#N/A</v>
      </c>
      <c r="J56" s="94" t="e" cm="1">
        <f t="array" ref="J56">_xlfn.XLOOKUP(Table118871730[[#This Row],[Opp]],Table2040[DEF],'2425'!$K$38:$K$69)</f>
        <v>#N/A</v>
      </c>
      <c r="K56" s="94" t="e" cm="1">
        <f t="array" ref="K56">_xlfn.XLOOKUP(Table118871730[[#This Row],[Opp]],Table2040[DEF],'2425'!$L$38:$L$69)</f>
        <v>#N/A</v>
      </c>
      <c r="L56" s="95" t="e">
        <f>_xlfn.XLOOKUP(Table118871730[[#This Row],[Opp]],Table2040[DEF],Table2040[R])</f>
        <v>#N/A</v>
      </c>
      <c r="M56" s="96" t="e">
        <f>_xlfn.XLOOKUP(Table118871730[[#This Row],[Opp]],Table2040[DEF],Table2040[REC])</f>
        <v>#N/A</v>
      </c>
      <c r="N56" s="95" t="e">
        <f>_xlfn.XLOOKUP(Table118871730[[#This Row],[Opp]],Table2040[DEF],Table2040[Y])</f>
        <v>#N/A</v>
      </c>
      <c r="O56" s="95" t="e">
        <f>_xlfn.XLOOKUP(Table118871730[[#This Row],[Opp]],Table2040[DEF],Table2040[R+R])</f>
        <v>#N/A</v>
      </c>
      <c r="P56" s="96" t="e">
        <f>_xlfn.XLOOKUP(Table118871730[[#This Row],[Opp]],Table2040[DEF],Table2040[TD])</f>
        <v>#N/A</v>
      </c>
      <c r="Q56" s="94" t="e">
        <f>AVERAGE(Table118871730[[#This Row],[*R*]:[*TD*]])</f>
        <v>#N/A</v>
      </c>
    </row>
    <row r="57" spans="2:17" hidden="1" x14ac:dyDescent="0.35">
      <c r="B57" s="6" t="s">
        <v>286</v>
      </c>
      <c r="C57" s="97" t="s">
        <v>44</v>
      </c>
      <c r="D57" s="97" t="s">
        <v>395</v>
      </c>
      <c r="E57" s="23" t="str" cm="1">
        <f t="array" ref="E57">_xlfn.XLOOKUP(Table118871730[[#This Row],[Team]],Table4334[Team],'2425'!$C$3:$C$34)</f>
        <v>n/a</v>
      </c>
      <c r="F57" s="97" t="str">
        <f>'2025'!$E$22</f>
        <v>n/a</v>
      </c>
      <c r="G57" s="94" t="e" cm="1">
        <f t="array" ref="G57">_xlfn.XLOOKUP(Table118871730[[#This Row],[Opp]],Table2040[DEF],'2425'!$H$38:$H$69)</f>
        <v>#N/A</v>
      </c>
      <c r="H57" s="94" t="e" cm="1">
        <f t="array" ref="H57">_xlfn.XLOOKUP(Table118871730[[#This Row],[Opp]],Table2040[DEF],'2425'!$I$38:$I$69)</f>
        <v>#N/A</v>
      </c>
      <c r="I57" s="94" t="e" cm="1">
        <f t="array" ref="I57">_xlfn.XLOOKUP(Table118871730[[#This Row],[Opp]],Table2040[DEF],'2425'!$J$38:$J$69)</f>
        <v>#N/A</v>
      </c>
      <c r="J57" s="94" t="e" cm="1">
        <f t="array" ref="J57">_xlfn.XLOOKUP(Table118871730[[#This Row],[Opp]],Table2040[DEF],'2425'!$K$38:$K$69)</f>
        <v>#N/A</v>
      </c>
      <c r="K57" s="94" t="e" cm="1">
        <f t="array" ref="K57">_xlfn.XLOOKUP(Table118871730[[#This Row],[Opp]],Table2040[DEF],'2425'!$L$38:$L$69)</f>
        <v>#N/A</v>
      </c>
      <c r="L57" s="95" t="e">
        <f>_xlfn.XLOOKUP(Table118871730[[#This Row],[Opp]],Table2040[DEF],Table2040[R])</f>
        <v>#N/A</v>
      </c>
      <c r="M57" s="96" t="e">
        <f>_xlfn.XLOOKUP(Table118871730[[#This Row],[Opp]],Table2040[DEF],Table2040[REC])</f>
        <v>#N/A</v>
      </c>
      <c r="N57" s="95" t="e">
        <f>_xlfn.XLOOKUP(Table118871730[[#This Row],[Opp]],Table2040[DEF],Table2040[Y])</f>
        <v>#N/A</v>
      </c>
      <c r="O57" s="95" t="e">
        <f>_xlfn.XLOOKUP(Table118871730[[#This Row],[Opp]],Table2040[DEF],Table2040[R+R])</f>
        <v>#N/A</v>
      </c>
      <c r="P57" s="96" t="e">
        <f>_xlfn.XLOOKUP(Table118871730[[#This Row],[Opp]],Table2040[DEF],Table2040[TD])</f>
        <v>#N/A</v>
      </c>
      <c r="Q57" s="94" t="e">
        <f>AVERAGE(Table118871730[[#This Row],[*R*]:[*TD*]])</f>
        <v>#N/A</v>
      </c>
    </row>
    <row r="58" spans="2:17" hidden="1" x14ac:dyDescent="0.35">
      <c r="B58" s="6" t="s">
        <v>123</v>
      </c>
      <c r="C58" s="97" t="s">
        <v>0</v>
      </c>
      <c r="D58" s="97" t="s">
        <v>394</v>
      </c>
      <c r="E58" s="23" t="str" cm="1">
        <f t="array" ref="E58">_xlfn.XLOOKUP(Table118871730[[#This Row],[Team]],Table4334[Team],'2425'!$C$3:$C$34)</f>
        <v>n/a</v>
      </c>
      <c r="F58" s="97" t="str">
        <f>'2025'!$E$3</f>
        <v>n/a</v>
      </c>
      <c r="G58" s="94" t="e" cm="1">
        <f t="array" ref="G58">_xlfn.XLOOKUP(Table118871730[[#This Row],[Opp]],Table2040[DEF],'2425'!$H$38:$H$69)</f>
        <v>#N/A</v>
      </c>
      <c r="H58" s="94" t="e" cm="1">
        <f t="array" ref="H58">_xlfn.XLOOKUP(Table118871730[[#This Row],[Opp]],Table2040[DEF],'2425'!$I$38:$I$69)</f>
        <v>#N/A</v>
      </c>
      <c r="I58" s="94" t="e" cm="1">
        <f t="array" ref="I58">_xlfn.XLOOKUP(Table118871730[[#This Row],[Opp]],Table2040[DEF],'2425'!$J$38:$J$69)</f>
        <v>#N/A</v>
      </c>
      <c r="J58" s="94" t="e" cm="1">
        <f t="array" ref="J58">_xlfn.XLOOKUP(Table118871730[[#This Row],[Opp]],Table2040[DEF],'2425'!$K$38:$K$69)</f>
        <v>#N/A</v>
      </c>
      <c r="K58" s="94" t="e" cm="1">
        <f t="array" ref="K58">_xlfn.XLOOKUP(Table118871730[[#This Row],[Opp]],Table2040[DEF],'2425'!$L$38:$L$69)</f>
        <v>#N/A</v>
      </c>
      <c r="L58" s="95" t="e">
        <f>_xlfn.XLOOKUP(Table118871730[[#This Row],[Opp]],Table2040[DEF],Table2040[R])</f>
        <v>#N/A</v>
      </c>
      <c r="M58" s="96" t="e">
        <f>_xlfn.XLOOKUP(Table118871730[[#This Row],[Opp]],Table2040[DEF],Table2040[REC])</f>
        <v>#N/A</v>
      </c>
      <c r="N58" s="95" t="e">
        <f>_xlfn.XLOOKUP(Table118871730[[#This Row],[Opp]],Table2040[DEF],Table2040[Y])</f>
        <v>#N/A</v>
      </c>
      <c r="O58" s="95" t="e">
        <f>_xlfn.XLOOKUP(Table118871730[[#This Row],[Opp]],Table2040[DEF],Table2040[R+R])</f>
        <v>#N/A</v>
      </c>
      <c r="P58" s="96" t="e">
        <f>_xlfn.XLOOKUP(Table118871730[[#This Row],[Opp]],Table2040[DEF],Table2040[TD])</f>
        <v>#N/A</v>
      </c>
      <c r="Q58" s="94" t="e">
        <f>AVERAGE(Table118871730[[#This Row],[*R*]:[*TD*]])</f>
        <v>#N/A</v>
      </c>
    </row>
    <row r="59" spans="2:17" hidden="1" x14ac:dyDescent="0.35">
      <c r="B59" s="6" t="s">
        <v>113</v>
      </c>
      <c r="C59" s="97" t="s">
        <v>0</v>
      </c>
      <c r="D59" s="97" t="s">
        <v>396</v>
      </c>
      <c r="E59" s="23" t="str" cm="1">
        <f t="array" ref="E59">_xlfn.XLOOKUP(Table118871730[[#This Row],[Team]],Table4334[Team],'2425'!$C$3:$C$34)</f>
        <v>n/a</v>
      </c>
      <c r="F59" s="97" t="str">
        <f>'2025'!$E$3</f>
        <v>n/a</v>
      </c>
      <c r="G59" s="94" t="e" cm="1">
        <f t="array" ref="G59">_xlfn.XLOOKUP(Table118871730[[#This Row],[Opp]],Table2040[DEF],'2425'!$H$38:$H$69)</f>
        <v>#N/A</v>
      </c>
      <c r="H59" s="94" t="e" cm="1">
        <f t="array" ref="H59">_xlfn.XLOOKUP(Table118871730[[#This Row],[Opp]],Table2040[DEF],'2425'!$I$38:$I$69)</f>
        <v>#N/A</v>
      </c>
      <c r="I59" s="94" t="e" cm="1">
        <f t="array" ref="I59">_xlfn.XLOOKUP(Table118871730[[#This Row],[Opp]],Table2040[DEF],'2425'!$J$38:$J$69)</f>
        <v>#N/A</v>
      </c>
      <c r="J59" s="94" t="e" cm="1">
        <f t="array" ref="J59">_xlfn.XLOOKUP(Table118871730[[#This Row],[Opp]],Table2040[DEF],'2425'!$K$38:$K$69)</f>
        <v>#N/A</v>
      </c>
      <c r="K59" s="94" t="e" cm="1">
        <f t="array" ref="K59">_xlfn.XLOOKUP(Table118871730[[#This Row],[Opp]],Table2040[DEF],'2425'!$L$38:$L$69)</f>
        <v>#N/A</v>
      </c>
      <c r="L59" s="95" t="e">
        <f>_xlfn.XLOOKUP(Table118871730[[#This Row],[Opp]],Table2040[DEF],Table2040[R])</f>
        <v>#N/A</v>
      </c>
      <c r="M59" s="96" t="e">
        <f>_xlfn.XLOOKUP(Table118871730[[#This Row],[Opp]],Table2040[DEF],Table2040[REC])</f>
        <v>#N/A</v>
      </c>
      <c r="N59" s="95" t="e">
        <f>_xlfn.XLOOKUP(Table118871730[[#This Row],[Opp]],Table2040[DEF],Table2040[Y])</f>
        <v>#N/A</v>
      </c>
      <c r="O59" s="95" t="e">
        <f>_xlfn.XLOOKUP(Table118871730[[#This Row],[Opp]],Table2040[DEF],Table2040[R+R])</f>
        <v>#N/A</v>
      </c>
      <c r="P59" s="96" t="e">
        <f>_xlfn.XLOOKUP(Table118871730[[#This Row],[Opp]],Table2040[DEF],Table2040[TD])</f>
        <v>#N/A</v>
      </c>
      <c r="Q59" s="94" t="e">
        <f>AVERAGE(Table118871730[[#This Row],[*R*]:[*TD*]])</f>
        <v>#N/A</v>
      </c>
    </row>
    <row r="60" spans="2:17" hidden="1" x14ac:dyDescent="0.35">
      <c r="B60" s="6" t="s">
        <v>118</v>
      </c>
      <c r="C60" s="97" t="s">
        <v>0</v>
      </c>
      <c r="D60" s="97" t="s">
        <v>407</v>
      </c>
      <c r="E60" s="23" t="str" cm="1">
        <f t="array" ref="E60">_xlfn.XLOOKUP(Table118871730[[#This Row],[Team]],Table4334[Team],'2425'!$C$3:$C$34)</f>
        <v>n/a</v>
      </c>
      <c r="F60" s="97" t="str">
        <f>'2025'!$E$3</f>
        <v>n/a</v>
      </c>
      <c r="G60" s="94" t="e" cm="1">
        <f t="array" ref="G60">_xlfn.XLOOKUP(Table118871730[[#This Row],[Opp]],Table2040[DEF],'2425'!$H$38:$H$69)</f>
        <v>#N/A</v>
      </c>
      <c r="H60" s="94" t="e" cm="1">
        <f t="array" ref="H60">_xlfn.XLOOKUP(Table118871730[[#This Row],[Opp]],Table2040[DEF],'2425'!$I$38:$I$69)</f>
        <v>#N/A</v>
      </c>
      <c r="I60" s="94" t="e" cm="1">
        <f t="array" ref="I60">_xlfn.XLOOKUP(Table118871730[[#This Row],[Opp]],Table2040[DEF],'2425'!$J$38:$J$69)</f>
        <v>#N/A</v>
      </c>
      <c r="J60" s="94" t="e" cm="1">
        <f t="array" ref="J60">_xlfn.XLOOKUP(Table118871730[[#This Row],[Opp]],Table2040[DEF],'2425'!$K$38:$K$69)</f>
        <v>#N/A</v>
      </c>
      <c r="K60" s="94" t="e" cm="1">
        <f t="array" ref="K60">_xlfn.XLOOKUP(Table118871730[[#This Row],[Opp]],Table2040[DEF],'2425'!$L$38:$L$69)</f>
        <v>#N/A</v>
      </c>
      <c r="L60" s="95" t="e">
        <f>_xlfn.XLOOKUP(Table118871730[[#This Row],[Opp]],Table2040[DEF],Table2040[R])</f>
        <v>#N/A</v>
      </c>
      <c r="M60" s="96" t="e">
        <f>_xlfn.XLOOKUP(Table118871730[[#This Row],[Opp]],Table2040[DEF],Table2040[REC])</f>
        <v>#N/A</v>
      </c>
      <c r="N60" s="95" t="e">
        <f>_xlfn.XLOOKUP(Table118871730[[#This Row],[Opp]],Table2040[DEF],Table2040[Y])</f>
        <v>#N/A</v>
      </c>
      <c r="O60" s="95" t="e">
        <f>_xlfn.XLOOKUP(Table118871730[[#This Row],[Opp]],Table2040[DEF],Table2040[R+R])</f>
        <v>#N/A</v>
      </c>
      <c r="P60" s="96" t="e">
        <f>_xlfn.XLOOKUP(Table118871730[[#This Row],[Opp]],Table2040[DEF],Table2040[TD])</f>
        <v>#N/A</v>
      </c>
      <c r="Q60" s="94" t="e">
        <f>AVERAGE(Table118871730[[#This Row],[*R*]:[*TD*]])</f>
        <v>#N/A</v>
      </c>
    </row>
    <row r="61" spans="2:17" hidden="1" x14ac:dyDescent="0.35">
      <c r="B61" s="6" t="s">
        <v>386</v>
      </c>
      <c r="C61" s="97" t="s">
        <v>56</v>
      </c>
      <c r="D61" s="97" t="s">
        <v>395</v>
      </c>
      <c r="E61" s="23" t="str" cm="1">
        <f t="array" ref="E61">_xlfn.XLOOKUP(Table118871730[[#This Row],[Team]],Table4334[Team],'2425'!$C$3:$C$34)</f>
        <v>n/a</v>
      </c>
      <c r="F61" s="97" t="str">
        <f>'2025'!$E$34</f>
        <v>n/a</v>
      </c>
      <c r="G61" s="94" t="e" cm="1">
        <f t="array" ref="G61">_xlfn.XLOOKUP(Table118871730[[#This Row],[Opp]],Table2040[DEF],'2425'!$H$38:$H$69)</f>
        <v>#N/A</v>
      </c>
      <c r="H61" s="94" t="e" cm="1">
        <f t="array" ref="H61">_xlfn.XLOOKUP(Table118871730[[#This Row],[Opp]],Table2040[DEF],'2425'!$I$38:$I$69)</f>
        <v>#N/A</v>
      </c>
      <c r="I61" s="94" t="e" cm="1">
        <f t="array" ref="I61">_xlfn.XLOOKUP(Table118871730[[#This Row],[Opp]],Table2040[DEF],'2425'!$J$38:$J$69)</f>
        <v>#N/A</v>
      </c>
      <c r="J61" s="94" t="e" cm="1">
        <f t="array" ref="J61">_xlfn.XLOOKUP(Table118871730[[#This Row],[Opp]],Table2040[DEF],'2425'!$K$38:$K$69)</f>
        <v>#N/A</v>
      </c>
      <c r="K61" s="94" t="e" cm="1">
        <f t="array" ref="K61">_xlfn.XLOOKUP(Table118871730[[#This Row],[Opp]],Table2040[DEF],'2425'!$L$38:$L$69)</f>
        <v>#N/A</v>
      </c>
      <c r="L61" s="95" t="e">
        <f>_xlfn.XLOOKUP(Table118871730[[#This Row],[Opp]],Table2040[DEF],Table2040[R])</f>
        <v>#N/A</v>
      </c>
      <c r="M61" s="96" t="e">
        <f>_xlfn.XLOOKUP(Table118871730[[#This Row],[Opp]],Table2040[DEF],Table2040[REC])</f>
        <v>#N/A</v>
      </c>
      <c r="N61" s="95" t="e">
        <f>_xlfn.XLOOKUP(Table118871730[[#This Row],[Opp]],Table2040[DEF],Table2040[Y])</f>
        <v>#N/A</v>
      </c>
      <c r="O61" s="95" t="e">
        <f>_xlfn.XLOOKUP(Table118871730[[#This Row],[Opp]],Table2040[DEF],Table2040[R+R])</f>
        <v>#N/A</v>
      </c>
      <c r="P61" s="96" t="e">
        <f>_xlfn.XLOOKUP(Table118871730[[#This Row],[Opp]],Table2040[DEF],Table2040[TD])</f>
        <v>#N/A</v>
      </c>
      <c r="Q61" s="94" t="e">
        <f>AVERAGE(Table118871730[[#This Row],[*R*]:[*TD*]])</f>
        <v>#N/A</v>
      </c>
    </row>
    <row r="62" spans="2:17" hidden="1" x14ac:dyDescent="0.35">
      <c r="B62" s="6" t="s">
        <v>296</v>
      </c>
      <c r="C62" s="97" t="s">
        <v>45</v>
      </c>
      <c r="D62" s="97" t="s">
        <v>394</v>
      </c>
      <c r="E62" s="23" t="str" cm="1">
        <f t="array" ref="E62">_xlfn.XLOOKUP(Table118871730[[#This Row],[Team]],Table4334[Team],'2425'!$C$3:$C$34)</f>
        <v>n/a</v>
      </c>
      <c r="F62" s="97" t="str">
        <f>'2025'!$E$23</f>
        <v>n/a</v>
      </c>
      <c r="G62" s="94" t="e" cm="1">
        <f t="array" ref="G62">_xlfn.XLOOKUP(Table118871730[[#This Row],[Opp]],Table2040[DEF],'2425'!$H$38:$H$69)</f>
        <v>#N/A</v>
      </c>
      <c r="H62" s="94" t="e" cm="1">
        <f t="array" ref="H62">_xlfn.XLOOKUP(Table118871730[[#This Row],[Opp]],Table2040[DEF],'2425'!$I$38:$I$69)</f>
        <v>#N/A</v>
      </c>
      <c r="I62" s="94" t="e" cm="1">
        <f t="array" ref="I62">_xlfn.XLOOKUP(Table118871730[[#This Row],[Opp]],Table2040[DEF],'2425'!$J$38:$J$69)</f>
        <v>#N/A</v>
      </c>
      <c r="J62" s="94" t="e" cm="1">
        <f t="array" ref="J62">_xlfn.XLOOKUP(Table118871730[[#This Row],[Opp]],Table2040[DEF],'2425'!$K$38:$K$69)</f>
        <v>#N/A</v>
      </c>
      <c r="K62" s="94" t="e" cm="1">
        <f t="array" ref="K62">_xlfn.XLOOKUP(Table118871730[[#This Row],[Opp]],Table2040[DEF],'2425'!$L$38:$L$69)</f>
        <v>#N/A</v>
      </c>
      <c r="L62" s="95" t="e">
        <f>_xlfn.XLOOKUP(Table118871730[[#This Row],[Opp]],Table2040[DEF],Table2040[R])</f>
        <v>#N/A</v>
      </c>
      <c r="M62" s="96" t="e">
        <f>_xlfn.XLOOKUP(Table118871730[[#This Row],[Opp]],Table2040[DEF],Table2040[REC])</f>
        <v>#N/A</v>
      </c>
      <c r="N62" s="95" t="e">
        <f>_xlfn.XLOOKUP(Table118871730[[#This Row],[Opp]],Table2040[DEF],Table2040[Y])</f>
        <v>#N/A</v>
      </c>
      <c r="O62" s="95" t="e">
        <f>_xlfn.XLOOKUP(Table118871730[[#This Row],[Opp]],Table2040[DEF],Table2040[R+R])</f>
        <v>#N/A</v>
      </c>
      <c r="P62" s="96" t="e">
        <f>_xlfn.XLOOKUP(Table118871730[[#This Row],[Opp]],Table2040[DEF],Table2040[TD])</f>
        <v>#N/A</v>
      </c>
      <c r="Q62" s="94" t="e">
        <f>AVERAGE(Table118871730[[#This Row],[*R*]:[*TD*]])</f>
        <v>#N/A</v>
      </c>
    </row>
    <row r="63" spans="2:17" hidden="1" x14ac:dyDescent="0.35">
      <c r="B63" s="6" t="s">
        <v>519</v>
      </c>
      <c r="C63" s="97" t="s">
        <v>45</v>
      </c>
      <c r="D63" s="97" t="s">
        <v>396</v>
      </c>
      <c r="E63" s="23" t="str" cm="1">
        <f t="array" ref="E63">_xlfn.XLOOKUP(Table118871730[[#This Row],[Team]],Table4334[Team],'2425'!$C$3:$C$34)</f>
        <v>n/a</v>
      </c>
      <c r="F63" s="97" t="str">
        <f>'2025'!$E$23</f>
        <v>n/a</v>
      </c>
      <c r="G63" s="94" t="e" cm="1">
        <f t="array" ref="G63">_xlfn.XLOOKUP(Table118871730[[#This Row],[Opp]],Table2040[DEF],'2425'!$H$38:$H$69)</f>
        <v>#N/A</v>
      </c>
      <c r="H63" s="94" t="e" cm="1">
        <f t="array" ref="H63">_xlfn.XLOOKUP(Table118871730[[#This Row],[Opp]],Table2040[DEF],'2425'!$I$38:$I$69)</f>
        <v>#N/A</v>
      </c>
      <c r="I63" s="94" t="e" cm="1">
        <f t="array" ref="I63">_xlfn.XLOOKUP(Table118871730[[#This Row],[Opp]],Table2040[DEF],'2425'!$J$38:$J$69)</f>
        <v>#N/A</v>
      </c>
      <c r="J63" s="94" t="e" cm="1">
        <f t="array" ref="J63">_xlfn.XLOOKUP(Table118871730[[#This Row],[Opp]],Table2040[DEF],'2425'!$K$38:$K$69)</f>
        <v>#N/A</v>
      </c>
      <c r="K63" s="94" t="e" cm="1">
        <f t="array" ref="K63">_xlfn.XLOOKUP(Table118871730[[#This Row],[Opp]],Table2040[DEF],'2425'!$L$38:$L$69)</f>
        <v>#N/A</v>
      </c>
      <c r="L63" s="95" t="e">
        <f>_xlfn.XLOOKUP(Table118871730[[#This Row],[Opp]],Table2040[DEF],Table2040[R])</f>
        <v>#N/A</v>
      </c>
      <c r="M63" s="96" t="e">
        <f>_xlfn.XLOOKUP(Table118871730[[#This Row],[Opp]],Table2040[DEF],Table2040[REC])</f>
        <v>#N/A</v>
      </c>
      <c r="N63" s="95" t="e">
        <f>_xlfn.XLOOKUP(Table118871730[[#This Row],[Opp]],Table2040[DEF],Table2040[Y])</f>
        <v>#N/A</v>
      </c>
      <c r="O63" s="95" t="e">
        <f>_xlfn.XLOOKUP(Table118871730[[#This Row],[Opp]],Table2040[DEF],Table2040[R+R])</f>
        <v>#N/A</v>
      </c>
      <c r="P63" s="96" t="e">
        <f>_xlfn.XLOOKUP(Table118871730[[#This Row],[Opp]],Table2040[DEF],Table2040[TD])</f>
        <v>#N/A</v>
      </c>
      <c r="Q63" s="94" t="e">
        <f>AVERAGE(Table118871730[[#This Row],[*R*]:[*TD*]])</f>
        <v>#N/A</v>
      </c>
    </row>
    <row r="64" spans="2:17" hidden="1" x14ac:dyDescent="0.35">
      <c r="B64" s="6" t="s">
        <v>294</v>
      </c>
      <c r="C64" s="97" t="s">
        <v>45</v>
      </c>
      <c r="D64" s="97" t="s">
        <v>407</v>
      </c>
      <c r="E64" s="23" t="str" cm="1">
        <f t="array" ref="E64">_xlfn.XLOOKUP(Table118871730[[#This Row],[Team]],Table4334[Team],'2425'!$C$3:$C$34)</f>
        <v>n/a</v>
      </c>
      <c r="F64" s="97" t="str">
        <f>'2025'!$E$23</f>
        <v>n/a</v>
      </c>
      <c r="G64" s="94" t="e" cm="1">
        <f t="array" ref="G64">_xlfn.XLOOKUP(Table118871730[[#This Row],[Opp]],Table2040[DEF],'2425'!$H$38:$H$69)</f>
        <v>#N/A</v>
      </c>
      <c r="H64" s="94" t="e" cm="1">
        <f t="array" ref="H64">_xlfn.XLOOKUP(Table118871730[[#This Row],[Opp]],Table2040[DEF],'2425'!$I$38:$I$69)</f>
        <v>#N/A</v>
      </c>
      <c r="I64" s="94" t="e" cm="1">
        <f t="array" ref="I64">_xlfn.XLOOKUP(Table118871730[[#This Row],[Opp]],Table2040[DEF],'2425'!$J$38:$J$69)</f>
        <v>#N/A</v>
      </c>
      <c r="J64" s="94" t="e" cm="1">
        <f t="array" ref="J64">_xlfn.XLOOKUP(Table118871730[[#This Row],[Opp]],Table2040[DEF],'2425'!$K$38:$K$69)</f>
        <v>#N/A</v>
      </c>
      <c r="K64" s="94" t="e" cm="1">
        <f t="array" ref="K64">_xlfn.XLOOKUP(Table118871730[[#This Row],[Opp]],Table2040[DEF],'2425'!$L$38:$L$69)</f>
        <v>#N/A</v>
      </c>
      <c r="L64" s="95" t="e">
        <f>_xlfn.XLOOKUP(Table118871730[[#This Row],[Opp]],Table2040[DEF],Table2040[R])</f>
        <v>#N/A</v>
      </c>
      <c r="M64" s="96" t="e">
        <f>_xlfn.XLOOKUP(Table118871730[[#This Row],[Opp]],Table2040[DEF],Table2040[REC])</f>
        <v>#N/A</v>
      </c>
      <c r="N64" s="95" t="e">
        <f>_xlfn.XLOOKUP(Table118871730[[#This Row],[Opp]],Table2040[DEF],Table2040[Y])</f>
        <v>#N/A</v>
      </c>
      <c r="O64" s="95" t="e">
        <f>_xlfn.XLOOKUP(Table118871730[[#This Row],[Opp]],Table2040[DEF],Table2040[R+R])</f>
        <v>#N/A</v>
      </c>
      <c r="P64" s="96" t="e">
        <f>_xlfn.XLOOKUP(Table118871730[[#This Row],[Opp]],Table2040[DEF],Table2040[TD])</f>
        <v>#N/A</v>
      </c>
      <c r="Q64" s="94" t="e">
        <f>AVERAGE(Table118871730[[#This Row],[*R*]:[*TD*]])</f>
        <v>#N/A</v>
      </c>
    </row>
    <row r="65" spans="2:17" x14ac:dyDescent="0.35">
      <c r="B65" s="6" t="s">
        <v>351</v>
      </c>
      <c r="C65" s="97" t="s">
        <v>52</v>
      </c>
      <c r="D65" s="97" t="s">
        <v>395</v>
      </c>
      <c r="E65" s="23" t="str" cm="1">
        <f t="array" ref="E65">_xlfn.XLOOKUP(Table118871730[[#This Row],[Team]],Table4334[Team],'2425'!$C$3:$C$34)</f>
        <v>SB LX</v>
      </c>
      <c r="F65" s="97" t="str">
        <f>'2025'!$E$30</f>
        <v>NE</v>
      </c>
      <c r="G65" s="94" cm="1">
        <f t="array" ref="G65">_xlfn.XLOOKUP(Table118871730[[#This Row],[Opp]],Table2040[DEF],'2425'!$H$38:$H$69)</f>
        <v>14.5</v>
      </c>
      <c r="H65" s="94" cm="1">
        <f t="array" ref="H65">_xlfn.XLOOKUP(Table118871730[[#This Row],[Opp]],Table2040[DEF],'2425'!$I$38:$I$69)</f>
        <v>20</v>
      </c>
      <c r="I65" s="94" cm="1">
        <f t="array" ref="I65">_xlfn.XLOOKUP(Table118871730[[#This Row],[Opp]],Table2040[DEF],'2425'!$J$38:$J$69)</f>
        <v>26</v>
      </c>
      <c r="J65" s="94" cm="1">
        <f t="array" ref="J65">_xlfn.XLOOKUP(Table118871730[[#This Row],[Opp]],Table2040[DEF],'2425'!$K$38:$K$69)</f>
        <v>20</v>
      </c>
      <c r="K65" s="94" cm="1">
        <f t="array" ref="K65">_xlfn.XLOOKUP(Table118871730[[#This Row],[Opp]],Table2040[DEF],'2425'!$L$38:$L$69)</f>
        <v>16</v>
      </c>
      <c r="L65" s="95">
        <f>_xlfn.XLOOKUP(Table118871730[[#This Row],[Opp]],Table2040[DEF],Table2040[R])</f>
        <v>96.558823529411768</v>
      </c>
      <c r="M65" s="96">
        <f>_xlfn.XLOOKUP(Table118871730[[#This Row],[Opp]],Table2040[DEF],Table2040[REC])</f>
        <v>4.0882352941176467</v>
      </c>
      <c r="N65" s="95">
        <f>_xlfn.XLOOKUP(Table118871730[[#This Row],[Opp]],Table2040[DEF],Table2040[Y])</f>
        <v>27.294117647058826</v>
      </c>
      <c r="O65" s="95">
        <f>_xlfn.XLOOKUP(Table118871730[[#This Row],[Opp]],Table2040[DEF],Table2040[R+R])</f>
        <v>123.85294117647059</v>
      </c>
      <c r="P65" s="96">
        <f>_xlfn.XLOOKUP(Table118871730[[#This Row],[Opp]],Table2040[DEF],Table2040[TD])</f>
        <v>0.91176470588235303</v>
      </c>
      <c r="Q65" s="94">
        <f>AVERAGE(Table118871730[[#This Row],[*R*]:[*TD*]])</f>
        <v>19.3</v>
      </c>
    </row>
    <row r="66" spans="2:17" hidden="1" x14ac:dyDescent="0.35">
      <c r="B66" s="6" t="s">
        <v>201</v>
      </c>
      <c r="C66" s="97" t="s">
        <v>35</v>
      </c>
      <c r="D66" s="97" t="s">
        <v>394</v>
      </c>
      <c r="E66" s="23" t="str" cm="1">
        <f t="array" ref="E66">_xlfn.XLOOKUP(Table118871730[[#This Row],[Team]],Table4334[Team],'2425'!$C$3:$C$34)</f>
        <v>n/a</v>
      </c>
      <c r="F66" s="97" t="str">
        <f>'2025'!$E$13</f>
        <v>n/a</v>
      </c>
      <c r="G66" s="94" t="e" cm="1">
        <f t="array" ref="G66">_xlfn.XLOOKUP(Table118871730[[#This Row],[Opp]],Table2040[DEF],'2425'!$H$38:$H$69)</f>
        <v>#N/A</v>
      </c>
      <c r="H66" s="94" t="e" cm="1">
        <f t="array" ref="H66">_xlfn.XLOOKUP(Table118871730[[#This Row],[Opp]],Table2040[DEF],'2425'!$I$38:$I$69)</f>
        <v>#N/A</v>
      </c>
      <c r="I66" s="94" t="e" cm="1">
        <f t="array" ref="I66">_xlfn.XLOOKUP(Table118871730[[#This Row],[Opp]],Table2040[DEF],'2425'!$J$38:$J$69)</f>
        <v>#N/A</v>
      </c>
      <c r="J66" s="94" t="e" cm="1">
        <f t="array" ref="J66">_xlfn.XLOOKUP(Table118871730[[#This Row],[Opp]],Table2040[DEF],'2425'!$K$38:$K$69)</f>
        <v>#N/A</v>
      </c>
      <c r="K66" s="94" t="e" cm="1">
        <f t="array" ref="K66">_xlfn.XLOOKUP(Table118871730[[#This Row],[Opp]],Table2040[DEF],'2425'!$L$38:$L$69)</f>
        <v>#N/A</v>
      </c>
      <c r="L66" s="95" t="e">
        <f>_xlfn.XLOOKUP(Table118871730[[#This Row],[Opp]],Table2040[DEF],Table2040[R])</f>
        <v>#N/A</v>
      </c>
      <c r="M66" s="96" t="e">
        <f>_xlfn.XLOOKUP(Table118871730[[#This Row],[Opp]],Table2040[DEF],Table2040[REC])</f>
        <v>#N/A</v>
      </c>
      <c r="N66" s="95" t="e">
        <f>_xlfn.XLOOKUP(Table118871730[[#This Row],[Opp]],Table2040[DEF],Table2040[Y])</f>
        <v>#N/A</v>
      </c>
      <c r="O66" s="95" t="e">
        <f>_xlfn.XLOOKUP(Table118871730[[#This Row],[Opp]],Table2040[DEF],Table2040[R+R])</f>
        <v>#N/A</v>
      </c>
      <c r="P66" s="96" t="e">
        <f>_xlfn.XLOOKUP(Table118871730[[#This Row],[Opp]],Table2040[DEF],Table2040[TD])</f>
        <v>#N/A</v>
      </c>
      <c r="Q66" s="94" t="e">
        <f>AVERAGE(Table118871730[[#This Row],[*R*]:[*TD*]])</f>
        <v>#N/A</v>
      </c>
    </row>
    <row r="67" spans="2:17" hidden="1" x14ac:dyDescent="0.35">
      <c r="B67" s="144" t="s">
        <v>503</v>
      </c>
      <c r="C67" s="97" t="s">
        <v>35</v>
      </c>
      <c r="D67" s="97" t="s">
        <v>396</v>
      </c>
      <c r="E67" s="23" t="str" cm="1">
        <f t="array" ref="E67">_xlfn.XLOOKUP(Table118871730[[#This Row],[Team]],Table4334[Team],'2425'!$C$3:$C$34)</f>
        <v>n/a</v>
      </c>
      <c r="F67" s="97" t="str">
        <f>'2025'!$E$13</f>
        <v>n/a</v>
      </c>
      <c r="G67" s="94" t="e" cm="1">
        <f t="array" ref="G67">_xlfn.XLOOKUP(Table118871730[[#This Row],[Opp]],Table2040[DEF],'2425'!$H$38:$H$69)</f>
        <v>#N/A</v>
      </c>
      <c r="H67" s="94" t="e" cm="1">
        <f t="array" ref="H67">_xlfn.XLOOKUP(Table118871730[[#This Row],[Opp]],Table2040[DEF],'2425'!$I$38:$I$69)</f>
        <v>#N/A</v>
      </c>
      <c r="I67" s="94" t="e" cm="1">
        <f t="array" ref="I67">_xlfn.XLOOKUP(Table118871730[[#This Row],[Opp]],Table2040[DEF],'2425'!$J$38:$J$69)</f>
        <v>#N/A</v>
      </c>
      <c r="J67" s="94" t="e" cm="1">
        <f t="array" ref="J67">_xlfn.XLOOKUP(Table118871730[[#This Row],[Opp]],Table2040[DEF],'2425'!$K$38:$K$69)</f>
        <v>#N/A</v>
      </c>
      <c r="K67" s="94" t="e" cm="1">
        <f t="array" ref="K67">_xlfn.XLOOKUP(Table118871730[[#This Row],[Opp]],Table2040[DEF],'2425'!$L$38:$L$69)</f>
        <v>#N/A</v>
      </c>
      <c r="L67" s="95" t="e">
        <f>_xlfn.XLOOKUP(Table118871730[[#This Row],[Opp]],Table2040[DEF],Table2040[R])</f>
        <v>#N/A</v>
      </c>
      <c r="M67" s="96" t="e">
        <f>_xlfn.XLOOKUP(Table118871730[[#This Row],[Opp]],Table2040[DEF],Table2040[REC])</f>
        <v>#N/A</v>
      </c>
      <c r="N67" s="95" t="e">
        <f>_xlfn.XLOOKUP(Table118871730[[#This Row],[Opp]],Table2040[DEF],Table2040[Y])</f>
        <v>#N/A</v>
      </c>
      <c r="O67" s="95" t="e">
        <f>_xlfn.XLOOKUP(Table118871730[[#This Row],[Opp]],Table2040[DEF],Table2040[R+R])</f>
        <v>#N/A</v>
      </c>
      <c r="P67" s="96" t="e">
        <f>_xlfn.XLOOKUP(Table118871730[[#This Row],[Opp]],Table2040[DEF],Table2040[TD])</f>
        <v>#N/A</v>
      </c>
      <c r="Q67" s="94" t="e">
        <f>AVERAGE(Table118871730[[#This Row],[*R*]:[*TD*]])</f>
        <v>#N/A</v>
      </c>
    </row>
    <row r="68" spans="2:17" hidden="1" x14ac:dyDescent="0.35">
      <c r="B68" s="6" t="s">
        <v>504</v>
      </c>
      <c r="C68" s="97" t="s">
        <v>35</v>
      </c>
      <c r="D68" s="97" t="s">
        <v>407</v>
      </c>
      <c r="E68" s="23" t="str" cm="1">
        <f t="array" ref="E68">_xlfn.XLOOKUP(Table118871730[[#This Row],[Team]],Table4334[Team],'2425'!$C$3:$C$34)</f>
        <v>n/a</v>
      </c>
      <c r="F68" s="97" t="str">
        <f>'2025'!$E$13</f>
        <v>n/a</v>
      </c>
      <c r="G68" s="94" t="e" cm="1">
        <f t="array" ref="G68">_xlfn.XLOOKUP(Table118871730[[#This Row],[Opp]],Table2040[DEF],'2425'!$H$38:$H$69)</f>
        <v>#N/A</v>
      </c>
      <c r="H68" s="94" t="e" cm="1">
        <f t="array" ref="H68">_xlfn.XLOOKUP(Table118871730[[#This Row],[Opp]],Table2040[DEF],'2425'!$I$38:$I$69)</f>
        <v>#N/A</v>
      </c>
      <c r="I68" s="94" t="e" cm="1">
        <f t="array" ref="I68">_xlfn.XLOOKUP(Table118871730[[#This Row],[Opp]],Table2040[DEF],'2425'!$J$38:$J$69)</f>
        <v>#N/A</v>
      </c>
      <c r="J68" s="94" t="e" cm="1">
        <f t="array" ref="J68">_xlfn.XLOOKUP(Table118871730[[#This Row],[Opp]],Table2040[DEF],'2425'!$K$38:$K$69)</f>
        <v>#N/A</v>
      </c>
      <c r="K68" s="94" t="e" cm="1">
        <f t="array" ref="K68">_xlfn.XLOOKUP(Table118871730[[#This Row],[Opp]],Table2040[DEF],'2425'!$L$38:$L$69)</f>
        <v>#N/A</v>
      </c>
      <c r="L68" s="95" t="e">
        <f>_xlfn.XLOOKUP(Table118871730[[#This Row],[Opp]],Table2040[DEF],Table2040[R])</f>
        <v>#N/A</v>
      </c>
      <c r="M68" s="96" t="e">
        <f>_xlfn.XLOOKUP(Table118871730[[#This Row],[Opp]],Table2040[DEF],Table2040[REC])</f>
        <v>#N/A</v>
      </c>
      <c r="N68" s="95" t="e">
        <f>_xlfn.XLOOKUP(Table118871730[[#This Row],[Opp]],Table2040[DEF],Table2040[Y])</f>
        <v>#N/A</v>
      </c>
      <c r="O68" s="95" t="e">
        <f>_xlfn.XLOOKUP(Table118871730[[#This Row],[Opp]],Table2040[DEF],Table2040[R+R])</f>
        <v>#N/A</v>
      </c>
      <c r="P68" s="96" t="e">
        <f>_xlfn.XLOOKUP(Table118871730[[#This Row],[Opp]],Table2040[DEF],Table2040[TD])</f>
        <v>#N/A</v>
      </c>
      <c r="Q68" s="94" t="e">
        <f>AVERAGE(Table118871730[[#This Row],[*R*]:[*TD*]])</f>
        <v>#N/A</v>
      </c>
    </row>
    <row r="69" spans="2:17" hidden="1" x14ac:dyDescent="0.35">
      <c r="B69" s="6" t="s">
        <v>276</v>
      </c>
      <c r="C69" s="97" t="s">
        <v>43</v>
      </c>
      <c r="D69" s="97" t="s">
        <v>395</v>
      </c>
      <c r="E69" s="23" t="str" cm="1">
        <f t="array" ref="E69">_xlfn.XLOOKUP(Table118871730[[#This Row],[Team]],Table4334[Team],'2425'!$C$3:$C$34)</f>
        <v>n/a</v>
      </c>
      <c r="F69" s="97" t="str">
        <f>'2025'!$E$21</f>
        <v>n/a</v>
      </c>
      <c r="G69" s="94" t="e" cm="1">
        <f t="array" ref="G69">_xlfn.XLOOKUP(Table118871730[[#This Row],[Opp]],Table2040[DEF],'2425'!$H$38:$H$69)</f>
        <v>#N/A</v>
      </c>
      <c r="H69" s="94" t="e" cm="1">
        <f t="array" ref="H69">_xlfn.XLOOKUP(Table118871730[[#This Row],[Opp]],Table2040[DEF],'2425'!$I$38:$I$69)</f>
        <v>#N/A</v>
      </c>
      <c r="I69" s="94" t="e" cm="1">
        <f t="array" ref="I69">_xlfn.XLOOKUP(Table118871730[[#This Row],[Opp]],Table2040[DEF],'2425'!$J$38:$J$69)</f>
        <v>#N/A</v>
      </c>
      <c r="J69" s="94" t="e" cm="1">
        <f t="array" ref="J69">_xlfn.XLOOKUP(Table118871730[[#This Row],[Opp]],Table2040[DEF],'2425'!$K$38:$K$69)</f>
        <v>#N/A</v>
      </c>
      <c r="K69" s="94" t="e" cm="1">
        <f t="array" ref="K69">_xlfn.XLOOKUP(Table118871730[[#This Row],[Opp]],Table2040[DEF],'2425'!$L$38:$L$69)</f>
        <v>#N/A</v>
      </c>
      <c r="L69" s="95" t="e">
        <f>_xlfn.XLOOKUP(Table118871730[[#This Row],[Opp]],Table2040[DEF],Table2040[R])</f>
        <v>#N/A</v>
      </c>
      <c r="M69" s="96" t="e">
        <f>_xlfn.XLOOKUP(Table118871730[[#This Row],[Opp]],Table2040[DEF],Table2040[REC])</f>
        <v>#N/A</v>
      </c>
      <c r="N69" s="95" t="e">
        <f>_xlfn.XLOOKUP(Table118871730[[#This Row],[Opp]],Table2040[DEF],Table2040[Y])</f>
        <v>#N/A</v>
      </c>
      <c r="O69" s="95" t="e">
        <f>_xlfn.XLOOKUP(Table118871730[[#This Row],[Opp]],Table2040[DEF],Table2040[R+R])</f>
        <v>#N/A</v>
      </c>
      <c r="P69" s="96" t="e">
        <f>_xlfn.XLOOKUP(Table118871730[[#This Row],[Opp]],Table2040[DEF],Table2040[TD])</f>
        <v>#N/A</v>
      </c>
      <c r="Q69" s="94" t="e">
        <f>AVERAGE(Table118871730[[#This Row],[*R*]:[*TD*]])</f>
        <v>#N/A</v>
      </c>
    </row>
    <row r="70" spans="2:17" hidden="1" x14ac:dyDescent="0.35">
      <c r="B70" s="6" t="s">
        <v>237</v>
      </c>
      <c r="C70" s="97" t="s">
        <v>39</v>
      </c>
      <c r="D70" s="97" t="s">
        <v>394</v>
      </c>
      <c r="E70" s="23" t="str" cm="1">
        <f t="array" ref="E70">_xlfn.XLOOKUP(Table118871730[[#This Row],[Team]],Table4334[Team],'2425'!$C$3:$C$34)</f>
        <v>n/a</v>
      </c>
      <c r="F70" s="97" t="str">
        <f>'2025'!$E$17</f>
        <v>n/a</v>
      </c>
      <c r="G70" s="94" t="e" cm="1">
        <f t="array" ref="G70">_xlfn.XLOOKUP(Table118871730[[#This Row],[Opp]],Table2040[DEF],'2425'!$H$38:$H$69)</f>
        <v>#N/A</v>
      </c>
      <c r="H70" s="94" t="e" cm="1">
        <f t="array" ref="H70">_xlfn.XLOOKUP(Table118871730[[#This Row],[Opp]],Table2040[DEF],'2425'!$I$38:$I$69)</f>
        <v>#N/A</v>
      </c>
      <c r="I70" s="94" t="e" cm="1">
        <f t="array" ref="I70">_xlfn.XLOOKUP(Table118871730[[#This Row],[Opp]],Table2040[DEF],'2425'!$J$38:$J$69)</f>
        <v>#N/A</v>
      </c>
      <c r="J70" s="94" t="e" cm="1">
        <f t="array" ref="J70">_xlfn.XLOOKUP(Table118871730[[#This Row],[Opp]],Table2040[DEF],'2425'!$K$38:$K$69)</f>
        <v>#N/A</v>
      </c>
      <c r="K70" s="94" t="e" cm="1">
        <f t="array" ref="K70">_xlfn.XLOOKUP(Table118871730[[#This Row],[Opp]],Table2040[DEF],'2425'!$L$38:$L$69)</f>
        <v>#N/A</v>
      </c>
      <c r="L70" s="95" t="e">
        <f>_xlfn.XLOOKUP(Table118871730[[#This Row],[Opp]],Table2040[DEF],Table2040[R])</f>
        <v>#N/A</v>
      </c>
      <c r="M70" s="96" t="e">
        <f>_xlfn.XLOOKUP(Table118871730[[#This Row],[Opp]],Table2040[DEF],Table2040[REC])</f>
        <v>#N/A</v>
      </c>
      <c r="N70" s="95" t="e">
        <f>_xlfn.XLOOKUP(Table118871730[[#This Row],[Opp]],Table2040[DEF],Table2040[Y])</f>
        <v>#N/A</v>
      </c>
      <c r="O70" s="95" t="e">
        <f>_xlfn.XLOOKUP(Table118871730[[#This Row],[Opp]],Table2040[DEF],Table2040[R+R])</f>
        <v>#N/A</v>
      </c>
      <c r="P70" s="96" t="e">
        <f>_xlfn.XLOOKUP(Table118871730[[#This Row],[Opp]],Table2040[DEF],Table2040[TD])</f>
        <v>#N/A</v>
      </c>
      <c r="Q70" s="94" t="e">
        <f>AVERAGE(Table118871730[[#This Row],[*R*]:[*TD*]])</f>
        <v>#N/A</v>
      </c>
    </row>
    <row r="71" spans="2:17" hidden="1" x14ac:dyDescent="0.35">
      <c r="B71" s="6" t="s">
        <v>624</v>
      </c>
      <c r="C71" s="97" t="s">
        <v>39</v>
      </c>
      <c r="D71" s="97" t="s">
        <v>396</v>
      </c>
      <c r="E71" s="23" t="str" cm="1">
        <f t="array" ref="E71">_xlfn.XLOOKUP(Table118871730[[#This Row],[Team]],Table4334[Team],'2425'!$C$3:$C$34)</f>
        <v>n/a</v>
      </c>
      <c r="F71" s="97" t="str">
        <f>'2025'!$E$17</f>
        <v>n/a</v>
      </c>
      <c r="G71" s="94" t="e" cm="1">
        <f t="array" ref="G71">_xlfn.XLOOKUP(Table118871730[[#This Row],[Opp]],Table2040[DEF],'2425'!$H$38:$H$69)</f>
        <v>#N/A</v>
      </c>
      <c r="H71" s="94" t="e" cm="1">
        <f t="array" ref="H71">_xlfn.XLOOKUP(Table118871730[[#This Row],[Opp]],Table2040[DEF],'2425'!$I$38:$I$69)</f>
        <v>#N/A</v>
      </c>
      <c r="I71" s="94" t="e" cm="1">
        <f t="array" ref="I71">_xlfn.XLOOKUP(Table118871730[[#This Row],[Opp]],Table2040[DEF],'2425'!$J$38:$J$69)</f>
        <v>#N/A</v>
      </c>
      <c r="J71" s="94" t="e" cm="1">
        <f t="array" ref="J71">_xlfn.XLOOKUP(Table118871730[[#This Row],[Opp]],Table2040[DEF],'2425'!$K$38:$K$69)</f>
        <v>#N/A</v>
      </c>
      <c r="K71" s="94" t="e" cm="1">
        <f t="array" ref="K71">_xlfn.XLOOKUP(Table118871730[[#This Row],[Opp]],Table2040[DEF],'2425'!$L$38:$L$69)</f>
        <v>#N/A</v>
      </c>
      <c r="L71" s="95" t="e">
        <f>_xlfn.XLOOKUP(Table118871730[[#This Row],[Opp]],Table2040[DEF],Table2040[R])</f>
        <v>#N/A</v>
      </c>
      <c r="M71" s="96" t="e">
        <f>_xlfn.XLOOKUP(Table118871730[[#This Row],[Opp]],Table2040[DEF],Table2040[REC])</f>
        <v>#N/A</v>
      </c>
      <c r="N71" s="95" t="e">
        <f>_xlfn.XLOOKUP(Table118871730[[#This Row],[Opp]],Table2040[DEF],Table2040[Y])</f>
        <v>#N/A</v>
      </c>
      <c r="O71" s="95" t="e">
        <f>_xlfn.XLOOKUP(Table118871730[[#This Row],[Opp]],Table2040[DEF],Table2040[R+R])</f>
        <v>#N/A</v>
      </c>
      <c r="P71" s="96" t="e">
        <f>_xlfn.XLOOKUP(Table118871730[[#This Row],[Opp]],Table2040[DEF],Table2040[TD])</f>
        <v>#N/A</v>
      </c>
      <c r="Q71" s="94" t="e">
        <f>AVERAGE(Table118871730[[#This Row],[*R*]:[*TD*]])</f>
        <v>#N/A</v>
      </c>
    </row>
    <row r="72" spans="2:17" hidden="1" x14ac:dyDescent="0.35">
      <c r="B72" s="6" t="s">
        <v>238</v>
      </c>
      <c r="C72" s="97" t="s">
        <v>39</v>
      </c>
      <c r="D72" s="97" t="s">
        <v>407</v>
      </c>
      <c r="E72" s="23" t="str" cm="1">
        <f t="array" ref="E72">_xlfn.XLOOKUP(Table118871730[[#This Row],[Team]],Table4334[Team],'2425'!$C$3:$C$34)</f>
        <v>n/a</v>
      </c>
      <c r="F72" s="97" t="str">
        <f>'2025'!$E$17</f>
        <v>n/a</v>
      </c>
      <c r="G72" s="94" t="e" cm="1">
        <f t="array" ref="G72">_xlfn.XLOOKUP(Table118871730[[#This Row],[Opp]],Table2040[DEF],'2425'!$H$38:$H$69)</f>
        <v>#N/A</v>
      </c>
      <c r="H72" s="94" t="e" cm="1">
        <f t="array" ref="H72">_xlfn.XLOOKUP(Table118871730[[#This Row],[Opp]],Table2040[DEF],'2425'!$I$38:$I$69)</f>
        <v>#N/A</v>
      </c>
      <c r="I72" s="94" t="e" cm="1">
        <f t="array" ref="I72">_xlfn.XLOOKUP(Table118871730[[#This Row],[Opp]],Table2040[DEF],'2425'!$J$38:$J$69)</f>
        <v>#N/A</v>
      </c>
      <c r="J72" s="94" t="e" cm="1">
        <f t="array" ref="J72">_xlfn.XLOOKUP(Table118871730[[#This Row],[Opp]],Table2040[DEF],'2425'!$K$38:$K$69)</f>
        <v>#N/A</v>
      </c>
      <c r="K72" s="94" t="e" cm="1">
        <f t="array" ref="K72">_xlfn.XLOOKUP(Table118871730[[#This Row],[Opp]],Table2040[DEF],'2425'!$L$38:$L$69)</f>
        <v>#N/A</v>
      </c>
      <c r="L72" s="95" t="e">
        <f>_xlfn.XLOOKUP(Table118871730[[#This Row],[Opp]],Table2040[DEF],Table2040[R])</f>
        <v>#N/A</v>
      </c>
      <c r="M72" s="96" t="e">
        <f>_xlfn.XLOOKUP(Table118871730[[#This Row],[Opp]],Table2040[DEF],Table2040[REC])</f>
        <v>#N/A</v>
      </c>
      <c r="N72" s="95" t="e">
        <f>_xlfn.XLOOKUP(Table118871730[[#This Row],[Opp]],Table2040[DEF],Table2040[Y])</f>
        <v>#N/A</v>
      </c>
      <c r="O72" s="95" t="e">
        <f>_xlfn.XLOOKUP(Table118871730[[#This Row],[Opp]],Table2040[DEF],Table2040[R+R])</f>
        <v>#N/A</v>
      </c>
      <c r="P72" s="96" t="e">
        <f>_xlfn.XLOOKUP(Table118871730[[#This Row],[Opp]],Table2040[DEF],Table2040[TD])</f>
        <v>#N/A</v>
      </c>
      <c r="Q72" s="94" t="e">
        <f>AVERAGE(Table118871730[[#This Row],[*R*]:[*TD*]])</f>
        <v>#N/A</v>
      </c>
    </row>
    <row r="73" spans="2:17" hidden="1" x14ac:dyDescent="0.35">
      <c r="B73" s="6" t="s">
        <v>554</v>
      </c>
      <c r="C73" s="97" t="s">
        <v>0</v>
      </c>
      <c r="D73" s="97" t="s">
        <v>395</v>
      </c>
      <c r="E73" s="23" t="str" cm="1">
        <f t="array" ref="E73">_xlfn.XLOOKUP(Table118871730[[#This Row],[Team]],Table4334[Team],'2425'!$C$3:$C$34)</f>
        <v>n/a</v>
      </c>
      <c r="F73" s="97" t="str">
        <f>'2025'!$E$3</f>
        <v>n/a</v>
      </c>
      <c r="G73" s="94" t="e" cm="1">
        <f t="array" ref="G73">_xlfn.XLOOKUP(Table118871730[[#This Row],[Opp]],Table2040[DEF],'2425'!$H$38:$H$69)</f>
        <v>#N/A</v>
      </c>
      <c r="H73" s="94" t="e" cm="1">
        <f t="array" ref="H73">_xlfn.XLOOKUP(Table118871730[[#This Row],[Opp]],Table2040[DEF],'2425'!$I$38:$I$69)</f>
        <v>#N/A</v>
      </c>
      <c r="I73" s="94" t="e" cm="1">
        <f t="array" ref="I73">_xlfn.XLOOKUP(Table118871730[[#This Row],[Opp]],Table2040[DEF],'2425'!$J$38:$J$69)</f>
        <v>#N/A</v>
      </c>
      <c r="J73" s="94" t="e" cm="1">
        <f t="array" ref="J73">_xlfn.XLOOKUP(Table118871730[[#This Row],[Opp]],Table2040[DEF],'2425'!$K$38:$K$69)</f>
        <v>#N/A</v>
      </c>
      <c r="K73" s="94" t="e" cm="1">
        <f t="array" ref="K73">_xlfn.XLOOKUP(Table118871730[[#This Row],[Opp]],Table2040[DEF],'2425'!$L$38:$L$69)</f>
        <v>#N/A</v>
      </c>
      <c r="L73" s="95" t="e">
        <f>_xlfn.XLOOKUP(Table118871730[[#This Row],[Opp]],Table2040[DEF],Table2040[R])</f>
        <v>#N/A</v>
      </c>
      <c r="M73" s="96" t="e">
        <f>_xlfn.XLOOKUP(Table118871730[[#This Row],[Opp]],Table2040[DEF],Table2040[REC])</f>
        <v>#N/A</v>
      </c>
      <c r="N73" s="95" t="e">
        <f>_xlfn.XLOOKUP(Table118871730[[#This Row],[Opp]],Table2040[DEF],Table2040[Y])</f>
        <v>#N/A</v>
      </c>
      <c r="O73" s="95" t="e">
        <f>_xlfn.XLOOKUP(Table118871730[[#This Row],[Opp]],Table2040[DEF],Table2040[R+R])</f>
        <v>#N/A</v>
      </c>
      <c r="P73" s="96" t="e">
        <f>_xlfn.XLOOKUP(Table118871730[[#This Row],[Opp]],Table2040[DEF],Table2040[TD])</f>
        <v>#N/A</v>
      </c>
      <c r="Q73" s="94" t="e">
        <f>AVERAGE(Table118871730[[#This Row],[*R*]:[*TD*]])</f>
        <v>#N/A</v>
      </c>
    </row>
    <row r="74" spans="2:17" hidden="1" x14ac:dyDescent="0.35">
      <c r="B74" s="6" t="s">
        <v>162</v>
      </c>
      <c r="C74" s="97" t="s">
        <v>31</v>
      </c>
      <c r="D74" s="97" t="s">
        <v>394</v>
      </c>
      <c r="E74" s="23" t="str" cm="1">
        <f t="array" ref="E74">_xlfn.XLOOKUP(Table118871730[[#This Row],[Team]],Table4334[Team],'2425'!$C$3:$C$34)</f>
        <v>n/a</v>
      </c>
      <c r="F74" s="97" t="str">
        <f>'2025'!$E$9</f>
        <v>n/a</v>
      </c>
      <c r="G74" s="94" t="e" cm="1">
        <f t="array" ref="G74">_xlfn.XLOOKUP(Table118871730[[#This Row],[Opp]],Table2040[DEF],'2425'!$H$38:$H$69)</f>
        <v>#N/A</v>
      </c>
      <c r="H74" s="94" t="e" cm="1">
        <f t="array" ref="H74">_xlfn.XLOOKUP(Table118871730[[#This Row],[Opp]],Table2040[DEF],'2425'!$I$38:$I$69)</f>
        <v>#N/A</v>
      </c>
      <c r="I74" s="94" t="e" cm="1">
        <f t="array" ref="I74">_xlfn.XLOOKUP(Table118871730[[#This Row],[Opp]],Table2040[DEF],'2425'!$J$38:$J$69)</f>
        <v>#N/A</v>
      </c>
      <c r="J74" s="94" t="e" cm="1">
        <f t="array" ref="J74">_xlfn.XLOOKUP(Table118871730[[#This Row],[Opp]],Table2040[DEF],'2425'!$K$38:$K$69)</f>
        <v>#N/A</v>
      </c>
      <c r="K74" s="94" t="e" cm="1">
        <f t="array" ref="K74">_xlfn.XLOOKUP(Table118871730[[#This Row],[Opp]],Table2040[DEF],'2425'!$L$38:$L$69)</f>
        <v>#N/A</v>
      </c>
      <c r="L74" s="95" t="e">
        <f>_xlfn.XLOOKUP(Table118871730[[#This Row],[Opp]],Table2040[DEF],Table2040[R])</f>
        <v>#N/A</v>
      </c>
      <c r="M74" s="96" t="e">
        <f>_xlfn.XLOOKUP(Table118871730[[#This Row],[Opp]],Table2040[DEF],Table2040[REC])</f>
        <v>#N/A</v>
      </c>
      <c r="N74" s="95" t="e">
        <f>_xlfn.XLOOKUP(Table118871730[[#This Row],[Opp]],Table2040[DEF],Table2040[Y])</f>
        <v>#N/A</v>
      </c>
      <c r="O74" s="95" t="e">
        <f>_xlfn.XLOOKUP(Table118871730[[#This Row],[Opp]],Table2040[DEF],Table2040[R+R])</f>
        <v>#N/A</v>
      </c>
      <c r="P74" s="96" t="e">
        <f>_xlfn.XLOOKUP(Table118871730[[#This Row],[Opp]],Table2040[DEF],Table2040[TD])</f>
        <v>#N/A</v>
      </c>
      <c r="Q74" s="94" t="e">
        <f>AVERAGE(Table118871730[[#This Row],[*R*]:[*TD*]])</f>
        <v>#N/A</v>
      </c>
    </row>
    <row r="75" spans="2:17" hidden="1" x14ac:dyDescent="0.35">
      <c r="B75" s="6" t="s">
        <v>163</v>
      </c>
      <c r="C75" s="97" t="s">
        <v>31</v>
      </c>
      <c r="D75" s="97" t="s">
        <v>396</v>
      </c>
      <c r="E75" s="23" t="str" cm="1">
        <f t="array" ref="E75">_xlfn.XLOOKUP(Table118871730[[#This Row],[Team]],Table4334[Team],'2425'!$C$3:$C$34)</f>
        <v>n/a</v>
      </c>
      <c r="F75" s="97" t="str">
        <f>'2025'!$E$9</f>
        <v>n/a</v>
      </c>
      <c r="G75" s="94" t="e" cm="1">
        <f t="array" ref="G75">_xlfn.XLOOKUP(Table118871730[[#This Row],[Opp]],Table2040[DEF],'2425'!$H$38:$H$69)</f>
        <v>#N/A</v>
      </c>
      <c r="H75" s="94" t="e" cm="1">
        <f t="array" ref="H75">_xlfn.XLOOKUP(Table118871730[[#This Row],[Opp]],Table2040[DEF],'2425'!$I$38:$I$69)</f>
        <v>#N/A</v>
      </c>
      <c r="I75" s="94" t="e" cm="1">
        <f t="array" ref="I75">_xlfn.XLOOKUP(Table118871730[[#This Row],[Opp]],Table2040[DEF],'2425'!$J$38:$J$69)</f>
        <v>#N/A</v>
      </c>
      <c r="J75" s="94" t="e" cm="1">
        <f t="array" ref="J75">_xlfn.XLOOKUP(Table118871730[[#This Row],[Opp]],Table2040[DEF],'2425'!$K$38:$K$69)</f>
        <v>#N/A</v>
      </c>
      <c r="K75" s="94" t="e" cm="1">
        <f t="array" ref="K75">_xlfn.XLOOKUP(Table118871730[[#This Row],[Opp]],Table2040[DEF],'2425'!$L$38:$L$69)</f>
        <v>#N/A</v>
      </c>
      <c r="L75" s="95" t="e">
        <f>_xlfn.XLOOKUP(Table118871730[[#This Row],[Opp]],Table2040[DEF],Table2040[R])</f>
        <v>#N/A</v>
      </c>
      <c r="M75" s="96" t="e">
        <f>_xlfn.XLOOKUP(Table118871730[[#This Row],[Opp]],Table2040[DEF],Table2040[REC])</f>
        <v>#N/A</v>
      </c>
      <c r="N75" s="95" t="e">
        <f>_xlfn.XLOOKUP(Table118871730[[#This Row],[Opp]],Table2040[DEF],Table2040[Y])</f>
        <v>#N/A</v>
      </c>
      <c r="O75" s="95" t="e">
        <f>_xlfn.XLOOKUP(Table118871730[[#This Row],[Opp]],Table2040[DEF],Table2040[R+R])</f>
        <v>#N/A</v>
      </c>
      <c r="P75" s="96" t="e">
        <f>_xlfn.XLOOKUP(Table118871730[[#This Row],[Opp]],Table2040[DEF],Table2040[TD])</f>
        <v>#N/A</v>
      </c>
      <c r="Q75" s="94" t="e">
        <f>AVERAGE(Table118871730[[#This Row],[*R*]:[*TD*]])</f>
        <v>#N/A</v>
      </c>
    </row>
    <row r="76" spans="2:17" hidden="1" x14ac:dyDescent="0.35">
      <c r="B76" s="6" t="s">
        <v>115</v>
      </c>
      <c r="C76" s="97" t="s">
        <v>16</v>
      </c>
      <c r="D76" s="97" t="s">
        <v>395</v>
      </c>
      <c r="E76" s="23" t="str" cm="1">
        <f t="array" ref="E76">_xlfn.XLOOKUP(Table118871730[[#This Row],[Team]],Table4334[Team],'2425'!$C$3:$C$34)</f>
        <v>n/a</v>
      </c>
      <c r="F76" s="97" t="str">
        <f>'2025'!$E$5</f>
        <v>n/a</v>
      </c>
      <c r="G76" s="94" t="e" cm="1">
        <f t="array" ref="G76">_xlfn.XLOOKUP(Table118871730[[#This Row],[Opp]],Table2040[DEF],'2425'!$H$38:$H$69)</f>
        <v>#N/A</v>
      </c>
      <c r="H76" s="94" t="e" cm="1">
        <f t="array" ref="H76">_xlfn.XLOOKUP(Table118871730[[#This Row],[Opp]],Table2040[DEF],'2425'!$I$38:$I$69)</f>
        <v>#N/A</v>
      </c>
      <c r="I76" s="94" t="e" cm="1">
        <f t="array" ref="I76">_xlfn.XLOOKUP(Table118871730[[#This Row],[Opp]],Table2040[DEF],'2425'!$J$38:$J$69)</f>
        <v>#N/A</v>
      </c>
      <c r="J76" s="94" t="e" cm="1">
        <f t="array" ref="J76">_xlfn.XLOOKUP(Table118871730[[#This Row],[Opp]],Table2040[DEF],'2425'!$K$38:$K$69)</f>
        <v>#N/A</v>
      </c>
      <c r="K76" s="94" t="e" cm="1">
        <f t="array" ref="K76">_xlfn.XLOOKUP(Table118871730[[#This Row],[Opp]],Table2040[DEF],'2425'!$L$38:$L$69)</f>
        <v>#N/A</v>
      </c>
      <c r="L76" s="95" t="e">
        <f>_xlfn.XLOOKUP(Table118871730[[#This Row],[Opp]],Table2040[DEF],Table2040[R])</f>
        <v>#N/A</v>
      </c>
      <c r="M76" s="96" t="e">
        <f>_xlfn.XLOOKUP(Table118871730[[#This Row],[Opp]],Table2040[DEF],Table2040[REC])</f>
        <v>#N/A</v>
      </c>
      <c r="N76" s="95" t="e">
        <f>_xlfn.XLOOKUP(Table118871730[[#This Row],[Opp]],Table2040[DEF],Table2040[Y])</f>
        <v>#N/A</v>
      </c>
      <c r="O76" s="95" t="e">
        <f>_xlfn.XLOOKUP(Table118871730[[#This Row],[Opp]],Table2040[DEF],Table2040[R+R])</f>
        <v>#N/A</v>
      </c>
      <c r="P76" s="96" t="e">
        <f>_xlfn.XLOOKUP(Table118871730[[#This Row],[Opp]],Table2040[DEF],Table2040[TD])</f>
        <v>#N/A</v>
      </c>
      <c r="Q76" s="94" t="e">
        <f>AVERAGE(Table118871730[[#This Row],[*R*]:[*TD*]])</f>
        <v>#N/A</v>
      </c>
    </row>
    <row r="77" spans="2:17" hidden="1" x14ac:dyDescent="0.35">
      <c r="B77" s="6" t="s">
        <v>561</v>
      </c>
      <c r="C77" s="97" t="s">
        <v>41</v>
      </c>
      <c r="D77" s="97" t="s">
        <v>394</v>
      </c>
      <c r="E77" s="23" t="str" cm="1">
        <f t="array" ref="E77">_xlfn.XLOOKUP(Table118871730[[#This Row],[Team]],Table4334[Team],'2425'!$C$3:$C$34)</f>
        <v>n/a</v>
      </c>
      <c r="F77" s="97" t="str">
        <f>'2025'!$E$19</f>
        <v>n/a</v>
      </c>
      <c r="G77" s="94" t="e" cm="1">
        <f t="array" ref="G77">_xlfn.XLOOKUP(Table118871730[[#This Row],[Opp]],Table2040[DEF],'2425'!$H$38:$H$69)</f>
        <v>#N/A</v>
      </c>
      <c r="H77" s="94" t="e" cm="1">
        <f t="array" ref="H77">_xlfn.XLOOKUP(Table118871730[[#This Row],[Opp]],Table2040[DEF],'2425'!$I$38:$I$69)</f>
        <v>#N/A</v>
      </c>
      <c r="I77" s="94" t="e" cm="1">
        <f t="array" ref="I77">_xlfn.XLOOKUP(Table118871730[[#This Row],[Opp]],Table2040[DEF],'2425'!$J$38:$J$69)</f>
        <v>#N/A</v>
      </c>
      <c r="J77" s="94" t="e" cm="1">
        <f t="array" ref="J77">_xlfn.XLOOKUP(Table118871730[[#This Row],[Opp]],Table2040[DEF],'2425'!$K$38:$K$69)</f>
        <v>#N/A</v>
      </c>
      <c r="K77" s="94" t="e" cm="1">
        <f t="array" ref="K77">_xlfn.XLOOKUP(Table118871730[[#This Row],[Opp]],Table2040[DEF],'2425'!$L$38:$L$69)</f>
        <v>#N/A</v>
      </c>
      <c r="L77" s="95" t="e">
        <f>_xlfn.XLOOKUP(Table118871730[[#This Row],[Opp]],Table2040[DEF],Table2040[R])</f>
        <v>#N/A</v>
      </c>
      <c r="M77" s="96" t="e">
        <f>_xlfn.XLOOKUP(Table118871730[[#This Row],[Opp]],Table2040[DEF],Table2040[REC])</f>
        <v>#N/A</v>
      </c>
      <c r="N77" s="95" t="e">
        <f>_xlfn.XLOOKUP(Table118871730[[#This Row],[Opp]],Table2040[DEF],Table2040[Y])</f>
        <v>#N/A</v>
      </c>
      <c r="O77" s="95" t="e">
        <f>_xlfn.XLOOKUP(Table118871730[[#This Row],[Opp]],Table2040[DEF],Table2040[R+R])</f>
        <v>#N/A</v>
      </c>
      <c r="P77" s="96" t="e">
        <f>_xlfn.XLOOKUP(Table118871730[[#This Row],[Opp]],Table2040[DEF],Table2040[TD])</f>
        <v>#N/A</v>
      </c>
      <c r="Q77" s="94" t="e">
        <f>AVERAGE(Table118871730[[#This Row],[*R*]:[*TD*]])</f>
        <v>#N/A</v>
      </c>
    </row>
    <row r="78" spans="2:17" hidden="1" x14ac:dyDescent="0.35">
      <c r="B78" s="6" t="s">
        <v>258</v>
      </c>
      <c r="C78" s="97" t="s">
        <v>41</v>
      </c>
      <c r="D78" s="97" t="s">
        <v>396</v>
      </c>
      <c r="E78" s="23" t="str" cm="1">
        <f t="array" ref="E78">_xlfn.XLOOKUP(Table118871730[[#This Row],[Team]],Table4334[Team],'2425'!$C$3:$C$34)</f>
        <v>n/a</v>
      </c>
      <c r="F78" s="97" t="str">
        <f>'2025'!$E$19</f>
        <v>n/a</v>
      </c>
      <c r="G78" s="94" t="e" cm="1">
        <f t="array" ref="G78">_xlfn.XLOOKUP(Table118871730[[#This Row],[Opp]],Table2040[DEF],'2425'!$H$38:$H$69)</f>
        <v>#N/A</v>
      </c>
      <c r="H78" s="94" t="e" cm="1">
        <f t="array" ref="H78">_xlfn.XLOOKUP(Table118871730[[#This Row],[Opp]],Table2040[DEF],'2425'!$I$38:$I$69)</f>
        <v>#N/A</v>
      </c>
      <c r="I78" s="94" t="e" cm="1">
        <f t="array" ref="I78">_xlfn.XLOOKUP(Table118871730[[#This Row],[Opp]],Table2040[DEF],'2425'!$J$38:$J$69)</f>
        <v>#N/A</v>
      </c>
      <c r="J78" s="94" t="e" cm="1">
        <f t="array" ref="J78">_xlfn.XLOOKUP(Table118871730[[#This Row],[Opp]],Table2040[DEF],'2425'!$K$38:$K$69)</f>
        <v>#N/A</v>
      </c>
      <c r="K78" s="94" t="e" cm="1">
        <f t="array" ref="K78">_xlfn.XLOOKUP(Table118871730[[#This Row],[Opp]],Table2040[DEF],'2425'!$L$38:$L$69)</f>
        <v>#N/A</v>
      </c>
      <c r="L78" s="95" t="e">
        <f>_xlfn.XLOOKUP(Table118871730[[#This Row],[Opp]],Table2040[DEF],Table2040[R])</f>
        <v>#N/A</v>
      </c>
      <c r="M78" s="96" t="e">
        <f>_xlfn.XLOOKUP(Table118871730[[#This Row],[Opp]],Table2040[DEF],Table2040[REC])</f>
        <v>#N/A</v>
      </c>
      <c r="N78" s="95" t="e">
        <f>_xlfn.XLOOKUP(Table118871730[[#This Row],[Opp]],Table2040[DEF],Table2040[Y])</f>
        <v>#N/A</v>
      </c>
      <c r="O78" s="95" t="e">
        <f>_xlfn.XLOOKUP(Table118871730[[#This Row],[Opp]],Table2040[DEF],Table2040[R+R])</f>
        <v>#N/A</v>
      </c>
      <c r="P78" s="96" t="e">
        <f>_xlfn.XLOOKUP(Table118871730[[#This Row],[Opp]],Table2040[DEF],Table2040[TD])</f>
        <v>#N/A</v>
      </c>
      <c r="Q78" s="94" t="e">
        <f>AVERAGE(Table118871730[[#This Row],[*R*]:[*TD*]])</f>
        <v>#N/A</v>
      </c>
    </row>
    <row r="79" spans="2:17" hidden="1" x14ac:dyDescent="0.35">
      <c r="B79" s="6" t="s">
        <v>257</v>
      </c>
      <c r="C79" s="97" t="s">
        <v>41</v>
      </c>
      <c r="D79" s="97" t="s">
        <v>407</v>
      </c>
      <c r="E79" s="23" t="str" cm="1">
        <f t="array" ref="E79">_xlfn.XLOOKUP(Table118871730[[#This Row],[Team]],Table4334[Team],'2425'!$C$3:$C$34)</f>
        <v>n/a</v>
      </c>
      <c r="F79" s="97" t="str">
        <f>'2025'!$E$19</f>
        <v>n/a</v>
      </c>
      <c r="G79" s="94" t="e" cm="1">
        <f t="array" ref="G79">_xlfn.XLOOKUP(Table118871730[[#This Row],[Opp]],Table2040[DEF],'2425'!$H$38:$H$69)</f>
        <v>#N/A</v>
      </c>
      <c r="H79" s="94" t="e" cm="1">
        <f t="array" ref="H79">_xlfn.XLOOKUP(Table118871730[[#This Row],[Opp]],Table2040[DEF],'2425'!$I$38:$I$69)</f>
        <v>#N/A</v>
      </c>
      <c r="I79" s="94" t="e" cm="1">
        <f t="array" ref="I79">_xlfn.XLOOKUP(Table118871730[[#This Row],[Opp]],Table2040[DEF],'2425'!$J$38:$J$69)</f>
        <v>#N/A</v>
      </c>
      <c r="J79" s="94" t="e" cm="1">
        <f t="array" ref="J79">_xlfn.XLOOKUP(Table118871730[[#This Row],[Opp]],Table2040[DEF],'2425'!$K$38:$K$69)</f>
        <v>#N/A</v>
      </c>
      <c r="K79" s="94" t="e" cm="1">
        <f t="array" ref="K79">_xlfn.XLOOKUP(Table118871730[[#This Row],[Opp]],Table2040[DEF],'2425'!$L$38:$L$69)</f>
        <v>#N/A</v>
      </c>
      <c r="L79" s="95" t="e">
        <f>_xlfn.XLOOKUP(Table118871730[[#This Row],[Opp]],Table2040[DEF],Table2040[R])</f>
        <v>#N/A</v>
      </c>
      <c r="M79" s="96" t="e">
        <f>_xlfn.XLOOKUP(Table118871730[[#This Row],[Opp]],Table2040[DEF],Table2040[REC])</f>
        <v>#N/A</v>
      </c>
      <c r="N79" s="95" t="e">
        <f>_xlfn.XLOOKUP(Table118871730[[#This Row],[Opp]],Table2040[DEF],Table2040[Y])</f>
        <v>#N/A</v>
      </c>
      <c r="O79" s="95" t="e">
        <f>_xlfn.XLOOKUP(Table118871730[[#This Row],[Opp]],Table2040[DEF],Table2040[R+R])</f>
        <v>#N/A</v>
      </c>
      <c r="P79" s="96" t="e">
        <f>_xlfn.XLOOKUP(Table118871730[[#This Row],[Opp]],Table2040[DEF],Table2040[TD])</f>
        <v>#N/A</v>
      </c>
      <c r="Q79" s="94" t="e">
        <f>AVERAGE(Table118871730[[#This Row],[*R*]:[*TD*]])</f>
        <v>#N/A</v>
      </c>
    </row>
    <row r="80" spans="2:17" x14ac:dyDescent="0.35">
      <c r="B80" s="6" t="s">
        <v>266</v>
      </c>
      <c r="C80" s="97" t="s">
        <v>42</v>
      </c>
      <c r="D80" s="97" t="s">
        <v>395</v>
      </c>
      <c r="E80" s="23" t="str" cm="1">
        <f t="array" ref="E80">_xlfn.XLOOKUP(Table118871730[[#This Row],[Team]],Table4334[Team],'2425'!$C$3:$C$34)</f>
        <v>n/a</v>
      </c>
      <c r="F80" s="97" t="str">
        <f>'2025'!$E$20</f>
        <v>n/a</v>
      </c>
      <c r="G80" s="94" t="e" cm="1">
        <f t="array" ref="G80">_xlfn.XLOOKUP(Table118871730[[#This Row],[Opp]],Table2040[DEF],'2425'!$H$38:$H$69)</f>
        <v>#N/A</v>
      </c>
      <c r="H80" s="94" t="e" cm="1">
        <f t="array" ref="H80">_xlfn.XLOOKUP(Table118871730[[#This Row],[Opp]],Table2040[DEF],'2425'!$I$38:$I$69)</f>
        <v>#N/A</v>
      </c>
      <c r="I80" s="94" t="e" cm="1">
        <f t="array" ref="I80">_xlfn.XLOOKUP(Table118871730[[#This Row],[Opp]],Table2040[DEF],'2425'!$J$38:$J$69)</f>
        <v>#N/A</v>
      </c>
      <c r="J80" s="94" t="e" cm="1">
        <f t="array" ref="J80">_xlfn.XLOOKUP(Table118871730[[#This Row],[Opp]],Table2040[DEF],'2425'!$K$38:$K$69)</f>
        <v>#N/A</v>
      </c>
      <c r="K80" s="94" t="e" cm="1">
        <f t="array" ref="K80">_xlfn.XLOOKUP(Table118871730[[#This Row],[Opp]],Table2040[DEF],'2425'!$L$38:$L$69)</f>
        <v>#N/A</v>
      </c>
      <c r="L80" s="95" t="e">
        <f>_xlfn.XLOOKUP(Table118871730[[#This Row],[Opp]],Table2040[DEF],Table2040[R])</f>
        <v>#N/A</v>
      </c>
      <c r="M80" s="96" t="e">
        <f>_xlfn.XLOOKUP(Table118871730[[#This Row],[Opp]],Table2040[DEF],Table2040[REC])</f>
        <v>#N/A</v>
      </c>
      <c r="N80" s="95" t="e">
        <f>_xlfn.XLOOKUP(Table118871730[[#This Row],[Opp]],Table2040[DEF],Table2040[Y])</f>
        <v>#N/A</v>
      </c>
      <c r="O80" s="95" t="e">
        <f>_xlfn.XLOOKUP(Table118871730[[#This Row],[Opp]],Table2040[DEF],Table2040[R+R])</f>
        <v>#N/A</v>
      </c>
      <c r="P80" s="96" t="e">
        <f>_xlfn.XLOOKUP(Table118871730[[#This Row],[Opp]],Table2040[DEF],Table2040[TD])</f>
        <v>#N/A</v>
      </c>
      <c r="Q80" s="94" t="e">
        <f>AVERAGE(Table118871730[[#This Row],[*R*]:[*TD*]])</f>
        <v>#N/A</v>
      </c>
    </row>
    <row r="81" spans="2:17" hidden="1" x14ac:dyDescent="0.35">
      <c r="B81" s="6" t="s">
        <v>124</v>
      </c>
      <c r="C81" s="97" t="s">
        <v>15</v>
      </c>
      <c r="D81" s="97" t="s">
        <v>394</v>
      </c>
      <c r="E81" s="23" t="str" cm="1">
        <f t="array" ref="E81">_xlfn.XLOOKUP(Table118871730[[#This Row],[Team]],Table4334[Team],'2425'!$C$3:$C$34)</f>
        <v>n/a</v>
      </c>
      <c r="F81" s="97" t="str">
        <f>'2025'!$E$4</f>
        <v>n/a</v>
      </c>
      <c r="G81" s="94" t="e" cm="1">
        <f t="array" ref="G81">_xlfn.XLOOKUP(Table118871730[[#This Row],[Opp]],Table2040[DEF],'2425'!$H$38:$H$69)</f>
        <v>#N/A</v>
      </c>
      <c r="H81" s="94" t="e" cm="1">
        <f t="array" ref="H81">_xlfn.XLOOKUP(Table118871730[[#This Row],[Opp]],Table2040[DEF],'2425'!$I$38:$I$69)</f>
        <v>#N/A</v>
      </c>
      <c r="I81" s="94" t="e" cm="1">
        <f t="array" ref="I81">_xlfn.XLOOKUP(Table118871730[[#This Row],[Opp]],Table2040[DEF],'2425'!$J$38:$J$69)</f>
        <v>#N/A</v>
      </c>
      <c r="J81" s="94" t="e" cm="1">
        <f t="array" ref="J81">_xlfn.XLOOKUP(Table118871730[[#This Row],[Opp]],Table2040[DEF],'2425'!$K$38:$K$69)</f>
        <v>#N/A</v>
      </c>
      <c r="K81" s="94" t="e" cm="1">
        <f t="array" ref="K81">_xlfn.XLOOKUP(Table118871730[[#This Row],[Opp]],Table2040[DEF],'2425'!$L$38:$L$69)</f>
        <v>#N/A</v>
      </c>
      <c r="L81" s="95" t="e">
        <f>_xlfn.XLOOKUP(Table118871730[[#This Row],[Opp]],Table2040[DEF],Table2040[R])</f>
        <v>#N/A</v>
      </c>
      <c r="M81" s="96" t="e">
        <f>_xlfn.XLOOKUP(Table118871730[[#This Row],[Opp]],Table2040[DEF],Table2040[REC])</f>
        <v>#N/A</v>
      </c>
      <c r="N81" s="95" t="e">
        <f>_xlfn.XLOOKUP(Table118871730[[#This Row],[Opp]],Table2040[DEF],Table2040[Y])</f>
        <v>#N/A</v>
      </c>
      <c r="O81" s="95" t="e">
        <f>_xlfn.XLOOKUP(Table118871730[[#This Row],[Opp]],Table2040[DEF],Table2040[R+R])</f>
        <v>#N/A</v>
      </c>
      <c r="P81" s="96" t="e">
        <f>_xlfn.XLOOKUP(Table118871730[[#This Row],[Opp]],Table2040[DEF],Table2040[TD])</f>
        <v>#N/A</v>
      </c>
      <c r="Q81" s="94" t="e">
        <f>AVERAGE(Table118871730[[#This Row],[*R*]:[*TD*]])</f>
        <v>#N/A</v>
      </c>
    </row>
    <row r="82" spans="2:17" hidden="1" x14ac:dyDescent="0.35">
      <c r="B82" s="6" t="s">
        <v>598</v>
      </c>
      <c r="C82" s="97" t="s">
        <v>15</v>
      </c>
      <c r="D82" s="97" t="s">
        <v>396</v>
      </c>
      <c r="E82" s="23" t="str" cm="1">
        <f t="array" ref="E82">_xlfn.XLOOKUP(Table118871730[[#This Row],[Team]],Table4334[Team],'2425'!$C$3:$C$34)</f>
        <v>n/a</v>
      </c>
      <c r="F82" s="97" t="str">
        <f>'2025'!$E$4</f>
        <v>n/a</v>
      </c>
      <c r="G82" s="94" t="e" cm="1">
        <f t="array" ref="G82">_xlfn.XLOOKUP(Table118871730[[#This Row],[Opp]],Table2040[DEF],'2425'!$H$38:$H$69)</f>
        <v>#N/A</v>
      </c>
      <c r="H82" s="94" t="e" cm="1">
        <f t="array" ref="H82">_xlfn.XLOOKUP(Table118871730[[#This Row],[Opp]],Table2040[DEF],'2425'!$I$38:$I$69)</f>
        <v>#N/A</v>
      </c>
      <c r="I82" s="94" t="e" cm="1">
        <f t="array" ref="I82">_xlfn.XLOOKUP(Table118871730[[#This Row],[Opp]],Table2040[DEF],'2425'!$J$38:$J$69)</f>
        <v>#N/A</v>
      </c>
      <c r="J82" s="94" t="e" cm="1">
        <f t="array" ref="J82">_xlfn.XLOOKUP(Table118871730[[#This Row],[Opp]],Table2040[DEF],'2425'!$K$38:$K$69)</f>
        <v>#N/A</v>
      </c>
      <c r="K82" s="94" t="e" cm="1">
        <f t="array" ref="K82">_xlfn.XLOOKUP(Table118871730[[#This Row],[Opp]],Table2040[DEF],'2425'!$L$38:$L$69)</f>
        <v>#N/A</v>
      </c>
      <c r="L82" s="95" t="e">
        <f>_xlfn.XLOOKUP(Table118871730[[#This Row],[Opp]],Table2040[DEF],Table2040[R])</f>
        <v>#N/A</v>
      </c>
      <c r="M82" s="96" t="e">
        <f>_xlfn.XLOOKUP(Table118871730[[#This Row],[Opp]],Table2040[DEF],Table2040[REC])</f>
        <v>#N/A</v>
      </c>
      <c r="N82" s="95" t="e">
        <f>_xlfn.XLOOKUP(Table118871730[[#This Row],[Opp]],Table2040[DEF],Table2040[Y])</f>
        <v>#N/A</v>
      </c>
      <c r="O82" s="95" t="e">
        <f>_xlfn.XLOOKUP(Table118871730[[#This Row],[Opp]],Table2040[DEF],Table2040[R+R])</f>
        <v>#N/A</v>
      </c>
      <c r="P82" s="96" t="e">
        <f>_xlfn.XLOOKUP(Table118871730[[#This Row],[Opp]],Table2040[DEF],Table2040[TD])</f>
        <v>#N/A</v>
      </c>
      <c r="Q82" s="94" t="e">
        <f>AVERAGE(Table118871730[[#This Row],[*R*]:[*TD*]])</f>
        <v>#N/A</v>
      </c>
    </row>
    <row r="83" spans="2:17" hidden="1" x14ac:dyDescent="0.35">
      <c r="B83" s="6" t="s">
        <v>236</v>
      </c>
      <c r="C83" s="97" t="s">
        <v>39</v>
      </c>
      <c r="D83" s="97" t="s">
        <v>395</v>
      </c>
      <c r="E83" s="23" t="str" cm="1">
        <f t="array" ref="E83">_xlfn.XLOOKUP(Table118871730[[#This Row],[Team]],Table4334[Team],'2425'!$C$3:$C$34)</f>
        <v>n/a</v>
      </c>
      <c r="F83" s="97" t="str">
        <f>'2025'!$E$17</f>
        <v>n/a</v>
      </c>
      <c r="G83" s="94" t="e" cm="1">
        <f t="array" ref="G83">_xlfn.XLOOKUP(Table118871730[[#This Row],[Opp]],Table2040[DEF],'2425'!$H$38:$H$69)</f>
        <v>#N/A</v>
      </c>
      <c r="H83" s="94" t="e" cm="1">
        <f t="array" ref="H83">_xlfn.XLOOKUP(Table118871730[[#This Row],[Opp]],Table2040[DEF],'2425'!$I$38:$I$69)</f>
        <v>#N/A</v>
      </c>
      <c r="I83" s="94" t="e" cm="1">
        <f t="array" ref="I83">_xlfn.XLOOKUP(Table118871730[[#This Row],[Opp]],Table2040[DEF],'2425'!$J$38:$J$69)</f>
        <v>#N/A</v>
      </c>
      <c r="J83" s="94" t="e" cm="1">
        <f t="array" ref="J83">_xlfn.XLOOKUP(Table118871730[[#This Row],[Opp]],Table2040[DEF],'2425'!$K$38:$K$69)</f>
        <v>#N/A</v>
      </c>
      <c r="K83" s="94" t="e" cm="1">
        <f t="array" ref="K83">_xlfn.XLOOKUP(Table118871730[[#This Row],[Opp]],Table2040[DEF],'2425'!$L$38:$L$69)</f>
        <v>#N/A</v>
      </c>
      <c r="L83" s="95" t="e">
        <f>_xlfn.XLOOKUP(Table118871730[[#This Row],[Opp]],Table2040[DEF],Table2040[R])</f>
        <v>#N/A</v>
      </c>
      <c r="M83" s="96" t="e">
        <f>_xlfn.XLOOKUP(Table118871730[[#This Row],[Opp]],Table2040[DEF],Table2040[REC])</f>
        <v>#N/A</v>
      </c>
      <c r="N83" s="95" t="e">
        <f>_xlfn.XLOOKUP(Table118871730[[#This Row],[Opp]],Table2040[DEF],Table2040[Y])</f>
        <v>#N/A</v>
      </c>
      <c r="O83" s="95" t="e">
        <f>_xlfn.XLOOKUP(Table118871730[[#This Row],[Opp]],Table2040[DEF],Table2040[R+R])</f>
        <v>#N/A</v>
      </c>
      <c r="P83" s="96" t="e">
        <f>_xlfn.XLOOKUP(Table118871730[[#This Row],[Opp]],Table2040[DEF],Table2040[TD])</f>
        <v>#N/A</v>
      </c>
      <c r="Q83" s="94" t="e">
        <f>AVERAGE(Table118871730[[#This Row],[*R*]:[*TD*]])</f>
        <v>#N/A</v>
      </c>
    </row>
    <row r="84" spans="2:17" hidden="1" x14ac:dyDescent="0.35">
      <c r="B84" s="6" t="s">
        <v>277</v>
      </c>
      <c r="C84" s="97" t="s">
        <v>43</v>
      </c>
      <c r="D84" s="97" t="s">
        <v>394</v>
      </c>
      <c r="E84" s="23" t="str" cm="1">
        <f t="array" ref="E84">_xlfn.XLOOKUP(Table118871730[[#This Row],[Team]],Table4334[Team],'2425'!$C$3:$C$34)</f>
        <v>n/a</v>
      </c>
      <c r="F84" s="97" t="str">
        <f>'2025'!$E$21</f>
        <v>n/a</v>
      </c>
      <c r="G84" s="94" t="e" cm="1">
        <f t="array" ref="G84">_xlfn.XLOOKUP(Table118871730[[#This Row],[Opp]],Table2040[DEF],'2425'!$H$38:$H$69)</f>
        <v>#N/A</v>
      </c>
      <c r="H84" s="94" t="e" cm="1">
        <f t="array" ref="H84">_xlfn.XLOOKUP(Table118871730[[#This Row],[Opp]],Table2040[DEF],'2425'!$I$38:$I$69)</f>
        <v>#N/A</v>
      </c>
      <c r="I84" s="94" t="e" cm="1">
        <f t="array" ref="I84">_xlfn.XLOOKUP(Table118871730[[#This Row],[Opp]],Table2040[DEF],'2425'!$J$38:$J$69)</f>
        <v>#N/A</v>
      </c>
      <c r="J84" s="94" t="e" cm="1">
        <f t="array" ref="J84">_xlfn.XLOOKUP(Table118871730[[#This Row],[Opp]],Table2040[DEF],'2425'!$K$38:$K$69)</f>
        <v>#N/A</v>
      </c>
      <c r="K84" s="94" t="e" cm="1">
        <f t="array" ref="K84">_xlfn.XLOOKUP(Table118871730[[#This Row],[Opp]],Table2040[DEF],'2425'!$L$38:$L$69)</f>
        <v>#N/A</v>
      </c>
      <c r="L84" s="95" t="e">
        <f>_xlfn.XLOOKUP(Table118871730[[#This Row],[Opp]],Table2040[DEF],Table2040[R])</f>
        <v>#N/A</v>
      </c>
      <c r="M84" s="96" t="e">
        <f>_xlfn.XLOOKUP(Table118871730[[#This Row],[Opp]],Table2040[DEF],Table2040[REC])</f>
        <v>#N/A</v>
      </c>
      <c r="N84" s="95" t="e">
        <f>_xlfn.XLOOKUP(Table118871730[[#This Row],[Opp]],Table2040[DEF],Table2040[Y])</f>
        <v>#N/A</v>
      </c>
      <c r="O84" s="95" t="e">
        <f>_xlfn.XLOOKUP(Table118871730[[#This Row],[Opp]],Table2040[DEF],Table2040[R+R])</f>
        <v>#N/A</v>
      </c>
      <c r="P84" s="96" t="e">
        <f>_xlfn.XLOOKUP(Table118871730[[#This Row],[Opp]],Table2040[DEF],Table2040[TD])</f>
        <v>#N/A</v>
      </c>
      <c r="Q84" s="94" t="e">
        <f>AVERAGE(Table118871730[[#This Row],[*R*]:[*TD*]])</f>
        <v>#N/A</v>
      </c>
    </row>
    <row r="85" spans="2:17" hidden="1" x14ac:dyDescent="0.35">
      <c r="B85" s="6" t="s">
        <v>566</v>
      </c>
      <c r="C85" s="97" t="s">
        <v>43</v>
      </c>
      <c r="D85" s="97" t="s">
        <v>396</v>
      </c>
      <c r="E85" s="23" t="str" cm="1">
        <f t="array" ref="E85">_xlfn.XLOOKUP(Table118871730[[#This Row],[Team]],Table4334[Team],'2425'!$C$3:$C$34)</f>
        <v>n/a</v>
      </c>
      <c r="F85" s="97" t="str">
        <f>'2025'!$E$21</f>
        <v>n/a</v>
      </c>
      <c r="G85" s="94" t="e" cm="1">
        <f t="array" ref="G85">_xlfn.XLOOKUP(Table118871730[[#This Row],[Opp]],Table2040[DEF],'2425'!$H$38:$H$69)</f>
        <v>#N/A</v>
      </c>
      <c r="H85" s="94" t="e" cm="1">
        <f t="array" ref="H85">_xlfn.XLOOKUP(Table118871730[[#This Row],[Opp]],Table2040[DEF],'2425'!$I$38:$I$69)</f>
        <v>#N/A</v>
      </c>
      <c r="I85" s="94" t="e" cm="1">
        <f t="array" ref="I85">_xlfn.XLOOKUP(Table118871730[[#This Row],[Opp]],Table2040[DEF],'2425'!$J$38:$J$69)</f>
        <v>#N/A</v>
      </c>
      <c r="J85" s="94" t="e" cm="1">
        <f t="array" ref="J85">_xlfn.XLOOKUP(Table118871730[[#This Row],[Opp]],Table2040[DEF],'2425'!$K$38:$K$69)</f>
        <v>#N/A</v>
      </c>
      <c r="K85" s="94" t="e" cm="1">
        <f t="array" ref="K85">_xlfn.XLOOKUP(Table118871730[[#This Row],[Opp]],Table2040[DEF],'2425'!$L$38:$L$69)</f>
        <v>#N/A</v>
      </c>
      <c r="L85" s="95" t="e">
        <f>_xlfn.XLOOKUP(Table118871730[[#This Row],[Opp]],Table2040[DEF],Table2040[R])</f>
        <v>#N/A</v>
      </c>
      <c r="M85" s="96" t="e">
        <f>_xlfn.XLOOKUP(Table118871730[[#This Row],[Opp]],Table2040[DEF],Table2040[REC])</f>
        <v>#N/A</v>
      </c>
      <c r="N85" s="95" t="e">
        <f>_xlfn.XLOOKUP(Table118871730[[#This Row],[Opp]],Table2040[DEF],Table2040[Y])</f>
        <v>#N/A</v>
      </c>
      <c r="O85" s="95" t="e">
        <f>_xlfn.XLOOKUP(Table118871730[[#This Row],[Opp]],Table2040[DEF],Table2040[R+R])</f>
        <v>#N/A</v>
      </c>
      <c r="P85" s="96" t="e">
        <f>_xlfn.XLOOKUP(Table118871730[[#This Row],[Opp]],Table2040[DEF],Table2040[TD])</f>
        <v>#N/A</v>
      </c>
      <c r="Q85" s="94" t="e">
        <f>AVERAGE(Table118871730[[#This Row],[*R*]:[*TD*]])</f>
        <v>#N/A</v>
      </c>
    </row>
    <row r="86" spans="2:17" hidden="1" x14ac:dyDescent="0.35">
      <c r="B86" s="6" t="s">
        <v>567</v>
      </c>
      <c r="C86" s="97" t="s">
        <v>43</v>
      </c>
      <c r="D86" s="97" t="s">
        <v>407</v>
      </c>
      <c r="E86" s="23" t="str" cm="1">
        <f t="array" ref="E86">_xlfn.XLOOKUP(Table118871730[[#This Row],[Team]],Table4334[Team],'2425'!$C$3:$C$34)</f>
        <v>n/a</v>
      </c>
      <c r="F86" s="97" t="str">
        <f>'2025'!$E$21</f>
        <v>n/a</v>
      </c>
      <c r="G86" s="94" t="e" cm="1">
        <f t="array" ref="G86">_xlfn.XLOOKUP(Table118871730[[#This Row],[Opp]],Table2040[DEF],'2425'!$H$38:$H$69)</f>
        <v>#N/A</v>
      </c>
      <c r="H86" s="94" t="e" cm="1">
        <f t="array" ref="H86">_xlfn.XLOOKUP(Table118871730[[#This Row],[Opp]],Table2040[DEF],'2425'!$I$38:$I$69)</f>
        <v>#N/A</v>
      </c>
      <c r="I86" s="94" t="e" cm="1">
        <f t="array" ref="I86">_xlfn.XLOOKUP(Table118871730[[#This Row],[Opp]],Table2040[DEF],'2425'!$J$38:$J$69)</f>
        <v>#N/A</v>
      </c>
      <c r="J86" s="94" t="e" cm="1">
        <f t="array" ref="J86">_xlfn.XLOOKUP(Table118871730[[#This Row],[Opp]],Table2040[DEF],'2425'!$K$38:$K$69)</f>
        <v>#N/A</v>
      </c>
      <c r="K86" s="94" t="e" cm="1">
        <f t="array" ref="K86">_xlfn.XLOOKUP(Table118871730[[#This Row],[Opp]],Table2040[DEF],'2425'!$L$38:$L$69)</f>
        <v>#N/A</v>
      </c>
      <c r="L86" s="95" t="e">
        <f>_xlfn.XLOOKUP(Table118871730[[#This Row],[Opp]],Table2040[DEF],Table2040[R])</f>
        <v>#N/A</v>
      </c>
      <c r="M86" s="96" t="e">
        <f>_xlfn.XLOOKUP(Table118871730[[#This Row],[Opp]],Table2040[DEF],Table2040[REC])</f>
        <v>#N/A</v>
      </c>
      <c r="N86" s="95" t="e">
        <f>_xlfn.XLOOKUP(Table118871730[[#This Row],[Opp]],Table2040[DEF],Table2040[Y])</f>
        <v>#N/A</v>
      </c>
      <c r="O86" s="95" t="e">
        <f>_xlfn.XLOOKUP(Table118871730[[#This Row],[Opp]],Table2040[DEF],Table2040[R+R])</f>
        <v>#N/A</v>
      </c>
      <c r="P86" s="96" t="e">
        <f>_xlfn.XLOOKUP(Table118871730[[#This Row],[Opp]],Table2040[DEF],Table2040[TD])</f>
        <v>#N/A</v>
      </c>
      <c r="Q86" s="94" t="e">
        <f>AVERAGE(Table118871730[[#This Row],[*R*]:[*TD*]])</f>
        <v>#N/A</v>
      </c>
    </row>
    <row r="87" spans="2:17" hidden="1" x14ac:dyDescent="0.35">
      <c r="B87" s="6" t="s">
        <v>337</v>
      </c>
      <c r="C87" s="97" t="s">
        <v>50</v>
      </c>
      <c r="D87" s="97" t="s">
        <v>395</v>
      </c>
      <c r="E87" s="23" t="str" cm="1">
        <f t="array" ref="E87">_xlfn.XLOOKUP(Table118871730[[#This Row],[Team]],Table4334[Team],'2425'!$C$3:$C$34)</f>
        <v>n/a</v>
      </c>
      <c r="F87" s="97" t="str">
        <f>'2025'!$E$28</f>
        <v>n/a</v>
      </c>
      <c r="G87" s="94" t="e" cm="1">
        <f t="array" ref="G87">_xlfn.XLOOKUP(Table118871730[[#This Row],[Opp]],Table2040[DEF],'2425'!$H$38:$H$69)</f>
        <v>#N/A</v>
      </c>
      <c r="H87" s="94" t="e" cm="1">
        <f t="array" ref="H87">_xlfn.XLOOKUP(Table118871730[[#This Row],[Opp]],Table2040[DEF],'2425'!$I$38:$I$69)</f>
        <v>#N/A</v>
      </c>
      <c r="I87" s="94" t="e" cm="1">
        <f t="array" ref="I87">_xlfn.XLOOKUP(Table118871730[[#This Row],[Opp]],Table2040[DEF],'2425'!$J$38:$J$69)</f>
        <v>#N/A</v>
      </c>
      <c r="J87" s="94" t="e" cm="1">
        <f t="array" ref="J87">_xlfn.XLOOKUP(Table118871730[[#This Row],[Opp]],Table2040[DEF],'2425'!$K$38:$K$69)</f>
        <v>#N/A</v>
      </c>
      <c r="K87" s="94" t="e" cm="1">
        <f t="array" ref="K87">_xlfn.XLOOKUP(Table118871730[[#This Row],[Opp]],Table2040[DEF],'2425'!$L$38:$L$69)</f>
        <v>#N/A</v>
      </c>
      <c r="L87" s="95" t="e">
        <f>_xlfn.XLOOKUP(Table118871730[[#This Row],[Opp]],Table2040[DEF],Table2040[R])</f>
        <v>#N/A</v>
      </c>
      <c r="M87" s="96" t="e">
        <f>_xlfn.XLOOKUP(Table118871730[[#This Row],[Opp]],Table2040[DEF],Table2040[REC])</f>
        <v>#N/A</v>
      </c>
      <c r="N87" s="95" t="e">
        <f>_xlfn.XLOOKUP(Table118871730[[#This Row],[Opp]],Table2040[DEF],Table2040[Y])</f>
        <v>#N/A</v>
      </c>
      <c r="O87" s="95" t="e">
        <f>_xlfn.XLOOKUP(Table118871730[[#This Row],[Opp]],Table2040[DEF],Table2040[R+R])</f>
        <v>#N/A</v>
      </c>
      <c r="P87" s="96" t="e">
        <f>_xlfn.XLOOKUP(Table118871730[[#This Row],[Opp]],Table2040[DEF],Table2040[TD])</f>
        <v>#N/A</v>
      </c>
      <c r="Q87" s="94" t="e">
        <f>AVERAGE(Table118871730[[#This Row],[*R*]:[*TD*]])</f>
        <v>#N/A</v>
      </c>
    </row>
    <row r="88" spans="2:17" hidden="1" x14ac:dyDescent="0.35">
      <c r="B88" s="6" t="s">
        <v>117</v>
      </c>
      <c r="C88" s="97" t="s">
        <v>29</v>
      </c>
      <c r="D88" s="97" t="s">
        <v>394</v>
      </c>
      <c r="E88" s="23" t="str" cm="1">
        <f t="array" ref="E88">_xlfn.XLOOKUP(Table118871730[[#This Row],[Team]],Table4334[Team],'2425'!$C$3:$C$34)</f>
        <v>n/a</v>
      </c>
      <c r="F88" s="97" t="str">
        <f>'2025'!$E$7</f>
        <v>n/a</v>
      </c>
      <c r="G88" s="94" t="e" cm="1">
        <f t="array" ref="G88">_xlfn.XLOOKUP(Table118871730[[#This Row],[Opp]],Table2040[DEF],'2425'!$H$38:$H$69)</f>
        <v>#N/A</v>
      </c>
      <c r="H88" s="94" t="e" cm="1">
        <f t="array" ref="H88">_xlfn.XLOOKUP(Table118871730[[#This Row],[Opp]],Table2040[DEF],'2425'!$I$38:$I$69)</f>
        <v>#N/A</v>
      </c>
      <c r="I88" s="94" t="e" cm="1">
        <f t="array" ref="I88">_xlfn.XLOOKUP(Table118871730[[#This Row],[Opp]],Table2040[DEF],'2425'!$J$38:$J$69)</f>
        <v>#N/A</v>
      </c>
      <c r="J88" s="94" t="e" cm="1">
        <f t="array" ref="J88">_xlfn.XLOOKUP(Table118871730[[#This Row],[Opp]],Table2040[DEF],'2425'!$K$38:$K$69)</f>
        <v>#N/A</v>
      </c>
      <c r="K88" s="94" t="e" cm="1">
        <f t="array" ref="K88">_xlfn.XLOOKUP(Table118871730[[#This Row],[Opp]],Table2040[DEF],'2425'!$L$38:$L$69)</f>
        <v>#N/A</v>
      </c>
      <c r="L88" s="95" t="e">
        <f>_xlfn.XLOOKUP(Table118871730[[#This Row],[Opp]],Table2040[DEF],Table2040[R])</f>
        <v>#N/A</v>
      </c>
      <c r="M88" s="96" t="e">
        <f>_xlfn.XLOOKUP(Table118871730[[#This Row],[Opp]],Table2040[DEF],Table2040[REC])</f>
        <v>#N/A</v>
      </c>
      <c r="N88" s="95" t="e">
        <f>_xlfn.XLOOKUP(Table118871730[[#This Row],[Opp]],Table2040[DEF],Table2040[Y])</f>
        <v>#N/A</v>
      </c>
      <c r="O88" s="95" t="e">
        <f>_xlfn.XLOOKUP(Table118871730[[#This Row],[Opp]],Table2040[DEF],Table2040[R+R])</f>
        <v>#N/A</v>
      </c>
      <c r="P88" s="96" t="e">
        <f>_xlfn.XLOOKUP(Table118871730[[#This Row],[Opp]],Table2040[DEF],Table2040[TD])</f>
        <v>#N/A</v>
      </c>
      <c r="Q88" s="94" t="e">
        <f>AVERAGE(Table118871730[[#This Row],[*R*]:[*TD*]])</f>
        <v>#N/A</v>
      </c>
    </row>
    <row r="89" spans="2:17" hidden="1" x14ac:dyDescent="0.35">
      <c r="B89" s="6" t="s">
        <v>127</v>
      </c>
      <c r="C89" s="97" t="s">
        <v>29</v>
      </c>
      <c r="D89" s="97" t="s">
        <v>396</v>
      </c>
      <c r="E89" s="23" t="str" cm="1">
        <f t="array" ref="E89">_xlfn.XLOOKUP(Table118871730[[#This Row],[Team]],Table4334[Team],'2425'!$C$3:$C$34)</f>
        <v>n/a</v>
      </c>
      <c r="F89" s="97" t="str">
        <f>'2025'!$E$7</f>
        <v>n/a</v>
      </c>
      <c r="G89" s="94" t="e" cm="1">
        <f t="array" ref="G89">_xlfn.XLOOKUP(Table118871730[[#This Row],[Opp]],Table2040[DEF],'2425'!$H$38:$H$69)</f>
        <v>#N/A</v>
      </c>
      <c r="H89" s="94" t="e" cm="1">
        <f t="array" ref="H89">_xlfn.XLOOKUP(Table118871730[[#This Row],[Opp]],Table2040[DEF],'2425'!$I$38:$I$69)</f>
        <v>#N/A</v>
      </c>
      <c r="I89" s="94" t="e" cm="1">
        <f t="array" ref="I89">_xlfn.XLOOKUP(Table118871730[[#This Row],[Opp]],Table2040[DEF],'2425'!$J$38:$J$69)</f>
        <v>#N/A</v>
      </c>
      <c r="J89" s="94" t="e" cm="1">
        <f t="array" ref="J89">_xlfn.XLOOKUP(Table118871730[[#This Row],[Opp]],Table2040[DEF],'2425'!$K$38:$K$69)</f>
        <v>#N/A</v>
      </c>
      <c r="K89" s="94" t="e" cm="1">
        <f t="array" ref="K89">_xlfn.XLOOKUP(Table118871730[[#This Row],[Opp]],Table2040[DEF],'2425'!$L$38:$L$69)</f>
        <v>#N/A</v>
      </c>
      <c r="L89" s="95" t="e">
        <f>_xlfn.XLOOKUP(Table118871730[[#This Row],[Opp]],Table2040[DEF],Table2040[R])</f>
        <v>#N/A</v>
      </c>
      <c r="M89" s="96" t="e">
        <f>_xlfn.XLOOKUP(Table118871730[[#This Row],[Opp]],Table2040[DEF],Table2040[REC])</f>
        <v>#N/A</v>
      </c>
      <c r="N89" s="95" t="e">
        <f>_xlfn.XLOOKUP(Table118871730[[#This Row],[Opp]],Table2040[DEF],Table2040[Y])</f>
        <v>#N/A</v>
      </c>
      <c r="O89" s="95" t="e">
        <f>_xlfn.XLOOKUP(Table118871730[[#This Row],[Opp]],Table2040[DEF],Table2040[R+R])</f>
        <v>#N/A</v>
      </c>
      <c r="P89" s="96" t="e">
        <f>_xlfn.XLOOKUP(Table118871730[[#This Row],[Opp]],Table2040[DEF],Table2040[TD])</f>
        <v>#N/A</v>
      </c>
      <c r="Q89" s="94" t="e">
        <f>AVERAGE(Table118871730[[#This Row],[*R*]:[*TD*]])</f>
        <v>#N/A</v>
      </c>
    </row>
    <row r="90" spans="2:17" hidden="1" x14ac:dyDescent="0.35">
      <c r="B90" s="6" t="s">
        <v>608</v>
      </c>
      <c r="C90" s="97" t="s">
        <v>29</v>
      </c>
      <c r="D90" s="97" t="s">
        <v>407</v>
      </c>
      <c r="E90" s="23" t="str" cm="1">
        <f t="array" ref="E90">_xlfn.XLOOKUP(Table118871730[[#This Row],[Team]],Table4334[Team],'2425'!$C$3:$C$34)</f>
        <v>n/a</v>
      </c>
      <c r="F90" s="97" t="str">
        <f>'2025'!$E$7</f>
        <v>n/a</v>
      </c>
      <c r="G90" s="94" t="e" cm="1">
        <f t="array" ref="G90">_xlfn.XLOOKUP(Table118871730[[#This Row],[Opp]],Table2040[DEF],'2425'!$H$38:$H$69)</f>
        <v>#N/A</v>
      </c>
      <c r="H90" s="94" t="e" cm="1">
        <f t="array" ref="H90">_xlfn.XLOOKUP(Table118871730[[#This Row],[Opp]],Table2040[DEF],'2425'!$I$38:$I$69)</f>
        <v>#N/A</v>
      </c>
      <c r="I90" s="94" t="e" cm="1">
        <f t="array" ref="I90">_xlfn.XLOOKUP(Table118871730[[#This Row],[Opp]],Table2040[DEF],'2425'!$J$38:$J$69)</f>
        <v>#N/A</v>
      </c>
      <c r="J90" s="94" t="e" cm="1">
        <f t="array" ref="J90">_xlfn.XLOOKUP(Table118871730[[#This Row],[Opp]],Table2040[DEF],'2425'!$K$38:$K$69)</f>
        <v>#N/A</v>
      </c>
      <c r="K90" s="94" t="e" cm="1">
        <f t="array" ref="K90">_xlfn.XLOOKUP(Table118871730[[#This Row],[Opp]],Table2040[DEF],'2425'!$L$38:$L$69)</f>
        <v>#N/A</v>
      </c>
      <c r="L90" s="95" t="e">
        <f>_xlfn.XLOOKUP(Table118871730[[#This Row],[Opp]],Table2040[DEF],Table2040[R])</f>
        <v>#N/A</v>
      </c>
      <c r="M90" s="96" t="e">
        <f>_xlfn.XLOOKUP(Table118871730[[#This Row],[Opp]],Table2040[DEF],Table2040[REC])</f>
        <v>#N/A</v>
      </c>
      <c r="N90" s="95" t="e">
        <f>_xlfn.XLOOKUP(Table118871730[[#This Row],[Opp]],Table2040[DEF],Table2040[Y])</f>
        <v>#N/A</v>
      </c>
      <c r="O90" s="95" t="e">
        <f>_xlfn.XLOOKUP(Table118871730[[#This Row],[Opp]],Table2040[DEF],Table2040[R+R])</f>
        <v>#N/A</v>
      </c>
      <c r="P90" s="96" t="e">
        <f>_xlfn.XLOOKUP(Table118871730[[#This Row],[Opp]],Table2040[DEF],Table2040[TD])</f>
        <v>#N/A</v>
      </c>
      <c r="Q90" s="94" t="e">
        <f>AVERAGE(Table118871730[[#This Row],[*R*]:[*TD*]])</f>
        <v>#N/A</v>
      </c>
    </row>
    <row r="91" spans="2:17" x14ac:dyDescent="0.35">
      <c r="B91" s="6" t="s">
        <v>218</v>
      </c>
      <c r="C91" s="97" t="s">
        <v>37</v>
      </c>
      <c r="D91" s="97" t="s">
        <v>395</v>
      </c>
      <c r="E91" s="23" t="str" cm="1">
        <f t="array" ref="E91">_xlfn.XLOOKUP(Table118871730[[#This Row],[Team]],Table4334[Team],'2425'!$C$3:$C$34)</f>
        <v>n/a</v>
      </c>
      <c r="F91" s="97" t="str">
        <f>'2025'!$E$15</f>
        <v>n/a</v>
      </c>
      <c r="G91" s="94" t="e" cm="1">
        <f t="array" ref="G91">_xlfn.XLOOKUP(Table118871730[[#This Row],[Opp]],Table2040[DEF],'2425'!$H$38:$H$69)</f>
        <v>#N/A</v>
      </c>
      <c r="H91" s="94" t="e" cm="1">
        <f t="array" ref="H91">_xlfn.XLOOKUP(Table118871730[[#This Row],[Opp]],Table2040[DEF],'2425'!$I$38:$I$69)</f>
        <v>#N/A</v>
      </c>
      <c r="I91" s="94" t="e" cm="1">
        <f t="array" ref="I91">_xlfn.XLOOKUP(Table118871730[[#This Row],[Opp]],Table2040[DEF],'2425'!$J$38:$J$69)</f>
        <v>#N/A</v>
      </c>
      <c r="J91" s="94" t="e" cm="1">
        <f t="array" ref="J91">_xlfn.XLOOKUP(Table118871730[[#This Row],[Opp]],Table2040[DEF],'2425'!$K$38:$K$69)</f>
        <v>#N/A</v>
      </c>
      <c r="K91" s="94" t="e" cm="1">
        <f t="array" ref="K91">_xlfn.XLOOKUP(Table118871730[[#This Row],[Opp]],Table2040[DEF],'2425'!$L$38:$L$69)</f>
        <v>#N/A</v>
      </c>
      <c r="L91" s="95" t="e">
        <f>_xlfn.XLOOKUP(Table118871730[[#This Row],[Opp]],Table2040[DEF],Table2040[R])</f>
        <v>#N/A</v>
      </c>
      <c r="M91" s="96" t="e">
        <f>_xlfn.XLOOKUP(Table118871730[[#This Row],[Opp]],Table2040[DEF],Table2040[REC])</f>
        <v>#N/A</v>
      </c>
      <c r="N91" s="95" t="e">
        <f>_xlfn.XLOOKUP(Table118871730[[#This Row],[Opp]],Table2040[DEF],Table2040[Y])</f>
        <v>#N/A</v>
      </c>
      <c r="O91" s="95" t="e">
        <f>_xlfn.XLOOKUP(Table118871730[[#This Row],[Opp]],Table2040[DEF],Table2040[R+R])</f>
        <v>#N/A</v>
      </c>
      <c r="P91" s="96" t="e">
        <f>_xlfn.XLOOKUP(Table118871730[[#This Row],[Opp]],Table2040[DEF],Table2040[TD])</f>
        <v>#N/A</v>
      </c>
      <c r="Q91" s="94" t="e">
        <f>AVERAGE(Table118871730[[#This Row],[*R*]:[*TD*]])</f>
        <v>#N/A</v>
      </c>
    </row>
    <row r="92" spans="2:17" hidden="1" x14ac:dyDescent="0.35">
      <c r="B92" s="6" t="s">
        <v>153</v>
      </c>
      <c r="C92" s="97" t="s">
        <v>30</v>
      </c>
      <c r="D92" s="97" t="s">
        <v>394</v>
      </c>
      <c r="E92" s="23" t="str" cm="1">
        <f t="array" ref="E92">_xlfn.XLOOKUP(Table118871730[[#This Row],[Team]],Table4334[Team],'2425'!$C$3:$C$34)</f>
        <v>n/a</v>
      </c>
      <c r="F92" s="97" t="str">
        <f>'2025'!$E$8</f>
        <v>n/a</v>
      </c>
      <c r="G92" s="94" t="e" cm="1">
        <f t="array" ref="G92">_xlfn.XLOOKUP(Table118871730[[#This Row],[Opp]],Table2040[DEF],'2425'!$H$38:$H$69)</f>
        <v>#N/A</v>
      </c>
      <c r="H92" s="94" t="e" cm="1">
        <f t="array" ref="H92">_xlfn.XLOOKUP(Table118871730[[#This Row],[Opp]],Table2040[DEF],'2425'!$I$38:$I$69)</f>
        <v>#N/A</v>
      </c>
      <c r="I92" s="94" t="e" cm="1">
        <f t="array" ref="I92">_xlfn.XLOOKUP(Table118871730[[#This Row],[Opp]],Table2040[DEF],'2425'!$J$38:$J$69)</f>
        <v>#N/A</v>
      </c>
      <c r="J92" s="94" t="e" cm="1">
        <f t="array" ref="J92">_xlfn.XLOOKUP(Table118871730[[#This Row],[Opp]],Table2040[DEF],'2425'!$K$38:$K$69)</f>
        <v>#N/A</v>
      </c>
      <c r="K92" s="94" t="e" cm="1">
        <f t="array" ref="K92">_xlfn.XLOOKUP(Table118871730[[#This Row],[Opp]],Table2040[DEF],'2425'!$L$38:$L$69)</f>
        <v>#N/A</v>
      </c>
      <c r="L92" s="95" t="e">
        <f>_xlfn.XLOOKUP(Table118871730[[#This Row],[Opp]],Table2040[DEF],Table2040[R])</f>
        <v>#N/A</v>
      </c>
      <c r="M92" s="96" t="e">
        <f>_xlfn.XLOOKUP(Table118871730[[#This Row],[Opp]],Table2040[DEF],Table2040[REC])</f>
        <v>#N/A</v>
      </c>
      <c r="N92" s="95" t="e">
        <f>_xlfn.XLOOKUP(Table118871730[[#This Row],[Opp]],Table2040[DEF],Table2040[Y])</f>
        <v>#N/A</v>
      </c>
      <c r="O92" s="95" t="e">
        <f>_xlfn.XLOOKUP(Table118871730[[#This Row],[Opp]],Table2040[DEF],Table2040[R+R])</f>
        <v>#N/A</v>
      </c>
      <c r="P92" s="96" t="e">
        <f>_xlfn.XLOOKUP(Table118871730[[#This Row],[Opp]],Table2040[DEF],Table2040[TD])</f>
        <v>#N/A</v>
      </c>
      <c r="Q92" s="94" t="e">
        <f>AVERAGE(Table118871730[[#This Row],[*R*]:[*TD*]])</f>
        <v>#N/A</v>
      </c>
    </row>
    <row r="93" spans="2:17" hidden="1" x14ac:dyDescent="0.35">
      <c r="B93" s="6" t="s">
        <v>152</v>
      </c>
      <c r="C93" s="97" t="s">
        <v>30</v>
      </c>
      <c r="D93" s="97" t="s">
        <v>396</v>
      </c>
      <c r="E93" s="23" t="str" cm="1">
        <f t="array" ref="E93">_xlfn.XLOOKUP(Table118871730[[#This Row],[Team]],Table4334[Team],'2425'!$C$3:$C$34)</f>
        <v>n/a</v>
      </c>
      <c r="F93" s="97" t="str">
        <f>'2025'!$E$8</f>
        <v>n/a</v>
      </c>
      <c r="G93" s="94" t="e" cm="1">
        <f t="array" ref="G93">_xlfn.XLOOKUP(Table118871730[[#This Row],[Opp]],Table2040[DEF],'2425'!$H$38:$H$69)</f>
        <v>#N/A</v>
      </c>
      <c r="H93" s="94" t="e" cm="1">
        <f t="array" ref="H93">_xlfn.XLOOKUP(Table118871730[[#This Row],[Opp]],Table2040[DEF],'2425'!$I$38:$I$69)</f>
        <v>#N/A</v>
      </c>
      <c r="I93" s="94" t="e" cm="1">
        <f t="array" ref="I93">_xlfn.XLOOKUP(Table118871730[[#This Row],[Opp]],Table2040[DEF],'2425'!$J$38:$J$69)</f>
        <v>#N/A</v>
      </c>
      <c r="J93" s="94" t="e" cm="1">
        <f t="array" ref="J93">_xlfn.XLOOKUP(Table118871730[[#This Row],[Opp]],Table2040[DEF],'2425'!$K$38:$K$69)</f>
        <v>#N/A</v>
      </c>
      <c r="K93" s="94" t="e" cm="1">
        <f t="array" ref="K93">_xlfn.XLOOKUP(Table118871730[[#This Row],[Opp]],Table2040[DEF],'2425'!$L$38:$L$69)</f>
        <v>#N/A</v>
      </c>
      <c r="L93" s="95" t="e">
        <f>_xlfn.XLOOKUP(Table118871730[[#This Row],[Opp]],Table2040[DEF],Table2040[R])</f>
        <v>#N/A</v>
      </c>
      <c r="M93" s="96" t="e">
        <f>_xlfn.XLOOKUP(Table118871730[[#This Row],[Opp]],Table2040[DEF],Table2040[REC])</f>
        <v>#N/A</v>
      </c>
      <c r="N93" s="95" t="e">
        <f>_xlfn.XLOOKUP(Table118871730[[#This Row],[Opp]],Table2040[DEF],Table2040[Y])</f>
        <v>#N/A</v>
      </c>
      <c r="O93" s="95" t="e">
        <f>_xlfn.XLOOKUP(Table118871730[[#This Row],[Opp]],Table2040[DEF],Table2040[R+R])</f>
        <v>#N/A</v>
      </c>
      <c r="P93" s="96" t="e">
        <f>_xlfn.XLOOKUP(Table118871730[[#This Row],[Opp]],Table2040[DEF],Table2040[TD])</f>
        <v>#N/A</v>
      </c>
      <c r="Q93" s="94" t="e">
        <f>AVERAGE(Table118871730[[#This Row],[*R*]:[*TD*]])</f>
        <v>#N/A</v>
      </c>
    </row>
    <row r="94" spans="2:17" hidden="1" x14ac:dyDescent="0.35">
      <c r="B94" s="6" t="s">
        <v>498</v>
      </c>
      <c r="C94" s="97" t="s">
        <v>30</v>
      </c>
      <c r="D94" s="97" t="s">
        <v>407</v>
      </c>
      <c r="E94" s="23" t="str" cm="1">
        <f t="array" ref="E94">_xlfn.XLOOKUP(Table118871730[[#This Row],[Team]],Table4334[Team],'2425'!$C$3:$C$34)</f>
        <v>n/a</v>
      </c>
      <c r="F94" s="97" t="str">
        <f>'2025'!$E$8</f>
        <v>n/a</v>
      </c>
      <c r="G94" s="94" t="e" cm="1">
        <f t="array" ref="G94">_xlfn.XLOOKUP(Table118871730[[#This Row],[Opp]],Table2040[DEF],'2425'!$H$38:$H$69)</f>
        <v>#N/A</v>
      </c>
      <c r="H94" s="94" t="e" cm="1">
        <f t="array" ref="H94">_xlfn.XLOOKUP(Table118871730[[#This Row],[Opp]],Table2040[DEF],'2425'!$I$38:$I$69)</f>
        <v>#N/A</v>
      </c>
      <c r="I94" s="94" t="e" cm="1">
        <f t="array" ref="I94">_xlfn.XLOOKUP(Table118871730[[#This Row],[Opp]],Table2040[DEF],'2425'!$J$38:$J$69)</f>
        <v>#N/A</v>
      </c>
      <c r="J94" s="94" t="e" cm="1">
        <f t="array" ref="J94">_xlfn.XLOOKUP(Table118871730[[#This Row],[Opp]],Table2040[DEF],'2425'!$K$38:$K$69)</f>
        <v>#N/A</v>
      </c>
      <c r="K94" s="94" t="e" cm="1">
        <f t="array" ref="K94">_xlfn.XLOOKUP(Table118871730[[#This Row],[Opp]],Table2040[DEF],'2425'!$L$38:$L$69)</f>
        <v>#N/A</v>
      </c>
      <c r="L94" s="95" t="e">
        <f>_xlfn.XLOOKUP(Table118871730[[#This Row],[Opp]],Table2040[DEF],Table2040[R])</f>
        <v>#N/A</v>
      </c>
      <c r="M94" s="96" t="e">
        <f>_xlfn.XLOOKUP(Table118871730[[#This Row],[Opp]],Table2040[DEF],Table2040[REC])</f>
        <v>#N/A</v>
      </c>
      <c r="N94" s="95" t="e">
        <f>_xlfn.XLOOKUP(Table118871730[[#This Row],[Opp]],Table2040[DEF],Table2040[Y])</f>
        <v>#N/A</v>
      </c>
      <c r="O94" s="95" t="e">
        <f>_xlfn.XLOOKUP(Table118871730[[#This Row],[Opp]],Table2040[DEF],Table2040[R+R])</f>
        <v>#N/A</v>
      </c>
      <c r="P94" s="96" t="e">
        <f>_xlfn.XLOOKUP(Table118871730[[#This Row],[Opp]],Table2040[DEF],Table2040[TD])</f>
        <v>#N/A</v>
      </c>
      <c r="Q94" s="94" t="e">
        <f>AVERAGE(Table118871730[[#This Row],[*R*]:[*TD*]])</f>
        <v>#N/A</v>
      </c>
    </row>
    <row r="95" spans="2:17" hidden="1" x14ac:dyDescent="0.35">
      <c r="B95" s="6" t="s">
        <v>206</v>
      </c>
      <c r="C95" s="97" t="s">
        <v>36</v>
      </c>
      <c r="D95" s="97" t="s">
        <v>395</v>
      </c>
      <c r="E95" s="23" t="str" cm="1">
        <f t="array" ref="E95">_xlfn.XLOOKUP(Table118871730[[#This Row],[Team]],Table4334[Team],'2425'!$C$3:$C$34)</f>
        <v>n/a</v>
      </c>
      <c r="F95" s="97" t="str">
        <f>'2025'!$E$14</f>
        <v>n/a</v>
      </c>
      <c r="G95" s="94" t="e" cm="1">
        <f t="array" ref="G95">_xlfn.XLOOKUP(Table118871730[[#This Row],[Opp]],Table2040[DEF],'2425'!$H$38:$H$69)</f>
        <v>#N/A</v>
      </c>
      <c r="H95" s="94" t="e" cm="1">
        <f t="array" ref="H95">_xlfn.XLOOKUP(Table118871730[[#This Row],[Opp]],Table2040[DEF],'2425'!$I$38:$I$69)</f>
        <v>#N/A</v>
      </c>
      <c r="I95" s="94" t="e" cm="1">
        <f t="array" ref="I95">_xlfn.XLOOKUP(Table118871730[[#This Row],[Opp]],Table2040[DEF],'2425'!$J$38:$J$69)</f>
        <v>#N/A</v>
      </c>
      <c r="J95" s="94" t="e" cm="1">
        <f t="array" ref="J95">_xlfn.XLOOKUP(Table118871730[[#This Row],[Opp]],Table2040[DEF],'2425'!$K$38:$K$69)</f>
        <v>#N/A</v>
      </c>
      <c r="K95" s="94" t="e" cm="1">
        <f t="array" ref="K95">_xlfn.XLOOKUP(Table118871730[[#This Row],[Opp]],Table2040[DEF],'2425'!$L$38:$L$69)</f>
        <v>#N/A</v>
      </c>
      <c r="L95" s="95" t="e">
        <f>_xlfn.XLOOKUP(Table118871730[[#This Row],[Opp]],Table2040[DEF],Table2040[R])</f>
        <v>#N/A</v>
      </c>
      <c r="M95" s="96" t="e">
        <f>_xlfn.XLOOKUP(Table118871730[[#This Row],[Opp]],Table2040[DEF],Table2040[REC])</f>
        <v>#N/A</v>
      </c>
      <c r="N95" s="95" t="e">
        <f>_xlfn.XLOOKUP(Table118871730[[#This Row],[Opp]],Table2040[DEF],Table2040[Y])</f>
        <v>#N/A</v>
      </c>
      <c r="O95" s="95" t="e">
        <f>_xlfn.XLOOKUP(Table118871730[[#This Row],[Opp]],Table2040[DEF],Table2040[R+R])</f>
        <v>#N/A</v>
      </c>
      <c r="P95" s="96" t="e">
        <f>_xlfn.XLOOKUP(Table118871730[[#This Row],[Opp]],Table2040[DEF],Table2040[TD])</f>
        <v>#N/A</v>
      </c>
      <c r="Q95" s="94" t="e">
        <f>AVERAGE(Table118871730[[#This Row],[*R*]:[*TD*]])</f>
        <v>#N/A</v>
      </c>
    </row>
    <row r="96" spans="2:17" hidden="1" x14ac:dyDescent="0.35">
      <c r="B96" s="6" t="s">
        <v>324</v>
      </c>
      <c r="C96" s="97" t="s">
        <v>48</v>
      </c>
      <c r="D96" s="97" t="s">
        <v>394</v>
      </c>
      <c r="E96" s="23" t="str" cm="1">
        <f t="array" ref="E96">_xlfn.XLOOKUP(Table118871730[[#This Row],[Team]],Table4334[Team],'2425'!$C$3:$C$34)</f>
        <v>n/a</v>
      </c>
      <c r="F96" s="97" t="str">
        <f>'2025'!$E$26</f>
        <v>n/a</v>
      </c>
      <c r="G96" s="94" t="e" cm="1">
        <f t="array" ref="G96">_xlfn.XLOOKUP(Table118871730[[#This Row],[Opp]],Table2040[DEF],'2425'!$H$38:$H$69)</f>
        <v>#N/A</v>
      </c>
      <c r="H96" s="94" t="e" cm="1">
        <f t="array" ref="H96">_xlfn.XLOOKUP(Table118871730[[#This Row],[Opp]],Table2040[DEF],'2425'!$I$38:$I$69)</f>
        <v>#N/A</v>
      </c>
      <c r="I96" s="94" t="e" cm="1">
        <f t="array" ref="I96">_xlfn.XLOOKUP(Table118871730[[#This Row],[Opp]],Table2040[DEF],'2425'!$J$38:$J$69)</f>
        <v>#N/A</v>
      </c>
      <c r="J96" s="94" t="e" cm="1">
        <f t="array" ref="J96">_xlfn.XLOOKUP(Table118871730[[#This Row],[Opp]],Table2040[DEF],'2425'!$K$38:$K$69)</f>
        <v>#N/A</v>
      </c>
      <c r="K96" s="94" t="e" cm="1">
        <f t="array" ref="K96">_xlfn.XLOOKUP(Table118871730[[#This Row],[Opp]],Table2040[DEF],'2425'!$L$38:$L$69)</f>
        <v>#N/A</v>
      </c>
      <c r="L96" s="95" t="e">
        <f>_xlfn.XLOOKUP(Table118871730[[#This Row],[Opp]],Table2040[DEF],Table2040[R])</f>
        <v>#N/A</v>
      </c>
      <c r="M96" s="96" t="e">
        <f>_xlfn.XLOOKUP(Table118871730[[#This Row],[Opp]],Table2040[DEF],Table2040[REC])</f>
        <v>#N/A</v>
      </c>
      <c r="N96" s="95" t="e">
        <f>_xlfn.XLOOKUP(Table118871730[[#This Row],[Opp]],Table2040[DEF],Table2040[Y])</f>
        <v>#N/A</v>
      </c>
      <c r="O96" s="95" t="e">
        <f>_xlfn.XLOOKUP(Table118871730[[#This Row],[Opp]],Table2040[DEF],Table2040[R+R])</f>
        <v>#N/A</v>
      </c>
      <c r="P96" s="96" t="e">
        <f>_xlfn.XLOOKUP(Table118871730[[#This Row],[Opp]],Table2040[DEF],Table2040[TD])</f>
        <v>#N/A</v>
      </c>
      <c r="Q96" s="94" t="e">
        <f>AVERAGE(Table118871730[[#This Row],[*R*]:[*TD*]])</f>
        <v>#N/A</v>
      </c>
    </row>
    <row r="97" spans="2:17" hidden="1" x14ac:dyDescent="0.35">
      <c r="B97" s="6" t="s">
        <v>326</v>
      </c>
      <c r="C97" s="97" t="s">
        <v>48</v>
      </c>
      <c r="D97" s="97" t="s">
        <v>396</v>
      </c>
      <c r="E97" s="23" t="str" cm="1">
        <f t="array" ref="E97">_xlfn.XLOOKUP(Table118871730[[#This Row],[Team]],Table4334[Team],'2425'!$C$3:$C$34)</f>
        <v>n/a</v>
      </c>
      <c r="F97" s="97" t="str">
        <f>'2025'!$E$26</f>
        <v>n/a</v>
      </c>
      <c r="G97" s="94" t="e" cm="1">
        <f t="array" ref="G97">_xlfn.XLOOKUP(Table118871730[[#This Row],[Opp]],Table2040[DEF],'2425'!$H$38:$H$69)</f>
        <v>#N/A</v>
      </c>
      <c r="H97" s="94" t="e" cm="1">
        <f t="array" ref="H97">_xlfn.XLOOKUP(Table118871730[[#This Row],[Opp]],Table2040[DEF],'2425'!$I$38:$I$69)</f>
        <v>#N/A</v>
      </c>
      <c r="I97" s="94" t="e" cm="1">
        <f t="array" ref="I97">_xlfn.XLOOKUP(Table118871730[[#This Row],[Opp]],Table2040[DEF],'2425'!$J$38:$J$69)</f>
        <v>#N/A</v>
      </c>
      <c r="J97" s="94" t="e" cm="1">
        <f t="array" ref="J97">_xlfn.XLOOKUP(Table118871730[[#This Row],[Opp]],Table2040[DEF],'2425'!$K$38:$K$69)</f>
        <v>#N/A</v>
      </c>
      <c r="K97" s="94" t="e" cm="1">
        <f t="array" ref="K97">_xlfn.XLOOKUP(Table118871730[[#This Row],[Opp]],Table2040[DEF],'2425'!$L$38:$L$69)</f>
        <v>#N/A</v>
      </c>
      <c r="L97" s="95" t="e">
        <f>_xlfn.XLOOKUP(Table118871730[[#This Row],[Opp]],Table2040[DEF],Table2040[R])</f>
        <v>#N/A</v>
      </c>
      <c r="M97" s="96" t="e">
        <f>_xlfn.XLOOKUP(Table118871730[[#This Row],[Opp]],Table2040[DEF],Table2040[REC])</f>
        <v>#N/A</v>
      </c>
      <c r="N97" s="95" t="e">
        <f>_xlfn.XLOOKUP(Table118871730[[#This Row],[Opp]],Table2040[DEF],Table2040[Y])</f>
        <v>#N/A</v>
      </c>
      <c r="O97" s="95" t="e">
        <f>_xlfn.XLOOKUP(Table118871730[[#This Row],[Opp]],Table2040[DEF],Table2040[R+R])</f>
        <v>#N/A</v>
      </c>
      <c r="P97" s="96" t="e">
        <f>_xlfn.XLOOKUP(Table118871730[[#This Row],[Opp]],Table2040[DEF],Table2040[TD])</f>
        <v>#N/A</v>
      </c>
      <c r="Q97" s="94" t="e">
        <f>AVERAGE(Table118871730[[#This Row],[*R*]:[*TD*]])</f>
        <v>#N/A</v>
      </c>
    </row>
    <row r="98" spans="2:17" hidden="1" x14ac:dyDescent="0.35">
      <c r="B98" s="6" t="s">
        <v>438</v>
      </c>
      <c r="C98" s="97" t="s">
        <v>48</v>
      </c>
      <c r="D98" s="97" t="s">
        <v>407</v>
      </c>
      <c r="E98" s="23" t="str" cm="1">
        <f t="array" ref="E98">_xlfn.XLOOKUP(Table118871730[[#This Row],[Team]],Table4334[Team],'2425'!$C$3:$C$34)</f>
        <v>n/a</v>
      </c>
      <c r="F98" s="97" t="str">
        <f>'2025'!$E$26</f>
        <v>n/a</v>
      </c>
      <c r="G98" s="94" t="e" cm="1">
        <f t="array" ref="G98">_xlfn.XLOOKUP(Table118871730[[#This Row],[Opp]],Table2040[DEF],'2425'!$H$38:$H$69)</f>
        <v>#N/A</v>
      </c>
      <c r="H98" s="94" t="e" cm="1">
        <f t="array" ref="H98">_xlfn.XLOOKUP(Table118871730[[#This Row],[Opp]],Table2040[DEF],'2425'!$I$38:$I$69)</f>
        <v>#N/A</v>
      </c>
      <c r="I98" s="94" t="e" cm="1">
        <f t="array" ref="I98">_xlfn.XLOOKUP(Table118871730[[#This Row],[Opp]],Table2040[DEF],'2425'!$J$38:$J$69)</f>
        <v>#N/A</v>
      </c>
      <c r="J98" s="94" t="e" cm="1">
        <f t="array" ref="J98">_xlfn.XLOOKUP(Table118871730[[#This Row],[Opp]],Table2040[DEF],'2425'!$K$38:$K$69)</f>
        <v>#N/A</v>
      </c>
      <c r="K98" s="94" t="e" cm="1">
        <f t="array" ref="K98">_xlfn.XLOOKUP(Table118871730[[#This Row],[Opp]],Table2040[DEF],'2425'!$L$38:$L$69)</f>
        <v>#N/A</v>
      </c>
      <c r="L98" s="95" t="e">
        <f>_xlfn.XLOOKUP(Table118871730[[#This Row],[Opp]],Table2040[DEF],Table2040[R])</f>
        <v>#N/A</v>
      </c>
      <c r="M98" s="96" t="e">
        <f>_xlfn.XLOOKUP(Table118871730[[#This Row],[Opp]],Table2040[DEF],Table2040[REC])</f>
        <v>#N/A</v>
      </c>
      <c r="N98" s="95" t="e">
        <f>_xlfn.XLOOKUP(Table118871730[[#This Row],[Opp]],Table2040[DEF],Table2040[Y])</f>
        <v>#N/A</v>
      </c>
      <c r="O98" s="95" t="e">
        <f>_xlfn.XLOOKUP(Table118871730[[#This Row],[Opp]],Table2040[DEF],Table2040[R+R])</f>
        <v>#N/A</v>
      </c>
      <c r="P98" s="96" t="e">
        <f>_xlfn.XLOOKUP(Table118871730[[#This Row],[Opp]],Table2040[DEF],Table2040[TD])</f>
        <v>#N/A</v>
      </c>
      <c r="Q98" s="94" t="e">
        <f>AVERAGE(Table118871730[[#This Row],[*R*]:[*TD*]])</f>
        <v>#N/A</v>
      </c>
    </row>
    <row r="99" spans="2:17" hidden="1" x14ac:dyDescent="0.35">
      <c r="B99" s="6" t="s">
        <v>698</v>
      </c>
      <c r="C99" s="97" t="s">
        <v>41</v>
      </c>
      <c r="D99" s="97" t="s">
        <v>395</v>
      </c>
      <c r="E99" s="23" t="str" cm="1">
        <f t="array" ref="E99">_xlfn.XLOOKUP(Table118871730[[#This Row],[Team]],Table4334[Team],'2425'!$C$3:$C$34)</f>
        <v>n/a</v>
      </c>
      <c r="F99" s="97" t="str">
        <f>'2025'!$E$19</f>
        <v>n/a</v>
      </c>
      <c r="G99" s="94" t="e" cm="1">
        <f t="array" ref="G99">_xlfn.XLOOKUP(Table118871730[[#This Row],[Opp]],Table2040[DEF],'2425'!$H$38:$H$69)</f>
        <v>#N/A</v>
      </c>
      <c r="H99" s="94" t="e" cm="1">
        <f t="array" ref="H99">_xlfn.XLOOKUP(Table118871730[[#This Row],[Opp]],Table2040[DEF],'2425'!$I$38:$I$69)</f>
        <v>#N/A</v>
      </c>
      <c r="I99" s="94" t="e" cm="1">
        <f t="array" ref="I99">_xlfn.XLOOKUP(Table118871730[[#This Row],[Opp]],Table2040[DEF],'2425'!$J$38:$J$69)</f>
        <v>#N/A</v>
      </c>
      <c r="J99" s="94" t="e" cm="1">
        <f t="array" ref="J99">_xlfn.XLOOKUP(Table118871730[[#This Row],[Opp]],Table2040[DEF],'2425'!$K$38:$K$69)</f>
        <v>#N/A</v>
      </c>
      <c r="K99" s="94" t="e" cm="1">
        <f t="array" ref="K99">_xlfn.XLOOKUP(Table118871730[[#This Row],[Opp]],Table2040[DEF],'2425'!$L$38:$L$69)</f>
        <v>#N/A</v>
      </c>
      <c r="L99" s="95" t="e">
        <f>_xlfn.XLOOKUP(Table118871730[[#This Row],[Opp]],Table2040[DEF],Table2040[R])</f>
        <v>#N/A</v>
      </c>
      <c r="M99" s="96" t="e">
        <f>_xlfn.XLOOKUP(Table118871730[[#This Row],[Opp]],Table2040[DEF],Table2040[REC])</f>
        <v>#N/A</v>
      </c>
      <c r="N99" s="95" t="e">
        <f>_xlfn.XLOOKUP(Table118871730[[#This Row],[Opp]],Table2040[DEF],Table2040[Y])</f>
        <v>#N/A</v>
      </c>
      <c r="O99" s="95" t="e">
        <f>_xlfn.XLOOKUP(Table118871730[[#This Row],[Opp]],Table2040[DEF],Table2040[R+R])</f>
        <v>#N/A</v>
      </c>
      <c r="P99" s="96" t="e">
        <f>_xlfn.XLOOKUP(Table118871730[[#This Row],[Opp]],Table2040[DEF],Table2040[TD])</f>
        <v>#N/A</v>
      </c>
      <c r="Q99" s="94" t="e">
        <f>AVERAGE(Table118871730[[#This Row],[*R*]:[*TD*]])</f>
        <v>#N/A</v>
      </c>
    </row>
    <row r="100" spans="2:17" hidden="1" x14ac:dyDescent="0.35">
      <c r="B100" s="6" t="s">
        <v>352</v>
      </c>
      <c r="C100" s="97" t="s">
        <v>52</v>
      </c>
      <c r="D100" s="97" t="s">
        <v>394</v>
      </c>
      <c r="E100" s="23" t="str" cm="1">
        <f t="array" ref="E100">_xlfn.XLOOKUP(Table118871730[[#This Row],[Team]],Table4334[Team],'2425'!$C$3:$C$34)</f>
        <v>SB LX</v>
      </c>
      <c r="F100" s="97" t="str">
        <f>'2025'!$E$30</f>
        <v>NE</v>
      </c>
      <c r="G100" s="94" cm="1">
        <f t="array" ref="G100">_xlfn.XLOOKUP(Table118871730[[#This Row],[Opp]],Table2040[DEF],'2425'!$H$38:$H$69)</f>
        <v>14.5</v>
      </c>
      <c r="H100" s="94" cm="1">
        <f t="array" ref="H100">_xlfn.XLOOKUP(Table118871730[[#This Row],[Opp]],Table2040[DEF],'2425'!$I$38:$I$69)</f>
        <v>20</v>
      </c>
      <c r="I100" s="94" cm="1">
        <f t="array" ref="I100">_xlfn.XLOOKUP(Table118871730[[#This Row],[Opp]],Table2040[DEF],'2425'!$J$38:$J$69)</f>
        <v>26</v>
      </c>
      <c r="J100" s="94" cm="1">
        <f t="array" ref="J100">_xlfn.XLOOKUP(Table118871730[[#This Row],[Opp]],Table2040[DEF],'2425'!$K$38:$K$69)</f>
        <v>20</v>
      </c>
      <c r="K100" s="94" cm="1">
        <f t="array" ref="K100">_xlfn.XLOOKUP(Table118871730[[#This Row],[Opp]],Table2040[DEF],'2425'!$L$38:$L$69)</f>
        <v>16</v>
      </c>
      <c r="L100" s="95">
        <f>_xlfn.XLOOKUP(Table118871730[[#This Row],[Opp]],Table2040[DEF],Table2040[R])</f>
        <v>96.558823529411768</v>
      </c>
      <c r="M100" s="96">
        <f>_xlfn.XLOOKUP(Table118871730[[#This Row],[Opp]],Table2040[DEF],Table2040[REC])</f>
        <v>4.0882352941176467</v>
      </c>
      <c r="N100" s="95">
        <f>_xlfn.XLOOKUP(Table118871730[[#This Row],[Opp]],Table2040[DEF],Table2040[Y])</f>
        <v>27.294117647058826</v>
      </c>
      <c r="O100" s="95">
        <f>_xlfn.XLOOKUP(Table118871730[[#This Row],[Opp]],Table2040[DEF],Table2040[R+R])</f>
        <v>123.85294117647059</v>
      </c>
      <c r="P100" s="96">
        <f>_xlfn.XLOOKUP(Table118871730[[#This Row],[Opp]],Table2040[DEF],Table2040[TD])</f>
        <v>0.91176470588235303</v>
      </c>
      <c r="Q100" s="94">
        <f>AVERAGE(Table118871730[[#This Row],[*R*]:[*TD*]])</f>
        <v>19.3</v>
      </c>
    </row>
    <row r="101" spans="2:17" hidden="1" x14ac:dyDescent="0.35">
      <c r="B101" s="6" t="s">
        <v>526</v>
      </c>
      <c r="C101" s="97" t="s">
        <v>52</v>
      </c>
      <c r="D101" s="98" t="s">
        <v>396</v>
      </c>
      <c r="E101" s="23" t="str" cm="1">
        <f t="array" ref="E101">_xlfn.XLOOKUP(Table118871730[[#This Row],[Team]],Table4334[Team],'2425'!$C$3:$C$34)</f>
        <v>SB LX</v>
      </c>
      <c r="F101" s="97" t="str">
        <f>'2025'!$E$30</f>
        <v>NE</v>
      </c>
      <c r="G101" s="94" cm="1">
        <f t="array" ref="G101">_xlfn.XLOOKUP(Table118871730[[#This Row],[Opp]],Table2040[DEF],'2425'!$H$38:$H$69)</f>
        <v>14.5</v>
      </c>
      <c r="H101" s="94" cm="1">
        <f t="array" ref="H101">_xlfn.XLOOKUP(Table118871730[[#This Row],[Opp]],Table2040[DEF],'2425'!$I$38:$I$69)</f>
        <v>20</v>
      </c>
      <c r="I101" s="94" cm="1">
        <f t="array" ref="I101">_xlfn.XLOOKUP(Table118871730[[#This Row],[Opp]],Table2040[DEF],'2425'!$J$38:$J$69)</f>
        <v>26</v>
      </c>
      <c r="J101" s="94" cm="1">
        <f t="array" ref="J101">_xlfn.XLOOKUP(Table118871730[[#This Row],[Opp]],Table2040[DEF],'2425'!$K$38:$K$69)</f>
        <v>20</v>
      </c>
      <c r="K101" s="94" cm="1">
        <f t="array" ref="K101">_xlfn.XLOOKUP(Table118871730[[#This Row],[Opp]],Table2040[DEF],'2425'!$L$38:$L$69)</f>
        <v>16</v>
      </c>
      <c r="L101" s="95">
        <f>_xlfn.XLOOKUP(Table118871730[[#This Row],[Opp]],Table2040[DEF],Table2040[R])</f>
        <v>96.558823529411768</v>
      </c>
      <c r="M101" s="96">
        <f>_xlfn.XLOOKUP(Table118871730[[#This Row],[Opp]],Table2040[DEF],Table2040[REC])</f>
        <v>4.0882352941176467</v>
      </c>
      <c r="N101" s="95">
        <f>_xlfn.XLOOKUP(Table118871730[[#This Row],[Opp]],Table2040[DEF],Table2040[Y])</f>
        <v>27.294117647058826</v>
      </c>
      <c r="O101" s="95">
        <f>_xlfn.XLOOKUP(Table118871730[[#This Row],[Opp]],Table2040[DEF],Table2040[R+R])</f>
        <v>123.85294117647059</v>
      </c>
      <c r="P101" s="96">
        <f>_xlfn.XLOOKUP(Table118871730[[#This Row],[Opp]],Table2040[DEF],Table2040[TD])</f>
        <v>0.91176470588235303</v>
      </c>
      <c r="Q101" s="94">
        <f>AVERAGE(Table118871730[[#This Row],[*R*]:[*TD*]])</f>
        <v>19.3</v>
      </c>
    </row>
    <row r="102" spans="2:17" hidden="1" x14ac:dyDescent="0.35">
      <c r="B102" s="6" t="s">
        <v>527</v>
      </c>
      <c r="C102" s="97" t="s">
        <v>52</v>
      </c>
      <c r="D102" s="97" t="s">
        <v>407</v>
      </c>
      <c r="E102" s="23" t="str" cm="1">
        <f t="array" ref="E102">_xlfn.XLOOKUP(Table118871730[[#This Row],[Team]],Table4334[Team],'2425'!$C$3:$C$34)</f>
        <v>SB LX</v>
      </c>
      <c r="F102" s="97" t="str">
        <f>'2025'!$E$30</f>
        <v>NE</v>
      </c>
      <c r="G102" s="94" cm="1">
        <f t="array" ref="G102">_xlfn.XLOOKUP(Table118871730[[#This Row],[Opp]],Table2040[DEF],'2425'!$H$38:$H$69)</f>
        <v>14.5</v>
      </c>
      <c r="H102" s="94" cm="1">
        <f t="array" ref="H102">_xlfn.XLOOKUP(Table118871730[[#This Row],[Opp]],Table2040[DEF],'2425'!$I$38:$I$69)</f>
        <v>20</v>
      </c>
      <c r="I102" s="94" cm="1">
        <f t="array" ref="I102">_xlfn.XLOOKUP(Table118871730[[#This Row],[Opp]],Table2040[DEF],'2425'!$J$38:$J$69)</f>
        <v>26</v>
      </c>
      <c r="J102" s="94" cm="1">
        <f t="array" ref="J102">_xlfn.XLOOKUP(Table118871730[[#This Row],[Opp]],Table2040[DEF],'2425'!$K$38:$K$69)</f>
        <v>20</v>
      </c>
      <c r="K102" s="94" cm="1">
        <f t="array" ref="K102">_xlfn.XLOOKUP(Table118871730[[#This Row],[Opp]],Table2040[DEF],'2425'!$L$38:$L$69)</f>
        <v>16</v>
      </c>
      <c r="L102" s="95">
        <f>_xlfn.XLOOKUP(Table118871730[[#This Row],[Opp]],Table2040[DEF],Table2040[R])</f>
        <v>96.558823529411768</v>
      </c>
      <c r="M102" s="96">
        <f>_xlfn.XLOOKUP(Table118871730[[#This Row],[Opp]],Table2040[DEF],Table2040[REC])</f>
        <v>4.0882352941176467</v>
      </c>
      <c r="N102" s="95">
        <f>_xlfn.XLOOKUP(Table118871730[[#This Row],[Opp]],Table2040[DEF],Table2040[Y])</f>
        <v>27.294117647058826</v>
      </c>
      <c r="O102" s="95">
        <f>_xlfn.XLOOKUP(Table118871730[[#This Row],[Opp]],Table2040[DEF],Table2040[R+R])</f>
        <v>123.85294117647059</v>
      </c>
      <c r="P102" s="96">
        <f>_xlfn.XLOOKUP(Table118871730[[#This Row],[Opp]],Table2040[DEF],Table2040[TD])</f>
        <v>0.91176470588235303</v>
      </c>
      <c r="Q102" s="94">
        <f>AVERAGE(Table118871730[[#This Row],[*R*]:[*TD*]])</f>
        <v>19.3</v>
      </c>
    </row>
    <row r="103" spans="2:17" x14ac:dyDescent="0.35">
      <c r="B103" s="6" t="s">
        <v>121</v>
      </c>
      <c r="C103" s="97" t="s">
        <v>17</v>
      </c>
      <c r="D103" s="97" t="s">
        <v>395</v>
      </c>
      <c r="E103" s="23" t="str" cm="1">
        <f t="array" ref="E103">_xlfn.XLOOKUP(Table118871730[[#This Row],[Team]],Table4334[Team],'2425'!$C$3:$C$34)</f>
        <v>n/a</v>
      </c>
      <c r="F103" s="97" t="str">
        <f>'2025'!$E$6</f>
        <v>n/a</v>
      </c>
      <c r="G103" s="94" t="e" cm="1">
        <f t="array" ref="G103">_xlfn.XLOOKUP(Table118871730[[#This Row],[Opp]],Table2040[DEF],'2425'!$H$38:$H$69)</f>
        <v>#N/A</v>
      </c>
      <c r="H103" s="94" t="e" cm="1">
        <f t="array" ref="H103">_xlfn.XLOOKUP(Table118871730[[#This Row],[Opp]],Table2040[DEF],'2425'!$I$38:$I$69)</f>
        <v>#N/A</v>
      </c>
      <c r="I103" s="94" t="e" cm="1">
        <f t="array" ref="I103">_xlfn.XLOOKUP(Table118871730[[#This Row],[Opp]],Table2040[DEF],'2425'!$J$38:$J$69)</f>
        <v>#N/A</v>
      </c>
      <c r="J103" s="94" t="e" cm="1">
        <f t="array" ref="J103">_xlfn.XLOOKUP(Table118871730[[#This Row],[Opp]],Table2040[DEF],'2425'!$K$38:$K$69)</f>
        <v>#N/A</v>
      </c>
      <c r="K103" s="94" t="e" cm="1">
        <f t="array" ref="K103">_xlfn.XLOOKUP(Table118871730[[#This Row],[Opp]],Table2040[DEF],'2425'!$L$38:$L$69)</f>
        <v>#N/A</v>
      </c>
      <c r="L103" s="95" t="e">
        <f>_xlfn.XLOOKUP(Table118871730[[#This Row],[Opp]],Table2040[DEF],Table2040[R])</f>
        <v>#N/A</v>
      </c>
      <c r="M103" s="96" t="e">
        <f>_xlfn.XLOOKUP(Table118871730[[#This Row],[Opp]],Table2040[DEF],Table2040[REC])</f>
        <v>#N/A</v>
      </c>
      <c r="N103" s="95" t="e">
        <f>_xlfn.XLOOKUP(Table118871730[[#This Row],[Opp]],Table2040[DEF],Table2040[Y])</f>
        <v>#N/A</v>
      </c>
      <c r="O103" s="95" t="e">
        <f>_xlfn.XLOOKUP(Table118871730[[#This Row],[Opp]],Table2040[DEF],Table2040[R+R])</f>
        <v>#N/A</v>
      </c>
      <c r="P103" s="96" t="e">
        <f>_xlfn.XLOOKUP(Table118871730[[#This Row],[Opp]],Table2040[DEF],Table2040[TD])</f>
        <v>#N/A</v>
      </c>
      <c r="Q103" s="94" t="e">
        <f>AVERAGE(Table118871730[[#This Row],[*R*]:[*TD*]])</f>
        <v>#N/A</v>
      </c>
    </row>
    <row r="104" spans="2:17" hidden="1" x14ac:dyDescent="0.35">
      <c r="B104" s="6" t="s">
        <v>116</v>
      </c>
      <c r="C104" s="97" t="s">
        <v>17</v>
      </c>
      <c r="D104" s="97" t="s">
        <v>394</v>
      </c>
      <c r="E104" s="23" t="str" cm="1">
        <f t="array" ref="E104">_xlfn.XLOOKUP(Table118871730[[#This Row],[Team]],Table4334[Team],'2425'!$C$3:$C$34)</f>
        <v>n/a</v>
      </c>
      <c r="F104" s="97" t="str">
        <f>'2025'!$E$6</f>
        <v>n/a</v>
      </c>
      <c r="G104" s="94" t="e" cm="1">
        <f t="array" ref="G104">_xlfn.XLOOKUP(Table118871730[[#This Row],[Opp]],Table2040[DEF],'2425'!$H$38:$H$69)</f>
        <v>#N/A</v>
      </c>
      <c r="H104" s="94" t="e" cm="1">
        <f t="array" ref="H104">_xlfn.XLOOKUP(Table118871730[[#This Row],[Opp]],Table2040[DEF],'2425'!$I$38:$I$69)</f>
        <v>#N/A</v>
      </c>
      <c r="I104" s="94" t="e" cm="1">
        <f t="array" ref="I104">_xlfn.XLOOKUP(Table118871730[[#This Row],[Opp]],Table2040[DEF],'2425'!$J$38:$J$69)</f>
        <v>#N/A</v>
      </c>
      <c r="J104" s="94" t="e" cm="1">
        <f t="array" ref="J104">_xlfn.XLOOKUP(Table118871730[[#This Row],[Opp]],Table2040[DEF],'2425'!$K$38:$K$69)</f>
        <v>#N/A</v>
      </c>
      <c r="K104" s="94" t="e" cm="1">
        <f t="array" ref="K104">_xlfn.XLOOKUP(Table118871730[[#This Row],[Opp]],Table2040[DEF],'2425'!$L$38:$L$69)</f>
        <v>#N/A</v>
      </c>
      <c r="L104" s="95" t="e">
        <f>_xlfn.XLOOKUP(Table118871730[[#This Row],[Opp]],Table2040[DEF],Table2040[R])</f>
        <v>#N/A</v>
      </c>
      <c r="M104" s="96" t="e">
        <f>_xlfn.XLOOKUP(Table118871730[[#This Row],[Opp]],Table2040[DEF],Table2040[REC])</f>
        <v>#N/A</v>
      </c>
      <c r="N104" s="95" t="e">
        <f>_xlfn.XLOOKUP(Table118871730[[#This Row],[Opp]],Table2040[DEF],Table2040[Y])</f>
        <v>#N/A</v>
      </c>
      <c r="O104" s="95" t="e">
        <f>_xlfn.XLOOKUP(Table118871730[[#This Row],[Opp]],Table2040[DEF],Table2040[R+R])</f>
        <v>#N/A</v>
      </c>
      <c r="P104" s="96" t="e">
        <f>_xlfn.XLOOKUP(Table118871730[[#This Row],[Opp]],Table2040[DEF],Table2040[TD])</f>
        <v>#N/A</v>
      </c>
      <c r="Q104" s="94" t="e">
        <f>AVERAGE(Table118871730[[#This Row],[*R*]:[*TD*]])</f>
        <v>#N/A</v>
      </c>
    </row>
    <row r="105" spans="2:17" hidden="1" x14ac:dyDescent="0.35">
      <c r="B105" s="6" t="s">
        <v>126</v>
      </c>
      <c r="C105" s="97" t="s">
        <v>17</v>
      </c>
      <c r="D105" s="97" t="s">
        <v>396</v>
      </c>
      <c r="E105" s="23" t="str" cm="1">
        <f t="array" ref="E105">_xlfn.XLOOKUP(Table118871730[[#This Row],[Team]],Table4334[Team],'2425'!$C$3:$C$34)</f>
        <v>n/a</v>
      </c>
      <c r="F105" s="97" t="str">
        <f>'2025'!$E$6</f>
        <v>n/a</v>
      </c>
      <c r="G105" s="94" t="e" cm="1">
        <f t="array" ref="G105">_xlfn.XLOOKUP(Table118871730[[#This Row],[Opp]],Table2040[DEF],'2425'!$H$38:$H$69)</f>
        <v>#N/A</v>
      </c>
      <c r="H105" s="94" t="e" cm="1">
        <f t="array" ref="H105">_xlfn.XLOOKUP(Table118871730[[#This Row],[Opp]],Table2040[DEF],'2425'!$I$38:$I$69)</f>
        <v>#N/A</v>
      </c>
      <c r="I105" s="94" t="e" cm="1">
        <f t="array" ref="I105">_xlfn.XLOOKUP(Table118871730[[#This Row],[Opp]],Table2040[DEF],'2425'!$J$38:$J$69)</f>
        <v>#N/A</v>
      </c>
      <c r="J105" s="94" t="e" cm="1">
        <f t="array" ref="J105">_xlfn.XLOOKUP(Table118871730[[#This Row],[Opp]],Table2040[DEF],'2425'!$K$38:$K$69)</f>
        <v>#N/A</v>
      </c>
      <c r="K105" s="94" t="e" cm="1">
        <f t="array" ref="K105">_xlfn.XLOOKUP(Table118871730[[#This Row],[Opp]],Table2040[DEF],'2425'!$L$38:$L$69)</f>
        <v>#N/A</v>
      </c>
      <c r="L105" s="95" t="e">
        <f>_xlfn.XLOOKUP(Table118871730[[#This Row],[Opp]],Table2040[DEF],Table2040[R])</f>
        <v>#N/A</v>
      </c>
      <c r="M105" s="96" t="e">
        <f>_xlfn.XLOOKUP(Table118871730[[#This Row],[Opp]],Table2040[DEF],Table2040[REC])</f>
        <v>#N/A</v>
      </c>
      <c r="N105" s="95" t="e">
        <f>_xlfn.XLOOKUP(Table118871730[[#This Row],[Opp]],Table2040[DEF],Table2040[Y])</f>
        <v>#N/A</v>
      </c>
      <c r="O105" s="95" t="e">
        <f>_xlfn.XLOOKUP(Table118871730[[#This Row],[Opp]],Table2040[DEF],Table2040[R+R])</f>
        <v>#N/A</v>
      </c>
      <c r="P105" s="96" t="e">
        <f>_xlfn.XLOOKUP(Table118871730[[#This Row],[Opp]],Table2040[DEF],Table2040[TD])</f>
        <v>#N/A</v>
      </c>
      <c r="Q105" s="94" t="e">
        <f>AVERAGE(Table118871730[[#This Row],[*R*]:[*TD*]])</f>
        <v>#N/A</v>
      </c>
    </row>
    <row r="106" spans="2:17" hidden="1" x14ac:dyDescent="0.35">
      <c r="B106" s="6" t="s">
        <v>344</v>
      </c>
      <c r="C106" s="97" t="s">
        <v>51</v>
      </c>
      <c r="D106" s="97" t="s">
        <v>395</v>
      </c>
      <c r="E106" s="23" t="str" cm="1">
        <f t="array" ref="E106">_xlfn.XLOOKUP(Table118871730[[#This Row],[Team]],Table4334[Team],'2425'!$C$3:$C$34)</f>
        <v>n/a</v>
      </c>
      <c r="F106" s="97" t="str">
        <f>'2025'!$E$29</f>
        <v>n/a</v>
      </c>
      <c r="G106" s="94" t="e" cm="1">
        <f t="array" ref="G106">_xlfn.XLOOKUP(Table118871730[[#This Row],[Opp]],Table2040[DEF],'2425'!$H$38:$H$69)</f>
        <v>#N/A</v>
      </c>
      <c r="H106" s="94" t="e" cm="1">
        <f t="array" ref="H106">_xlfn.XLOOKUP(Table118871730[[#This Row],[Opp]],Table2040[DEF],'2425'!$I$38:$I$69)</f>
        <v>#N/A</v>
      </c>
      <c r="I106" s="94" t="e" cm="1">
        <f t="array" ref="I106">_xlfn.XLOOKUP(Table118871730[[#This Row],[Opp]],Table2040[DEF],'2425'!$J$38:$J$69)</f>
        <v>#N/A</v>
      </c>
      <c r="J106" s="94" t="e" cm="1">
        <f t="array" ref="J106">_xlfn.XLOOKUP(Table118871730[[#This Row],[Opp]],Table2040[DEF],'2425'!$K$38:$K$69)</f>
        <v>#N/A</v>
      </c>
      <c r="K106" s="94" t="e" cm="1">
        <f t="array" ref="K106">_xlfn.XLOOKUP(Table118871730[[#This Row],[Opp]],Table2040[DEF],'2425'!$L$38:$L$69)</f>
        <v>#N/A</v>
      </c>
      <c r="L106" s="95" t="e">
        <f>_xlfn.XLOOKUP(Table118871730[[#This Row],[Opp]],Table2040[DEF],Table2040[R])</f>
        <v>#N/A</v>
      </c>
      <c r="M106" s="96" t="e">
        <f>_xlfn.XLOOKUP(Table118871730[[#This Row],[Opp]],Table2040[DEF],Table2040[REC])</f>
        <v>#N/A</v>
      </c>
      <c r="N106" s="95" t="e">
        <f>_xlfn.XLOOKUP(Table118871730[[#This Row],[Opp]],Table2040[DEF],Table2040[Y])</f>
        <v>#N/A</v>
      </c>
      <c r="O106" s="95" t="e">
        <f>_xlfn.XLOOKUP(Table118871730[[#This Row],[Opp]],Table2040[DEF],Table2040[R+R])</f>
        <v>#N/A</v>
      </c>
      <c r="P106" s="96" t="e">
        <f>_xlfn.XLOOKUP(Table118871730[[#This Row],[Opp]],Table2040[DEF],Table2040[TD])</f>
        <v>#N/A</v>
      </c>
      <c r="Q106" s="94" t="e">
        <f>AVERAGE(Table118871730[[#This Row],[*R*]:[*TD*]])</f>
        <v>#N/A</v>
      </c>
    </row>
    <row r="107" spans="2:17" hidden="1" x14ac:dyDescent="0.35">
      <c r="B107" s="6" t="s">
        <v>461</v>
      </c>
      <c r="C107" s="97" t="s">
        <v>56</v>
      </c>
      <c r="D107" s="98" t="s">
        <v>394</v>
      </c>
      <c r="E107" s="23" t="str" cm="1">
        <f t="array" ref="E107">_xlfn.XLOOKUP(Table118871730[[#This Row],[Team]],Table4334[Team],'2425'!$C$3:$C$34)</f>
        <v>n/a</v>
      </c>
      <c r="F107" s="97" t="str">
        <f>'2025'!$E$34</f>
        <v>n/a</v>
      </c>
      <c r="G107" s="94" t="e" cm="1">
        <f t="array" ref="G107">_xlfn.XLOOKUP(Table118871730[[#This Row],[Opp]],Table2040[DEF],'2425'!$H$38:$H$69)</f>
        <v>#N/A</v>
      </c>
      <c r="H107" s="94" t="e" cm="1">
        <f t="array" ref="H107">_xlfn.XLOOKUP(Table118871730[[#This Row],[Opp]],Table2040[DEF],'2425'!$I$38:$I$69)</f>
        <v>#N/A</v>
      </c>
      <c r="I107" s="94" t="e" cm="1">
        <f t="array" ref="I107">_xlfn.XLOOKUP(Table118871730[[#This Row],[Opp]],Table2040[DEF],'2425'!$J$38:$J$69)</f>
        <v>#N/A</v>
      </c>
      <c r="J107" s="94" t="e" cm="1">
        <f t="array" ref="J107">_xlfn.XLOOKUP(Table118871730[[#This Row],[Opp]],Table2040[DEF],'2425'!$K$38:$K$69)</f>
        <v>#N/A</v>
      </c>
      <c r="K107" s="94" t="e" cm="1">
        <f t="array" ref="K107">_xlfn.XLOOKUP(Table118871730[[#This Row],[Opp]],Table2040[DEF],'2425'!$L$38:$L$69)</f>
        <v>#N/A</v>
      </c>
      <c r="L107" s="95" t="e">
        <f>_xlfn.XLOOKUP(Table118871730[[#This Row],[Opp]],Table2040[DEF],Table2040[R])</f>
        <v>#N/A</v>
      </c>
      <c r="M107" s="96" t="e">
        <f>_xlfn.XLOOKUP(Table118871730[[#This Row],[Opp]],Table2040[DEF],Table2040[REC])</f>
        <v>#N/A</v>
      </c>
      <c r="N107" s="95" t="e">
        <f>_xlfn.XLOOKUP(Table118871730[[#This Row],[Opp]],Table2040[DEF],Table2040[Y])</f>
        <v>#N/A</v>
      </c>
      <c r="O107" s="95" t="e">
        <f>_xlfn.XLOOKUP(Table118871730[[#This Row],[Opp]],Table2040[DEF],Table2040[R+R])</f>
        <v>#N/A</v>
      </c>
      <c r="P107" s="96" t="e">
        <f>_xlfn.XLOOKUP(Table118871730[[#This Row],[Opp]],Table2040[DEF],Table2040[TD])</f>
        <v>#N/A</v>
      </c>
      <c r="Q107" s="94" t="e">
        <f>AVERAGE(Table118871730[[#This Row],[*R*]:[*TD*]])</f>
        <v>#N/A</v>
      </c>
    </row>
    <row r="108" spans="2:17" hidden="1" x14ac:dyDescent="0.35">
      <c r="B108" s="6" t="s">
        <v>462</v>
      </c>
      <c r="C108" s="97" t="s">
        <v>56</v>
      </c>
      <c r="D108" s="97" t="s">
        <v>396</v>
      </c>
      <c r="E108" s="23" t="str" cm="1">
        <f t="array" ref="E108">_xlfn.XLOOKUP(Table118871730[[#This Row],[Team]],Table4334[Team],'2425'!$C$3:$C$34)</f>
        <v>n/a</v>
      </c>
      <c r="F108" s="97" t="str">
        <f>'2025'!$E$34</f>
        <v>n/a</v>
      </c>
      <c r="G108" s="94" t="e" cm="1">
        <f t="array" ref="G108">_xlfn.XLOOKUP(Table118871730[[#This Row],[Opp]],Table2040[DEF],'2425'!$H$38:$H$69)</f>
        <v>#N/A</v>
      </c>
      <c r="H108" s="94" t="e" cm="1">
        <f t="array" ref="H108">_xlfn.XLOOKUP(Table118871730[[#This Row],[Opp]],Table2040[DEF],'2425'!$I$38:$I$69)</f>
        <v>#N/A</v>
      </c>
      <c r="I108" s="94" t="e" cm="1">
        <f t="array" ref="I108">_xlfn.XLOOKUP(Table118871730[[#This Row],[Opp]],Table2040[DEF],'2425'!$J$38:$J$69)</f>
        <v>#N/A</v>
      </c>
      <c r="J108" s="94" t="e" cm="1">
        <f t="array" ref="J108">_xlfn.XLOOKUP(Table118871730[[#This Row],[Opp]],Table2040[DEF],'2425'!$K$38:$K$69)</f>
        <v>#N/A</v>
      </c>
      <c r="K108" s="94" t="e" cm="1">
        <f t="array" ref="K108">_xlfn.XLOOKUP(Table118871730[[#This Row],[Opp]],Table2040[DEF],'2425'!$L$38:$L$69)</f>
        <v>#N/A</v>
      </c>
      <c r="L108" s="95" t="e">
        <f>_xlfn.XLOOKUP(Table118871730[[#This Row],[Opp]],Table2040[DEF],Table2040[R])</f>
        <v>#N/A</v>
      </c>
      <c r="M108" s="96" t="e">
        <f>_xlfn.XLOOKUP(Table118871730[[#This Row],[Opp]],Table2040[DEF],Table2040[REC])</f>
        <v>#N/A</v>
      </c>
      <c r="N108" s="95" t="e">
        <f>_xlfn.XLOOKUP(Table118871730[[#This Row],[Opp]],Table2040[DEF],Table2040[Y])</f>
        <v>#N/A</v>
      </c>
      <c r="O108" s="95" t="e">
        <f>_xlfn.XLOOKUP(Table118871730[[#This Row],[Opp]],Table2040[DEF],Table2040[R+R])</f>
        <v>#N/A</v>
      </c>
      <c r="P108" s="96" t="e">
        <f>_xlfn.XLOOKUP(Table118871730[[#This Row],[Opp]],Table2040[DEF],Table2040[TD])</f>
        <v>#N/A</v>
      </c>
      <c r="Q108" s="94" t="e">
        <f>AVERAGE(Table118871730[[#This Row],[*R*]:[*TD*]])</f>
        <v>#N/A</v>
      </c>
    </row>
    <row r="109" spans="2:17" hidden="1" x14ac:dyDescent="0.35">
      <c r="B109" s="6" t="s">
        <v>387</v>
      </c>
      <c r="C109" s="97" t="s">
        <v>56</v>
      </c>
      <c r="D109" s="97" t="s">
        <v>407</v>
      </c>
      <c r="E109" s="23" t="str" cm="1">
        <f t="array" ref="E109">_xlfn.XLOOKUP(Table118871730[[#This Row],[Team]],Table4334[Team],'2425'!$C$3:$C$34)</f>
        <v>n/a</v>
      </c>
      <c r="F109" s="97" t="str">
        <f>'2025'!$E$34</f>
        <v>n/a</v>
      </c>
      <c r="G109" s="94" t="e" cm="1">
        <f t="array" ref="G109">_xlfn.XLOOKUP(Table118871730[[#This Row],[Opp]],Table2040[DEF],'2425'!$H$38:$H$69)</f>
        <v>#N/A</v>
      </c>
      <c r="H109" s="94" t="e" cm="1">
        <f t="array" ref="H109">_xlfn.XLOOKUP(Table118871730[[#This Row],[Opp]],Table2040[DEF],'2425'!$I$38:$I$69)</f>
        <v>#N/A</v>
      </c>
      <c r="I109" s="94" t="e" cm="1">
        <f t="array" ref="I109">_xlfn.XLOOKUP(Table118871730[[#This Row],[Opp]],Table2040[DEF],'2425'!$J$38:$J$69)</f>
        <v>#N/A</v>
      </c>
      <c r="J109" s="94" t="e" cm="1">
        <f t="array" ref="J109">_xlfn.XLOOKUP(Table118871730[[#This Row],[Opp]],Table2040[DEF],'2425'!$K$38:$K$69)</f>
        <v>#N/A</v>
      </c>
      <c r="K109" s="94" t="e" cm="1">
        <f t="array" ref="K109">_xlfn.XLOOKUP(Table118871730[[#This Row],[Opp]],Table2040[DEF],'2425'!$L$38:$L$69)</f>
        <v>#N/A</v>
      </c>
      <c r="L109" s="95" t="e">
        <f>_xlfn.XLOOKUP(Table118871730[[#This Row],[Opp]],Table2040[DEF],Table2040[R])</f>
        <v>#N/A</v>
      </c>
      <c r="M109" s="96" t="e">
        <f>_xlfn.XLOOKUP(Table118871730[[#This Row],[Opp]],Table2040[DEF],Table2040[REC])</f>
        <v>#N/A</v>
      </c>
      <c r="N109" s="95" t="e">
        <f>_xlfn.XLOOKUP(Table118871730[[#This Row],[Opp]],Table2040[DEF],Table2040[Y])</f>
        <v>#N/A</v>
      </c>
      <c r="O109" s="95" t="e">
        <f>_xlfn.XLOOKUP(Table118871730[[#This Row],[Opp]],Table2040[DEF],Table2040[R+R])</f>
        <v>#N/A</v>
      </c>
      <c r="P109" s="96" t="e">
        <f>_xlfn.XLOOKUP(Table118871730[[#This Row],[Opp]],Table2040[DEF],Table2040[TD])</f>
        <v>#N/A</v>
      </c>
      <c r="Q109" s="94" t="e">
        <f>AVERAGE(Table118871730[[#This Row],[*R*]:[*TD*]])</f>
        <v>#N/A</v>
      </c>
    </row>
    <row r="110" spans="2:17" x14ac:dyDescent="0.35">
      <c r="B110" s="6" t="s">
        <v>305</v>
      </c>
      <c r="C110" s="97" t="s">
        <v>46</v>
      </c>
      <c r="D110" s="97" t="s">
        <v>395</v>
      </c>
      <c r="E110" s="23" t="str" cm="1">
        <f t="array" ref="E110">_xlfn.XLOOKUP(Table118871730[[#This Row],[Team]],Table4334[Team],'2425'!$C$3:$C$34)</f>
        <v>SB LX</v>
      </c>
      <c r="F110" s="97" t="str">
        <f>'2025'!$E$24</f>
        <v>SEA</v>
      </c>
      <c r="G110" s="94" cm="1">
        <f t="array" ref="G110">_xlfn.XLOOKUP(Table118871730[[#This Row],[Opp]],Table2040[DEF],'2425'!$H$38:$H$69)</f>
        <v>25</v>
      </c>
      <c r="H110" s="94" cm="1">
        <f t="array" ref="H110">_xlfn.XLOOKUP(Table118871730[[#This Row],[Opp]],Table2040[DEF],'2425'!$I$38:$I$69)</f>
        <v>1.5</v>
      </c>
      <c r="I110" s="94" cm="1">
        <f t="array" ref="I110">_xlfn.XLOOKUP(Table118871730[[#This Row],[Opp]],Table2040[DEF],'2425'!$J$38:$J$69)</f>
        <v>5</v>
      </c>
      <c r="J110" s="94" cm="1">
        <f t="array" ref="J110">_xlfn.XLOOKUP(Table118871730[[#This Row],[Opp]],Table2040[DEF],'2425'!$K$38:$K$69)</f>
        <v>19</v>
      </c>
      <c r="K110" s="94" cm="1">
        <f t="array" ref="K110">_xlfn.XLOOKUP(Table118871730[[#This Row],[Opp]],Table2040[DEF],'2425'!$L$38:$L$69)</f>
        <v>32</v>
      </c>
      <c r="L110" s="95">
        <f>_xlfn.XLOOKUP(Table118871730[[#This Row],[Opp]],Table2040[DEF],Table2040[R])</f>
        <v>87.058823529411768</v>
      </c>
      <c r="M110" s="96">
        <f>_xlfn.XLOOKUP(Table118871730[[#This Row],[Opp]],Table2040[DEF],Table2040[REC])</f>
        <v>5.1470588235294112</v>
      </c>
      <c r="N110" s="95">
        <f>_xlfn.XLOOKUP(Table118871730[[#This Row],[Opp]],Table2040[DEF],Table2040[Y])</f>
        <v>37.17647058823529</v>
      </c>
      <c r="O110" s="95">
        <f>_xlfn.XLOOKUP(Table118871730[[#This Row],[Opp]],Table2040[DEF],Table2040[R+R])</f>
        <v>124.23529411764706</v>
      </c>
      <c r="P110" s="96">
        <f>_xlfn.XLOOKUP(Table118871730[[#This Row],[Opp]],Table2040[DEF],Table2040[TD])</f>
        <v>0.52941176470588236</v>
      </c>
      <c r="Q110" s="94">
        <f>AVERAGE(Table118871730[[#This Row],[*R*]:[*TD*]])</f>
        <v>16.5</v>
      </c>
    </row>
    <row r="111" spans="2:17" hidden="1" x14ac:dyDescent="0.35">
      <c r="B111" s="6" t="s">
        <v>229</v>
      </c>
      <c r="C111" s="97" t="s">
        <v>38</v>
      </c>
      <c r="D111" s="97" t="s">
        <v>394</v>
      </c>
      <c r="E111" s="23" t="str" cm="1">
        <f t="array" ref="E111">_xlfn.XLOOKUP(Table118871730[[#This Row],[Team]],Table4334[Team],'2425'!$C$3:$C$34)</f>
        <v>n/a</v>
      </c>
      <c r="F111" s="97" t="str">
        <f>'2025'!$E$16</f>
        <v>n/a</v>
      </c>
      <c r="G111" s="94" t="e" cm="1">
        <f t="array" ref="G111">_xlfn.XLOOKUP(Table118871730[[#This Row],[Opp]],Table2040[DEF],'2425'!$H$38:$H$69)</f>
        <v>#N/A</v>
      </c>
      <c r="H111" s="94" t="e" cm="1">
        <f t="array" ref="H111">_xlfn.XLOOKUP(Table118871730[[#This Row],[Opp]],Table2040[DEF],'2425'!$I$38:$I$69)</f>
        <v>#N/A</v>
      </c>
      <c r="I111" s="94" t="e" cm="1">
        <f t="array" ref="I111">_xlfn.XLOOKUP(Table118871730[[#This Row],[Opp]],Table2040[DEF],'2425'!$J$38:$J$69)</f>
        <v>#N/A</v>
      </c>
      <c r="J111" s="94" t="e" cm="1">
        <f t="array" ref="J111">_xlfn.XLOOKUP(Table118871730[[#This Row],[Opp]],Table2040[DEF],'2425'!$K$38:$K$69)</f>
        <v>#N/A</v>
      </c>
      <c r="K111" s="94" t="e" cm="1">
        <f t="array" ref="K111">_xlfn.XLOOKUP(Table118871730[[#This Row],[Opp]],Table2040[DEF],'2425'!$L$38:$L$69)</f>
        <v>#N/A</v>
      </c>
      <c r="L111" s="95" t="e">
        <f>_xlfn.XLOOKUP(Table118871730[[#This Row],[Opp]],Table2040[DEF],Table2040[R])</f>
        <v>#N/A</v>
      </c>
      <c r="M111" s="96" t="e">
        <f>_xlfn.XLOOKUP(Table118871730[[#This Row],[Opp]],Table2040[DEF],Table2040[REC])</f>
        <v>#N/A</v>
      </c>
      <c r="N111" s="95" t="e">
        <f>_xlfn.XLOOKUP(Table118871730[[#This Row],[Opp]],Table2040[DEF],Table2040[Y])</f>
        <v>#N/A</v>
      </c>
      <c r="O111" s="95" t="e">
        <f>_xlfn.XLOOKUP(Table118871730[[#This Row],[Opp]],Table2040[DEF],Table2040[R+R])</f>
        <v>#N/A</v>
      </c>
      <c r="P111" s="96" t="e">
        <f>_xlfn.XLOOKUP(Table118871730[[#This Row],[Opp]],Table2040[DEF],Table2040[TD])</f>
        <v>#N/A</v>
      </c>
      <c r="Q111" s="94" t="e">
        <f>AVERAGE(Table118871730[[#This Row],[*R*]:[*TD*]])</f>
        <v>#N/A</v>
      </c>
    </row>
    <row r="112" spans="2:17" hidden="1" x14ac:dyDescent="0.35">
      <c r="B112" s="6" t="s">
        <v>228</v>
      </c>
      <c r="C112" s="97" t="s">
        <v>38</v>
      </c>
      <c r="D112" s="97" t="s">
        <v>396</v>
      </c>
      <c r="E112" s="23" t="str" cm="1">
        <f t="array" ref="E112">_xlfn.XLOOKUP(Table118871730[[#This Row],[Team]],Table4334[Team],'2425'!$C$3:$C$34)</f>
        <v>n/a</v>
      </c>
      <c r="F112" s="97" t="str">
        <f>'2025'!$E$16</f>
        <v>n/a</v>
      </c>
      <c r="G112" s="94" t="e" cm="1">
        <f t="array" ref="G112">_xlfn.XLOOKUP(Table118871730[[#This Row],[Opp]],Table2040[DEF],'2425'!$H$38:$H$69)</f>
        <v>#N/A</v>
      </c>
      <c r="H112" s="94" t="e" cm="1">
        <f t="array" ref="H112">_xlfn.XLOOKUP(Table118871730[[#This Row],[Opp]],Table2040[DEF],'2425'!$I$38:$I$69)</f>
        <v>#N/A</v>
      </c>
      <c r="I112" s="94" t="e" cm="1">
        <f t="array" ref="I112">_xlfn.XLOOKUP(Table118871730[[#This Row],[Opp]],Table2040[DEF],'2425'!$J$38:$J$69)</f>
        <v>#N/A</v>
      </c>
      <c r="J112" s="94" t="e" cm="1">
        <f t="array" ref="J112">_xlfn.XLOOKUP(Table118871730[[#This Row],[Opp]],Table2040[DEF],'2425'!$K$38:$K$69)</f>
        <v>#N/A</v>
      </c>
      <c r="K112" s="94" t="e" cm="1">
        <f t="array" ref="K112">_xlfn.XLOOKUP(Table118871730[[#This Row],[Opp]],Table2040[DEF],'2425'!$L$38:$L$69)</f>
        <v>#N/A</v>
      </c>
      <c r="L112" s="95" t="e">
        <f>_xlfn.XLOOKUP(Table118871730[[#This Row],[Opp]],Table2040[DEF],Table2040[R])</f>
        <v>#N/A</v>
      </c>
      <c r="M112" s="96" t="e">
        <f>_xlfn.XLOOKUP(Table118871730[[#This Row],[Opp]],Table2040[DEF],Table2040[REC])</f>
        <v>#N/A</v>
      </c>
      <c r="N112" s="95" t="e">
        <f>_xlfn.XLOOKUP(Table118871730[[#This Row],[Opp]],Table2040[DEF],Table2040[Y])</f>
        <v>#N/A</v>
      </c>
      <c r="O112" s="95" t="e">
        <f>_xlfn.XLOOKUP(Table118871730[[#This Row],[Opp]],Table2040[DEF],Table2040[R+R])</f>
        <v>#N/A</v>
      </c>
      <c r="P112" s="96" t="e">
        <f>_xlfn.XLOOKUP(Table118871730[[#This Row],[Opp]],Table2040[DEF],Table2040[TD])</f>
        <v>#N/A</v>
      </c>
      <c r="Q112" s="94" t="e">
        <f>AVERAGE(Table118871730[[#This Row],[*R*]:[*TD*]])</f>
        <v>#N/A</v>
      </c>
    </row>
    <row r="113" spans="2:17" hidden="1" x14ac:dyDescent="0.35">
      <c r="B113" s="6" t="s">
        <v>640</v>
      </c>
      <c r="C113" s="97" t="s">
        <v>38</v>
      </c>
      <c r="D113" s="97" t="s">
        <v>407</v>
      </c>
      <c r="E113" s="23" t="str" cm="1">
        <f t="array" ref="E113">_xlfn.XLOOKUP(Table118871730[[#This Row],[Team]],Table4334[Team],'2425'!$C$3:$C$34)</f>
        <v>n/a</v>
      </c>
      <c r="F113" s="97" t="str">
        <f>'2025'!$E$16</f>
        <v>n/a</v>
      </c>
      <c r="G113" s="94" t="e" cm="1">
        <f t="array" ref="G113">_xlfn.XLOOKUP(Table118871730[[#This Row],[Opp]],Table2040[DEF],'2425'!$H$38:$H$69)</f>
        <v>#N/A</v>
      </c>
      <c r="H113" s="94" t="e" cm="1">
        <f t="array" ref="H113">_xlfn.XLOOKUP(Table118871730[[#This Row],[Opp]],Table2040[DEF],'2425'!$I$38:$I$69)</f>
        <v>#N/A</v>
      </c>
      <c r="I113" s="94" t="e" cm="1">
        <f t="array" ref="I113">_xlfn.XLOOKUP(Table118871730[[#This Row],[Opp]],Table2040[DEF],'2425'!$J$38:$J$69)</f>
        <v>#N/A</v>
      </c>
      <c r="J113" s="94" t="e" cm="1">
        <f t="array" ref="J113">_xlfn.XLOOKUP(Table118871730[[#This Row],[Opp]],Table2040[DEF],'2425'!$K$38:$K$69)</f>
        <v>#N/A</v>
      </c>
      <c r="K113" s="94" t="e" cm="1">
        <f t="array" ref="K113">_xlfn.XLOOKUP(Table118871730[[#This Row],[Opp]],Table2040[DEF],'2425'!$L$38:$L$69)</f>
        <v>#N/A</v>
      </c>
      <c r="L113" s="95" t="e">
        <f>_xlfn.XLOOKUP(Table118871730[[#This Row],[Opp]],Table2040[DEF],Table2040[R])</f>
        <v>#N/A</v>
      </c>
      <c r="M113" s="96" t="e">
        <f>_xlfn.XLOOKUP(Table118871730[[#This Row],[Opp]],Table2040[DEF],Table2040[REC])</f>
        <v>#N/A</v>
      </c>
      <c r="N113" s="95" t="e">
        <f>_xlfn.XLOOKUP(Table118871730[[#This Row],[Opp]],Table2040[DEF],Table2040[Y])</f>
        <v>#N/A</v>
      </c>
      <c r="O113" s="95" t="e">
        <f>_xlfn.XLOOKUP(Table118871730[[#This Row],[Opp]],Table2040[DEF],Table2040[R+R])</f>
        <v>#N/A</v>
      </c>
      <c r="P113" s="96" t="e">
        <f>_xlfn.XLOOKUP(Table118871730[[#This Row],[Opp]],Table2040[DEF],Table2040[TD])</f>
        <v>#N/A</v>
      </c>
      <c r="Q113" s="94" t="e">
        <f>AVERAGE(Table118871730[[#This Row],[*R*]:[*TD*]])</f>
        <v>#N/A</v>
      </c>
    </row>
    <row r="114" spans="2:17" x14ac:dyDescent="0.35">
      <c r="B114" s="6" t="s">
        <v>151</v>
      </c>
      <c r="C114" s="97" t="s">
        <v>30</v>
      </c>
      <c r="D114" s="97" t="s">
        <v>395</v>
      </c>
      <c r="E114" s="23" t="str" cm="1">
        <f t="array" ref="E114">_xlfn.XLOOKUP(Table118871730[[#This Row],[Team]],Table4334[Team],'2425'!$C$3:$C$34)</f>
        <v>n/a</v>
      </c>
      <c r="F114" s="97" t="str">
        <f>'2025'!$E$8</f>
        <v>n/a</v>
      </c>
      <c r="G114" s="94" t="e" cm="1">
        <f t="array" ref="G114">_xlfn.XLOOKUP(Table118871730[[#This Row],[Opp]],Table2040[DEF],'2425'!$H$38:$H$69)</f>
        <v>#N/A</v>
      </c>
      <c r="H114" s="94" t="e" cm="1">
        <f t="array" ref="H114">_xlfn.XLOOKUP(Table118871730[[#This Row],[Opp]],Table2040[DEF],'2425'!$I$38:$I$69)</f>
        <v>#N/A</v>
      </c>
      <c r="I114" s="94" t="e" cm="1">
        <f t="array" ref="I114">_xlfn.XLOOKUP(Table118871730[[#This Row],[Opp]],Table2040[DEF],'2425'!$J$38:$J$69)</f>
        <v>#N/A</v>
      </c>
      <c r="J114" s="94" t="e" cm="1">
        <f t="array" ref="J114">_xlfn.XLOOKUP(Table118871730[[#This Row],[Opp]],Table2040[DEF],'2425'!$K$38:$K$69)</f>
        <v>#N/A</v>
      </c>
      <c r="K114" s="94" t="e" cm="1">
        <f t="array" ref="K114">_xlfn.XLOOKUP(Table118871730[[#This Row],[Opp]],Table2040[DEF],'2425'!$L$38:$L$69)</f>
        <v>#N/A</v>
      </c>
      <c r="L114" s="95" t="e">
        <f>_xlfn.XLOOKUP(Table118871730[[#This Row],[Opp]],Table2040[DEF],Table2040[R])</f>
        <v>#N/A</v>
      </c>
      <c r="M114" s="96" t="e">
        <f>_xlfn.XLOOKUP(Table118871730[[#This Row],[Opp]],Table2040[DEF],Table2040[REC])</f>
        <v>#N/A</v>
      </c>
      <c r="N114" s="95" t="e">
        <f>_xlfn.XLOOKUP(Table118871730[[#This Row],[Opp]],Table2040[DEF],Table2040[Y])</f>
        <v>#N/A</v>
      </c>
      <c r="O114" s="95" t="e">
        <f>_xlfn.XLOOKUP(Table118871730[[#This Row],[Opp]],Table2040[DEF],Table2040[R+R])</f>
        <v>#N/A</v>
      </c>
      <c r="P114" s="96" t="e">
        <f>_xlfn.XLOOKUP(Table118871730[[#This Row],[Opp]],Table2040[DEF],Table2040[TD])</f>
        <v>#N/A</v>
      </c>
      <c r="Q114" s="94" t="e">
        <f>AVERAGE(Table118871730[[#This Row],[*R*]:[*TD*]])</f>
        <v>#N/A</v>
      </c>
    </row>
    <row r="115" spans="2:17" hidden="1" x14ac:dyDescent="0.35">
      <c r="B115" s="6" t="s">
        <v>359</v>
      </c>
      <c r="C115" s="97" t="s">
        <v>53</v>
      </c>
      <c r="D115" s="97" t="s">
        <v>394</v>
      </c>
      <c r="E115" s="23" t="str" cm="1">
        <f t="array" ref="E115">_xlfn.XLOOKUP(Table118871730[[#This Row],[Team]],Table4334[Team],'2425'!$C$3:$C$34)</f>
        <v>n/a</v>
      </c>
      <c r="F115" s="97" t="str">
        <f>'2025'!$E$31</f>
        <v>n/a</v>
      </c>
      <c r="G115" s="94" t="e" cm="1">
        <f t="array" ref="G115">_xlfn.XLOOKUP(Table118871730[[#This Row],[Opp]],Table2040[DEF],'2425'!$H$38:$H$69)</f>
        <v>#N/A</v>
      </c>
      <c r="H115" s="94" t="e" cm="1">
        <f t="array" ref="H115">_xlfn.XLOOKUP(Table118871730[[#This Row],[Opp]],Table2040[DEF],'2425'!$I$38:$I$69)</f>
        <v>#N/A</v>
      </c>
      <c r="I115" s="94" t="e" cm="1">
        <f t="array" ref="I115">_xlfn.XLOOKUP(Table118871730[[#This Row],[Opp]],Table2040[DEF],'2425'!$J$38:$J$69)</f>
        <v>#N/A</v>
      </c>
      <c r="J115" s="94" t="e" cm="1">
        <f t="array" ref="J115">_xlfn.XLOOKUP(Table118871730[[#This Row],[Opp]],Table2040[DEF],'2425'!$K$38:$K$69)</f>
        <v>#N/A</v>
      </c>
      <c r="K115" s="94" t="e" cm="1">
        <f t="array" ref="K115">_xlfn.XLOOKUP(Table118871730[[#This Row],[Opp]],Table2040[DEF],'2425'!$L$38:$L$69)</f>
        <v>#N/A</v>
      </c>
      <c r="L115" s="95" t="e">
        <f>_xlfn.XLOOKUP(Table118871730[[#This Row],[Opp]],Table2040[DEF],Table2040[R])</f>
        <v>#N/A</v>
      </c>
      <c r="M115" s="96" t="e">
        <f>_xlfn.XLOOKUP(Table118871730[[#This Row],[Opp]],Table2040[DEF],Table2040[REC])</f>
        <v>#N/A</v>
      </c>
      <c r="N115" s="95" t="e">
        <f>_xlfn.XLOOKUP(Table118871730[[#This Row],[Opp]],Table2040[DEF],Table2040[Y])</f>
        <v>#N/A</v>
      </c>
      <c r="O115" s="95" t="e">
        <f>_xlfn.XLOOKUP(Table118871730[[#This Row],[Opp]],Table2040[DEF],Table2040[R+R])</f>
        <v>#N/A</v>
      </c>
      <c r="P115" s="96" t="e">
        <f>_xlfn.XLOOKUP(Table118871730[[#This Row],[Opp]],Table2040[DEF],Table2040[TD])</f>
        <v>#N/A</v>
      </c>
      <c r="Q115" s="94" t="e">
        <f>AVERAGE(Table118871730[[#This Row],[*R*]:[*TD*]])</f>
        <v>#N/A</v>
      </c>
    </row>
    <row r="116" spans="2:17" hidden="1" x14ac:dyDescent="0.35">
      <c r="B116" s="6" t="s">
        <v>361</v>
      </c>
      <c r="C116" s="97" t="s">
        <v>53</v>
      </c>
      <c r="D116" s="97" t="s">
        <v>396</v>
      </c>
      <c r="E116" s="23" t="str" cm="1">
        <f t="array" ref="E116">_xlfn.XLOOKUP(Table118871730[[#This Row],[Team]],Table4334[Team],'2425'!$C$3:$C$34)</f>
        <v>n/a</v>
      </c>
      <c r="F116" s="97" t="str">
        <f>'2025'!$E$31</f>
        <v>n/a</v>
      </c>
      <c r="G116" s="94" t="e" cm="1">
        <f t="array" ref="G116">_xlfn.XLOOKUP(Table118871730[[#This Row],[Opp]],Table2040[DEF],'2425'!$H$38:$H$69)</f>
        <v>#N/A</v>
      </c>
      <c r="H116" s="94" t="e" cm="1">
        <f t="array" ref="H116">_xlfn.XLOOKUP(Table118871730[[#This Row],[Opp]],Table2040[DEF],'2425'!$I$38:$I$69)</f>
        <v>#N/A</v>
      </c>
      <c r="I116" s="94" t="e" cm="1">
        <f t="array" ref="I116">_xlfn.XLOOKUP(Table118871730[[#This Row],[Opp]],Table2040[DEF],'2425'!$J$38:$J$69)</f>
        <v>#N/A</v>
      </c>
      <c r="J116" s="94" t="e" cm="1">
        <f t="array" ref="J116">_xlfn.XLOOKUP(Table118871730[[#This Row],[Opp]],Table2040[DEF],'2425'!$K$38:$K$69)</f>
        <v>#N/A</v>
      </c>
      <c r="K116" s="94" t="e" cm="1">
        <f t="array" ref="K116">_xlfn.XLOOKUP(Table118871730[[#This Row],[Opp]],Table2040[DEF],'2425'!$L$38:$L$69)</f>
        <v>#N/A</v>
      </c>
      <c r="L116" s="95" t="e">
        <f>_xlfn.XLOOKUP(Table118871730[[#This Row],[Opp]],Table2040[DEF],Table2040[R])</f>
        <v>#N/A</v>
      </c>
      <c r="M116" s="96" t="e">
        <f>_xlfn.XLOOKUP(Table118871730[[#This Row],[Opp]],Table2040[DEF],Table2040[REC])</f>
        <v>#N/A</v>
      </c>
      <c r="N116" s="95" t="e">
        <f>_xlfn.XLOOKUP(Table118871730[[#This Row],[Opp]],Table2040[DEF],Table2040[Y])</f>
        <v>#N/A</v>
      </c>
      <c r="O116" s="95" t="e">
        <f>_xlfn.XLOOKUP(Table118871730[[#This Row],[Opp]],Table2040[DEF],Table2040[R+R])</f>
        <v>#N/A</v>
      </c>
      <c r="P116" s="96" t="e">
        <f>_xlfn.XLOOKUP(Table118871730[[#This Row],[Opp]],Table2040[DEF],Table2040[TD])</f>
        <v>#N/A</v>
      </c>
      <c r="Q116" s="94" t="e">
        <f>AVERAGE(Table118871730[[#This Row],[*R*]:[*TD*]])</f>
        <v>#N/A</v>
      </c>
    </row>
    <row r="117" spans="2:17" hidden="1" x14ac:dyDescent="0.35">
      <c r="B117" s="6" t="s">
        <v>362</v>
      </c>
      <c r="C117" s="97" t="s">
        <v>53</v>
      </c>
      <c r="D117" s="97" t="s">
        <v>407</v>
      </c>
      <c r="E117" s="23" t="str" cm="1">
        <f t="array" ref="E117">_xlfn.XLOOKUP(Table118871730[[#This Row],[Team]],Table4334[Team],'2425'!$C$3:$C$34)</f>
        <v>n/a</v>
      </c>
      <c r="F117" s="97" t="str">
        <f>'2025'!$E$31</f>
        <v>n/a</v>
      </c>
      <c r="G117" s="94" t="e" cm="1">
        <f t="array" ref="G117">_xlfn.XLOOKUP(Table118871730[[#This Row],[Opp]],Table2040[DEF],'2425'!$H$38:$H$69)</f>
        <v>#N/A</v>
      </c>
      <c r="H117" s="94" t="e" cm="1">
        <f t="array" ref="H117">_xlfn.XLOOKUP(Table118871730[[#This Row],[Opp]],Table2040[DEF],'2425'!$I$38:$I$69)</f>
        <v>#N/A</v>
      </c>
      <c r="I117" s="94" t="e" cm="1">
        <f t="array" ref="I117">_xlfn.XLOOKUP(Table118871730[[#This Row],[Opp]],Table2040[DEF],'2425'!$J$38:$J$69)</f>
        <v>#N/A</v>
      </c>
      <c r="J117" s="94" t="e" cm="1">
        <f t="array" ref="J117">_xlfn.XLOOKUP(Table118871730[[#This Row],[Opp]],Table2040[DEF],'2425'!$K$38:$K$69)</f>
        <v>#N/A</v>
      </c>
      <c r="K117" s="94" t="e" cm="1">
        <f t="array" ref="K117">_xlfn.XLOOKUP(Table118871730[[#This Row],[Opp]],Table2040[DEF],'2425'!$L$38:$L$69)</f>
        <v>#N/A</v>
      </c>
      <c r="L117" s="95" t="e">
        <f>_xlfn.XLOOKUP(Table118871730[[#This Row],[Opp]],Table2040[DEF],Table2040[R])</f>
        <v>#N/A</v>
      </c>
      <c r="M117" s="96" t="e">
        <f>_xlfn.XLOOKUP(Table118871730[[#This Row],[Opp]],Table2040[DEF],Table2040[REC])</f>
        <v>#N/A</v>
      </c>
      <c r="N117" s="95" t="e">
        <f>_xlfn.XLOOKUP(Table118871730[[#This Row],[Opp]],Table2040[DEF],Table2040[Y])</f>
        <v>#N/A</v>
      </c>
      <c r="O117" s="95" t="e">
        <f>_xlfn.XLOOKUP(Table118871730[[#This Row],[Opp]],Table2040[DEF],Table2040[R+R])</f>
        <v>#N/A</v>
      </c>
      <c r="P117" s="96" t="e">
        <f>_xlfn.XLOOKUP(Table118871730[[#This Row],[Opp]],Table2040[DEF],Table2040[TD])</f>
        <v>#N/A</v>
      </c>
      <c r="Q117" s="94" t="e">
        <f>AVERAGE(Table118871730[[#This Row],[*R*]:[*TD*]])</f>
        <v>#N/A</v>
      </c>
    </row>
    <row r="118" spans="2:17" hidden="1" x14ac:dyDescent="0.35">
      <c r="B118" s="6" t="s">
        <v>122</v>
      </c>
      <c r="C118" s="97" t="s">
        <v>29</v>
      </c>
      <c r="D118" s="97" t="s">
        <v>395</v>
      </c>
      <c r="E118" s="23" t="str" cm="1">
        <f t="array" ref="E118">_xlfn.XLOOKUP(Table118871730[[#This Row],[Team]],Table4334[Team],'2425'!$C$3:$C$34)</f>
        <v>n/a</v>
      </c>
      <c r="F118" s="97" t="str">
        <f>'2025'!$E$7</f>
        <v>n/a</v>
      </c>
      <c r="G118" s="94" t="e" cm="1">
        <f t="array" ref="G118">_xlfn.XLOOKUP(Table118871730[[#This Row],[Opp]],Table2040[DEF],'2425'!$H$38:$H$69)</f>
        <v>#N/A</v>
      </c>
      <c r="H118" s="94" t="e" cm="1">
        <f t="array" ref="H118">_xlfn.XLOOKUP(Table118871730[[#This Row],[Opp]],Table2040[DEF],'2425'!$I$38:$I$69)</f>
        <v>#N/A</v>
      </c>
      <c r="I118" s="94" t="e" cm="1">
        <f t="array" ref="I118">_xlfn.XLOOKUP(Table118871730[[#This Row],[Opp]],Table2040[DEF],'2425'!$J$38:$J$69)</f>
        <v>#N/A</v>
      </c>
      <c r="J118" s="94" t="e" cm="1">
        <f t="array" ref="J118">_xlfn.XLOOKUP(Table118871730[[#This Row],[Opp]],Table2040[DEF],'2425'!$K$38:$K$69)</f>
        <v>#N/A</v>
      </c>
      <c r="K118" s="94" t="e" cm="1">
        <f t="array" ref="K118">_xlfn.XLOOKUP(Table118871730[[#This Row],[Opp]],Table2040[DEF],'2425'!$L$38:$L$69)</f>
        <v>#N/A</v>
      </c>
      <c r="L118" s="95" t="e">
        <f>_xlfn.XLOOKUP(Table118871730[[#This Row],[Opp]],Table2040[DEF],Table2040[R])</f>
        <v>#N/A</v>
      </c>
      <c r="M118" s="96" t="e">
        <f>_xlfn.XLOOKUP(Table118871730[[#This Row],[Opp]],Table2040[DEF],Table2040[REC])</f>
        <v>#N/A</v>
      </c>
      <c r="N118" s="95" t="e">
        <f>_xlfn.XLOOKUP(Table118871730[[#This Row],[Opp]],Table2040[DEF],Table2040[Y])</f>
        <v>#N/A</v>
      </c>
      <c r="O118" s="95" t="e">
        <f>_xlfn.XLOOKUP(Table118871730[[#This Row],[Opp]],Table2040[DEF],Table2040[R+R])</f>
        <v>#N/A</v>
      </c>
      <c r="P118" s="96" t="e">
        <f>_xlfn.XLOOKUP(Table118871730[[#This Row],[Opp]],Table2040[DEF],Table2040[TD])</f>
        <v>#N/A</v>
      </c>
      <c r="Q118" s="94" t="e">
        <f>AVERAGE(Table118871730[[#This Row],[*R*]:[*TD*]])</f>
        <v>#N/A</v>
      </c>
    </row>
    <row r="119" spans="2:17" hidden="1" x14ac:dyDescent="0.35">
      <c r="B119" s="6" t="s">
        <v>207</v>
      </c>
      <c r="C119" s="97" t="s">
        <v>36</v>
      </c>
      <c r="D119" s="97" t="s">
        <v>394</v>
      </c>
      <c r="E119" s="23" t="str" cm="1">
        <f t="array" ref="E119">_xlfn.XLOOKUP(Table118871730[[#This Row],[Team]],Table4334[Team],'2425'!$C$3:$C$34)</f>
        <v>n/a</v>
      </c>
      <c r="F119" s="97" t="str">
        <f>'2025'!$E$14</f>
        <v>n/a</v>
      </c>
      <c r="G119" s="94" t="e" cm="1">
        <f t="array" ref="G119">_xlfn.XLOOKUP(Table118871730[[#This Row],[Opp]],Table2040[DEF],'2425'!$H$38:$H$69)</f>
        <v>#N/A</v>
      </c>
      <c r="H119" s="94" t="e" cm="1">
        <f t="array" ref="H119">_xlfn.XLOOKUP(Table118871730[[#This Row],[Opp]],Table2040[DEF],'2425'!$I$38:$I$69)</f>
        <v>#N/A</v>
      </c>
      <c r="I119" s="94" t="e" cm="1">
        <f t="array" ref="I119">_xlfn.XLOOKUP(Table118871730[[#This Row],[Opp]],Table2040[DEF],'2425'!$J$38:$J$69)</f>
        <v>#N/A</v>
      </c>
      <c r="J119" s="94" t="e" cm="1">
        <f t="array" ref="J119">_xlfn.XLOOKUP(Table118871730[[#This Row],[Opp]],Table2040[DEF],'2425'!$K$38:$K$69)</f>
        <v>#N/A</v>
      </c>
      <c r="K119" s="94" t="e" cm="1">
        <f t="array" ref="K119">_xlfn.XLOOKUP(Table118871730[[#This Row],[Opp]],Table2040[DEF],'2425'!$L$38:$L$69)</f>
        <v>#N/A</v>
      </c>
      <c r="L119" s="95" t="e">
        <f>_xlfn.XLOOKUP(Table118871730[[#This Row],[Opp]],Table2040[DEF],Table2040[R])</f>
        <v>#N/A</v>
      </c>
      <c r="M119" s="96" t="e">
        <f>_xlfn.XLOOKUP(Table118871730[[#This Row],[Opp]],Table2040[DEF],Table2040[REC])</f>
        <v>#N/A</v>
      </c>
      <c r="N119" s="95" t="e">
        <f>_xlfn.XLOOKUP(Table118871730[[#This Row],[Opp]],Table2040[DEF],Table2040[Y])</f>
        <v>#N/A</v>
      </c>
      <c r="O119" s="95" t="e">
        <f>_xlfn.XLOOKUP(Table118871730[[#This Row],[Opp]],Table2040[DEF],Table2040[R+R])</f>
        <v>#N/A</v>
      </c>
      <c r="P119" s="96" t="e">
        <f>_xlfn.XLOOKUP(Table118871730[[#This Row],[Opp]],Table2040[DEF],Table2040[TD])</f>
        <v>#N/A</v>
      </c>
      <c r="Q119" s="94" t="e">
        <f>AVERAGE(Table118871730[[#This Row],[*R*]:[*TD*]])</f>
        <v>#N/A</v>
      </c>
    </row>
    <row r="120" spans="2:17" hidden="1" x14ac:dyDescent="0.35">
      <c r="B120" s="6" t="s">
        <v>511</v>
      </c>
      <c r="C120" s="97" t="s">
        <v>36</v>
      </c>
      <c r="D120" s="97" t="s">
        <v>396</v>
      </c>
      <c r="E120" s="23" t="str" cm="1">
        <f t="array" ref="E120">_xlfn.XLOOKUP(Table118871730[[#This Row],[Team]],Table4334[Team],'2425'!$C$3:$C$34)</f>
        <v>n/a</v>
      </c>
      <c r="F120" s="97" t="str">
        <f>'2025'!$E$14</f>
        <v>n/a</v>
      </c>
      <c r="G120" s="94" t="e" cm="1">
        <f t="array" ref="G120">_xlfn.XLOOKUP(Table118871730[[#This Row],[Opp]],Table2040[DEF],'2425'!$H$38:$H$69)</f>
        <v>#N/A</v>
      </c>
      <c r="H120" s="94" t="e" cm="1">
        <f t="array" ref="H120">_xlfn.XLOOKUP(Table118871730[[#This Row],[Opp]],Table2040[DEF],'2425'!$I$38:$I$69)</f>
        <v>#N/A</v>
      </c>
      <c r="I120" s="94" t="e" cm="1">
        <f t="array" ref="I120">_xlfn.XLOOKUP(Table118871730[[#This Row],[Opp]],Table2040[DEF],'2425'!$J$38:$J$69)</f>
        <v>#N/A</v>
      </c>
      <c r="J120" s="94" t="e" cm="1">
        <f t="array" ref="J120">_xlfn.XLOOKUP(Table118871730[[#This Row],[Opp]],Table2040[DEF],'2425'!$K$38:$K$69)</f>
        <v>#N/A</v>
      </c>
      <c r="K120" s="94" t="e" cm="1">
        <f t="array" ref="K120">_xlfn.XLOOKUP(Table118871730[[#This Row],[Opp]],Table2040[DEF],'2425'!$L$38:$L$69)</f>
        <v>#N/A</v>
      </c>
      <c r="L120" s="95" t="e">
        <f>_xlfn.XLOOKUP(Table118871730[[#This Row],[Opp]],Table2040[DEF],Table2040[R])</f>
        <v>#N/A</v>
      </c>
      <c r="M120" s="96" t="e">
        <f>_xlfn.XLOOKUP(Table118871730[[#This Row],[Opp]],Table2040[DEF],Table2040[REC])</f>
        <v>#N/A</v>
      </c>
      <c r="N120" s="95" t="e">
        <f>_xlfn.XLOOKUP(Table118871730[[#This Row],[Opp]],Table2040[DEF],Table2040[Y])</f>
        <v>#N/A</v>
      </c>
      <c r="O120" s="95" t="e">
        <f>_xlfn.XLOOKUP(Table118871730[[#This Row],[Opp]],Table2040[DEF],Table2040[R+R])</f>
        <v>#N/A</v>
      </c>
      <c r="P120" s="96" t="e">
        <f>_xlfn.XLOOKUP(Table118871730[[#This Row],[Opp]],Table2040[DEF],Table2040[TD])</f>
        <v>#N/A</v>
      </c>
      <c r="Q120" s="94" t="e">
        <f>AVERAGE(Table118871730[[#This Row],[*R*]:[*TD*]])</f>
        <v>#N/A</v>
      </c>
    </row>
    <row r="121" spans="2:17" hidden="1" x14ac:dyDescent="0.35">
      <c r="B121" s="6" t="s">
        <v>208</v>
      </c>
      <c r="C121" s="97" t="s">
        <v>36</v>
      </c>
      <c r="D121" s="97" t="s">
        <v>407</v>
      </c>
      <c r="E121" s="23" t="str" cm="1">
        <f t="array" ref="E121">_xlfn.XLOOKUP(Table118871730[[#This Row],[Team]],Table4334[Team],'2425'!$C$3:$C$34)</f>
        <v>n/a</v>
      </c>
      <c r="F121" s="97" t="str">
        <f>'2025'!$E$14</f>
        <v>n/a</v>
      </c>
      <c r="G121" s="94" t="e" cm="1">
        <f t="array" ref="G121">_xlfn.XLOOKUP(Table118871730[[#This Row],[Opp]],Table2040[DEF],'2425'!$H$38:$H$69)</f>
        <v>#N/A</v>
      </c>
      <c r="H121" s="94" t="e" cm="1">
        <f t="array" ref="H121">_xlfn.XLOOKUP(Table118871730[[#This Row],[Opp]],Table2040[DEF],'2425'!$I$38:$I$69)</f>
        <v>#N/A</v>
      </c>
      <c r="I121" s="94" t="e" cm="1">
        <f t="array" ref="I121">_xlfn.XLOOKUP(Table118871730[[#This Row],[Opp]],Table2040[DEF],'2425'!$J$38:$J$69)</f>
        <v>#N/A</v>
      </c>
      <c r="J121" s="94" t="e" cm="1">
        <f t="array" ref="J121">_xlfn.XLOOKUP(Table118871730[[#This Row],[Opp]],Table2040[DEF],'2425'!$K$38:$K$69)</f>
        <v>#N/A</v>
      </c>
      <c r="K121" s="94" t="e" cm="1">
        <f t="array" ref="K121">_xlfn.XLOOKUP(Table118871730[[#This Row],[Opp]],Table2040[DEF],'2425'!$L$38:$L$69)</f>
        <v>#N/A</v>
      </c>
      <c r="L121" s="95" t="e">
        <f>_xlfn.XLOOKUP(Table118871730[[#This Row],[Opp]],Table2040[DEF],Table2040[R])</f>
        <v>#N/A</v>
      </c>
      <c r="M121" s="96" t="e">
        <f>_xlfn.XLOOKUP(Table118871730[[#This Row],[Opp]],Table2040[DEF],Table2040[REC])</f>
        <v>#N/A</v>
      </c>
      <c r="N121" s="95" t="e">
        <f>_xlfn.XLOOKUP(Table118871730[[#This Row],[Opp]],Table2040[DEF],Table2040[Y])</f>
        <v>#N/A</v>
      </c>
      <c r="O121" s="95" t="e">
        <f>_xlfn.XLOOKUP(Table118871730[[#This Row],[Opp]],Table2040[DEF],Table2040[R+R])</f>
        <v>#N/A</v>
      </c>
      <c r="P121" s="96" t="e">
        <f>_xlfn.XLOOKUP(Table118871730[[#This Row],[Opp]],Table2040[DEF],Table2040[TD])</f>
        <v>#N/A</v>
      </c>
      <c r="Q121" s="94" t="e">
        <f>AVERAGE(Table118871730[[#This Row],[*R*]:[*TD*]])</f>
        <v>#N/A</v>
      </c>
    </row>
    <row r="122" spans="2:17" x14ac:dyDescent="0.35">
      <c r="B122" s="6" t="s">
        <v>360</v>
      </c>
      <c r="C122" s="97" t="s">
        <v>53</v>
      </c>
      <c r="D122" s="97" t="s">
        <v>395</v>
      </c>
      <c r="E122" s="23" t="str" cm="1">
        <f t="array" ref="E122">_xlfn.XLOOKUP(Table118871730[[#This Row],[Team]],Table4334[Team],'2425'!$C$3:$C$34)</f>
        <v>n/a</v>
      </c>
      <c r="F122" s="97" t="str">
        <f>'2025'!$E$31</f>
        <v>n/a</v>
      </c>
      <c r="G122" s="94" t="e" cm="1">
        <f t="array" ref="G122">_xlfn.XLOOKUP(Table118871730[[#This Row],[Opp]],Table2040[DEF],'2425'!$H$38:$H$69)</f>
        <v>#N/A</v>
      </c>
      <c r="H122" s="94" t="e" cm="1">
        <f t="array" ref="H122">_xlfn.XLOOKUP(Table118871730[[#This Row],[Opp]],Table2040[DEF],'2425'!$I$38:$I$69)</f>
        <v>#N/A</v>
      </c>
      <c r="I122" s="94" t="e" cm="1">
        <f t="array" ref="I122">_xlfn.XLOOKUP(Table118871730[[#This Row],[Opp]],Table2040[DEF],'2425'!$J$38:$J$69)</f>
        <v>#N/A</v>
      </c>
      <c r="J122" s="94" t="e" cm="1">
        <f t="array" ref="J122">_xlfn.XLOOKUP(Table118871730[[#This Row],[Opp]],Table2040[DEF],'2425'!$K$38:$K$69)</f>
        <v>#N/A</v>
      </c>
      <c r="K122" s="94" t="e" cm="1">
        <f t="array" ref="K122">_xlfn.XLOOKUP(Table118871730[[#This Row],[Opp]],Table2040[DEF],'2425'!$L$38:$L$69)</f>
        <v>#N/A</v>
      </c>
      <c r="L122" s="95" t="e">
        <f>_xlfn.XLOOKUP(Table118871730[[#This Row],[Opp]],Table2040[DEF],Table2040[R])</f>
        <v>#N/A</v>
      </c>
      <c r="M122" s="96" t="e">
        <f>_xlfn.XLOOKUP(Table118871730[[#This Row],[Opp]],Table2040[DEF],Table2040[REC])</f>
        <v>#N/A</v>
      </c>
      <c r="N122" s="95" t="e">
        <f>_xlfn.XLOOKUP(Table118871730[[#This Row],[Opp]],Table2040[DEF],Table2040[Y])</f>
        <v>#N/A</v>
      </c>
      <c r="O122" s="95" t="e">
        <f>_xlfn.XLOOKUP(Table118871730[[#This Row],[Opp]],Table2040[DEF],Table2040[R+R])</f>
        <v>#N/A</v>
      </c>
      <c r="P122" s="96" t="e">
        <f>_xlfn.XLOOKUP(Table118871730[[#This Row],[Opp]],Table2040[DEF],Table2040[TD])</f>
        <v>#N/A</v>
      </c>
      <c r="Q122" s="94" t="e">
        <f>AVERAGE(Table118871730[[#This Row],[*R*]:[*TD*]])</f>
        <v>#N/A</v>
      </c>
    </row>
    <row r="123" spans="2:17" hidden="1" x14ac:dyDescent="0.35">
      <c r="B123" s="6" t="s">
        <v>185</v>
      </c>
      <c r="C123" s="97" t="s">
        <v>33</v>
      </c>
      <c r="D123" s="97" t="s">
        <v>394</v>
      </c>
      <c r="E123" s="23" t="str" cm="1">
        <f t="array" ref="E123">_xlfn.XLOOKUP(Table118871730[[#This Row],[Team]],Table4334[Team],'2425'!$C$3:$C$34)</f>
        <v>n/a</v>
      </c>
      <c r="F123" s="97" t="str">
        <f>'2025'!$E$11</f>
        <v>n/a</v>
      </c>
      <c r="G123" s="94" t="e" cm="1">
        <f t="array" ref="G123">_xlfn.XLOOKUP(Table118871730[[#This Row],[Opp]],Table2040[DEF],'2425'!$H$38:$H$69)</f>
        <v>#N/A</v>
      </c>
      <c r="H123" s="94" t="e" cm="1">
        <f t="array" ref="H123">_xlfn.XLOOKUP(Table118871730[[#This Row],[Opp]],Table2040[DEF],'2425'!$I$38:$I$69)</f>
        <v>#N/A</v>
      </c>
      <c r="I123" s="94" t="e" cm="1">
        <f t="array" ref="I123">_xlfn.XLOOKUP(Table118871730[[#This Row],[Opp]],Table2040[DEF],'2425'!$J$38:$J$69)</f>
        <v>#N/A</v>
      </c>
      <c r="J123" s="94" t="e" cm="1">
        <f t="array" ref="J123">_xlfn.XLOOKUP(Table118871730[[#This Row],[Opp]],Table2040[DEF],'2425'!$K$38:$K$69)</f>
        <v>#N/A</v>
      </c>
      <c r="K123" s="94" t="e" cm="1">
        <f t="array" ref="K123">_xlfn.XLOOKUP(Table118871730[[#This Row],[Opp]],Table2040[DEF],'2425'!$L$38:$L$69)</f>
        <v>#N/A</v>
      </c>
      <c r="L123" s="95" t="e">
        <f>_xlfn.XLOOKUP(Table118871730[[#This Row],[Opp]],Table2040[DEF],Table2040[R])</f>
        <v>#N/A</v>
      </c>
      <c r="M123" s="96" t="e">
        <f>_xlfn.XLOOKUP(Table118871730[[#This Row],[Opp]],Table2040[DEF],Table2040[REC])</f>
        <v>#N/A</v>
      </c>
      <c r="N123" s="95" t="e">
        <f>_xlfn.XLOOKUP(Table118871730[[#This Row],[Opp]],Table2040[DEF],Table2040[Y])</f>
        <v>#N/A</v>
      </c>
      <c r="O123" s="95" t="e">
        <f>_xlfn.XLOOKUP(Table118871730[[#This Row],[Opp]],Table2040[DEF],Table2040[R+R])</f>
        <v>#N/A</v>
      </c>
      <c r="P123" s="96" t="e">
        <f>_xlfn.XLOOKUP(Table118871730[[#This Row],[Opp]],Table2040[DEF],Table2040[TD])</f>
        <v>#N/A</v>
      </c>
      <c r="Q123" s="94" t="e">
        <f>AVERAGE(Table118871730[[#This Row],[*R*]:[*TD*]])</f>
        <v>#N/A</v>
      </c>
    </row>
    <row r="124" spans="2:17" hidden="1" x14ac:dyDescent="0.35">
      <c r="B124" s="6" t="s">
        <v>183</v>
      </c>
      <c r="C124" s="97" t="s">
        <v>33</v>
      </c>
      <c r="D124" s="97" t="s">
        <v>396</v>
      </c>
      <c r="E124" s="23" t="str" cm="1">
        <f t="array" ref="E124">_xlfn.XLOOKUP(Table118871730[[#This Row],[Team]],Table4334[Team],'2425'!$C$3:$C$34)</f>
        <v>n/a</v>
      </c>
      <c r="F124" s="97" t="str">
        <f>'2025'!$E$11</f>
        <v>n/a</v>
      </c>
      <c r="G124" s="94" t="e" cm="1">
        <f t="array" ref="G124">_xlfn.XLOOKUP(Table118871730[[#This Row],[Opp]],Table2040[DEF],'2425'!$H$38:$H$69)</f>
        <v>#N/A</v>
      </c>
      <c r="H124" s="94" t="e" cm="1">
        <f t="array" ref="H124">_xlfn.XLOOKUP(Table118871730[[#This Row],[Opp]],Table2040[DEF],'2425'!$I$38:$I$69)</f>
        <v>#N/A</v>
      </c>
      <c r="I124" s="94" t="e" cm="1">
        <f t="array" ref="I124">_xlfn.XLOOKUP(Table118871730[[#This Row],[Opp]],Table2040[DEF],'2425'!$J$38:$J$69)</f>
        <v>#N/A</v>
      </c>
      <c r="J124" s="94" t="e" cm="1">
        <f t="array" ref="J124">_xlfn.XLOOKUP(Table118871730[[#This Row],[Opp]],Table2040[DEF],'2425'!$K$38:$K$69)</f>
        <v>#N/A</v>
      </c>
      <c r="K124" s="94" t="e" cm="1">
        <f t="array" ref="K124">_xlfn.XLOOKUP(Table118871730[[#This Row],[Opp]],Table2040[DEF],'2425'!$L$38:$L$69)</f>
        <v>#N/A</v>
      </c>
      <c r="L124" s="95" t="e">
        <f>_xlfn.XLOOKUP(Table118871730[[#This Row],[Opp]],Table2040[DEF],Table2040[R])</f>
        <v>#N/A</v>
      </c>
      <c r="M124" s="96" t="e">
        <f>_xlfn.XLOOKUP(Table118871730[[#This Row],[Opp]],Table2040[DEF],Table2040[REC])</f>
        <v>#N/A</v>
      </c>
      <c r="N124" s="95" t="e">
        <f>_xlfn.XLOOKUP(Table118871730[[#This Row],[Opp]],Table2040[DEF],Table2040[Y])</f>
        <v>#N/A</v>
      </c>
      <c r="O124" s="95" t="e">
        <f>_xlfn.XLOOKUP(Table118871730[[#This Row],[Opp]],Table2040[DEF],Table2040[R+R])</f>
        <v>#N/A</v>
      </c>
      <c r="P124" s="96" t="e">
        <f>_xlfn.XLOOKUP(Table118871730[[#This Row],[Opp]],Table2040[DEF],Table2040[TD])</f>
        <v>#N/A</v>
      </c>
      <c r="Q124" s="94" t="e">
        <f>AVERAGE(Table118871730[[#This Row],[*R*]:[*TD*]])</f>
        <v>#N/A</v>
      </c>
    </row>
    <row r="125" spans="2:17" hidden="1" x14ac:dyDescent="0.35">
      <c r="B125" s="6" t="s">
        <v>423</v>
      </c>
      <c r="C125" s="97" t="s">
        <v>33</v>
      </c>
      <c r="D125" s="97" t="s">
        <v>407</v>
      </c>
      <c r="E125" s="23" t="str" cm="1">
        <f t="array" ref="E125">_xlfn.XLOOKUP(Table118871730[[#This Row],[Team]],Table4334[Team],'2425'!$C$3:$C$34)</f>
        <v>n/a</v>
      </c>
      <c r="F125" s="97" t="str">
        <f>'2025'!$E$11</f>
        <v>n/a</v>
      </c>
      <c r="G125" s="94" t="e" cm="1">
        <f t="array" ref="G125">_xlfn.XLOOKUP(Table118871730[[#This Row],[Opp]],Table2040[DEF],'2425'!$H$38:$H$69)</f>
        <v>#N/A</v>
      </c>
      <c r="H125" s="94" t="e" cm="1">
        <f t="array" ref="H125">_xlfn.XLOOKUP(Table118871730[[#This Row],[Opp]],Table2040[DEF],'2425'!$I$38:$I$69)</f>
        <v>#N/A</v>
      </c>
      <c r="I125" s="94" t="e" cm="1">
        <f t="array" ref="I125">_xlfn.XLOOKUP(Table118871730[[#This Row],[Opp]],Table2040[DEF],'2425'!$J$38:$J$69)</f>
        <v>#N/A</v>
      </c>
      <c r="J125" s="94" t="e" cm="1">
        <f t="array" ref="J125">_xlfn.XLOOKUP(Table118871730[[#This Row],[Opp]],Table2040[DEF],'2425'!$K$38:$K$69)</f>
        <v>#N/A</v>
      </c>
      <c r="K125" s="94" t="e" cm="1">
        <f t="array" ref="K125">_xlfn.XLOOKUP(Table118871730[[#This Row],[Opp]],Table2040[DEF],'2425'!$L$38:$L$69)</f>
        <v>#N/A</v>
      </c>
      <c r="L125" s="95" t="e">
        <f>_xlfn.XLOOKUP(Table118871730[[#This Row],[Opp]],Table2040[DEF],Table2040[R])</f>
        <v>#N/A</v>
      </c>
      <c r="M125" s="96" t="e">
        <f>_xlfn.XLOOKUP(Table118871730[[#This Row],[Opp]],Table2040[DEF],Table2040[REC])</f>
        <v>#N/A</v>
      </c>
      <c r="N125" s="95" t="e">
        <f>_xlfn.XLOOKUP(Table118871730[[#This Row],[Opp]],Table2040[DEF],Table2040[Y])</f>
        <v>#N/A</v>
      </c>
      <c r="O125" s="95" t="e">
        <f>_xlfn.XLOOKUP(Table118871730[[#This Row],[Opp]],Table2040[DEF],Table2040[R+R])</f>
        <v>#N/A</v>
      </c>
      <c r="P125" s="96" t="e">
        <f>_xlfn.XLOOKUP(Table118871730[[#This Row],[Opp]],Table2040[DEF],Table2040[TD])</f>
        <v>#N/A</v>
      </c>
      <c r="Q125" s="94" t="e">
        <f>AVERAGE(Table118871730[[#This Row],[*R*]:[*TD*]])</f>
        <v>#N/A</v>
      </c>
    </row>
  </sheetData>
  <conditionalFormatting sqref="C2:C125 F2:F125">
    <cfRule type="cellIs" dxfId="2990" priority="10" operator="equal">
      <formula>"BYE"</formula>
    </cfRule>
    <cfRule type="cellIs" dxfId="2989" priority="34" operator="equal">
      <formula>"DAL"</formula>
    </cfRule>
    <cfRule type="cellIs" dxfId="2988" priority="35" operator="equal">
      <formula>"CIN"</formula>
    </cfRule>
    <cfRule type="cellIs" dxfId="2987" priority="36" operator="equal">
      <formula>"ARI"</formula>
    </cfRule>
    <cfRule type="cellIs" dxfId="2986" priority="37" operator="equal">
      <formula>"HOU"</formula>
    </cfRule>
    <cfRule type="cellIs" dxfId="2985" priority="38" operator="equal">
      <formula>"IND"</formula>
    </cfRule>
    <cfRule type="cellIs" dxfId="2984" priority="39" operator="equal">
      <formula>"KC"</formula>
    </cfRule>
    <cfRule type="cellIs" dxfId="2983" priority="40" operator="equal">
      <formula>"BAL"</formula>
    </cfRule>
    <cfRule type="cellIs" dxfId="2982" priority="41" operator="equal">
      <formula>"PHI"</formula>
    </cfRule>
    <cfRule type="cellIs" dxfId="2981" priority="19" operator="equal">
      <formula>"TEN"</formula>
    </cfRule>
    <cfRule type="cellIs" dxfId="2980" priority="11" operator="equal">
      <formula>"LV"</formula>
    </cfRule>
    <cfRule type="cellIs" dxfId="2979" priority="12" operator="equal">
      <formula>"NE"</formula>
    </cfRule>
    <cfRule type="cellIs" dxfId="2978" priority="13" operator="equal">
      <formula>"MIN"</formula>
    </cfRule>
    <cfRule type="cellIs" dxfId="2977" priority="14" operator="equal">
      <formula>"PIT"</formula>
    </cfRule>
    <cfRule type="cellIs" dxfId="2976" priority="15" operator="equal">
      <formula>"DEN"</formula>
    </cfRule>
    <cfRule type="cellIs" dxfId="2975" priority="16" operator="equal">
      <formula>"CAR"</formula>
    </cfRule>
    <cfRule type="cellIs" dxfId="2974" priority="17" operator="equal">
      <formula>"NYG"</formula>
    </cfRule>
    <cfRule type="cellIs" dxfId="2973" priority="18" operator="equal">
      <formula>"NO"</formula>
    </cfRule>
    <cfRule type="cellIs" dxfId="2972" priority="42" operator="equal">
      <formula>"BUF"</formula>
    </cfRule>
    <cfRule type="cellIs" dxfId="2971" priority="20" operator="equal">
      <formula>"TB"</formula>
    </cfRule>
    <cfRule type="cellIs" dxfId="2970" priority="21" operator="equal">
      <formula>"CLE"</formula>
    </cfRule>
    <cfRule type="cellIs" dxfId="2969" priority="22" operator="equal">
      <formula>"NYJ"</formula>
    </cfRule>
    <cfRule type="cellIs" dxfId="2968" priority="23" operator="equal">
      <formula>"SEA"</formula>
    </cfRule>
    <cfRule type="cellIs" dxfId="2967" priority="24" operator="equal">
      <formula>"LAC"</formula>
    </cfRule>
    <cfRule type="cellIs" dxfId="2966" priority="25" operator="equal">
      <formula>"LAR"</formula>
    </cfRule>
    <cfRule type="cellIs" dxfId="2965" priority="26" operator="equal">
      <formula>"ATL"</formula>
    </cfRule>
    <cfRule type="cellIs" dxfId="2964" priority="27" operator="equal">
      <formula>"JAX"</formula>
    </cfRule>
    <cfRule type="cellIs" dxfId="2963" priority="28" operator="equal">
      <formula>"CHI"</formula>
    </cfRule>
    <cfRule type="cellIs" dxfId="2962" priority="29" operator="equal">
      <formula>"MIA"</formula>
    </cfRule>
    <cfRule type="cellIs" dxfId="2961" priority="30" operator="equal">
      <formula>"DET"</formula>
    </cfRule>
    <cfRule type="cellIs" dxfId="2960" priority="31" operator="equal">
      <formula>"SF"</formula>
    </cfRule>
    <cfRule type="cellIs" dxfId="2959" priority="32" operator="equal">
      <formula>"WAS"</formula>
    </cfRule>
    <cfRule type="cellIs" dxfId="2958" priority="33" operator="equal">
      <formula>"GB"</formula>
    </cfRule>
  </conditionalFormatting>
  <conditionalFormatting sqref="D2:D125">
    <cfRule type="cellIs" dxfId="2957" priority="44" operator="equal">
      <formula>"WR8"</formula>
    </cfRule>
    <cfRule type="cellIs" dxfId="2956" priority="47" operator="equal">
      <formula>"TE5"</formula>
    </cfRule>
    <cfRule type="cellIs" dxfId="2955" priority="48" operator="equal">
      <formula>"WR5"</formula>
    </cfRule>
    <cfRule type="cellIs" dxfId="2954" priority="49" operator="equal">
      <formula>"RB5"</formula>
    </cfRule>
    <cfRule type="cellIs" dxfId="2953" priority="50" operator="equal">
      <formula>"QB5"</formula>
    </cfRule>
    <cfRule type="cellIs" dxfId="2952" priority="55" operator="equal">
      <formula>"TE3"</formula>
    </cfRule>
    <cfRule type="cellIs" dxfId="2951" priority="51" operator="equal">
      <formula>"TE4"</formula>
    </cfRule>
    <cfRule type="cellIs" dxfId="2950" priority="52" operator="equal">
      <formula>"WR4"</formula>
    </cfRule>
    <cfRule type="cellIs" dxfId="2949" priority="53" operator="equal">
      <formula>"RB4"</formula>
    </cfRule>
    <cfRule type="cellIs" dxfId="2948" priority="43" operator="equal">
      <formula>"WR9"</formula>
    </cfRule>
    <cfRule type="cellIs" dxfId="2947" priority="54" operator="equal">
      <formula>"QB4"</formula>
    </cfRule>
    <cfRule type="cellIs" dxfId="2946" priority="45" operator="equal">
      <formula>"WR7"</formula>
    </cfRule>
    <cfRule type="cellIs" dxfId="2945" priority="46" operator="equal">
      <formula>"WR6"</formula>
    </cfRule>
    <cfRule type="cellIs" dxfId="2944" priority="56" operator="equal">
      <formula>"WR3"</formula>
    </cfRule>
    <cfRule type="cellIs" dxfId="2943" priority="57" operator="equal">
      <formula>"RB3"</formula>
    </cfRule>
    <cfRule type="cellIs" dxfId="2942" priority="58" operator="equal">
      <formula>"QB3"</formula>
    </cfRule>
    <cfRule type="cellIs" dxfId="2941" priority="59" operator="equal">
      <formula>"TE2"</formula>
    </cfRule>
    <cfRule type="cellIs" dxfId="2940" priority="60" operator="equal">
      <formula>"WR2"</formula>
    </cfRule>
    <cfRule type="cellIs" dxfId="2939" priority="61" operator="equal">
      <formula>"RB2"</formula>
    </cfRule>
    <cfRule type="cellIs" dxfId="2938" priority="62" operator="equal">
      <formula>"QB2"</formula>
    </cfRule>
    <cfRule type="cellIs" dxfId="2937" priority="63" operator="equal">
      <formula>"TE1"</formula>
    </cfRule>
    <cfRule type="cellIs" dxfId="2936" priority="64" operator="equal">
      <formula>"WR1"</formula>
    </cfRule>
    <cfRule type="cellIs" dxfId="2935" priority="65" operator="equal">
      <formula>"RB1"</formula>
    </cfRule>
    <cfRule type="cellIs" dxfId="2934" priority="66" operator="equal">
      <formula>"QB1"</formula>
    </cfRule>
  </conditionalFormatting>
  <conditionalFormatting sqref="E2:E125">
    <cfRule type="cellIs" dxfId="2933" priority="5" operator="equal">
      <formula>"pm"</formula>
    </cfRule>
    <cfRule type="cellIs" dxfId="2932" priority="6" operator="equal">
      <formula>"am"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2931" priority="1" operator="equal">
      <formula>"FRI"</formula>
    </cfRule>
    <cfRule type="cellIs" dxfId="2930" priority="7" operator="equal">
      <formula>"tnf"</formula>
    </cfRule>
    <cfRule type="cellIs" dxfId="2929" priority="2" operator="equal">
      <formula>"bye"</formula>
    </cfRule>
    <cfRule type="cellIs" dxfId="2928" priority="3" operator="equal">
      <formula>"snf"</formula>
    </cfRule>
    <cfRule type="cellIs" dxfId="2927" priority="4" operator="equal">
      <formula>"mnf"</formula>
    </cfRule>
  </conditionalFormatting>
  <conditionalFormatting sqref="G2:K125">
    <cfRule type="colorScale" priority="8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12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2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25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2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5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15" right="0.15" top="0.1" bottom="0.1" header="0" footer="0"/>
  <pageSetup paperSize="3" scale="71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EA97D0DA-3DF2-4564-9C93-335A3F7111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E2:E125</xm:sqref>
        </x14:conditionalFormatting>
        <x14:conditionalFormatting xmlns:xm="http://schemas.microsoft.com/office/excel/2006/main">
          <x14:cfRule type="iconSet" priority="85" id="{14464B92-3DA7-4305-9EB2-8FD4A6FAEB33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G2:K125</xm:sqref>
        </x14:conditionalFormatting>
        <x14:conditionalFormatting xmlns:xm="http://schemas.microsoft.com/office/excel/2006/main">
          <x14:cfRule type="iconSet" priority="92" id="{DA7F4BCE-A20D-48B7-A485-46E9AE025538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Q2:Q125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00F8-73B9-4216-B903-2C57573EFCC4}">
  <sheetPr>
    <tabColor theme="7" tint="0.79998168889431442"/>
    <pageSetUpPr fitToPage="1"/>
  </sheetPr>
  <dimension ref="B1:M214"/>
  <sheetViews>
    <sheetView zoomScaleNormal="100" workbookViewId="0">
      <selection activeCell="J227" sqref="J227"/>
    </sheetView>
  </sheetViews>
  <sheetFormatPr defaultRowHeight="14.5" x14ac:dyDescent="0.35"/>
  <cols>
    <col min="1" max="1" width="1.6328125" customWidth="1"/>
    <col min="2" max="2" width="15.632812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7" width="7.453125" bestFit="1" customWidth="1"/>
    <col min="8" max="8" width="7.36328125" bestFit="1" customWidth="1"/>
    <col min="9" max="9" width="8.1796875" bestFit="1" customWidth="1"/>
    <col min="10" max="10" width="6" bestFit="1" customWidth="1"/>
    <col min="11" max="11" width="5.90625" bestFit="1" customWidth="1"/>
    <col min="12" max="12" width="6.7265625" bestFit="1" customWidth="1"/>
    <col min="13" max="13" width="5.90625" bestFit="1" customWidth="1"/>
  </cols>
  <sheetData>
    <row r="1" spans="2:13" ht="15" thickBot="1" x14ac:dyDescent="0.4">
      <c r="B1" s="90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2" t="s">
        <v>657</v>
      </c>
      <c r="H1" s="92" t="s">
        <v>652</v>
      </c>
      <c r="I1" s="91" t="s">
        <v>653</v>
      </c>
      <c r="J1" s="93" t="s">
        <v>656</v>
      </c>
      <c r="K1" s="93" t="s">
        <v>104</v>
      </c>
      <c r="L1" s="93" t="s">
        <v>72</v>
      </c>
      <c r="M1" s="93" t="s">
        <v>649</v>
      </c>
    </row>
    <row r="2" spans="2:13" hidden="1" x14ac:dyDescent="0.35">
      <c r="B2" s="6" t="s">
        <v>211</v>
      </c>
      <c r="C2" s="97" t="s">
        <v>36</v>
      </c>
      <c r="D2" s="97" t="s">
        <v>66</v>
      </c>
      <c r="E2" s="23" t="str" cm="1">
        <f t="array" ref="E2">_xlfn.XLOOKUP(Table11918[[#This Row],[Team]],Table4334[Team],'2425'!$C$3:$C$34)</f>
        <v>n/a</v>
      </c>
      <c r="F2" s="97" t="str">
        <f>'2025'!$E$14</f>
        <v>n/a</v>
      </c>
      <c r="G2" s="94" t="e" cm="1">
        <f t="array" ref="G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" s="94" t="e" cm="1">
        <f t="array" ref="H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" s="94" t="e" cm="1">
        <f t="array" ref="I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" s="96" t="e" cm="1">
        <f t="array" ref="J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" s="96" t="e" cm="1">
        <f t="array" ref="K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" s="96" t="e" cm="1">
        <f t="array" ref="L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" s="94" t="e">
        <f>AVERAGE(Table11918[[#This Row],[*C*]:[*TD*]])</f>
        <v>#N/A</v>
      </c>
    </row>
    <row r="3" spans="2:13" hidden="1" x14ac:dyDescent="0.35">
      <c r="B3" s="6" t="s">
        <v>141</v>
      </c>
      <c r="C3" s="97" t="s">
        <v>29</v>
      </c>
      <c r="D3" s="97" t="s">
        <v>66</v>
      </c>
      <c r="E3" s="23" t="str" cm="1">
        <f t="array" ref="E3">_xlfn.XLOOKUP(Table11918[[#This Row],[Team]],Table4334[Team],'2425'!$C$3:$C$34)</f>
        <v>n/a</v>
      </c>
      <c r="F3" s="97" t="str">
        <f>'2025'!$E$7</f>
        <v>n/a</v>
      </c>
      <c r="G3" s="94" t="e" cm="1">
        <f t="array" ref="G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" s="94" t="e" cm="1">
        <f t="array" ref="H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" s="94" t="e" cm="1">
        <f t="array" ref="I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" s="96" t="e" cm="1">
        <f t="array" ref="J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" s="96" t="e" cm="1">
        <f t="array" ref="K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" s="96" t="e" cm="1">
        <f t="array" ref="L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" s="94" t="e">
        <f>AVERAGE(Table11918[[#This Row],[*C*]:[*TD*]])</f>
        <v>#N/A</v>
      </c>
    </row>
    <row r="4" spans="2:13" hidden="1" x14ac:dyDescent="0.35">
      <c r="B4" s="6" t="s">
        <v>372</v>
      </c>
      <c r="C4" s="97" t="s">
        <v>54</v>
      </c>
      <c r="D4" s="97" t="s">
        <v>66</v>
      </c>
      <c r="E4" s="23" t="str" cm="1">
        <f t="array" ref="E4">_xlfn.XLOOKUP(Table11918[[#This Row],[Team]],Table4334[Team],'2425'!$C$3:$C$34)</f>
        <v>n/a</v>
      </c>
      <c r="F4" s="97" t="str">
        <f>'2025'!$E$32</f>
        <v>n/a</v>
      </c>
      <c r="G4" s="94" t="e" cm="1">
        <f t="array" ref="G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" s="94" t="e" cm="1">
        <f t="array" ref="H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" s="94" t="e" cm="1">
        <f t="array" ref="I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" s="96" t="e" cm="1">
        <f t="array" ref="J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" s="96" t="e" cm="1">
        <f t="array" ref="K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" s="96" t="e" cm="1">
        <f t="array" ref="L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" s="94" t="e">
        <f>AVERAGE(Table11918[[#This Row],[*C*]:[*TD*]])</f>
        <v>#N/A</v>
      </c>
    </row>
    <row r="5" spans="2:13" x14ac:dyDescent="0.35">
      <c r="B5" s="6" t="s">
        <v>272</v>
      </c>
      <c r="C5" s="97" t="s">
        <v>42</v>
      </c>
      <c r="D5" s="97" t="s">
        <v>66</v>
      </c>
      <c r="E5" s="23" t="str" cm="1">
        <f t="array" ref="E5">_xlfn.XLOOKUP(Table11918[[#This Row],[Team]],Table4334[Team],'2425'!$C$3:$C$34)</f>
        <v>n/a</v>
      </c>
      <c r="F5" s="97" t="str">
        <f>'2025'!$E$20</f>
        <v>n/a</v>
      </c>
      <c r="G5" s="94" t="e" cm="1">
        <f t="array" ref="G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" s="94" t="e" cm="1">
        <f t="array" ref="H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" s="94" t="e" cm="1">
        <f t="array" ref="I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" s="96" t="e" cm="1">
        <f t="array" ref="J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" s="96" t="e" cm="1">
        <f t="array" ref="K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" s="96" t="e" cm="1">
        <f t="array" ref="L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" s="94" t="e">
        <f>AVERAGE(Table11918[[#This Row],[*C*]:[*TD*]])</f>
        <v>#N/A</v>
      </c>
    </row>
    <row r="6" spans="2:13" hidden="1" x14ac:dyDescent="0.35">
      <c r="B6" s="6" t="s">
        <v>571</v>
      </c>
      <c r="C6" s="97" t="s">
        <v>40</v>
      </c>
      <c r="D6" s="97" t="s">
        <v>403</v>
      </c>
      <c r="E6" s="23" t="str" cm="1">
        <f t="array" ref="E6">_xlfn.XLOOKUP(Table11918[[#This Row],[Team]],Table4334[Team],'2425'!$C$3:$C$34)</f>
        <v>n/a</v>
      </c>
      <c r="F6" s="97" t="str">
        <f>'2025'!$E$18</f>
        <v>n/a</v>
      </c>
      <c r="G6" s="94" t="e" cm="1">
        <f t="array" ref="G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" s="94" t="e" cm="1">
        <f t="array" ref="H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" s="94" t="e" cm="1">
        <f t="array" ref="I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" s="96" t="e" cm="1">
        <f t="array" ref="J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" s="96" t="e" cm="1">
        <f t="array" ref="K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" s="96" t="e" cm="1">
        <f t="array" ref="L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" s="94" t="e">
        <f>AVERAGE(Table11918[[#This Row],[*C*]:[*TD*]])</f>
        <v>#N/A</v>
      </c>
    </row>
    <row r="7" spans="2:13" hidden="1" x14ac:dyDescent="0.35">
      <c r="B7" s="6" t="s">
        <v>254</v>
      </c>
      <c r="C7" s="97" t="s">
        <v>40</v>
      </c>
      <c r="D7" s="97" t="s">
        <v>411</v>
      </c>
      <c r="E7" s="23" t="str" cm="1">
        <f t="array" ref="E7">_xlfn.XLOOKUP(Table11918[[#This Row],[Team]],Table4334[Team],'2425'!$C$3:$C$34)</f>
        <v>n/a</v>
      </c>
      <c r="F7" s="97" t="str">
        <f>'2025'!$E$18</f>
        <v>n/a</v>
      </c>
      <c r="G7" s="94" t="e" cm="1">
        <f t="array" ref="G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" s="94" t="e" cm="1">
        <f t="array" ref="H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" s="94" t="e" cm="1">
        <f t="array" ref="I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" s="96" t="e" cm="1">
        <f t="array" ref="J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" s="96" t="e" cm="1">
        <f t="array" ref="K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" s="96" t="e" cm="1">
        <f t="array" ref="L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" s="94" t="e">
        <f>AVERAGE(Table11918[[#This Row],[*C*]:[*TD*]])</f>
        <v>#N/A</v>
      </c>
    </row>
    <row r="8" spans="2:13" hidden="1" x14ac:dyDescent="0.35">
      <c r="B8" s="6" t="s">
        <v>572</v>
      </c>
      <c r="C8" s="97" t="s">
        <v>40</v>
      </c>
      <c r="D8" s="97" t="s">
        <v>441</v>
      </c>
      <c r="E8" s="23" t="str" cm="1">
        <f t="array" ref="E8">_xlfn.XLOOKUP(Table11918[[#This Row],[Team]],Table4334[Team],'2425'!$C$3:$C$34)</f>
        <v>n/a</v>
      </c>
      <c r="F8" s="97" t="str">
        <f>'2025'!$E$18</f>
        <v>n/a</v>
      </c>
      <c r="G8" s="94" t="e" cm="1">
        <f t="array" ref="G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" s="94" t="e" cm="1">
        <f t="array" ref="H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" s="94" t="e" cm="1">
        <f t="array" ref="I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" s="96" t="e" cm="1">
        <f t="array" ref="J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" s="96" t="e" cm="1">
        <f t="array" ref="K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" s="96" t="e" cm="1">
        <f t="array" ref="L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" s="94" t="e">
        <f>AVERAGE(Table11918[[#This Row],[*C*]:[*TD*]])</f>
        <v>#N/A</v>
      </c>
    </row>
    <row r="9" spans="2:13" hidden="1" x14ac:dyDescent="0.35">
      <c r="B9" s="6" t="s">
        <v>573</v>
      </c>
      <c r="C9" s="97" t="s">
        <v>40</v>
      </c>
      <c r="D9" s="97" t="s">
        <v>443</v>
      </c>
      <c r="E9" s="23" t="str" cm="1">
        <f t="array" ref="E9">_xlfn.XLOOKUP(Table11918[[#This Row],[Team]],Table4334[Team],'2425'!$C$3:$C$34)</f>
        <v>n/a</v>
      </c>
      <c r="F9" s="97" t="str">
        <f>'2025'!$E$18</f>
        <v>n/a</v>
      </c>
      <c r="G9" s="94" t="e" cm="1">
        <f t="array" ref="G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" s="94" t="e" cm="1">
        <f t="array" ref="H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" s="94" t="e" cm="1">
        <f t="array" ref="I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" s="96" t="e" cm="1">
        <f t="array" ref="J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" s="96" t="e" cm="1">
        <f t="array" ref="K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" s="96" t="e" cm="1">
        <f t="array" ref="L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" s="94" t="e">
        <f>AVERAGE(Table11918[[#This Row],[*C*]:[*TD*]])</f>
        <v>#N/A</v>
      </c>
    </row>
    <row r="10" spans="2:13" x14ac:dyDescent="0.35">
      <c r="B10" s="6" t="s">
        <v>156</v>
      </c>
      <c r="C10" s="97" t="s">
        <v>30</v>
      </c>
      <c r="D10" s="97" t="s">
        <v>66</v>
      </c>
      <c r="E10" s="23" t="str" cm="1">
        <f t="array" ref="E10">_xlfn.XLOOKUP(Table11918[[#This Row],[Team]],Table4334[Team],'2425'!$C$3:$C$34)</f>
        <v>n/a</v>
      </c>
      <c r="F10" s="97" t="str">
        <f>'2025'!$E$8</f>
        <v>n/a</v>
      </c>
      <c r="G10" s="94" t="e" cm="1">
        <f t="array" ref="G1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" s="94" t="e" cm="1">
        <f t="array" ref="H1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" s="94" t="e" cm="1">
        <f t="array" ref="I1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" s="96" t="e" cm="1">
        <f t="array" ref="J1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" s="96" t="e" cm="1">
        <f t="array" ref="K1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" s="96" t="e" cm="1">
        <f t="array" ref="L1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" s="94" t="e">
        <f>AVERAGE(Table11918[[#This Row],[*C*]:[*TD*]])</f>
        <v>#N/A</v>
      </c>
    </row>
    <row r="11" spans="2:13" hidden="1" x14ac:dyDescent="0.35">
      <c r="B11" s="6" t="s">
        <v>373</v>
      </c>
      <c r="C11" s="97" t="s">
        <v>54</v>
      </c>
      <c r="D11" s="97" t="s">
        <v>67</v>
      </c>
      <c r="E11" s="23" t="str" cm="1">
        <f t="array" ref="E11">_xlfn.XLOOKUP(Table11918[[#This Row],[Team]],Table4334[Team],'2425'!$C$3:$C$34)</f>
        <v>n/a</v>
      </c>
      <c r="F11" s="97" t="str">
        <f>'2025'!$E$32</f>
        <v>n/a</v>
      </c>
      <c r="G11" s="94" t="e" cm="1">
        <f t="array" ref="G1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" s="94" t="e" cm="1">
        <f t="array" ref="H1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" s="94" t="e" cm="1">
        <f t="array" ref="I1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" s="96" t="e" cm="1">
        <f t="array" ref="J1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" s="96" t="e" cm="1">
        <f t="array" ref="K1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" s="96" t="e" cm="1">
        <f t="array" ref="L1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" s="94" t="e">
        <f>AVERAGE(Table11918[[#This Row],[*C*]:[*TD*]])</f>
        <v>#N/A</v>
      </c>
    </row>
    <row r="12" spans="2:13" hidden="1" x14ac:dyDescent="0.35">
      <c r="B12" s="6" t="s">
        <v>478</v>
      </c>
      <c r="C12" s="97" t="s">
        <v>31</v>
      </c>
      <c r="D12" s="97" t="s">
        <v>403</v>
      </c>
      <c r="E12" s="23" t="str" cm="1">
        <f t="array" ref="E12">_xlfn.XLOOKUP(Table11918[[#This Row],[Team]],Table4334[Team],'2425'!$C$3:$C$34)</f>
        <v>n/a</v>
      </c>
      <c r="F12" s="97" t="str">
        <f>'2025'!$E$9</f>
        <v>n/a</v>
      </c>
      <c r="G12" s="94" t="e" cm="1">
        <f t="array" ref="G1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" s="94" t="e" cm="1">
        <f t="array" ref="H1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" s="94" t="e" cm="1">
        <f t="array" ref="I1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" s="96" t="e" cm="1">
        <f t="array" ref="J1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" s="96" t="e" cm="1">
        <f t="array" ref="K1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" s="96" t="e" cm="1">
        <f t="array" ref="L1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" s="94" t="e">
        <f>AVERAGE(Table11918[[#This Row],[*C*]:[*TD*]])</f>
        <v>#N/A</v>
      </c>
    </row>
    <row r="13" spans="2:13" hidden="1" x14ac:dyDescent="0.35">
      <c r="B13" s="6" t="s">
        <v>479</v>
      </c>
      <c r="C13" s="97" t="s">
        <v>31</v>
      </c>
      <c r="D13" s="97" t="s">
        <v>411</v>
      </c>
      <c r="E13" s="23" t="str" cm="1">
        <f t="array" ref="E13">_xlfn.XLOOKUP(Table11918[[#This Row],[Team]],Table4334[Team],'2425'!$C$3:$C$34)</f>
        <v>n/a</v>
      </c>
      <c r="F13" s="97" t="str">
        <f>'2025'!$E$9</f>
        <v>n/a</v>
      </c>
      <c r="G13" s="94" t="e" cm="1">
        <f t="array" ref="G1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" s="94" t="e" cm="1">
        <f t="array" ref="H1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" s="94" t="e" cm="1">
        <f t="array" ref="I1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" s="96" t="e" cm="1">
        <f t="array" ref="J1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" s="96" t="e" cm="1">
        <f t="array" ref="K1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" s="96" t="e" cm="1">
        <f t="array" ref="L1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" s="94" t="e">
        <f>AVERAGE(Table11918[[#This Row],[*C*]:[*TD*]])</f>
        <v>#N/A</v>
      </c>
    </row>
    <row r="14" spans="2:13" x14ac:dyDescent="0.35">
      <c r="B14" s="6" t="s">
        <v>224</v>
      </c>
      <c r="C14" s="97" t="s">
        <v>37</v>
      </c>
      <c r="D14" s="97" t="s">
        <v>66</v>
      </c>
      <c r="E14" s="23" t="str" cm="1">
        <f t="array" ref="E14">_xlfn.XLOOKUP(Table11918[[#This Row],[Team]],Table4334[Team],'2425'!$C$3:$C$34)</f>
        <v>n/a</v>
      </c>
      <c r="F14" s="97" t="str">
        <f>'2025'!$E$15</f>
        <v>n/a</v>
      </c>
      <c r="G14" s="94" t="e" cm="1">
        <f t="array" ref="G1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" s="94" t="e" cm="1">
        <f t="array" ref="H1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" s="94" t="e" cm="1">
        <f t="array" ref="I1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" s="96" t="e" cm="1">
        <f t="array" ref="J1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" s="96" t="e" cm="1">
        <f t="array" ref="K1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" s="96" t="e" cm="1">
        <f t="array" ref="L1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" s="94" t="e">
        <f>AVERAGE(Table11918[[#This Row],[*C*]:[*TD*]])</f>
        <v>#N/A</v>
      </c>
    </row>
    <row r="15" spans="2:13" hidden="1" x14ac:dyDescent="0.35">
      <c r="B15" s="6" t="s">
        <v>262</v>
      </c>
      <c r="C15" s="97" t="s">
        <v>41</v>
      </c>
      <c r="D15" s="97" t="s">
        <v>66</v>
      </c>
      <c r="E15" s="23" t="str" cm="1">
        <f t="array" ref="E15">_xlfn.XLOOKUP(Table11918[[#This Row],[Team]],Table4334[Team],'2425'!$C$3:$C$34)</f>
        <v>n/a</v>
      </c>
      <c r="F15" s="97" t="str">
        <f>'2025'!$E$19</f>
        <v>n/a</v>
      </c>
      <c r="G15" s="94" t="e" cm="1">
        <f t="array" ref="G1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" s="94" t="e" cm="1">
        <f t="array" ref="H1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" s="94" t="e" cm="1">
        <f t="array" ref="I1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" s="96" t="e" cm="1">
        <f t="array" ref="J1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" s="96" t="e" cm="1">
        <f t="array" ref="K1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" s="96" t="e" cm="1">
        <f t="array" ref="L1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" s="94" t="e">
        <f>AVERAGE(Table11918[[#This Row],[*C*]:[*TD*]])</f>
        <v>#N/A</v>
      </c>
    </row>
    <row r="16" spans="2:13" x14ac:dyDescent="0.35">
      <c r="B16" s="6" t="s">
        <v>364</v>
      </c>
      <c r="C16" s="97" t="s">
        <v>53</v>
      </c>
      <c r="D16" s="97" t="s">
        <v>66</v>
      </c>
      <c r="E16" s="23" t="str" cm="1">
        <f t="array" ref="E16">_xlfn.XLOOKUP(Table11918[[#This Row],[Team]],Table4334[Team],'2425'!$C$3:$C$34)</f>
        <v>n/a</v>
      </c>
      <c r="F16" s="97" t="str">
        <f>'2025'!$E$31</f>
        <v>n/a</v>
      </c>
      <c r="G16" s="94" t="e" cm="1">
        <f t="array" ref="G1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" s="94" t="e" cm="1">
        <f t="array" ref="H1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" s="94" t="e" cm="1">
        <f t="array" ref="I1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" s="96" t="e" cm="1">
        <f t="array" ref="J1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" s="96" t="e" cm="1">
        <f t="array" ref="K1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" s="96" t="e" cm="1">
        <f t="array" ref="L1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" s="94" t="e">
        <f>AVERAGE(Table11918[[#This Row],[*C*]:[*TD*]])</f>
        <v>#N/A</v>
      </c>
    </row>
    <row r="17" spans="2:13" x14ac:dyDescent="0.35">
      <c r="B17" s="6" t="s">
        <v>356</v>
      </c>
      <c r="C17" s="97" t="s">
        <v>52</v>
      </c>
      <c r="D17" s="97" t="s">
        <v>67</v>
      </c>
      <c r="E17" s="23" t="str" cm="1">
        <f t="array" ref="E17">_xlfn.XLOOKUP(Table11918[[#This Row],[Team]],Table4334[Team],'2425'!$C$3:$C$34)</f>
        <v>SB LX</v>
      </c>
      <c r="F17" s="97" t="str">
        <f>'2025'!$E$30</f>
        <v>NE</v>
      </c>
      <c r="G17" s="94" cm="1">
        <f t="array" ref="G1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25.5</v>
      </c>
      <c r="H17" s="94" cm="1">
        <f t="array" ref="H1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26</v>
      </c>
      <c r="I17" s="94" cm="1">
        <f t="array" ref="I1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5.5</v>
      </c>
      <c r="J17" s="96" cm="1">
        <f t="array" ref="J1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2.7647058823529411</v>
      </c>
      <c r="K17" s="96" cm="1">
        <f t="array" ref="K1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33.294117647058826</v>
      </c>
      <c r="L17" s="96" cm="1">
        <f t="array" ref="L1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0.41176470588235292</v>
      </c>
      <c r="M17" s="94">
        <f>AVERAGE(Table11918[[#This Row],[*C*]:[*TD*]])</f>
        <v>19</v>
      </c>
    </row>
    <row r="18" spans="2:13" x14ac:dyDescent="0.35">
      <c r="B18" s="6" t="s">
        <v>632</v>
      </c>
      <c r="C18" s="97" t="s">
        <v>37</v>
      </c>
      <c r="D18" s="97" t="s">
        <v>67</v>
      </c>
      <c r="E18" s="23" t="str" cm="1">
        <f t="array" ref="E18">_xlfn.XLOOKUP(Table11918[[#This Row],[Team]],Table4334[Team],'2425'!$C$3:$C$34)</f>
        <v>n/a</v>
      </c>
      <c r="F18" s="97" t="str">
        <f>'2025'!$E$15</f>
        <v>n/a</v>
      </c>
      <c r="G18" s="94" t="e" cm="1">
        <f t="array" ref="G1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" s="94" t="e" cm="1">
        <f t="array" ref="H1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" s="94" t="e" cm="1">
        <f t="array" ref="I1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" s="96" t="e" cm="1">
        <f t="array" ref="J1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" s="96" t="e" cm="1">
        <f t="array" ref="K1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" s="96" t="e" cm="1">
        <f t="array" ref="L1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" s="94" t="e">
        <f>AVERAGE(Table11918[[#This Row],[*C*]:[*TD*]])</f>
        <v>#N/A</v>
      </c>
    </row>
    <row r="19" spans="2:13" hidden="1" x14ac:dyDescent="0.35">
      <c r="B19" s="6" t="s">
        <v>507</v>
      </c>
      <c r="C19" s="97" t="s">
        <v>35</v>
      </c>
      <c r="D19" s="97" t="s">
        <v>403</v>
      </c>
      <c r="E19" s="23" t="str" cm="1">
        <f t="array" ref="E19">_xlfn.XLOOKUP(Table11918[[#This Row],[Team]],Table4334[Team],'2425'!$C$3:$C$34)</f>
        <v>n/a</v>
      </c>
      <c r="F19" s="97" t="str">
        <f>'2025'!$E$13</f>
        <v>n/a</v>
      </c>
      <c r="G19" s="94" t="e" cm="1">
        <f t="array" ref="G1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" s="94" t="e" cm="1">
        <f t="array" ref="H1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" s="94" t="e" cm="1">
        <f t="array" ref="I1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" s="96" t="e" cm="1">
        <f t="array" ref="J1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" s="96" t="e" cm="1">
        <f t="array" ref="K1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" s="96" t="e" cm="1">
        <f t="array" ref="L1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" s="94" t="e">
        <f>AVERAGE(Table11918[[#This Row],[*C*]:[*TD*]])</f>
        <v>#N/A</v>
      </c>
    </row>
    <row r="20" spans="2:13" hidden="1" x14ac:dyDescent="0.35">
      <c r="B20" s="6" t="s">
        <v>584</v>
      </c>
      <c r="C20" s="97" t="s">
        <v>54</v>
      </c>
      <c r="D20" s="97" t="s">
        <v>68</v>
      </c>
      <c r="E20" s="23" t="str" cm="1">
        <f t="array" ref="E20">_xlfn.XLOOKUP(Table11918[[#This Row],[Team]],Table4334[Team],'2425'!$C$3:$C$34)</f>
        <v>n/a</v>
      </c>
      <c r="F20" s="97" t="str">
        <f>'2025'!$E$32</f>
        <v>n/a</v>
      </c>
      <c r="G20" s="94" t="e" cm="1">
        <f t="array" ref="G2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" s="94" t="e" cm="1">
        <f t="array" ref="H2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" s="94" t="e" cm="1">
        <f t="array" ref="I2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" s="96" t="e" cm="1">
        <f t="array" ref="J2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" s="96" t="e" cm="1">
        <f t="array" ref="K2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" s="96" t="e" cm="1">
        <f t="array" ref="L2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" s="94" t="e">
        <f>AVERAGE(Table11918[[#This Row],[*C*]:[*TD*]])</f>
        <v>#N/A</v>
      </c>
    </row>
    <row r="21" spans="2:13" hidden="1" x14ac:dyDescent="0.35">
      <c r="B21" s="6" t="s">
        <v>188</v>
      </c>
      <c r="C21" s="97" t="s">
        <v>33</v>
      </c>
      <c r="D21" s="97" t="s">
        <v>403</v>
      </c>
      <c r="E21" s="23" t="str" cm="1">
        <f t="array" ref="E21">_xlfn.XLOOKUP(Table11918[[#This Row],[Team]],Table4334[Team],'2425'!$C$3:$C$34)</f>
        <v>n/a</v>
      </c>
      <c r="F21" s="97" t="str">
        <f>'2025'!$E$11</f>
        <v>n/a</v>
      </c>
      <c r="G21" s="94" t="e" cm="1">
        <f t="array" ref="G2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1" s="94" t="e" cm="1">
        <f t="array" ref="H2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1" s="94" t="e" cm="1">
        <f t="array" ref="I2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1" s="96" t="e" cm="1">
        <f t="array" ref="J2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1" s="96" t="e" cm="1">
        <f t="array" ref="K2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1" s="96" t="e" cm="1">
        <f t="array" ref="L2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1" s="94" t="e">
        <f>AVERAGE(Table11918[[#This Row],[*C*]:[*TD*]])</f>
        <v>#N/A</v>
      </c>
    </row>
    <row r="22" spans="2:13" hidden="1" x14ac:dyDescent="0.35">
      <c r="B22" s="6" t="s">
        <v>240</v>
      </c>
      <c r="C22" s="97" t="s">
        <v>39</v>
      </c>
      <c r="D22" s="97" t="s">
        <v>66</v>
      </c>
      <c r="E22" s="23" t="str" cm="1">
        <f t="array" ref="E22">_xlfn.XLOOKUP(Table11918[[#This Row],[Team]],Table4334[Team],'2425'!$C$3:$C$34)</f>
        <v>n/a</v>
      </c>
      <c r="F22" s="97" t="str">
        <f>'2025'!$E$17</f>
        <v>n/a</v>
      </c>
      <c r="G22" s="94" t="e" cm="1">
        <f t="array" ref="G2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2" s="94" t="e" cm="1">
        <f t="array" ref="H2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2" s="94" t="e" cm="1">
        <f t="array" ref="I2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2" s="96" t="e" cm="1">
        <f t="array" ref="J2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2" s="96" t="e" cm="1">
        <f t="array" ref="K2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2" s="96" t="e" cm="1">
        <f t="array" ref="L2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2" s="94" t="e">
        <f>AVERAGE(Table11918[[#This Row],[*C*]:[*TD*]])</f>
        <v>#N/A</v>
      </c>
    </row>
    <row r="23" spans="2:13" x14ac:dyDescent="0.35">
      <c r="B23" s="6" t="s">
        <v>311</v>
      </c>
      <c r="C23" s="97" t="s">
        <v>46</v>
      </c>
      <c r="D23" s="97" t="s">
        <v>67</v>
      </c>
      <c r="E23" s="23" t="str" cm="1">
        <f t="array" ref="E23">_xlfn.XLOOKUP(Table11918[[#This Row],[Team]],Table4334[Team],'2425'!$C$3:$C$34)</f>
        <v>SB LX</v>
      </c>
      <c r="F23" s="97" t="str">
        <f>'2025'!$E$24</f>
        <v>SEA</v>
      </c>
      <c r="G23" s="94" cm="1">
        <f t="array" ref="G2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28</v>
      </c>
      <c r="H23" s="94" cm="1">
        <f t="array" ref="H2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28</v>
      </c>
      <c r="I23" s="94" cm="1">
        <f t="array" ref="I2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31</v>
      </c>
      <c r="J23" s="96" cm="1">
        <f t="array" ref="J2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2.7058823529411766</v>
      </c>
      <c r="K23" s="96" cm="1">
        <f t="array" ref="K2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30.117647058823529</v>
      </c>
      <c r="L23" s="96" cm="1">
        <f t="array" ref="L2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23" s="94">
        <f>AVERAGE(Table11918[[#This Row],[*C*]:[*TD*]])</f>
        <v>29</v>
      </c>
    </row>
    <row r="24" spans="2:13" x14ac:dyDescent="0.35">
      <c r="B24" s="6" t="s">
        <v>196</v>
      </c>
      <c r="C24" s="97" t="s">
        <v>34</v>
      </c>
      <c r="D24" s="97" t="s">
        <v>66</v>
      </c>
      <c r="E24" s="23" t="str" cm="1">
        <f t="array" ref="E24">_xlfn.XLOOKUP(Table11918[[#This Row],[Team]],Table4334[Team],'2425'!$C$3:$C$34)</f>
        <v>n/a</v>
      </c>
      <c r="F24" s="97" t="str">
        <f>'2025'!$E$12</f>
        <v>n/a</v>
      </c>
      <c r="G24" s="94" t="e" cm="1">
        <f t="array" ref="G2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4" s="94" t="e" cm="1">
        <f t="array" ref="H2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4" s="94" t="e" cm="1">
        <f t="array" ref="I2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4" s="96" t="e" cm="1">
        <f t="array" ref="J2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4" s="96" t="e" cm="1">
        <f t="array" ref="K2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4" s="96" t="e" cm="1">
        <f t="array" ref="L2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4" s="94" t="e">
        <f>AVERAGE(Table11918[[#This Row],[*C*]:[*TD*]])</f>
        <v>#N/A</v>
      </c>
    </row>
    <row r="25" spans="2:13" hidden="1" x14ac:dyDescent="0.35">
      <c r="B25" s="6" t="s">
        <v>471</v>
      </c>
      <c r="C25" s="97" t="s">
        <v>16</v>
      </c>
      <c r="D25" s="97" t="s">
        <v>403</v>
      </c>
      <c r="E25" s="23" t="str" cm="1">
        <f t="array" ref="E25">_xlfn.XLOOKUP(Table11918[[#This Row],[Team]],Table4334[Team],'2425'!$C$3:$C$34)</f>
        <v>n/a</v>
      </c>
      <c r="F25" s="97" t="str">
        <f>'2025'!$E$5</f>
        <v>n/a</v>
      </c>
      <c r="G25" s="94" t="e" cm="1">
        <f t="array" ref="G2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5" s="94" t="e" cm="1">
        <f t="array" ref="H2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5" s="94" t="e" cm="1">
        <f t="array" ref="I2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5" s="96" t="e" cm="1">
        <f t="array" ref="J2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5" s="96" t="e" cm="1">
        <f t="array" ref="K2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5" s="96" t="e" cm="1">
        <f t="array" ref="L2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5" s="94" t="e">
        <f>AVERAGE(Table11918[[#This Row],[*C*]:[*TD*]])</f>
        <v>#N/A</v>
      </c>
    </row>
    <row r="26" spans="2:13" hidden="1" x14ac:dyDescent="0.35">
      <c r="B26" s="6" t="s">
        <v>472</v>
      </c>
      <c r="C26" s="97" t="s">
        <v>16</v>
      </c>
      <c r="D26" s="97" t="s">
        <v>411</v>
      </c>
      <c r="E26" s="23" t="str" cm="1">
        <f t="array" ref="E26">_xlfn.XLOOKUP(Table11918[[#This Row],[Team]],Table4334[Team],'2425'!$C$3:$C$34)</f>
        <v>n/a</v>
      </c>
      <c r="F26" s="97" t="str">
        <f>'2025'!$E$5</f>
        <v>n/a</v>
      </c>
      <c r="G26" s="94" t="e" cm="1">
        <f t="array" ref="G2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6" s="94" t="e" cm="1">
        <f t="array" ref="H2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6" s="94" t="e" cm="1">
        <f t="array" ref="I2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6" s="96" t="e" cm="1">
        <f t="array" ref="J2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6" s="96" t="e" cm="1">
        <f t="array" ref="K2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6" s="96" t="e" cm="1">
        <f t="array" ref="L2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6" s="94" t="e">
        <f>AVERAGE(Table11918[[#This Row],[*C*]:[*TD*]])</f>
        <v>#N/A</v>
      </c>
    </row>
    <row r="27" spans="2:13" hidden="1" x14ac:dyDescent="0.35">
      <c r="B27" s="6" t="s">
        <v>473</v>
      </c>
      <c r="C27" s="97" t="s">
        <v>16</v>
      </c>
      <c r="D27" s="97" t="s">
        <v>441</v>
      </c>
      <c r="E27" s="23" t="str" cm="1">
        <f t="array" ref="E27">_xlfn.XLOOKUP(Table11918[[#This Row],[Team]],Table4334[Team],'2425'!$C$3:$C$34)</f>
        <v>n/a</v>
      </c>
      <c r="F27" s="97" t="str">
        <f>'2025'!$E$5</f>
        <v>n/a</v>
      </c>
      <c r="G27" s="94" t="e" cm="1">
        <f t="array" ref="G2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7" s="94" t="e" cm="1">
        <f t="array" ref="H2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7" s="94" t="e" cm="1">
        <f t="array" ref="I2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7" s="96" t="e" cm="1">
        <f t="array" ref="J2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7" s="96" t="e" cm="1">
        <f t="array" ref="K2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7" s="96" t="e" cm="1">
        <f t="array" ref="L2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7" s="94" t="e">
        <f>AVERAGE(Table11918[[#This Row],[*C*]:[*TD*]])</f>
        <v>#N/A</v>
      </c>
    </row>
    <row r="28" spans="2:13" hidden="1" x14ac:dyDescent="0.35">
      <c r="B28" s="6" t="s">
        <v>126</v>
      </c>
      <c r="C28" s="97" t="s">
        <v>54</v>
      </c>
      <c r="D28" s="97" t="s">
        <v>401</v>
      </c>
      <c r="E28" s="23" t="str" cm="1">
        <f t="array" ref="E28">_xlfn.XLOOKUP(Table11918[[#This Row],[Team]],Table4334[Team],'2425'!$C$3:$C$34)</f>
        <v>n/a</v>
      </c>
      <c r="F28" s="97" t="str">
        <f>'2025'!$E$32</f>
        <v>n/a</v>
      </c>
      <c r="G28" s="94" t="e" cm="1">
        <f t="array" ref="G2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8" s="94" t="e" cm="1">
        <f t="array" ref="H2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8" s="94" t="e" cm="1">
        <f t="array" ref="I2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8" s="96" t="e" cm="1">
        <f t="array" ref="J2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8" s="96" t="e" cm="1">
        <f t="array" ref="K2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8" s="96" t="e" cm="1">
        <f t="array" ref="L2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8" s="94" t="e">
        <f>AVERAGE(Table11918[[#This Row],[*C*]:[*TD*]])</f>
        <v>#N/A</v>
      </c>
    </row>
    <row r="29" spans="2:13" hidden="1" x14ac:dyDescent="0.35">
      <c r="B29" s="6" t="s">
        <v>328</v>
      </c>
      <c r="C29" s="97" t="s">
        <v>48</v>
      </c>
      <c r="D29" s="97" t="s">
        <v>66</v>
      </c>
      <c r="E29" s="23" t="str" cm="1">
        <f t="array" ref="E29">_xlfn.XLOOKUP(Table11918[[#This Row],[Team]],Table4334[Team],'2425'!$C$3:$C$34)</f>
        <v>n/a</v>
      </c>
      <c r="F29" s="97" t="str">
        <f>'2025'!$E$26</f>
        <v>n/a</v>
      </c>
      <c r="G29" s="94" t="e" cm="1">
        <f t="array" ref="G2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9" s="94" t="e" cm="1">
        <f t="array" ref="H2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9" s="94" t="e" cm="1">
        <f t="array" ref="I2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9" s="96" t="e" cm="1">
        <f t="array" ref="J2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9" s="96" t="e" cm="1">
        <f t="array" ref="K2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9" s="96" t="e" cm="1">
        <f t="array" ref="L2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9" s="94" t="e">
        <f>AVERAGE(Table11918[[#This Row],[*C*]:[*TD*]])</f>
        <v>#N/A</v>
      </c>
    </row>
    <row r="30" spans="2:13" hidden="1" x14ac:dyDescent="0.35">
      <c r="B30" s="6" t="s">
        <v>340</v>
      </c>
      <c r="C30" s="97" t="s">
        <v>50</v>
      </c>
      <c r="D30" s="97" t="s">
        <v>66</v>
      </c>
      <c r="E30" s="23" t="str" cm="1">
        <f t="array" ref="E30">_xlfn.XLOOKUP(Table11918[[#This Row],[Team]],Table4334[Team],'2425'!$C$3:$C$34)</f>
        <v>n/a</v>
      </c>
      <c r="F30" s="97" t="str">
        <f>'2025'!$E$28</f>
        <v>n/a</v>
      </c>
      <c r="G30" s="94" t="e" cm="1">
        <f t="array" ref="G3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0" s="94" t="e" cm="1">
        <f t="array" ref="H3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0" s="94" t="e" cm="1">
        <f t="array" ref="I3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0" s="96" t="e" cm="1">
        <f t="array" ref="J3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0" s="96" t="e" cm="1">
        <f t="array" ref="K3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0" s="96" t="e" cm="1">
        <f t="array" ref="L3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0" s="94" t="e">
        <f>AVERAGE(Table11918[[#This Row],[*C*]:[*TD*]])</f>
        <v>#N/A</v>
      </c>
    </row>
    <row r="31" spans="2:13" hidden="1" x14ac:dyDescent="0.35">
      <c r="B31" s="6" t="s">
        <v>319</v>
      </c>
      <c r="C31" s="97" t="s">
        <v>47</v>
      </c>
      <c r="D31" s="97" t="s">
        <v>66</v>
      </c>
      <c r="E31" s="23" t="str" cm="1">
        <f t="array" ref="E31">_xlfn.XLOOKUP(Table11918[[#This Row],[Team]],Table4334[Team],'2425'!$C$3:$C$34)</f>
        <v>n/a</v>
      </c>
      <c r="F31" s="97" t="str">
        <f>'2025'!$E$25</f>
        <v>n/a</v>
      </c>
      <c r="G31" s="94" t="e" cm="1">
        <f t="array" ref="G3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1" s="94" t="e" cm="1">
        <f t="array" ref="H3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1" s="94" t="e" cm="1">
        <f t="array" ref="I3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1" s="96" t="e" cm="1">
        <f t="array" ref="J3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1" s="96" t="e" cm="1">
        <f t="array" ref="K3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1" s="96" t="e" cm="1">
        <f t="array" ref="L3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1" s="94" t="e">
        <f>AVERAGE(Table11918[[#This Row],[*C*]:[*TD*]])</f>
        <v>#N/A</v>
      </c>
    </row>
    <row r="32" spans="2:13" hidden="1" x14ac:dyDescent="0.35">
      <c r="B32" s="6" t="s">
        <v>299</v>
      </c>
      <c r="C32" s="97" t="s">
        <v>45</v>
      </c>
      <c r="D32" s="97" t="s">
        <v>66</v>
      </c>
      <c r="E32" s="23" t="str" cm="1">
        <f t="array" ref="E32">_xlfn.XLOOKUP(Table11918[[#This Row],[Team]],Table4334[Team],'2425'!$C$3:$C$34)</f>
        <v>n/a</v>
      </c>
      <c r="F32" s="97" t="str">
        <f>'2025'!$E$23</f>
        <v>n/a</v>
      </c>
      <c r="G32" s="94" t="e" cm="1">
        <f t="array" ref="G3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2" s="94" t="e" cm="1">
        <f t="array" ref="H3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2" s="94" t="e" cm="1">
        <f t="array" ref="I3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2" s="96" t="e" cm="1">
        <f t="array" ref="J3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2" s="96" t="e" cm="1">
        <f t="array" ref="K3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2" s="96" t="e" cm="1">
        <f t="array" ref="L3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2" s="94" t="e">
        <f>AVERAGE(Table11918[[#This Row],[*C*]:[*TD*]])</f>
        <v>#N/A</v>
      </c>
    </row>
    <row r="33" spans="2:13" hidden="1" x14ac:dyDescent="0.35">
      <c r="B33" s="6" t="s">
        <v>167</v>
      </c>
      <c r="C33" s="97" t="s">
        <v>31</v>
      </c>
      <c r="D33" s="97" t="s">
        <v>66</v>
      </c>
      <c r="E33" s="23" t="str" cm="1">
        <f t="array" ref="E33">_xlfn.XLOOKUP(Table11918[[#This Row],[Team]],Table4334[Team],'2425'!$C$3:$C$34)</f>
        <v>n/a</v>
      </c>
      <c r="F33" s="97" t="str">
        <f>'2025'!$E$9</f>
        <v>n/a</v>
      </c>
      <c r="G33" s="94" t="e" cm="1">
        <f t="array" ref="G3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3" s="94" t="e" cm="1">
        <f t="array" ref="H3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3" s="94" t="e" cm="1">
        <f t="array" ref="I3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3" s="96" t="e" cm="1">
        <f t="array" ref="J3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3" s="96" t="e" cm="1">
        <f t="array" ref="K3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3" s="96" t="e" cm="1">
        <f t="array" ref="L3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3" s="94" t="e">
        <f>AVERAGE(Table11918[[#This Row],[*C*]:[*TD*]])</f>
        <v>#N/A</v>
      </c>
    </row>
    <row r="34" spans="2:13" hidden="1" x14ac:dyDescent="0.35">
      <c r="B34" s="6" t="s">
        <v>138</v>
      </c>
      <c r="C34" s="97" t="s">
        <v>15</v>
      </c>
      <c r="D34" s="97" t="s">
        <v>66</v>
      </c>
      <c r="E34" s="23" t="str" cm="1">
        <f t="array" ref="E34">_xlfn.XLOOKUP(Table11918[[#This Row],[Team]],Table4334[Team],'2425'!$C$3:$C$34)</f>
        <v>n/a</v>
      </c>
      <c r="F34" s="97" t="str">
        <f>'2025'!$E$4</f>
        <v>n/a</v>
      </c>
      <c r="G34" s="94" t="e" cm="1">
        <f t="array" ref="G3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4" s="94" t="e" cm="1">
        <f t="array" ref="H3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4" s="94" t="e" cm="1">
        <f t="array" ref="I3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4" s="96" t="e" cm="1">
        <f t="array" ref="J3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4" s="96" t="e" cm="1">
        <f t="array" ref="K3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4" s="96" t="e" cm="1">
        <f t="array" ref="L3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4" s="94" t="e">
        <f>AVERAGE(Table11918[[#This Row],[*C*]:[*TD*]])</f>
        <v>#N/A</v>
      </c>
    </row>
    <row r="35" spans="2:13" hidden="1" x14ac:dyDescent="0.35">
      <c r="B35" s="6" t="s">
        <v>512</v>
      </c>
      <c r="C35" s="97" t="s">
        <v>36</v>
      </c>
      <c r="D35" s="97" t="s">
        <v>403</v>
      </c>
      <c r="E35" s="23" t="str" cm="1">
        <f t="array" ref="E35">_xlfn.XLOOKUP(Table11918[[#This Row],[Team]],Table4334[Team],'2425'!$C$3:$C$34)</f>
        <v>n/a</v>
      </c>
      <c r="F35" s="97" t="str">
        <f>'2025'!$E$14</f>
        <v>n/a</v>
      </c>
      <c r="G35" s="94" t="e" cm="1">
        <f t="array" ref="G3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5" s="94" t="e" cm="1">
        <f t="array" ref="H3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5" s="94" t="e" cm="1">
        <f t="array" ref="I3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5" s="96" t="e" cm="1">
        <f t="array" ref="J3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5" s="96" t="e" cm="1">
        <f t="array" ref="K3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5" s="96" t="e" cm="1">
        <f t="array" ref="L3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5" s="94" t="e">
        <f>AVERAGE(Table11918[[#This Row],[*C*]:[*TD*]])</f>
        <v>#N/A</v>
      </c>
    </row>
    <row r="36" spans="2:13" hidden="1" x14ac:dyDescent="0.35">
      <c r="B36" s="6" t="s">
        <v>514</v>
      </c>
      <c r="C36" s="97" t="s">
        <v>36</v>
      </c>
      <c r="D36" s="97" t="s">
        <v>411</v>
      </c>
      <c r="E36" s="23" t="str" cm="1">
        <f t="array" ref="E36">_xlfn.XLOOKUP(Table11918[[#This Row],[Team]],Table4334[Team],'2425'!$C$3:$C$34)</f>
        <v>n/a</v>
      </c>
      <c r="F36" s="97" t="str">
        <f>'2025'!$E$14</f>
        <v>n/a</v>
      </c>
      <c r="G36" s="94" t="e" cm="1">
        <f t="array" ref="G3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6" s="94" t="e" cm="1">
        <f t="array" ref="H3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6" s="94" t="e" cm="1">
        <f t="array" ref="I3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6" s="96" t="e" cm="1">
        <f t="array" ref="J3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6" s="96" t="e" cm="1">
        <f t="array" ref="K3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6" s="96" t="e" cm="1">
        <f t="array" ref="L3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6" s="94" t="e">
        <f>AVERAGE(Table11918[[#This Row],[*C*]:[*TD*]])</f>
        <v>#N/A</v>
      </c>
    </row>
    <row r="37" spans="2:13" hidden="1" x14ac:dyDescent="0.35">
      <c r="B37" s="6" t="s">
        <v>212</v>
      </c>
      <c r="C37" s="97" t="s">
        <v>36</v>
      </c>
      <c r="D37" s="97" t="s">
        <v>441</v>
      </c>
      <c r="E37" s="23" t="str" cm="1">
        <f t="array" ref="E37">_xlfn.XLOOKUP(Table11918[[#This Row],[Team]],Table4334[Team],'2425'!$C$3:$C$34)</f>
        <v>n/a</v>
      </c>
      <c r="F37" s="97" t="str">
        <f>'2025'!$E$14</f>
        <v>n/a</v>
      </c>
      <c r="G37" s="94" t="e" cm="1">
        <f t="array" ref="G3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7" s="94" t="e" cm="1">
        <f t="array" ref="H3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7" s="94" t="e" cm="1">
        <f t="array" ref="I3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7" s="96" t="e" cm="1">
        <f t="array" ref="J3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7" s="96" t="e" cm="1">
        <f t="array" ref="K3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7" s="96" t="e" cm="1">
        <f t="array" ref="L3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7" s="94" t="e">
        <f>AVERAGE(Table11918[[#This Row],[*C*]:[*TD*]])</f>
        <v>#N/A</v>
      </c>
    </row>
    <row r="38" spans="2:13" hidden="1" x14ac:dyDescent="0.35">
      <c r="B38" s="6" t="s">
        <v>179</v>
      </c>
      <c r="C38" s="97" t="s">
        <v>32</v>
      </c>
      <c r="D38" s="97" t="s">
        <v>66</v>
      </c>
      <c r="E38" s="23" t="str" cm="1">
        <f t="array" ref="E38">_xlfn.XLOOKUP(Table11918[[#This Row],[Team]],Table4334[Team],'2425'!$C$3:$C$34)</f>
        <v>n/a</v>
      </c>
      <c r="F38" s="97" t="str">
        <f>'2025'!$E$10</f>
        <v>n/a</v>
      </c>
      <c r="G38" s="94" t="e" cm="1">
        <f t="array" ref="G3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8" s="94" t="e" cm="1">
        <f t="array" ref="H3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8" s="94" t="e" cm="1">
        <f t="array" ref="I3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8" s="96" t="e" cm="1">
        <f t="array" ref="J3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8" s="96" t="e" cm="1">
        <f t="array" ref="K3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8" s="96" t="e" cm="1">
        <f t="array" ref="L3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8" s="94" t="e">
        <f>AVERAGE(Table11918[[#This Row],[*C*]:[*TD*]])</f>
        <v>#N/A</v>
      </c>
    </row>
    <row r="39" spans="2:13" hidden="1" x14ac:dyDescent="0.35">
      <c r="B39" s="6" t="s">
        <v>187</v>
      </c>
      <c r="C39" s="97" t="s">
        <v>33</v>
      </c>
      <c r="D39" s="97" t="s">
        <v>66</v>
      </c>
      <c r="E39" s="23" t="str" cm="1">
        <f t="array" ref="E39">_xlfn.XLOOKUP(Table11918[[#This Row],[Team]],Table4334[Team],'2425'!$C$3:$C$34)</f>
        <v>n/a</v>
      </c>
      <c r="F39" s="97" t="str">
        <f>'2025'!$E$11</f>
        <v>n/a</v>
      </c>
      <c r="G39" s="94" t="e" cm="1">
        <f t="array" ref="G3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39" s="94" t="e" cm="1">
        <f t="array" ref="H3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39" s="94" t="e" cm="1">
        <f t="array" ref="I3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39" s="96" t="e" cm="1">
        <f t="array" ref="J3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39" s="96" t="e" cm="1">
        <f t="array" ref="K3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39" s="96" t="e" cm="1">
        <f t="array" ref="L3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39" s="94" t="e">
        <f>AVERAGE(Table11918[[#This Row],[*C*]:[*TD*]])</f>
        <v>#N/A</v>
      </c>
    </row>
    <row r="40" spans="2:13" x14ac:dyDescent="0.35">
      <c r="B40" s="6" t="s">
        <v>271</v>
      </c>
      <c r="C40" s="97" t="s">
        <v>42</v>
      </c>
      <c r="D40" s="97" t="s">
        <v>67</v>
      </c>
      <c r="E40" s="23" t="str" cm="1">
        <f t="array" ref="E40">_xlfn.XLOOKUP(Table11918[[#This Row],[Team]],Table4334[Team],'2425'!$C$3:$C$34)</f>
        <v>n/a</v>
      </c>
      <c r="F40" s="97" t="str">
        <f>'2025'!$E$20</f>
        <v>n/a</v>
      </c>
      <c r="G40" s="94" t="e" cm="1">
        <f t="array" ref="G4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0" s="94" t="e" cm="1">
        <f t="array" ref="H4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0" s="94" t="e" cm="1">
        <f t="array" ref="I4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0" s="96" t="e" cm="1">
        <f t="array" ref="J4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0" s="96" t="e" cm="1">
        <f t="array" ref="K4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0" s="96" t="e" cm="1">
        <f t="array" ref="L4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0" s="94" t="e">
        <f>AVERAGE(Table11918[[#This Row],[*C*]:[*TD*]])</f>
        <v>#N/A</v>
      </c>
    </row>
    <row r="41" spans="2:13" hidden="1" x14ac:dyDescent="0.35">
      <c r="B41" s="6" t="s">
        <v>348</v>
      </c>
      <c r="C41" s="97" t="s">
        <v>51</v>
      </c>
      <c r="D41" s="97" t="s">
        <v>66</v>
      </c>
      <c r="E41" s="23" t="str" cm="1">
        <f t="array" ref="E41">_xlfn.XLOOKUP(Table11918[[#This Row],[Team]],Table4334[Team],'2425'!$C$3:$C$34)</f>
        <v>n/a</v>
      </c>
      <c r="F41" s="97" t="str">
        <f>'2025'!$E$29</f>
        <v>n/a</v>
      </c>
      <c r="G41" s="94" t="e" cm="1">
        <f t="array" ref="G4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1" s="94" t="e" cm="1">
        <f t="array" ref="H4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1" s="94" t="e" cm="1">
        <f t="array" ref="I4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1" s="96" t="e" cm="1">
        <f t="array" ref="J4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1" s="96" t="e" cm="1">
        <f t="array" ref="K4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1" s="96" t="e" cm="1">
        <f t="array" ref="L4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1" s="94" t="e">
        <f>AVERAGE(Table11918[[#This Row],[*C*]:[*TD*]])</f>
        <v>#N/A</v>
      </c>
    </row>
    <row r="42" spans="2:13" hidden="1" x14ac:dyDescent="0.35">
      <c r="B42" s="6" t="s">
        <v>383</v>
      </c>
      <c r="C42" s="97" t="s">
        <v>55</v>
      </c>
      <c r="D42" s="97" t="s">
        <v>66</v>
      </c>
      <c r="E42" s="23" t="str" cm="1">
        <f t="array" ref="E42">_xlfn.XLOOKUP(Table11918[[#This Row],[Team]],Table4334[Team],'2425'!$C$3:$C$34)</f>
        <v>n/a</v>
      </c>
      <c r="F42" s="97" t="str">
        <f>'2025'!$E$33</f>
        <v>n/a</v>
      </c>
      <c r="G42" s="94" t="e" cm="1">
        <f t="array" ref="G4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2" s="94" t="e" cm="1">
        <f t="array" ref="H4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2" s="94" t="e" cm="1">
        <f t="array" ref="I4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2" s="96" t="e" cm="1">
        <f t="array" ref="J4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2" s="96" t="e" cm="1">
        <f t="array" ref="K4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2" s="96" t="e" cm="1">
        <f t="array" ref="L4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2" s="94" t="e">
        <f>AVERAGE(Table11918[[#This Row],[*C*]:[*TD*]])</f>
        <v>#N/A</v>
      </c>
    </row>
    <row r="43" spans="2:13" hidden="1" x14ac:dyDescent="0.35">
      <c r="B43" s="6" t="s">
        <v>231</v>
      </c>
      <c r="C43" s="97" t="s">
        <v>38</v>
      </c>
      <c r="D43" s="97" t="s">
        <v>66</v>
      </c>
      <c r="E43" s="23" t="str" cm="1">
        <f t="array" ref="E43">_xlfn.XLOOKUP(Table11918[[#This Row],[Team]],Table4334[Team],'2425'!$C$3:$C$34)</f>
        <v>n/a</v>
      </c>
      <c r="F43" s="97" t="str">
        <f>'2025'!$E$16</f>
        <v>n/a</v>
      </c>
      <c r="G43" s="94" t="e" cm="1">
        <f t="array" ref="G4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3" s="94" t="e" cm="1">
        <f t="array" ref="H4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3" s="94" t="e" cm="1">
        <f t="array" ref="I4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3" s="96" t="e" cm="1">
        <f t="array" ref="J4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3" s="96" t="e" cm="1">
        <f t="array" ref="K4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3" s="96" t="e" cm="1">
        <f t="array" ref="L4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3" s="94" t="e">
        <f>AVERAGE(Table11918[[#This Row],[*C*]:[*TD*]])</f>
        <v>#N/A</v>
      </c>
    </row>
    <row r="44" spans="2:13" hidden="1" x14ac:dyDescent="0.35">
      <c r="B44" s="6" t="s">
        <v>456</v>
      </c>
      <c r="C44" s="97" t="s">
        <v>50</v>
      </c>
      <c r="D44" s="97" t="s">
        <v>403</v>
      </c>
      <c r="E44" s="23" t="str" cm="1">
        <f t="array" ref="E44">_xlfn.XLOOKUP(Table11918[[#This Row],[Team]],Table4334[Team],'2425'!$C$3:$C$34)</f>
        <v>n/a</v>
      </c>
      <c r="F44" s="97" t="str">
        <f>'2025'!$E$28</f>
        <v>n/a</v>
      </c>
      <c r="G44" s="94" t="e" cm="1">
        <f t="array" ref="G4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4" s="94" t="e" cm="1">
        <f t="array" ref="H4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4" s="94" t="e" cm="1">
        <f t="array" ref="I4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4" s="96" t="e" cm="1">
        <f t="array" ref="J4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4" s="96" t="e" cm="1">
        <f t="array" ref="K4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4" s="96" t="e" cm="1">
        <f t="array" ref="L4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4" s="94" t="e">
        <f>AVERAGE(Table11918[[#This Row],[*C*]:[*TD*]])</f>
        <v>#N/A</v>
      </c>
    </row>
    <row r="45" spans="2:13" hidden="1" x14ac:dyDescent="0.35">
      <c r="B45" s="6" t="s">
        <v>457</v>
      </c>
      <c r="C45" s="97" t="s">
        <v>50</v>
      </c>
      <c r="D45" s="97" t="s">
        <v>411</v>
      </c>
      <c r="E45" s="23" t="str" cm="1">
        <f t="array" ref="E45">_xlfn.XLOOKUP(Table11918[[#This Row],[Team]],Table4334[Team],'2425'!$C$3:$C$34)</f>
        <v>n/a</v>
      </c>
      <c r="F45" s="97" t="str">
        <f>'2025'!$E$28</f>
        <v>n/a</v>
      </c>
      <c r="G45" s="94" t="e" cm="1">
        <f t="array" ref="G4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5" s="94" t="e" cm="1">
        <f t="array" ref="H4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5" s="94" t="e" cm="1">
        <f t="array" ref="I4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5" s="96" t="e" cm="1">
        <f t="array" ref="J4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5" s="96" t="e" cm="1">
        <f t="array" ref="K4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5" s="96" t="e" cm="1">
        <f t="array" ref="L4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5" s="94" t="e">
        <f>AVERAGE(Table11918[[#This Row],[*C*]:[*TD*]])</f>
        <v>#N/A</v>
      </c>
    </row>
    <row r="46" spans="2:13" hidden="1" x14ac:dyDescent="0.35">
      <c r="B46" s="6" t="s">
        <v>189</v>
      </c>
      <c r="C46" s="97" t="s">
        <v>33</v>
      </c>
      <c r="D46" s="97" t="s">
        <v>67</v>
      </c>
      <c r="E46" s="23" t="str" cm="1">
        <f t="array" ref="E46">_xlfn.XLOOKUP(Table11918[[#This Row],[Team]],Table4334[Team],'2425'!$C$3:$C$34)</f>
        <v>n/a</v>
      </c>
      <c r="F46" s="97" t="str">
        <f>'2025'!$E$11</f>
        <v>n/a</v>
      </c>
      <c r="G46" s="94" t="e" cm="1">
        <f t="array" ref="G4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6" s="94" t="e" cm="1">
        <f t="array" ref="H4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6" s="94" t="e" cm="1">
        <f t="array" ref="I4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6" s="96" t="e" cm="1">
        <f t="array" ref="J4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6" s="96" t="e" cm="1">
        <f t="array" ref="K4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6" s="96" t="e" cm="1">
        <f t="array" ref="L4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6" s="94" t="e">
        <f>AVERAGE(Table11918[[#This Row],[*C*]:[*TD*]])</f>
        <v>#N/A</v>
      </c>
    </row>
    <row r="47" spans="2:13" hidden="1" x14ac:dyDescent="0.35">
      <c r="B47" s="6" t="s">
        <v>318</v>
      </c>
      <c r="C47" s="97" t="s">
        <v>47</v>
      </c>
      <c r="D47" s="97" t="s">
        <v>67</v>
      </c>
      <c r="E47" s="23" t="str" cm="1">
        <f t="array" ref="E47">_xlfn.XLOOKUP(Table11918[[#This Row],[Team]],Table4334[Team],'2425'!$C$3:$C$34)</f>
        <v>n/a</v>
      </c>
      <c r="F47" s="97" t="str">
        <f>'2025'!$E$25</f>
        <v>n/a</v>
      </c>
      <c r="G47" s="94" t="e" cm="1">
        <f t="array" ref="G4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7" s="94" t="e" cm="1">
        <f t="array" ref="H4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7" s="94" t="e" cm="1">
        <f t="array" ref="I4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7" s="96" t="e" cm="1">
        <f t="array" ref="J4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7" s="96" t="e" cm="1">
        <f t="array" ref="K4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7" s="96" t="e" cm="1">
        <f t="array" ref="L4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7" s="94" t="e">
        <f>AVERAGE(Table11918[[#This Row],[*C*]:[*TD*]])</f>
        <v>#N/A</v>
      </c>
    </row>
    <row r="48" spans="2:13" hidden="1" x14ac:dyDescent="0.35">
      <c r="B48" s="6" t="s">
        <v>500</v>
      </c>
      <c r="C48" s="97" t="s">
        <v>30</v>
      </c>
      <c r="D48" s="97" t="s">
        <v>403</v>
      </c>
      <c r="E48" s="23" t="str" cm="1">
        <f t="array" ref="E48">_xlfn.XLOOKUP(Table11918[[#This Row],[Team]],Table4334[Team],'2425'!$C$3:$C$34)</f>
        <v>n/a</v>
      </c>
      <c r="F48" s="97" t="str">
        <f>'2025'!$E$8</f>
        <v>n/a</v>
      </c>
      <c r="G48" s="94" t="e" cm="1">
        <f t="array" ref="G4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8" s="94" t="e" cm="1">
        <f t="array" ref="H4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8" s="94" t="e" cm="1">
        <f t="array" ref="I4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8" s="96" t="e" cm="1">
        <f t="array" ref="J4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8" s="96" t="e" cm="1">
        <f t="array" ref="K4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8" s="96" t="e" cm="1">
        <f t="array" ref="L4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8" s="94" t="e">
        <f>AVERAGE(Table11918[[#This Row],[*C*]:[*TD*]])</f>
        <v>#N/A</v>
      </c>
    </row>
    <row r="49" spans="2:13" hidden="1" x14ac:dyDescent="0.35">
      <c r="B49" s="6" t="s">
        <v>501</v>
      </c>
      <c r="C49" s="97" t="s">
        <v>30</v>
      </c>
      <c r="D49" s="97" t="s">
        <v>411</v>
      </c>
      <c r="E49" s="23" t="str" cm="1">
        <f t="array" ref="E49">_xlfn.XLOOKUP(Table11918[[#This Row],[Team]],Table4334[Team],'2425'!$C$3:$C$34)</f>
        <v>n/a</v>
      </c>
      <c r="F49" s="97" t="str">
        <f>'2025'!$E$8</f>
        <v>n/a</v>
      </c>
      <c r="G49" s="94" t="e" cm="1">
        <f t="array" ref="G4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49" s="94" t="e" cm="1">
        <f t="array" ref="H4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49" s="94" t="e" cm="1">
        <f t="array" ref="I4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49" s="96" t="e" cm="1">
        <f t="array" ref="J4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49" s="96" t="e" cm="1">
        <f t="array" ref="K4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49" s="96" t="e" cm="1">
        <f t="array" ref="L4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49" s="94" t="e">
        <f>AVERAGE(Table11918[[#This Row],[*C*]:[*TD*]])</f>
        <v>#N/A</v>
      </c>
    </row>
    <row r="50" spans="2:13" hidden="1" x14ac:dyDescent="0.35">
      <c r="B50" s="6" t="s">
        <v>133</v>
      </c>
      <c r="C50" s="97" t="s">
        <v>15</v>
      </c>
      <c r="D50" s="97" t="s">
        <v>67</v>
      </c>
      <c r="E50" s="23" t="str" cm="1">
        <f t="array" ref="E50">_xlfn.XLOOKUP(Table11918[[#This Row],[Team]],Table4334[Team],'2425'!$C$3:$C$34)</f>
        <v>n/a</v>
      </c>
      <c r="F50" s="97" t="str">
        <f>'2025'!$E$4</f>
        <v>n/a</v>
      </c>
      <c r="G50" s="94" t="e" cm="1">
        <f t="array" ref="G5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0" s="94" t="e" cm="1">
        <f t="array" ref="H5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0" s="94" t="e" cm="1">
        <f t="array" ref="I5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0" s="96" t="e" cm="1">
        <f t="array" ref="J5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0" s="96" t="e" cm="1">
        <f t="array" ref="K5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0" s="96" t="e" cm="1">
        <f t="array" ref="L5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0" s="94" t="e">
        <f>AVERAGE(Table11918[[#This Row],[*C*]:[*TD*]])</f>
        <v>#N/A</v>
      </c>
    </row>
    <row r="51" spans="2:13" x14ac:dyDescent="0.35">
      <c r="B51" s="6" t="s">
        <v>198</v>
      </c>
      <c r="C51" s="97" t="s">
        <v>34</v>
      </c>
      <c r="D51" s="97" t="s">
        <v>67</v>
      </c>
      <c r="E51" s="23" t="str" cm="1">
        <f t="array" ref="E51">_xlfn.XLOOKUP(Table11918[[#This Row],[Team]],Table4334[Team],'2425'!$C$3:$C$34)</f>
        <v>n/a</v>
      </c>
      <c r="F51" s="97" t="str">
        <f>'2025'!$E$12</f>
        <v>n/a</v>
      </c>
      <c r="G51" s="94" t="e" cm="1">
        <f t="array" ref="G5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1" s="94" t="e" cm="1">
        <f t="array" ref="H5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1" s="94" t="e" cm="1">
        <f t="array" ref="I5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1" s="96" t="e" cm="1">
        <f t="array" ref="J5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1" s="96" t="e" cm="1">
        <f t="array" ref="K5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1" s="96" t="e" cm="1">
        <f t="array" ref="L5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1" s="94" t="e">
        <f>AVERAGE(Table11918[[#This Row],[*C*]:[*TD*]])</f>
        <v>#N/A</v>
      </c>
    </row>
    <row r="52" spans="2:13" hidden="1" x14ac:dyDescent="0.35">
      <c r="B52" s="6" t="s">
        <v>382</v>
      </c>
      <c r="C52" s="97" t="s">
        <v>55</v>
      </c>
      <c r="D52" s="97" t="s">
        <v>67</v>
      </c>
      <c r="E52" s="23" t="str" cm="1">
        <f t="array" ref="E52">_xlfn.XLOOKUP(Table11918[[#This Row],[Team]],Table4334[Team],'2425'!$C$3:$C$34)</f>
        <v>n/a</v>
      </c>
      <c r="F52" s="97" t="str">
        <f>'2025'!$E$33</f>
        <v>n/a</v>
      </c>
      <c r="G52" s="94" t="e" cm="1">
        <f t="array" ref="G5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2" s="94" t="e" cm="1">
        <f t="array" ref="H5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2" s="94" t="e" cm="1">
        <f t="array" ref="I5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2" s="96" t="e" cm="1">
        <f t="array" ref="J5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2" s="96" t="e" cm="1">
        <f t="array" ref="K5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2" s="96" t="e" cm="1">
        <f t="array" ref="L5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2" s="94" t="e">
        <f>AVERAGE(Table11918[[#This Row],[*C*]:[*TD*]])</f>
        <v>#N/A</v>
      </c>
    </row>
    <row r="53" spans="2:13" hidden="1" x14ac:dyDescent="0.35">
      <c r="B53" s="6" t="s">
        <v>341</v>
      </c>
      <c r="C53" s="97" t="s">
        <v>50</v>
      </c>
      <c r="D53" s="97" t="s">
        <v>67</v>
      </c>
      <c r="E53" s="23" t="str" cm="1">
        <f t="array" ref="E53">_xlfn.XLOOKUP(Table11918[[#This Row],[Team]],Table4334[Team],'2425'!$C$3:$C$34)</f>
        <v>n/a</v>
      </c>
      <c r="F53" s="97" t="str">
        <f>'2025'!$E$28</f>
        <v>n/a</v>
      </c>
      <c r="G53" s="94" t="e" cm="1">
        <f t="array" ref="G5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3" s="94" t="e" cm="1">
        <f t="array" ref="H5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3" s="94" t="e" cm="1">
        <f t="array" ref="I5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3" s="96" t="e" cm="1">
        <f t="array" ref="J5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3" s="96" t="e" cm="1">
        <f t="array" ref="K5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3" s="96" t="e" cm="1">
        <f t="array" ref="L5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3" s="94" t="e">
        <f>AVERAGE(Table11918[[#This Row],[*C*]:[*TD*]])</f>
        <v>#N/A</v>
      </c>
    </row>
    <row r="54" spans="2:13" hidden="1" x14ac:dyDescent="0.35">
      <c r="B54" s="6" t="s">
        <v>329</v>
      </c>
      <c r="C54" s="97" t="s">
        <v>48</v>
      </c>
      <c r="D54" s="97" t="s">
        <v>67</v>
      </c>
      <c r="E54" s="23" t="str" cm="1">
        <f t="array" ref="E54">_xlfn.XLOOKUP(Table11918[[#This Row],[Team]],Table4334[Team],'2425'!$C$3:$C$34)</f>
        <v>n/a</v>
      </c>
      <c r="F54" s="97" t="str">
        <f>'2025'!$E$26</f>
        <v>n/a</v>
      </c>
      <c r="G54" s="94" t="e" cm="1">
        <f t="array" ref="G5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4" s="94" t="e" cm="1">
        <f t="array" ref="H5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4" s="94" t="e" cm="1">
        <f t="array" ref="I5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4" s="96" t="e" cm="1">
        <f t="array" ref="J5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4" s="96" t="e" cm="1">
        <f t="array" ref="K5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4" s="96" t="e" cm="1">
        <f t="array" ref="L5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4" s="94" t="e">
        <f>AVERAGE(Table11918[[#This Row],[*C*]:[*TD*]])</f>
        <v>#N/A</v>
      </c>
    </row>
    <row r="55" spans="2:13" hidden="1" x14ac:dyDescent="0.35">
      <c r="B55" s="6" t="s">
        <v>556</v>
      </c>
      <c r="C55" s="97" t="s">
        <v>0</v>
      </c>
      <c r="D55" s="97" t="s">
        <v>403</v>
      </c>
      <c r="E55" s="23" t="str" cm="1">
        <f t="array" ref="E55">_xlfn.XLOOKUP(Table11918[[#This Row],[Team]],Table4334[Team],'2425'!$C$3:$C$34)</f>
        <v>n/a</v>
      </c>
      <c r="F55" s="97" t="str">
        <f>'2025'!$E$3</f>
        <v>n/a</v>
      </c>
      <c r="G55" s="94" t="e" cm="1">
        <f t="array" ref="G5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5" s="94" t="e" cm="1">
        <f t="array" ref="H5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5" s="94" t="e" cm="1">
        <f t="array" ref="I5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5" s="96" t="e" cm="1">
        <f t="array" ref="J5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5" s="96" t="e" cm="1">
        <f t="array" ref="K5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5" s="96" t="e" cm="1">
        <f t="array" ref="L5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5" s="94" t="e">
        <f>AVERAGE(Table11918[[#This Row],[*C*]:[*TD*]])</f>
        <v>#N/A</v>
      </c>
    </row>
    <row r="56" spans="2:13" hidden="1" x14ac:dyDescent="0.35">
      <c r="B56" s="6" t="s">
        <v>557</v>
      </c>
      <c r="C56" s="97" t="s">
        <v>0</v>
      </c>
      <c r="D56" s="97" t="s">
        <v>411</v>
      </c>
      <c r="E56" s="23" t="str" cm="1">
        <f t="array" ref="E56">_xlfn.XLOOKUP(Table11918[[#This Row],[Team]],Table4334[Team],'2425'!$C$3:$C$34)</f>
        <v>n/a</v>
      </c>
      <c r="F56" s="97" t="str">
        <f>'2025'!$E$3</f>
        <v>n/a</v>
      </c>
      <c r="G56" s="94" t="e" cm="1">
        <f t="array" ref="G5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6" s="94" t="e" cm="1">
        <f t="array" ref="H5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6" s="94" t="e" cm="1">
        <f t="array" ref="I5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6" s="96" t="e" cm="1">
        <f t="array" ref="J5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6" s="96" t="e" cm="1">
        <f t="array" ref="K5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6" s="96" t="e" cm="1">
        <f t="array" ref="L5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6" s="94" t="e">
        <f>AVERAGE(Table11918[[#This Row],[*C*]:[*TD*]])</f>
        <v>#N/A</v>
      </c>
    </row>
    <row r="57" spans="2:13" hidden="1" x14ac:dyDescent="0.35">
      <c r="B57" s="6" t="s">
        <v>300</v>
      </c>
      <c r="C57" s="97" t="s">
        <v>45</v>
      </c>
      <c r="D57" s="97" t="s">
        <v>67</v>
      </c>
      <c r="E57" s="23" t="str" cm="1">
        <f t="array" ref="E57">_xlfn.XLOOKUP(Table11918[[#This Row],[Team]],Table4334[Team],'2425'!$C$3:$C$34)</f>
        <v>n/a</v>
      </c>
      <c r="F57" s="97" t="str">
        <f>'2025'!$E$23</f>
        <v>n/a</v>
      </c>
      <c r="G57" s="94" t="e" cm="1">
        <f t="array" ref="G5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7" s="94" t="e" cm="1">
        <f t="array" ref="H5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7" s="94" t="e" cm="1">
        <f t="array" ref="I5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7" s="96" t="e" cm="1">
        <f t="array" ref="J5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7" s="96" t="e" cm="1">
        <f t="array" ref="K5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7" s="96" t="e" cm="1">
        <f t="array" ref="L5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7" s="94" t="e">
        <f>AVERAGE(Table11918[[#This Row],[*C*]:[*TD*]])</f>
        <v>#N/A</v>
      </c>
    </row>
    <row r="58" spans="2:13" hidden="1" x14ac:dyDescent="0.35">
      <c r="B58" s="6" t="s">
        <v>688</v>
      </c>
      <c r="C58" s="97" t="s">
        <v>32</v>
      </c>
      <c r="D58" s="97" t="s">
        <v>403</v>
      </c>
      <c r="E58" s="23" t="str" cm="1">
        <f t="array" ref="E58">_xlfn.XLOOKUP(Table11918[[#This Row],[Team]],Table4334[Team],'2425'!$C$3:$C$34)</f>
        <v>n/a</v>
      </c>
      <c r="F58" s="97" t="str">
        <f>'2025'!$E$10</f>
        <v>n/a</v>
      </c>
      <c r="G58" s="94" t="e" cm="1">
        <f t="array" ref="G5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8" s="94" t="e" cm="1">
        <f t="array" ref="H5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8" s="94" t="e" cm="1">
        <f t="array" ref="I5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8" s="96" t="e" cm="1">
        <f t="array" ref="J5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8" s="96" t="e" cm="1">
        <f t="array" ref="K5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8" s="96" t="e" cm="1">
        <f t="array" ref="L5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8" s="94" t="e">
        <f>AVERAGE(Table11918[[#This Row],[*C*]:[*TD*]])</f>
        <v>#N/A</v>
      </c>
    </row>
    <row r="59" spans="2:13" hidden="1" x14ac:dyDescent="0.35">
      <c r="B59" s="6" t="s">
        <v>180</v>
      </c>
      <c r="C59" s="97" t="s">
        <v>32</v>
      </c>
      <c r="D59" s="97" t="s">
        <v>411</v>
      </c>
      <c r="E59" s="23" t="str" cm="1">
        <f t="array" ref="E59">_xlfn.XLOOKUP(Table11918[[#This Row],[Team]],Table4334[Team],'2425'!$C$3:$C$34)</f>
        <v>n/a</v>
      </c>
      <c r="F59" s="97" t="str">
        <f>'2025'!$E$10</f>
        <v>n/a</v>
      </c>
      <c r="G59" s="94" t="e" cm="1">
        <f t="array" ref="G5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59" s="94" t="e" cm="1">
        <f t="array" ref="H5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59" s="94" t="e" cm="1">
        <f t="array" ref="I5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59" s="96" t="e" cm="1">
        <f t="array" ref="J5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59" s="96" t="e" cm="1">
        <f t="array" ref="K5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59" s="96" t="e" cm="1">
        <f t="array" ref="L5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59" s="94" t="e">
        <f>AVERAGE(Table11918[[#This Row],[*C*]:[*TD*]])</f>
        <v>#N/A</v>
      </c>
    </row>
    <row r="60" spans="2:13" hidden="1" x14ac:dyDescent="0.35">
      <c r="B60" s="6" t="s">
        <v>484</v>
      </c>
      <c r="C60" s="97" t="s">
        <v>32</v>
      </c>
      <c r="D60" s="97" t="s">
        <v>441</v>
      </c>
      <c r="E60" s="23" t="str" cm="1">
        <f t="array" ref="E60">_xlfn.XLOOKUP(Table11918[[#This Row],[Team]],Table4334[Team],'2425'!$C$3:$C$34)</f>
        <v>n/a</v>
      </c>
      <c r="F60" s="97" t="str">
        <f>'2025'!$E$10</f>
        <v>n/a</v>
      </c>
      <c r="G60" s="94" t="e" cm="1">
        <f t="array" ref="G6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0" s="94" t="e" cm="1">
        <f t="array" ref="H6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0" s="94" t="e" cm="1">
        <f t="array" ref="I6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0" s="96" t="e" cm="1">
        <f t="array" ref="J6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0" s="96" t="e" cm="1">
        <f t="array" ref="K6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0" s="96" t="e" cm="1">
        <f t="array" ref="L6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0" s="94" t="e">
        <f>AVERAGE(Table11918[[#This Row],[*C*]:[*TD*]])</f>
        <v>#N/A</v>
      </c>
    </row>
    <row r="61" spans="2:13" hidden="1" x14ac:dyDescent="0.35">
      <c r="B61" s="6" t="s">
        <v>487</v>
      </c>
      <c r="C61" s="97" t="s">
        <v>32</v>
      </c>
      <c r="D61" s="97" t="s">
        <v>443</v>
      </c>
      <c r="E61" s="23" t="str" cm="1">
        <f t="array" ref="E61">_xlfn.XLOOKUP(Table11918[[#This Row],[Team]],Table4334[Team],'2425'!$C$3:$C$34)</f>
        <v>n/a</v>
      </c>
      <c r="F61" s="97" t="str">
        <f>'2025'!$E$10</f>
        <v>n/a</v>
      </c>
      <c r="G61" s="94" t="e" cm="1">
        <f t="array" ref="G6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1" s="94" t="e" cm="1">
        <f t="array" ref="H6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1" s="94" t="e" cm="1">
        <f t="array" ref="I6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1" s="96" t="e" cm="1">
        <f t="array" ref="J6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1" s="96" t="e" cm="1">
        <f t="array" ref="K6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1" s="96" t="e" cm="1">
        <f t="array" ref="L6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1" s="94" t="e">
        <f>AVERAGE(Table11918[[#This Row],[*C*]:[*TD*]])</f>
        <v>#N/A</v>
      </c>
    </row>
    <row r="62" spans="2:13" hidden="1" x14ac:dyDescent="0.35">
      <c r="B62" s="6" t="s">
        <v>232</v>
      </c>
      <c r="C62" s="97" t="s">
        <v>38</v>
      </c>
      <c r="D62" s="97" t="s">
        <v>67</v>
      </c>
      <c r="E62" s="23" t="str" cm="1">
        <f t="array" ref="E62">_xlfn.XLOOKUP(Table11918[[#This Row],[Team]],Table4334[Team],'2425'!$C$3:$C$34)</f>
        <v>n/a</v>
      </c>
      <c r="F62" s="97" t="str">
        <f>'2025'!$E$16</f>
        <v>n/a</v>
      </c>
      <c r="G62" s="94" t="e" cm="1">
        <f t="array" ref="G6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2" s="94" t="e" cm="1">
        <f t="array" ref="H6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2" s="94" t="e" cm="1">
        <f t="array" ref="I6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2" s="96" t="e" cm="1">
        <f t="array" ref="J6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2" s="96" t="e" cm="1">
        <f t="array" ref="K6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2" s="96" t="e" cm="1">
        <f t="array" ref="L6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2" s="94" t="e">
        <f>AVERAGE(Table11918[[#This Row],[*C*]:[*TD*]])</f>
        <v>#N/A</v>
      </c>
    </row>
    <row r="63" spans="2:13" hidden="1" x14ac:dyDescent="0.35">
      <c r="B63" s="6" t="s">
        <v>264</v>
      </c>
      <c r="C63" s="97" t="s">
        <v>41</v>
      </c>
      <c r="D63" s="97" t="s">
        <v>67</v>
      </c>
      <c r="E63" s="23" t="str" cm="1">
        <f t="array" ref="E63">_xlfn.XLOOKUP(Table11918[[#This Row],[Team]],Table4334[Team],'2425'!$C$3:$C$34)</f>
        <v>n/a</v>
      </c>
      <c r="F63" s="97" t="str">
        <f>'2025'!$E$19</f>
        <v>n/a</v>
      </c>
      <c r="G63" s="94" t="e" cm="1">
        <f t="array" ref="G6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3" s="94" t="e" cm="1">
        <f t="array" ref="H6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3" s="94" t="e" cm="1">
        <f t="array" ref="I6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3" s="96" t="e" cm="1">
        <f t="array" ref="J6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3" s="96" t="e" cm="1">
        <f t="array" ref="K6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3" s="96" t="e" cm="1">
        <f t="array" ref="L6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3" s="94" t="e">
        <f>AVERAGE(Table11918[[#This Row],[*C*]:[*TD*]])</f>
        <v>#N/A</v>
      </c>
    </row>
    <row r="64" spans="2:13" hidden="1" x14ac:dyDescent="0.35">
      <c r="B64" s="6" t="s">
        <v>590</v>
      </c>
      <c r="C64" s="97" t="s">
        <v>55</v>
      </c>
      <c r="D64" s="97" t="s">
        <v>403</v>
      </c>
      <c r="E64" s="23" t="str" cm="1">
        <f t="array" ref="E64">_xlfn.XLOOKUP(Table11918[[#This Row],[Team]],Table4334[Team],'2425'!$C$3:$C$34)</f>
        <v>n/a</v>
      </c>
      <c r="F64" s="97" t="str">
        <f>'2025'!$E$33</f>
        <v>n/a</v>
      </c>
      <c r="G64" s="94" t="e" cm="1">
        <f t="array" ref="G6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4" s="94" t="e" cm="1">
        <f t="array" ref="H6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4" s="94" t="e" cm="1">
        <f t="array" ref="I6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4" s="96" t="e" cm="1">
        <f t="array" ref="J6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4" s="96" t="e" cm="1">
        <f t="array" ref="K6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4" s="96" t="e" cm="1">
        <f t="array" ref="L6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4" s="94" t="e">
        <f>AVERAGE(Table11918[[#This Row],[*C*]:[*TD*]])</f>
        <v>#N/A</v>
      </c>
    </row>
    <row r="65" spans="2:13" hidden="1" x14ac:dyDescent="0.35">
      <c r="B65" s="6" t="s">
        <v>592</v>
      </c>
      <c r="C65" s="97" t="s">
        <v>55</v>
      </c>
      <c r="D65" s="97" t="s">
        <v>411</v>
      </c>
      <c r="E65" s="23" t="str" cm="1">
        <f t="array" ref="E65">_xlfn.XLOOKUP(Table11918[[#This Row],[Team]],Table4334[Team],'2425'!$C$3:$C$34)</f>
        <v>n/a</v>
      </c>
      <c r="F65" s="97" t="str">
        <f>'2025'!$E$33</f>
        <v>n/a</v>
      </c>
      <c r="G65" s="94" t="e" cm="1">
        <f t="array" ref="G6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5" s="94" t="e" cm="1">
        <f t="array" ref="H6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5" s="94" t="e" cm="1">
        <f t="array" ref="I6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5" s="96" t="e" cm="1">
        <f t="array" ref="J6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5" s="96" t="e" cm="1">
        <f t="array" ref="K6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5" s="96" t="e" cm="1">
        <f t="array" ref="L6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5" s="94" t="e">
        <f>AVERAGE(Table11918[[#This Row],[*C*]:[*TD*]])</f>
        <v>#N/A</v>
      </c>
    </row>
    <row r="66" spans="2:13" hidden="1" x14ac:dyDescent="0.35">
      <c r="B66" s="6" t="s">
        <v>593</v>
      </c>
      <c r="C66" s="97" t="s">
        <v>55</v>
      </c>
      <c r="D66" s="97" t="s">
        <v>441</v>
      </c>
      <c r="E66" s="23" t="str" cm="1">
        <f t="array" ref="E66">_xlfn.XLOOKUP(Table11918[[#This Row],[Team]],Table4334[Team],'2425'!$C$3:$C$34)</f>
        <v>n/a</v>
      </c>
      <c r="F66" s="97" t="str">
        <f>'2025'!$E$33</f>
        <v>n/a</v>
      </c>
      <c r="G66" s="94" t="e" cm="1">
        <f t="array" ref="G6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6" s="94" t="e" cm="1">
        <f t="array" ref="H6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6" s="94" t="e" cm="1">
        <f t="array" ref="I6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6" s="96" t="e" cm="1">
        <f t="array" ref="J6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6" s="96" t="e" cm="1">
        <f t="array" ref="K6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6" s="96" t="e" cm="1">
        <f t="array" ref="L6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6" s="94" t="e">
        <f>AVERAGE(Table11918[[#This Row],[*C*]:[*TD*]])</f>
        <v>#N/A</v>
      </c>
    </row>
    <row r="67" spans="2:13" hidden="1" x14ac:dyDescent="0.35">
      <c r="B67" s="6" t="s">
        <v>166</v>
      </c>
      <c r="C67" s="97" t="s">
        <v>31</v>
      </c>
      <c r="D67" s="97" t="s">
        <v>67</v>
      </c>
      <c r="E67" s="23" t="str" cm="1">
        <f t="array" ref="E67">_xlfn.XLOOKUP(Table11918[[#This Row],[Team]],Table4334[Team],'2425'!$C$3:$C$34)</f>
        <v>n/a</v>
      </c>
      <c r="F67" s="97" t="str">
        <f>'2025'!$E$9</f>
        <v>n/a</v>
      </c>
      <c r="G67" s="94" t="e" cm="1">
        <f t="array" ref="G6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7" s="94" t="e" cm="1">
        <f t="array" ref="H6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7" s="94" t="e" cm="1">
        <f t="array" ref="I6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7" s="96" t="e" cm="1">
        <f t="array" ref="J6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7" s="96" t="e" cm="1">
        <f t="array" ref="K6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7" s="96" t="e" cm="1">
        <f t="array" ref="L6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7" s="94" t="e">
        <f>AVERAGE(Table11918[[#This Row],[*C*]:[*TD*]])</f>
        <v>#N/A</v>
      </c>
    </row>
    <row r="68" spans="2:13" hidden="1" x14ac:dyDescent="0.35">
      <c r="B68" s="6" t="s">
        <v>654</v>
      </c>
      <c r="C68" s="97" t="s">
        <v>32</v>
      </c>
      <c r="D68" s="97" t="s">
        <v>67</v>
      </c>
      <c r="E68" s="23" t="str" cm="1">
        <f t="array" ref="E68">_xlfn.XLOOKUP(Table11918[[#This Row],[Team]],Table4334[Team],'2425'!$C$3:$C$34)</f>
        <v>n/a</v>
      </c>
      <c r="F68" s="97" t="str">
        <f>'2025'!$E$10</f>
        <v>n/a</v>
      </c>
      <c r="G68" s="94" t="e" cm="1">
        <f t="array" ref="G6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8" s="94" t="e" cm="1">
        <f t="array" ref="H6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8" s="94" t="e" cm="1">
        <f t="array" ref="I6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8" s="96" t="e" cm="1">
        <f t="array" ref="J6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8" s="96" t="e" cm="1">
        <f t="array" ref="K6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8" s="96" t="e" cm="1">
        <f t="array" ref="L6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8" s="94" t="e">
        <f>AVERAGE(Table11918[[#This Row],[*C*]:[*TD*]])</f>
        <v>#N/A</v>
      </c>
    </row>
    <row r="69" spans="2:13" hidden="1" x14ac:dyDescent="0.35">
      <c r="B69" s="6" t="s">
        <v>349</v>
      </c>
      <c r="C69" s="97" t="s">
        <v>51</v>
      </c>
      <c r="D69" s="97" t="s">
        <v>67</v>
      </c>
      <c r="E69" s="23" t="str" cm="1">
        <f t="array" ref="E69">_xlfn.XLOOKUP(Table11918[[#This Row],[Team]],Table4334[Team],'2425'!$C$3:$C$34)</f>
        <v>n/a</v>
      </c>
      <c r="F69" s="97" t="str">
        <f>'2025'!$E$29</f>
        <v>n/a</v>
      </c>
      <c r="G69" s="94" t="e" cm="1">
        <f t="array" ref="G6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69" s="94" t="e" cm="1">
        <f t="array" ref="H6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69" s="94" t="e" cm="1">
        <f t="array" ref="I6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69" s="96" t="e" cm="1">
        <f t="array" ref="J6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69" s="96" t="e" cm="1">
        <f t="array" ref="K6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69" s="96" t="e" cm="1">
        <f t="array" ref="L6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69" s="94" t="e">
        <f>AVERAGE(Table11918[[#This Row],[*C*]:[*TD*]])</f>
        <v>#N/A</v>
      </c>
    </row>
    <row r="70" spans="2:13" hidden="1" x14ac:dyDescent="0.35">
      <c r="B70" s="6" t="s">
        <v>699</v>
      </c>
      <c r="C70" s="97" t="s">
        <v>48</v>
      </c>
      <c r="D70" s="97" t="s">
        <v>68</v>
      </c>
      <c r="E70" s="23" t="str" cm="1">
        <f t="array" ref="E70">_xlfn.XLOOKUP(Table11918[[#This Row],[Team]],Table4334[Team],'2425'!$C$3:$C$34)</f>
        <v>n/a</v>
      </c>
      <c r="F70" s="97" t="str">
        <f>'2025'!$E$26</f>
        <v>n/a</v>
      </c>
      <c r="G70" s="94" t="e" cm="1">
        <f t="array" ref="G7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0" s="94" t="e" cm="1">
        <f t="array" ref="H7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0" s="94" t="e" cm="1">
        <f t="array" ref="I7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0" s="96" t="e" cm="1">
        <f t="array" ref="J7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0" s="96" t="e" cm="1">
        <f t="array" ref="K7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0" s="96" t="e" cm="1">
        <f t="array" ref="L7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0" s="94" t="e">
        <f>AVERAGE(Table11918[[#This Row],[*C*]:[*TD*]])</f>
        <v>#N/A</v>
      </c>
    </row>
    <row r="71" spans="2:13" hidden="1" x14ac:dyDescent="0.35">
      <c r="B71" s="6" t="s">
        <v>482</v>
      </c>
      <c r="C71" s="97" t="s">
        <v>32</v>
      </c>
      <c r="D71" s="97" t="s">
        <v>68</v>
      </c>
      <c r="E71" s="23" t="str" cm="1">
        <f t="array" ref="E71">_xlfn.XLOOKUP(Table11918[[#This Row],[Team]],Table4334[Team],'2425'!$C$3:$C$34)</f>
        <v>n/a</v>
      </c>
      <c r="F71" s="97" t="str">
        <f>'2025'!$E$10</f>
        <v>n/a</v>
      </c>
      <c r="G71" s="94" t="e" cm="1">
        <f t="array" ref="G7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1" s="94" t="e" cm="1">
        <f t="array" ref="H7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1" s="94" t="e" cm="1">
        <f t="array" ref="I7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1" s="96" t="e" cm="1">
        <f t="array" ref="J7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1" s="96" t="e" cm="1">
        <f t="array" ref="K7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1" s="96" t="e" cm="1">
        <f t="array" ref="L7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1" s="94" t="e">
        <f>AVERAGE(Table11918[[#This Row],[*C*]:[*TD*]])</f>
        <v>#N/A</v>
      </c>
    </row>
    <row r="72" spans="2:13" hidden="1" x14ac:dyDescent="0.35">
      <c r="B72" s="6" t="s">
        <v>634</v>
      </c>
      <c r="C72" s="97" t="s">
        <v>37</v>
      </c>
      <c r="D72" s="97" t="s">
        <v>403</v>
      </c>
      <c r="E72" s="23" t="str" cm="1">
        <f t="array" ref="E72">_xlfn.XLOOKUP(Table11918[[#This Row],[Team]],Table4334[Team],'2425'!$C$3:$C$34)</f>
        <v>n/a</v>
      </c>
      <c r="F72" s="97" t="str">
        <f>'2025'!$E$15</f>
        <v>n/a</v>
      </c>
      <c r="G72" s="94" t="e" cm="1">
        <f t="array" ref="G7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2" s="94" t="e" cm="1">
        <f t="array" ref="H7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2" s="94" t="e" cm="1">
        <f t="array" ref="I7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2" s="96" t="e" cm="1">
        <f t="array" ref="J7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2" s="96" t="e" cm="1">
        <f t="array" ref="K7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2" s="96" t="e" cm="1">
        <f t="array" ref="L7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2" s="94" t="e">
        <f>AVERAGE(Table11918[[#This Row],[*C*]:[*TD*]])</f>
        <v>#N/A</v>
      </c>
    </row>
    <row r="73" spans="2:13" hidden="1" x14ac:dyDescent="0.35">
      <c r="B73" s="6" t="s">
        <v>633</v>
      </c>
      <c r="C73" s="97" t="s">
        <v>37</v>
      </c>
      <c r="D73" s="97" t="s">
        <v>411</v>
      </c>
      <c r="E73" s="23" t="str" cm="1">
        <f t="array" ref="E73">_xlfn.XLOOKUP(Table11918[[#This Row],[Team]],Table4334[Team],'2425'!$C$3:$C$34)</f>
        <v>n/a</v>
      </c>
      <c r="F73" s="97" t="str">
        <f>'2025'!$E$15</f>
        <v>n/a</v>
      </c>
      <c r="G73" s="94" t="e" cm="1">
        <f t="array" ref="G7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3" s="94" t="e" cm="1">
        <f t="array" ref="H7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3" s="94" t="e" cm="1">
        <f t="array" ref="I7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3" s="96" t="e" cm="1">
        <f t="array" ref="J7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3" s="96" t="e" cm="1">
        <f t="array" ref="K7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3" s="96" t="e" cm="1">
        <f t="array" ref="L7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3" s="94" t="e">
        <f>AVERAGE(Table11918[[#This Row],[*C*]:[*TD*]])</f>
        <v>#N/A</v>
      </c>
    </row>
    <row r="74" spans="2:13" hidden="1" x14ac:dyDescent="0.35">
      <c r="B74" s="6" t="s">
        <v>222</v>
      </c>
      <c r="C74" s="97" t="s">
        <v>37</v>
      </c>
      <c r="D74" s="97" t="s">
        <v>441</v>
      </c>
      <c r="E74" s="23" t="str" cm="1">
        <f t="array" ref="E74">_xlfn.XLOOKUP(Table11918[[#This Row],[Team]],Table4334[Team],'2425'!$C$3:$C$34)</f>
        <v>n/a</v>
      </c>
      <c r="F74" s="97" t="str">
        <f>'2025'!$E$15</f>
        <v>n/a</v>
      </c>
      <c r="G74" s="94" t="e" cm="1">
        <f t="array" ref="G7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4" s="94" t="e" cm="1">
        <f t="array" ref="H7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4" s="94" t="e" cm="1">
        <f t="array" ref="I7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4" s="96" t="e" cm="1">
        <f t="array" ref="J7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4" s="96" t="e" cm="1">
        <f t="array" ref="K7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4" s="96" t="e" cm="1">
        <f t="array" ref="L7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4" s="94" t="e">
        <f>AVERAGE(Table11918[[#This Row],[*C*]:[*TD*]])</f>
        <v>#N/A</v>
      </c>
    </row>
    <row r="75" spans="2:13" hidden="1" x14ac:dyDescent="0.35">
      <c r="B75" s="6" t="s">
        <v>635</v>
      </c>
      <c r="C75" s="97" t="s">
        <v>37</v>
      </c>
      <c r="D75" s="97" t="s">
        <v>443</v>
      </c>
      <c r="E75" s="23" t="str" cm="1">
        <f t="array" ref="E75">_xlfn.XLOOKUP(Table11918[[#This Row],[Team]],Table4334[Team],'2425'!$C$3:$C$34)</f>
        <v>n/a</v>
      </c>
      <c r="F75" s="97" t="str">
        <f>'2025'!$E$15</f>
        <v>n/a</v>
      </c>
      <c r="G75" s="94" t="e" cm="1">
        <f t="array" ref="G7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5" s="94" t="e" cm="1">
        <f t="array" ref="H7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5" s="94" t="e" cm="1">
        <f t="array" ref="I7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5" s="96" t="e" cm="1">
        <f t="array" ref="J7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5" s="96" t="e" cm="1">
        <f t="array" ref="K7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5" s="96" t="e" cm="1">
        <f t="array" ref="L7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5" s="94" t="e">
        <f>AVERAGE(Table11918[[#This Row],[*C*]:[*TD*]])</f>
        <v>#N/A</v>
      </c>
    </row>
    <row r="76" spans="2:13" hidden="1" x14ac:dyDescent="0.35">
      <c r="B76" s="6" t="s">
        <v>136</v>
      </c>
      <c r="C76" s="97" t="s">
        <v>45</v>
      </c>
      <c r="D76" s="97" t="s">
        <v>68</v>
      </c>
      <c r="E76" s="23" t="str" cm="1">
        <f t="array" ref="E76">_xlfn.XLOOKUP(Table11918[[#This Row],[Team]],Table4334[Team],'2425'!$C$3:$C$34)</f>
        <v>n/a</v>
      </c>
      <c r="F76" s="97" t="str">
        <f>'2025'!$E$23</f>
        <v>n/a</v>
      </c>
      <c r="G76" s="94" t="e" cm="1">
        <f t="array" ref="G7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6" s="94" t="e" cm="1">
        <f t="array" ref="H7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6" s="94" t="e" cm="1">
        <f t="array" ref="I7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6" s="96" t="e" cm="1">
        <f t="array" ref="J7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6" s="96" t="e" cm="1">
        <f t="array" ref="K7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6" s="96" t="e" cm="1">
        <f t="array" ref="L7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6" s="94" t="e">
        <f>AVERAGE(Table11918[[#This Row],[*C*]:[*TD*]])</f>
        <v>#N/A</v>
      </c>
    </row>
    <row r="77" spans="2:13" hidden="1" x14ac:dyDescent="0.35">
      <c r="B77" s="6" t="s">
        <v>599</v>
      </c>
      <c r="C77" s="97" t="s">
        <v>15</v>
      </c>
      <c r="D77" s="97" t="s">
        <v>68</v>
      </c>
      <c r="E77" s="23" t="str" cm="1">
        <f t="array" ref="E77">_xlfn.XLOOKUP(Table11918[[#This Row],[Team]],Table4334[Team],'2425'!$C$3:$C$34)</f>
        <v>n/a</v>
      </c>
      <c r="F77" s="97" t="str">
        <f>'2025'!$E$4</f>
        <v>n/a</v>
      </c>
      <c r="G77" s="94" t="e" cm="1">
        <f t="array" ref="G7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7" s="94" t="e" cm="1">
        <f t="array" ref="H7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7" s="94" t="e" cm="1">
        <f t="array" ref="I7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7" s="96" t="e" cm="1">
        <f t="array" ref="J7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7" s="96" t="e" cm="1">
        <f t="array" ref="K7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7" s="96" t="e" cm="1">
        <f t="array" ref="L7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7" s="94" t="e">
        <f>AVERAGE(Table11918[[#This Row],[*C*]:[*TD*]])</f>
        <v>#N/A</v>
      </c>
    </row>
    <row r="78" spans="2:13" hidden="1" x14ac:dyDescent="0.35">
      <c r="B78" s="6" t="s">
        <v>241</v>
      </c>
      <c r="C78" s="97" t="s">
        <v>39</v>
      </c>
      <c r="D78" s="97" t="s">
        <v>67</v>
      </c>
      <c r="E78" s="23" t="str" cm="1">
        <f t="array" ref="E78">_xlfn.XLOOKUP(Table11918[[#This Row],[Team]],Table4334[Team],'2425'!$C$3:$C$34)</f>
        <v>n/a</v>
      </c>
      <c r="F78" s="97" t="str">
        <f>'2025'!$E$17</f>
        <v>n/a</v>
      </c>
      <c r="G78" s="94" t="e" cm="1">
        <f t="array" ref="G7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8" s="94" t="e" cm="1">
        <f t="array" ref="H7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8" s="94" t="e" cm="1">
        <f t="array" ref="I7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8" s="96" t="e" cm="1">
        <f t="array" ref="J7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8" s="96" t="e" cm="1">
        <f t="array" ref="K7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8" s="96" t="e" cm="1">
        <f t="array" ref="L7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8" s="94" t="e">
        <f>AVERAGE(Table11918[[#This Row],[*C*]:[*TD*]])</f>
        <v>#N/A</v>
      </c>
    </row>
    <row r="79" spans="2:13" hidden="1" x14ac:dyDescent="0.35">
      <c r="B79" s="6" t="s">
        <v>611</v>
      </c>
      <c r="C79" s="97" t="s">
        <v>29</v>
      </c>
      <c r="D79" s="97" t="s">
        <v>403</v>
      </c>
      <c r="E79" s="23" t="str" cm="1">
        <f t="array" ref="E79">_xlfn.XLOOKUP(Table11918[[#This Row],[Team]],Table4334[Team],'2425'!$C$3:$C$34)</f>
        <v>n/a</v>
      </c>
      <c r="F79" s="97" t="str">
        <f>'2025'!$E$7</f>
        <v>n/a</v>
      </c>
      <c r="G79" s="94" t="e" cm="1">
        <f t="array" ref="G7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79" s="94" t="e" cm="1">
        <f t="array" ref="H7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79" s="94" t="e" cm="1">
        <f t="array" ref="I7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79" s="96" t="e" cm="1">
        <f t="array" ref="J7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79" s="96" t="e" cm="1">
        <f t="array" ref="K7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79" s="96" t="e" cm="1">
        <f t="array" ref="L7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79" s="94" t="e">
        <f>AVERAGE(Table11918[[#This Row],[*C*]:[*TD*]])</f>
        <v>#N/A</v>
      </c>
    </row>
    <row r="80" spans="2:13" hidden="1" x14ac:dyDescent="0.35">
      <c r="B80" s="6" t="s">
        <v>612</v>
      </c>
      <c r="C80" s="97" t="s">
        <v>29</v>
      </c>
      <c r="D80" s="97" t="s">
        <v>411</v>
      </c>
      <c r="E80" s="23" t="str" cm="1">
        <f t="array" ref="E80">_xlfn.XLOOKUP(Table11918[[#This Row],[Team]],Table4334[Team],'2425'!$C$3:$C$34)</f>
        <v>n/a</v>
      </c>
      <c r="F80" s="97" t="str">
        <f>'2025'!$E$7</f>
        <v>n/a</v>
      </c>
      <c r="G80" s="94" t="e" cm="1">
        <f t="array" ref="G8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0" s="94" t="e" cm="1">
        <f t="array" ref="H8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0" s="94" t="e" cm="1">
        <f t="array" ref="I8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0" s="96" t="e" cm="1">
        <f t="array" ref="J8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0" s="96" t="e" cm="1">
        <f t="array" ref="K8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0" s="96" t="e" cm="1">
        <f t="array" ref="L8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0" s="94" t="e">
        <f>AVERAGE(Table11918[[#This Row],[*C*]:[*TD*]])</f>
        <v>#N/A</v>
      </c>
    </row>
    <row r="81" spans="2:13" hidden="1" x14ac:dyDescent="0.35">
      <c r="B81" s="6" t="s">
        <v>613</v>
      </c>
      <c r="C81" s="97" t="s">
        <v>29</v>
      </c>
      <c r="D81" s="97" t="s">
        <v>441</v>
      </c>
      <c r="E81" s="23" t="str" cm="1">
        <f t="array" ref="E81">_xlfn.XLOOKUP(Table11918[[#This Row],[Team]],Table4334[Team],'2425'!$C$3:$C$34)</f>
        <v>n/a</v>
      </c>
      <c r="F81" s="97" t="str">
        <f>'2025'!$E$7</f>
        <v>n/a</v>
      </c>
      <c r="G81" s="94" t="e" cm="1">
        <f t="array" ref="G8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1" s="94" t="e" cm="1">
        <f t="array" ref="H8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1" s="94" t="e" cm="1">
        <f t="array" ref="I8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1" s="96" t="e" cm="1">
        <f t="array" ref="J8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1" s="96" t="e" cm="1">
        <f t="array" ref="K8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1" s="96" t="e" cm="1">
        <f t="array" ref="L8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1" s="94" t="e">
        <f>AVERAGE(Table11918[[#This Row],[*C*]:[*TD*]])</f>
        <v>#N/A</v>
      </c>
    </row>
    <row r="82" spans="2:13" hidden="1" x14ac:dyDescent="0.35">
      <c r="B82" s="6" t="s">
        <v>149</v>
      </c>
      <c r="C82" s="97" t="s">
        <v>29</v>
      </c>
      <c r="D82" s="97" t="s">
        <v>443</v>
      </c>
      <c r="E82" s="23" t="str" cm="1">
        <f t="array" ref="E82">_xlfn.XLOOKUP(Table11918[[#This Row],[Team]],Table4334[Team],'2425'!$C$3:$C$34)</f>
        <v>n/a</v>
      </c>
      <c r="F82" s="97" t="str">
        <f>'2025'!$E$7</f>
        <v>n/a</v>
      </c>
      <c r="G82" s="94" t="e" cm="1">
        <f t="array" ref="G8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2" s="94" t="e" cm="1">
        <f t="array" ref="H8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2" s="94" t="e" cm="1">
        <f t="array" ref="I8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2" s="96" t="e" cm="1">
        <f t="array" ref="J8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2" s="96" t="e" cm="1">
        <f t="array" ref="K8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2" s="96" t="e" cm="1">
        <f t="array" ref="L8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2" s="94" t="e">
        <f>AVERAGE(Table11918[[#This Row],[*C*]:[*TD*]])</f>
        <v>#N/A</v>
      </c>
    </row>
    <row r="83" spans="2:13" hidden="1" x14ac:dyDescent="0.35">
      <c r="B83" s="6" t="s">
        <v>213</v>
      </c>
      <c r="C83" s="97" t="s">
        <v>36</v>
      </c>
      <c r="D83" s="97" t="s">
        <v>67</v>
      </c>
      <c r="E83" s="23" t="str" cm="1">
        <f t="array" ref="E83">_xlfn.XLOOKUP(Table11918[[#This Row],[Team]],Table4334[Team],'2425'!$C$3:$C$34)</f>
        <v>n/a</v>
      </c>
      <c r="F83" s="97" t="str">
        <f>'2025'!$E$14</f>
        <v>n/a</v>
      </c>
      <c r="G83" s="94" t="e" cm="1">
        <f t="array" ref="G8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3" s="94" t="e" cm="1">
        <f t="array" ref="H8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3" s="94" t="e" cm="1">
        <f t="array" ref="I8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3" s="96" t="e" cm="1">
        <f t="array" ref="J8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3" s="96" t="e" cm="1">
        <f t="array" ref="K8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3" s="96" t="e" cm="1">
        <f t="array" ref="L8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3" s="94" t="e">
        <f>AVERAGE(Table11918[[#This Row],[*C*]:[*TD*]])</f>
        <v>#N/A</v>
      </c>
    </row>
    <row r="84" spans="2:13" hidden="1" x14ac:dyDescent="0.35">
      <c r="B84" s="6" t="s">
        <v>320</v>
      </c>
      <c r="C84" s="97" t="s">
        <v>47</v>
      </c>
      <c r="D84" s="97" t="s">
        <v>68</v>
      </c>
      <c r="E84" s="23" t="str" cm="1">
        <f t="array" ref="E84">_xlfn.XLOOKUP(Table11918[[#This Row],[Team]],Table4334[Team],'2425'!$C$3:$C$34)</f>
        <v>n/a</v>
      </c>
      <c r="F84" s="97" t="str">
        <f>'2025'!$E$25</f>
        <v>n/a</v>
      </c>
      <c r="G84" s="94" t="e" cm="1">
        <f t="array" ref="G8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4" s="94" t="e" cm="1">
        <f t="array" ref="H8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4" s="94" t="e" cm="1">
        <f t="array" ref="I8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4" s="96" t="e" cm="1">
        <f t="array" ref="J8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4" s="96" t="e" cm="1">
        <f t="array" ref="K8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4" s="96" t="e" cm="1">
        <f t="array" ref="L8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4" s="94" t="e">
        <f>AVERAGE(Table11918[[#This Row],[*C*]:[*TD*]])</f>
        <v>#N/A</v>
      </c>
    </row>
    <row r="85" spans="2:13" hidden="1" x14ac:dyDescent="0.35">
      <c r="B85" s="6" t="s">
        <v>168</v>
      </c>
      <c r="C85" s="97" t="s">
        <v>31</v>
      </c>
      <c r="D85" s="97" t="s">
        <v>68</v>
      </c>
      <c r="E85" s="23" t="str" cm="1">
        <f t="array" ref="E85">_xlfn.XLOOKUP(Table11918[[#This Row],[Team]],Table4334[Team],'2425'!$C$3:$C$34)</f>
        <v>n/a</v>
      </c>
      <c r="F85" s="97" t="str">
        <f>'2025'!$E$9</f>
        <v>n/a</v>
      </c>
      <c r="G85" s="94" t="e" cm="1">
        <f t="array" ref="G8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5" s="94" t="e" cm="1">
        <f t="array" ref="H8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5" s="94" t="e" cm="1">
        <f t="array" ref="I8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5" s="96" t="e" cm="1">
        <f t="array" ref="J8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5" s="96" t="e" cm="1">
        <f t="array" ref="K8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5" s="96" t="e" cm="1">
        <f t="array" ref="L8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5" s="94" t="e">
        <f>AVERAGE(Table11918[[#This Row],[*C*]:[*TD*]])</f>
        <v>#N/A</v>
      </c>
    </row>
    <row r="86" spans="2:13" hidden="1" x14ac:dyDescent="0.35">
      <c r="B86" s="6" t="s">
        <v>618</v>
      </c>
      <c r="C86" s="97" t="s">
        <v>47</v>
      </c>
      <c r="D86" s="97" t="s">
        <v>403</v>
      </c>
      <c r="E86" s="23" t="str" cm="1">
        <f t="array" ref="E86">_xlfn.XLOOKUP(Table11918[[#This Row],[Team]],Table4334[Team],'2425'!$C$3:$C$34)</f>
        <v>n/a</v>
      </c>
      <c r="F86" s="97" t="str">
        <f>'2025'!$E$25</f>
        <v>n/a</v>
      </c>
      <c r="G86" s="94" t="e" cm="1">
        <f t="array" ref="G8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6" s="94" t="e" cm="1">
        <f t="array" ref="H8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6" s="94" t="e" cm="1">
        <f t="array" ref="I8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6" s="96" t="e" cm="1">
        <f t="array" ref="J8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6" s="96" t="e" cm="1">
        <f t="array" ref="K8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6" s="96" t="e" cm="1">
        <f t="array" ref="L8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6" s="94" t="e">
        <f>AVERAGE(Table11918[[#This Row],[*C*]:[*TD*]])</f>
        <v>#N/A</v>
      </c>
    </row>
    <row r="87" spans="2:13" hidden="1" x14ac:dyDescent="0.35">
      <c r="B87" s="6" t="s">
        <v>619</v>
      </c>
      <c r="C87" s="97" t="s">
        <v>47</v>
      </c>
      <c r="D87" s="97" t="s">
        <v>411</v>
      </c>
      <c r="E87" s="23" t="str" cm="1">
        <f t="array" ref="E87">_xlfn.XLOOKUP(Table11918[[#This Row],[Team]],Table4334[Team],'2425'!$C$3:$C$34)</f>
        <v>n/a</v>
      </c>
      <c r="F87" s="97" t="str">
        <f>'2025'!$E$25</f>
        <v>n/a</v>
      </c>
      <c r="G87" s="94" t="e" cm="1">
        <f t="array" ref="G8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7" s="94" t="e" cm="1">
        <f t="array" ref="H8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7" s="94" t="e" cm="1">
        <f t="array" ref="I8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7" s="96" t="e" cm="1">
        <f t="array" ref="J8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7" s="96" t="e" cm="1">
        <f t="array" ref="K8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7" s="96" t="e" cm="1">
        <f t="array" ref="L8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7" s="94" t="e">
        <f>AVERAGE(Table11918[[#This Row],[*C*]:[*TD*]])</f>
        <v>#N/A</v>
      </c>
    </row>
    <row r="88" spans="2:13" hidden="1" x14ac:dyDescent="0.35">
      <c r="B88" s="6" t="s">
        <v>621</v>
      </c>
      <c r="C88" s="97" t="s">
        <v>47</v>
      </c>
      <c r="D88" s="97" t="s">
        <v>441</v>
      </c>
      <c r="E88" s="23" t="str" cm="1">
        <f t="array" ref="E88">_xlfn.XLOOKUP(Table11918[[#This Row],[Team]],Table4334[Team],'2425'!$C$3:$C$34)</f>
        <v>n/a</v>
      </c>
      <c r="F88" s="97" t="str">
        <f>'2025'!$E$25</f>
        <v>n/a</v>
      </c>
      <c r="G88" s="94" t="e" cm="1">
        <f t="array" ref="G8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8" s="94" t="e" cm="1">
        <f t="array" ref="H8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8" s="94" t="e" cm="1">
        <f t="array" ref="I8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8" s="96" t="e" cm="1">
        <f t="array" ref="J8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8" s="96" t="e" cm="1">
        <f t="array" ref="K8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8" s="96" t="e" cm="1">
        <f t="array" ref="L8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8" s="94" t="e">
        <f>AVERAGE(Table11918[[#This Row],[*C*]:[*TD*]])</f>
        <v>#N/A</v>
      </c>
    </row>
    <row r="89" spans="2:13" hidden="1" x14ac:dyDescent="0.35">
      <c r="B89" s="6" t="s">
        <v>190</v>
      </c>
      <c r="C89" s="97" t="s">
        <v>33</v>
      </c>
      <c r="D89" s="97" t="s">
        <v>68</v>
      </c>
      <c r="E89" s="23" t="str" cm="1">
        <f t="array" ref="E89">_xlfn.XLOOKUP(Table11918[[#This Row],[Team]],Table4334[Team],'2425'!$C$3:$C$34)</f>
        <v>n/a</v>
      </c>
      <c r="F89" s="97" t="str">
        <f>'2025'!$E$11</f>
        <v>n/a</v>
      </c>
      <c r="G89" s="94" t="e" cm="1">
        <f t="array" ref="G8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89" s="94" t="e" cm="1">
        <f t="array" ref="H8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89" s="94" t="e" cm="1">
        <f t="array" ref="I8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89" s="96" t="e" cm="1">
        <f t="array" ref="J8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89" s="96" t="e" cm="1">
        <f t="array" ref="K8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89" s="96" t="e" cm="1">
        <f t="array" ref="L8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89" s="94" t="e">
        <f>AVERAGE(Table11918[[#This Row],[*C*]:[*TD*]])</f>
        <v>#N/A</v>
      </c>
    </row>
    <row r="90" spans="2:13" hidden="1" x14ac:dyDescent="0.35">
      <c r="B90" s="6" t="s">
        <v>643</v>
      </c>
      <c r="C90" s="97" t="s">
        <v>38</v>
      </c>
      <c r="D90" s="97" t="s">
        <v>403</v>
      </c>
      <c r="E90" s="23" t="str" cm="1">
        <f t="array" ref="E90">_xlfn.XLOOKUP(Table11918[[#This Row],[Team]],Table4334[Team],'2425'!$C$3:$C$34)</f>
        <v>n/a</v>
      </c>
      <c r="F90" s="97" t="str">
        <f>'2025'!$E$16</f>
        <v>n/a</v>
      </c>
      <c r="G90" s="94" t="e" cm="1">
        <f t="array" ref="G9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0" s="94" t="e" cm="1">
        <f t="array" ref="H9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0" s="94" t="e" cm="1">
        <f t="array" ref="I9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0" s="96" t="e" cm="1">
        <f t="array" ref="J9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0" s="96" t="e" cm="1">
        <f t="array" ref="K9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0" s="96" t="e" cm="1">
        <f t="array" ref="L9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0" s="94" t="e">
        <f>AVERAGE(Table11918[[#This Row],[*C*]:[*TD*]])</f>
        <v>#N/A</v>
      </c>
    </row>
    <row r="91" spans="2:13" hidden="1" x14ac:dyDescent="0.35">
      <c r="B91" s="6" t="s">
        <v>644</v>
      </c>
      <c r="C91" s="97" t="s">
        <v>38</v>
      </c>
      <c r="D91" s="97" t="s">
        <v>411</v>
      </c>
      <c r="E91" s="23" t="str" cm="1">
        <f t="array" ref="E91">_xlfn.XLOOKUP(Table11918[[#This Row],[Team]],Table4334[Team],'2425'!$C$3:$C$34)</f>
        <v>n/a</v>
      </c>
      <c r="F91" s="97" t="str">
        <f>'2025'!$E$16</f>
        <v>n/a</v>
      </c>
      <c r="G91" s="94" t="e" cm="1">
        <f t="array" ref="G9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1" s="94" t="e" cm="1">
        <f t="array" ref="H9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1" s="94" t="e" cm="1">
        <f t="array" ref="I9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1" s="96" t="e" cm="1">
        <f t="array" ref="J9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1" s="96" t="e" cm="1">
        <f t="array" ref="K9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1" s="96" t="e" cm="1">
        <f t="array" ref="L9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1" s="94" t="e">
        <f>AVERAGE(Table11918[[#This Row],[*C*]:[*TD*]])</f>
        <v>#N/A</v>
      </c>
    </row>
    <row r="92" spans="2:13" hidden="1" x14ac:dyDescent="0.35">
      <c r="B92" s="6" t="s">
        <v>645</v>
      </c>
      <c r="C92" s="97" t="s">
        <v>38</v>
      </c>
      <c r="D92" s="97" t="s">
        <v>441</v>
      </c>
      <c r="E92" s="23" t="str" cm="1">
        <f t="array" ref="E92">_xlfn.XLOOKUP(Table11918[[#This Row],[Team]],Table4334[Team],'2425'!$C$3:$C$34)</f>
        <v>n/a</v>
      </c>
      <c r="F92" s="97" t="str">
        <f>'2025'!$E$16</f>
        <v>n/a</v>
      </c>
      <c r="G92" s="94" t="e" cm="1">
        <f t="array" ref="G9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2" s="94" t="e" cm="1">
        <f t="array" ref="H9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2" s="94" t="e" cm="1">
        <f t="array" ref="I9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2" s="96" t="e" cm="1">
        <f t="array" ref="J9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2" s="96" t="e" cm="1">
        <f t="array" ref="K9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2" s="96" t="e" cm="1">
        <f t="array" ref="L9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2" s="94" t="e">
        <f>AVERAGE(Table11918[[#This Row],[*C*]:[*TD*]])</f>
        <v>#N/A</v>
      </c>
    </row>
    <row r="93" spans="2:13" hidden="1" x14ac:dyDescent="0.35">
      <c r="B93" s="6" t="s">
        <v>384</v>
      </c>
      <c r="C93" s="97" t="s">
        <v>55</v>
      </c>
      <c r="D93" s="97" t="s">
        <v>68</v>
      </c>
      <c r="E93" s="23" t="str" cm="1">
        <f t="array" ref="E93">_xlfn.XLOOKUP(Table11918[[#This Row],[Team]],Table4334[Team],'2425'!$C$3:$C$34)</f>
        <v>n/a</v>
      </c>
      <c r="F93" s="97" t="str">
        <f>'2025'!$E$33</f>
        <v>n/a</v>
      </c>
      <c r="G93" s="94" t="e" cm="1">
        <f t="array" ref="G9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3" s="94" t="e" cm="1">
        <f t="array" ref="H9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3" s="94" t="e" cm="1">
        <f t="array" ref="I9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3" s="96" t="e" cm="1">
        <f t="array" ref="J9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3" s="96" t="e" cm="1">
        <f t="array" ref="K9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3" s="96" t="e" cm="1">
        <f t="array" ref="L9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3" s="94" t="e">
        <f>AVERAGE(Table11918[[#This Row],[*C*]:[*TD*]])</f>
        <v>#N/A</v>
      </c>
    </row>
    <row r="94" spans="2:13" hidden="1" x14ac:dyDescent="0.35">
      <c r="B94" s="6" t="s">
        <v>233</v>
      </c>
      <c r="C94" s="97" t="s">
        <v>38</v>
      </c>
      <c r="D94" s="97" t="s">
        <v>68</v>
      </c>
      <c r="E94" s="23" t="str" cm="1">
        <f t="array" ref="E94">_xlfn.XLOOKUP(Table11918[[#This Row],[Team]],Table4334[Team],'2425'!$C$3:$C$34)</f>
        <v>n/a</v>
      </c>
      <c r="F94" s="97" t="str">
        <f>'2025'!$E$16</f>
        <v>n/a</v>
      </c>
      <c r="G94" s="94" t="e" cm="1">
        <f t="array" ref="G9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4" s="94" t="e" cm="1">
        <f t="array" ref="H9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4" s="94" t="e" cm="1">
        <f t="array" ref="I9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4" s="96" t="e" cm="1">
        <f t="array" ref="J9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4" s="96" t="e" cm="1">
        <f t="array" ref="K9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4" s="96" t="e" cm="1">
        <f t="array" ref="L9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4" s="94" t="e">
        <f>AVERAGE(Table11918[[#This Row],[*C*]:[*TD*]])</f>
        <v>#N/A</v>
      </c>
    </row>
    <row r="95" spans="2:13" hidden="1" x14ac:dyDescent="0.35">
      <c r="B95" s="6" t="s">
        <v>301</v>
      </c>
      <c r="C95" s="97" t="s">
        <v>45</v>
      </c>
      <c r="D95" s="97" t="s">
        <v>401</v>
      </c>
      <c r="E95" s="23" t="str" cm="1">
        <f t="array" ref="E95">_xlfn.XLOOKUP(Table11918[[#This Row],[Team]],Table4334[Team],'2425'!$C$3:$C$34)</f>
        <v>n/a</v>
      </c>
      <c r="F95" s="97" t="str">
        <f>'2025'!$E$23</f>
        <v>n/a</v>
      </c>
      <c r="G95" s="94" t="e" cm="1">
        <f t="array" ref="G9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5" s="94" t="e" cm="1">
        <f t="array" ref="H9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5" s="94" t="e" cm="1">
        <f t="array" ref="I9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5" s="96" t="e" cm="1">
        <f t="array" ref="J9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5" s="96" t="e" cm="1">
        <f t="array" ref="K9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5" s="96" t="e" cm="1">
        <f t="array" ref="L9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5" s="94" t="e">
        <f>AVERAGE(Table11918[[#This Row],[*C*]:[*TD*]])</f>
        <v>#N/A</v>
      </c>
    </row>
    <row r="96" spans="2:13" hidden="1" x14ac:dyDescent="0.35">
      <c r="B96" s="6" t="s">
        <v>477</v>
      </c>
      <c r="C96" s="97" t="s">
        <v>31</v>
      </c>
      <c r="D96" s="97" t="s">
        <v>401</v>
      </c>
      <c r="E96" s="23" t="str" cm="1">
        <f t="array" ref="E96">_xlfn.XLOOKUP(Table11918[[#This Row],[Team]],Table4334[Team],'2425'!$C$3:$C$34)</f>
        <v>n/a</v>
      </c>
      <c r="F96" s="97" t="str">
        <f>'2025'!$E$9</f>
        <v>n/a</v>
      </c>
      <c r="G96" s="94" t="e" cm="1">
        <f t="array" ref="G9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6" s="94" t="e" cm="1">
        <f t="array" ref="H9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6" s="94" t="e" cm="1">
        <f t="array" ref="I9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6" s="96" t="e" cm="1">
        <f t="array" ref="J9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6" s="96" t="e" cm="1">
        <f t="array" ref="K9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6" s="96" t="e" cm="1">
        <f t="array" ref="L9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6" s="94" t="e">
        <f>AVERAGE(Table11918[[#This Row],[*C*]:[*TD*]])</f>
        <v>#N/A</v>
      </c>
    </row>
    <row r="97" spans="2:13" hidden="1" x14ac:dyDescent="0.35">
      <c r="B97" s="6" t="s">
        <v>542</v>
      </c>
      <c r="C97" s="97" t="s">
        <v>53</v>
      </c>
      <c r="D97" s="97" t="s">
        <v>403</v>
      </c>
      <c r="E97" s="23" t="str" cm="1">
        <f t="array" ref="E97">_xlfn.XLOOKUP(Table11918[[#This Row],[Team]],Table4334[Team],'2425'!$C$3:$C$34)</f>
        <v>n/a</v>
      </c>
      <c r="F97" s="97" t="str">
        <f>'2025'!$E$31</f>
        <v>n/a</v>
      </c>
      <c r="G97" s="94" t="e" cm="1">
        <f t="array" ref="G9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7" s="94" t="e" cm="1">
        <f t="array" ref="H9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7" s="94" t="e" cm="1">
        <f t="array" ref="I9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7" s="96" t="e" cm="1">
        <f t="array" ref="J9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7" s="96" t="e" cm="1">
        <f t="array" ref="K9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7" s="96" t="e" cm="1">
        <f t="array" ref="L9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7" s="94" t="e">
        <f>AVERAGE(Table11918[[#This Row],[*C*]:[*TD*]])</f>
        <v>#N/A</v>
      </c>
    </row>
    <row r="98" spans="2:13" hidden="1" x14ac:dyDescent="0.35">
      <c r="B98" s="6" t="s">
        <v>541</v>
      </c>
      <c r="C98" s="97" t="s">
        <v>53</v>
      </c>
      <c r="D98" s="97" t="s">
        <v>411</v>
      </c>
      <c r="E98" s="23" t="str" cm="1">
        <f t="array" ref="E98">_xlfn.XLOOKUP(Table11918[[#This Row],[Team]],Table4334[Team],'2425'!$C$3:$C$34)</f>
        <v>n/a</v>
      </c>
      <c r="F98" s="97" t="str">
        <f>'2025'!$E$31</f>
        <v>n/a</v>
      </c>
      <c r="G98" s="94" t="e" cm="1">
        <f t="array" ref="G9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8" s="94" t="e" cm="1">
        <f t="array" ref="H9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8" s="94" t="e" cm="1">
        <f t="array" ref="I9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8" s="96" t="e" cm="1">
        <f t="array" ref="J9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8" s="96" t="e" cm="1">
        <f t="array" ref="K9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8" s="96" t="e" cm="1">
        <f t="array" ref="L9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8" s="94" t="e">
        <f>AVERAGE(Table11918[[#This Row],[*C*]:[*TD*]])</f>
        <v>#N/A</v>
      </c>
    </row>
    <row r="99" spans="2:13" hidden="1" x14ac:dyDescent="0.35">
      <c r="B99" s="6" t="s">
        <v>543</v>
      </c>
      <c r="C99" s="97" t="s">
        <v>53</v>
      </c>
      <c r="D99" s="97" t="s">
        <v>441</v>
      </c>
      <c r="E99" s="23" t="str" cm="1">
        <f t="array" ref="E99">_xlfn.XLOOKUP(Table11918[[#This Row],[Team]],Table4334[Team],'2425'!$C$3:$C$34)</f>
        <v>n/a</v>
      </c>
      <c r="F99" s="97" t="str">
        <f>'2025'!$E$31</f>
        <v>n/a</v>
      </c>
      <c r="G99" s="94" t="e" cm="1">
        <f t="array" ref="G9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99" s="94" t="e" cm="1">
        <f t="array" ref="H9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99" s="94" t="e" cm="1">
        <f t="array" ref="I9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99" s="96" t="e" cm="1">
        <f t="array" ref="J9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99" s="96" t="e" cm="1">
        <f t="array" ref="K9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99" s="96" t="e" cm="1">
        <f t="array" ref="L9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99" s="94" t="e">
        <f>AVERAGE(Table11918[[#This Row],[*C*]:[*TD*]])</f>
        <v>#N/A</v>
      </c>
    </row>
    <row r="100" spans="2:13" hidden="1" x14ac:dyDescent="0.35">
      <c r="B100" s="6" t="s">
        <v>366</v>
      </c>
      <c r="C100" s="97" t="s">
        <v>53</v>
      </c>
      <c r="D100" s="97" t="s">
        <v>443</v>
      </c>
      <c r="E100" s="23" t="str" cm="1">
        <f t="array" ref="E100">_xlfn.XLOOKUP(Table11918[[#This Row],[Team]],Table4334[Team],'2425'!$C$3:$C$34)</f>
        <v>n/a</v>
      </c>
      <c r="F100" s="97" t="str">
        <f>'2025'!$E$31</f>
        <v>n/a</v>
      </c>
      <c r="G100" s="94" t="e" cm="1">
        <f t="array" ref="G10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0" s="94" t="e" cm="1">
        <f t="array" ref="H10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0" s="94" t="e" cm="1">
        <f t="array" ref="I10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0" s="96" t="e" cm="1">
        <f t="array" ref="J10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0" s="96" t="e" cm="1">
        <f t="array" ref="K10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0" s="96" t="e" cm="1">
        <f t="array" ref="L10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0" s="94" t="e">
        <f>AVERAGE(Table11918[[#This Row],[*C*]:[*TD*]])</f>
        <v>#N/A</v>
      </c>
    </row>
    <row r="101" spans="2:13" hidden="1" x14ac:dyDescent="0.35">
      <c r="B101" s="6" t="s">
        <v>545</v>
      </c>
      <c r="C101" s="97" t="s">
        <v>53</v>
      </c>
      <c r="D101" s="97" t="s">
        <v>546</v>
      </c>
      <c r="E101" s="23" t="str" cm="1">
        <f t="array" ref="E101">_xlfn.XLOOKUP(Table11918[[#This Row],[Team]],Table4334[Team],'2425'!$C$3:$C$34)</f>
        <v>n/a</v>
      </c>
      <c r="F101" s="97" t="str">
        <f>'2025'!$E$31</f>
        <v>n/a</v>
      </c>
      <c r="G101" s="94" t="e" cm="1">
        <f t="array" ref="G10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1" s="94" t="e" cm="1">
        <f t="array" ref="H10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1" s="94" t="e" cm="1">
        <f t="array" ref="I10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1" s="96" t="e" cm="1">
        <f t="array" ref="J10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1" s="96" t="e" cm="1">
        <f t="array" ref="K10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1" s="96" t="e" cm="1">
        <f t="array" ref="L10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1" s="94" t="e">
        <f>AVERAGE(Table11918[[#This Row],[*C*]:[*TD*]])</f>
        <v>#N/A</v>
      </c>
    </row>
    <row r="102" spans="2:13" hidden="1" x14ac:dyDescent="0.35">
      <c r="B102" s="6" t="s">
        <v>689</v>
      </c>
      <c r="C102" s="97" t="s">
        <v>33</v>
      </c>
      <c r="D102" s="97" t="s">
        <v>401</v>
      </c>
      <c r="E102" s="23" t="str" cm="1">
        <f t="array" ref="E102">_xlfn.XLOOKUP(Table11918[[#This Row],[Team]],Table4334[Team],'2425'!$C$3:$C$34)</f>
        <v>n/a</v>
      </c>
      <c r="F102" s="97" t="str">
        <f>'2025'!$E$11</f>
        <v>n/a</v>
      </c>
      <c r="G102" s="94" t="e" cm="1">
        <f t="array" ref="G10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2" s="94" t="e" cm="1">
        <f t="array" ref="H10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2" s="94" t="e" cm="1">
        <f t="array" ref="I10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2" s="96" t="e" cm="1">
        <f t="array" ref="J10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2" s="96" t="e" cm="1">
        <f t="array" ref="K10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2" s="96" t="e" cm="1">
        <f t="array" ref="L10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2" s="94" t="e">
        <f>AVERAGE(Table11918[[#This Row],[*C*]:[*TD*]])</f>
        <v>#N/A</v>
      </c>
    </row>
    <row r="103" spans="2:13" hidden="1" x14ac:dyDescent="0.35">
      <c r="B103" s="6" t="s">
        <v>591</v>
      </c>
      <c r="C103" s="97" t="s">
        <v>55</v>
      </c>
      <c r="D103" s="97" t="s">
        <v>401</v>
      </c>
      <c r="E103" s="23" t="str" cm="1">
        <f t="array" ref="E103">_xlfn.XLOOKUP(Table11918[[#This Row],[Team]],Table4334[Team],'2425'!$C$3:$C$34)</f>
        <v>n/a</v>
      </c>
      <c r="F103" s="97" t="str">
        <f>'2025'!$E$33</f>
        <v>n/a</v>
      </c>
      <c r="G103" s="94" t="e" cm="1">
        <f t="array" ref="G10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3" s="94" t="e" cm="1">
        <f t="array" ref="H10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3" s="94" t="e" cm="1">
        <f t="array" ref="I10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3" s="96" t="e" cm="1">
        <f t="array" ref="J10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3" s="96" t="e" cm="1">
        <f t="array" ref="K10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3" s="96" t="e" cm="1">
        <f t="array" ref="L10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3" s="94" t="e">
        <f>AVERAGE(Table11918[[#This Row],[*C*]:[*TD*]])</f>
        <v>#N/A</v>
      </c>
    </row>
    <row r="104" spans="2:13" x14ac:dyDescent="0.35">
      <c r="B104" s="6" t="s">
        <v>355</v>
      </c>
      <c r="C104" s="97" t="s">
        <v>52</v>
      </c>
      <c r="D104" s="97" t="s">
        <v>66</v>
      </c>
      <c r="E104" s="23" t="str" cm="1">
        <f t="array" ref="E104">_xlfn.XLOOKUP(Table11918[[#This Row],[Team]],Table4334[Team],'2425'!$C$3:$C$34)</f>
        <v>SB LX</v>
      </c>
      <c r="F104" s="97" t="str">
        <f>'2025'!$E$30</f>
        <v>NE</v>
      </c>
      <c r="G104" s="94" cm="1">
        <f t="array" ref="G10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21.5</v>
      </c>
      <c r="H104" s="94" cm="1">
        <f t="array" ref="H10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22</v>
      </c>
      <c r="I104" s="94" cm="1">
        <f t="array" ref="I10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10.5</v>
      </c>
      <c r="J104" s="96" cm="1">
        <f t="array" ref="J10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4.6470588235294121</v>
      </c>
      <c r="K104" s="96" cm="1">
        <f t="array" ref="K10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56.117647058823529</v>
      </c>
      <c r="L104" s="96" cm="1">
        <f t="array" ref="L10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0.47058823529411764</v>
      </c>
      <c r="M104" s="94">
        <f>AVERAGE(Table11918[[#This Row],[*C*]:[*TD*]])</f>
        <v>18</v>
      </c>
    </row>
    <row r="105" spans="2:13" hidden="1" x14ac:dyDescent="0.35">
      <c r="B105" s="6" t="s">
        <v>585</v>
      </c>
      <c r="C105" s="97" t="s">
        <v>54</v>
      </c>
      <c r="D105" s="97" t="s">
        <v>403</v>
      </c>
      <c r="E105" s="23" t="str" cm="1">
        <f t="array" ref="E105">_xlfn.XLOOKUP(Table11918[[#This Row],[Team]],Table4334[Team],'2425'!$C$3:$C$34)</f>
        <v>n/a</v>
      </c>
      <c r="F105" s="97" t="str">
        <f>'2025'!$E$32</f>
        <v>n/a</v>
      </c>
      <c r="G105" s="94" t="e" cm="1">
        <f t="array" ref="G10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5" s="94" t="e" cm="1">
        <f t="array" ref="H10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5" s="94" t="e" cm="1">
        <f t="array" ref="I10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5" s="96" t="e" cm="1">
        <f t="array" ref="J10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5" s="96" t="e" cm="1">
        <f t="array" ref="K10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5" s="96" t="e" cm="1">
        <f t="array" ref="L10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5" s="94" t="e">
        <f>AVERAGE(Table11918[[#This Row],[*C*]:[*TD*]])</f>
        <v>#N/A</v>
      </c>
    </row>
    <row r="106" spans="2:13" hidden="1" x14ac:dyDescent="0.35">
      <c r="B106" s="6" t="s">
        <v>343</v>
      </c>
      <c r="C106" s="97" t="s">
        <v>54</v>
      </c>
      <c r="D106" s="97" t="s">
        <v>411</v>
      </c>
      <c r="E106" s="23" t="str" cm="1">
        <f t="array" ref="E106">_xlfn.XLOOKUP(Table11918[[#This Row],[Team]],Table4334[Team],'2425'!$C$3:$C$34)</f>
        <v>n/a</v>
      </c>
      <c r="F106" s="97" t="str">
        <f>'2025'!$E$32</f>
        <v>n/a</v>
      </c>
      <c r="G106" s="94" t="e" cm="1">
        <f t="array" ref="G10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6" s="94" t="e" cm="1">
        <f t="array" ref="H10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6" s="94" t="e" cm="1">
        <f t="array" ref="I10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6" s="96" t="e" cm="1">
        <f t="array" ref="J10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6" s="96" t="e" cm="1">
        <f t="array" ref="K10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6" s="96" t="e" cm="1">
        <f t="array" ref="L10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6" s="94" t="e">
        <f>AVERAGE(Table11918[[#This Row],[*C*]:[*TD*]])</f>
        <v>#N/A</v>
      </c>
    </row>
    <row r="107" spans="2:13" hidden="1" x14ac:dyDescent="0.35">
      <c r="B107" s="6" t="s">
        <v>375</v>
      </c>
      <c r="C107" s="97" t="s">
        <v>54</v>
      </c>
      <c r="D107" s="97" t="s">
        <v>441</v>
      </c>
      <c r="E107" s="23" t="str" cm="1">
        <f t="array" ref="E107">_xlfn.XLOOKUP(Table11918[[#This Row],[Team]],Table4334[Team],'2425'!$C$3:$C$34)</f>
        <v>n/a</v>
      </c>
      <c r="F107" s="97" t="str">
        <f>'2025'!$E$32</f>
        <v>n/a</v>
      </c>
      <c r="G107" s="94" t="e" cm="1">
        <f t="array" ref="G10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7" s="94" t="e" cm="1">
        <f t="array" ref="H10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7" s="94" t="e" cm="1">
        <f t="array" ref="I10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7" s="96" t="e" cm="1">
        <f t="array" ref="J10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7" s="96" t="e" cm="1">
        <f t="array" ref="K10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7" s="96" t="e" cm="1">
        <f t="array" ref="L10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7" s="94" t="e">
        <f>AVERAGE(Table11918[[#This Row],[*C*]:[*TD*]])</f>
        <v>#N/A</v>
      </c>
    </row>
    <row r="108" spans="2:13" hidden="1" x14ac:dyDescent="0.35">
      <c r="B108" s="6" t="s">
        <v>346</v>
      </c>
      <c r="C108" s="97" t="s">
        <v>54</v>
      </c>
      <c r="D108" s="97" t="s">
        <v>443</v>
      </c>
      <c r="E108" s="23" t="str" cm="1">
        <f t="array" ref="E108">_xlfn.XLOOKUP(Table11918[[#This Row],[Team]],Table4334[Team],'2425'!$C$3:$C$34)</f>
        <v>n/a</v>
      </c>
      <c r="F108" s="97" t="str">
        <f>'2025'!$E$32</f>
        <v>n/a</v>
      </c>
      <c r="G108" s="94" t="e" cm="1">
        <f t="array" ref="G10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8" s="94" t="e" cm="1">
        <f t="array" ref="H10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8" s="94" t="e" cm="1">
        <f t="array" ref="I10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8" s="96" t="e" cm="1">
        <f t="array" ref="J10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8" s="96" t="e" cm="1">
        <f t="array" ref="K10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8" s="96" t="e" cm="1">
        <f t="array" ref="L10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8" s="94" t="e">
        <f>AVERAGE(Table11918[[#This Row],[*C*]:[*TD*]])</f>
        <v>#N/A</v>
      </c>
    </row>
    <row r="109" spans="2:13" hidden="1" x14ac:dyDescent="0.35">
      <c r="B109" s="6" t="s">
        <v>374</v>
      </c>
      <c r="C109" s="97" t="s">
        <v>54</v>
      </c>
      <c r="D109" s="97" t="s">
        <v>546</v>
      </c>
      <c r="E109" s="23" t="str" cm="1">
        <f t="array" ref="E109">_xlfn.XLOOKUP(Table11918[[#This Row],[Team]],Table4334[Team],'2425'!$C$3:$C$34)</f>
        <v>n/a</v>
      </c>
      <c r="F109" s="97" t="str">
        <f>'2025'!$E$32</f>
        <v>n/a</v>
      </c>
      <c r="G109" s="94" t="e" cm="1">
        <f t="array" ref="G10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09" s="94" t="e" cm="1">
        <f t="array" ref="H10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09" s="94" t="e" cm="1">
        <f t="array" ref="I10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09" s="96" t="e" cm="1">
        <f t="array" ref="J10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09" s="96" t="e" cm="1">
        <f t="array" ref="K10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09" s="96" t="e" cm="1">
        <f t="array" ref="L10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09" s="94" t="e">
        <f>AVERAGE(Table11918[[#This Row],[*C*]:[*TD*]])</f>
        <v>#N/A</v>
      </c>
    </row>
    <row r="110" spans="2:13" x14ac:dyDescent="0.35">
      <c r="B110" s="6" t="s">
        <v>148</v>
      </c>
      <c r="C110" s="97" t="s">
        <v>17</v>
      </c>
      <c r="D110" s="97" t="s">
        <v>68</v>
      </c>
      <c r="E110" s="23" t="str" cm="1">
        <f t="array" ref="E110">_xlfn.XLOOKUP(Table11918[[#This Row],[Team]],Table4334[Team],'2425'!$C$3:$C$34)</f>
        <v>n/a</v>
      </c>
      <c r="F110" s="97" t="str">
        <f>'2025'!$E$6</f>
        <v>n/a</v>
      </c>
      <c r="G110" s="94" t="e" cm="1">
        <f t="array" ref="G11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0" s="94" t="e" cm="1">
        <f t="array" ref="H11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0" s="94" t="e" cm="1">
        <f t="array" ref="I11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0" s="96" t="e" cm="1">
        <f t="array" ref="J11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0" s="96" t="e" cm="1">
        <f t="array" ref="K11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0" s="96" t="e" cm="1">
        <f t="array" ref="L11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0" s="94" t="e">
        <f>AVERAGE(Table11918[[#This Row],[*C*]:[*TD*]])</f>
        <v>#N/A</v>
      </c>
    </row>
    <row r="111" spans="2:13" hidden="1" x14ac:dyDescent="0.35">
      <c r="B111" s="6" t="s">
        <v>642</v>
      </c>
      <c r="C111" s="97" t="s">
        <v>38</v>
      </c>
      <c r="D111" s="97" t="s">
        <v>401</v>
      </c>
      <c r="E111" s="23" t="str" cm="1">
        <f t="array" ref="E111">_xlfn.XLOOKUP(Table11918[[#This Row],[Team]],Table4334[Team],'2425'!$C$3:$C$34)</f>
        <v>n/a</v>
      </c>
      <c r="F111" s="97" t="str">
        <f>'2025'!$E$16</f>
        <v>n/a</v>
      </c>
      <c r="G111" s="94" t="e" cm="1">
        <f t="array" ref="G11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1" s="94" t="e" cm="1">
        <f t="array" ref="H11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1" s="94" t="e" cm="1">
        <f t="array" ref="I11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1" s="96" t="e" cm="1">
        <f t="array" ref="J11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1" s="96" t="e" cm="1">
        <f t="array" ref="K11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1" s="96" t="e" cm="1">
        <f t="array" ref="L11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1" s="94" t="e">
        <f>AVERAGE(Table11918[[#This Row],[*C*]:[*TD*]])</f>
        <v>#N/A</v>
      </c>
    </row>
    <row r="112" spans="2:13" hidden="1" x14ac:dyDescent="0.35">
      <c r="B112" s="6" t="s">
        <v>426</v>
      </c>
      <c r="C112" s="97" t="s">
        <v>48</v>
      </c>
      <c r="D112" s="97" t="s">
        <v>401</v>
      </c>
      <c r="E112" s="23" t="str" cm="1">
        <f t="array" ref="E112">_xlfn.XLOOKUP(Table11918[[#This Row],[Team]],Table4334[Team],'2425'!$C$3:$C$34)</f>
        <v>n/a</v>
      </c>
      <c r="F112" s="97" t="str">
        <f>'2025'!$E$26</f>
        <v>n/a</v>
      </c>
      <c r="G112" s="94" t="e" cm="1">
        <f t="array" ref="G11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2" s="94" t="e" cm="1">
        <f t="array" ref="H11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2" s="94" t="e" cm="1">
        <f t="array" ref="I11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2" s="96" t="e" cm="1">
        <f t="array" ref="J11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2" s="96" t="e" cm="1">
        <f t="array" ref="K11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2" s="96" t="e" cm="1">
        <f t="array" ref="L11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2" s="94" t="e">
        <f>AVERAGE(Table11918[[#This Row],[*C*]:[*TD*]])</f>
        <v>#N/A</v>
      </c>
    </row>
    <row r="113" spans="2:13" hidden="1" x14ac:dyDescent="0.35">
      <c r="B113" s="6" t="s">
        <v>485</v>
      </c>
      <c r="C113" s="97" t="s">
        <v>32</v>
      </c>
      <c r="D113" s="97" t="s">
        <v>401</v>
      </c>
      <c r="E113" s="23" t="str" cm="1">
        <f t="array" ref="E113">_xlfn.XLOOKUP(Table11918[[#This Row],[Team]],Table4334[Team],'2425'!$C$3:$C$34)</f>
        <v>n/a</v>
      </c>
      <c r="F113" s="97" t="str">
        <f>'2025'!$E$10</f>
        <v>n/a</v>
      </c>
      <c r="G113" s="94" t="e" cm="1">
        <f t="array" ref="G11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3" s="94" t="e" cm="1">
        <f t="array" ref="H11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3" s="94" t="e" cm="1">
        <f t="array" ref="I11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3" s="96" t="e" cm="1">
        <f t="array" ref="J11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3" s="96" t="e" cm="1">
        <f t="array" ref="K11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3" s="96" t="e" cm="1">
        <f t="array" ref="L11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3" s="94" t="e">
        <f>AVERAGE(Table11918[[#This Row],[*C*]:[*TD*]])</f>
        <v>#N/A</v>
      </c>
    </row>
    <row r="114" spans="2:13" x14ac:dyDescent="0.35">
      <c r="B114" s="6" t="s">
        <v>309</v>
      </c>
      <c r="C114" s="97" t="s">
        <v>46</v>
      </c>
      <c r="D114" s="97" t="s">
        <v>66</v>
      </c>
      <c r="E114" s="23" t="str" cm="1">
        <f t="array" ref="E114">_xlfn.XLOOKUP(Table11918[[#This Row],[Team]],Table4334[Team],'2425'!$C$3:$C$34)</f>
        <v>SB LX</v>
      </c>
      <c r="F114" s="97" t="str">
        <f>'2025'!$E$24</f>
        <v>SEA</v>
      </c>
      <c r="G114" s="94" cm="1">
        <f t="array" ref="G11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16</v>
      </c>
      <c r="H114" s="94" cm="1">
        <f t="array" ref="H11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24</v>
      </c>
      <c r="I114" s="94" cm="1">
        <f t="array" ref="I11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10.5</v>
      </c>
      <c r="J114" s="96" cm="1">
        <f t="array" ref="J11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4.882352941176471</v>
      </c>
      <c r="K114" s="96" cm="1">
        <f t="array" ref="K11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54.882352941176471</v>
      </c>
      <c r="L114" s="96" cm="1">
        <f t="array" ref="L11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0.47058823529411764</v>
      </c>
      <c r="M114" s="94">
        <f>AVERAGE(Table11918[[#This Row],[*C*]:[*TD*]])</f>
        <v>16.833333333333332</v>
      </c>
    </row>
    <row r="115" spans="2:13" hidden="1" x14ac:dyDescent="0.35">
      <c r="B115" s="6" t="s">
        <v>626</v>
      </c>
      <c r="C115" s="97" t="s">
        <v>39</v>
      </c>
      <c r="D115" s="97" t="s">
        <v>403</v>
      </c>
      <c r="E115" s="23" t="str" cm="1">
        <f t="array" ref="E115">_xlfn.XLOOKUP(Table11918[[#This Row],[Team]],Table4334[Team],'2425'!$C$3:$C$34)</f>
        <v>n/a</v>
      </c>
      <c r="F115" s="97" t="str">
        <f>'2025'!$E$17</f>
        <v>n/a</v>
      </c>
      <c r="G115" s="94" t="e" cm="1">
        <f t="array" ref="G11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5" s="94" t="e" cm="1">
        <f t="array" ref="H11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5" s="94" t="e" cm="1">
        <f t="array" ref="I11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5" s="96" t="e" cm="1">
        <f t="array" ref="J11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5" s="96" t="e" cm="1">
        <f t="array" ref="K11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5" s="96" t="e" cm="1">
        <f t="array" ref="L11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5" s="94" t="e">
        <f>AVERAGE(Table11918[[#This Row],[*C*]:[*TD*]])</f>
        <v>#N/A</v>
      </c>
    </row>
    <row r="116" spans="2:13" hidden="1" x14ac:dyDescent="0.35">
      <c r="B116" s="6" t="s">
        <v>627</v>
      </c>
      <c r="C116" s="97" t="s">
        <v>39</v>
      </c>
      <c r="D116" s="97" t="s">
        <v>411</v>
      </c>
      <c r="E116" s="23" t="str" cm="1">
        <f t="array" ref="E116">_xlfn.XLOOKUP(Table11918[[#This Row],[Team]],Table4334[Team],'2425'!$C$3:$C$34)</f>
        <v>n/a</v>
      </c>
      <c r="F116" s="97" t="str">
        <f>'2025'!$E$17</f>
        <v>n/a</v>
      </c>
      <c r="G116" s="94" t="e" cm="1">
        <f t="array" ref="G11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6" s="94" t="e" cm="1">
        <f t="array" ref="H11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6" s="94" t="e" cm="1">
        <f t="array" ref="I11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6" s="96" t="e" cm="1">
        <f t="array" ref="J11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6" s="96" t="e" cm="1">
        <f t="array" ref="K11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6" s="96" t="e" cm="1">
        <f t="array" ref="L11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6" s="94" t="e">
        <f>AVERAGE(Table11918[[#This Row],[*C*]:[*TD*]])</f>
        <v>#N/A</v>
      </c>
    </row>
    <row r="117" spans="2:13" hidden="1" x14ac:dyDescent="0.35">
      <c r="B117" s="6" t="s">
        <v>620</v>
      </c>
      <c r="C117" s="97" t="s">
        <v>47</v>
      </c>
      <c r="D117" s="97" t="s">
        <v>401</v>
      </c>
      <c r="E117" s="23" t="str" cm="1">
        <f t="array" ref="E117">_xlfn.XLOOKUP(Table11918[[#This Row],[Team]],Table4334[Team],'2425'!$C$3:$C$34)</f>
        <v>n/a</v>
      </c>
      <c r="F117" s="97" t="str">
        <f>'2025'!$E$25</f>
        <v>n/a</v>
      </c>
      <c r="G117" s="94" t="e" cm="1">
        <f t="array" ref="G11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7" s="94" t="e" cm="1">
        <f t="array" ref="H11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7" s="94" t="e" cm="1">
        <f t="array" ref="I11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7" s="96" t="e" cm="1">
        <f t="array" ref="J11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7" s="96" t="e" cm="1">
        <f t="array" ref="K11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7" s="96" t="e" cm="1">
        <f t="array" ref="L11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7" s="94" t="e">
        <f>AVERAGE(Table11918[[#This Row],[*C*]:[*TD*]])</f>
        <v>#N/A</v>
      </c>
    </row>
    <row r="118" spans="2:13" hidden="1" x14ac:dyDescent="0.35">
      <c r="B118" s="6" t="s">
        <v>600</v>
      </c>
      <c r="C118" s="97" t="s">
        <v>15</v>
      </c>
      <c r="D118" s="97" t="s">
        <v>401</v>
      </c>
      <c r="E118" s="23" t="str" cm="1">
        <f t="array" ref="E118">_xlfn.XLOOKUP(Table11918[[#This Row],[Team]],Table4334[Team],'2425'!$C$3:$C$34)</f>
        <v>n/a</v>
      </c>
      <c r="F118" s="97" t="str">
        <f>'2025'!$E$4</f>
        <v>n/a</v>
      </c>
      <c r="G118" s="94" t="e" cm="1">
        <f t="array" ref="G11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8" s="94" t="e" cm="1">
        <f t="array" ref="H11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8" s="94" t="e" cm="1">
        <f t="array" ref="I11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8" s="96" t="e" cm="1">
        <f t="array" ref="J11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8" s="96" t="e" cm="1">
        <f t="array" ref="K11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8" s="96" t="e" cm="1">
        <f t="array" ref="L11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8" s="94" t="e">
        <f>AVERAGE(Table11918[[#This Row],[*C*]:[*TD*]])</f>
        <v>#N/A</v>
      </c>
    </row>
    <row r="119" spans="2:13" hidden="1" x14ac:dyDescent="0.35">
      <c r="B119" s="6" t="s">
        <v>203</v>
      </c>
      <c r="C119" s="97" t="s">
        <v>35</v>
      </c>
      <c r="D119" s="97" t="s">
        <v>66</v>
      </c>
      <c r="E119" s="23" t="str" cm="1">
        <f t="array" ref="E119">_xlfn.XLOOKUP(Table11918[[#This Row],[Team]],Table4334[Team],'2425'!$C$3:$C$34)</f>
        <v>n/a</v>
      </c>
      <c r="F119" s="97" t="str">
        <f>'2025'!$E$13</f>
        <v>n/a</v>
      </c>
      <c r="G119" s="94" t="e" cm="1">
        <f t="array" ref="G11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19" s="94" t="e" cm="1">
        <f t="array" ref="H11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19" s="94" t="e" cm="1">
        <f t="array" ref="I11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19" s="96" t="e" cm="1">
        <f t="array" ref="J11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19" s="96" t="e" cm="1">
        <f t="array" ref="K11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19" s="96" t="e" cm="1">
        <f t="array" ref="L11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19" s="94" t="e">
        <f>AVERAGE(Table11918[[#This Row],[*C*]:[*TD*]])</f>
        <v>#N/A</v>
      </c>
    </row>
    <row r="120" spans="2:13" hidden="1" x14ac:dyDescent="0.35">
      <c r="B120" s="6" t="s">
        <v>137</v>
      </c>
      <c r="C120" s="97" t="s">
        <v>0</v>
      </c>
      <c r="D120" s="97" t="s">
        <v>66</v>
      </c>
      <c r="E120" s="23" t="str" cm="1">
        <f t="array" ref="E120">_xlfn.XLOOKUP(Table11918[[#This Row],[Team]],Table4334[Team],'2425'!$C$3:$C$34)</f>
        <v>n/a</v>
      </c>
      <c r="F120" s="97" t="str">
        <f>'2025'!$E$3</f>
        <v>n/a</v>
      </c>
      <c r="G120" s="94" t="e" cm="1">
        <f t="array" ref="G12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0" s="94" t="e" cm="1">
        <f t="array" ref="H12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0" s="94" t="e" cm="1">
        <f t="array" ref="I12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0" s="96" t="e" cm="1">
        <f t="array" ref="J12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0" s="96" t="e" cm="1">
        <f t="array" ref="K12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0" s="96" t="e" cm="1">
        <f t="array" ref="L12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0" s="94" t="e">
        <f>AVERAGE(Table11918[[#This Row],[*C*]:[*TD*]])</f>
        <v>#N/A</v>
      </c>
    </row>
    <row r="121" spans="2:13" x14ac:dyDescent="0.35">
      <c r="B121" s="6" t="s">
        <v>157</v>
      </c>
      <c r="C121" s="97" t="s">
        <v>30</v>
      </c>
      <c r="D121" s="97" t="s">
        <v>67</v>
      </c>
      <c r="E121" s="23" t="str" cm="1">
        <f t="array" ref="E121">_xlfn.XLOOKUP(Table11918[[#This Row],[Team]],Table4334[Team],'2425'!$C$3:$C$34)</f>
        <v>n/a</v>
      </c>
      <c r="F121" s="97" t="str">
        <f>'2025'!$E$8</f>
        <v>n/a</v>
      </c>
      <c r="G121" s="94" t="e" cm="1">
        <f t="array" ref="G12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1" s="94" t="e" cm="1">
        <f t="array" ref="H12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1" s="94" t="e" cm="1">
        <f t="array" ref="I12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1" s="96" t="e" cm="1">
        <f t="array" ref="J12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1" s="96" t="e" cm="1">
        <f t="array" ref="K12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1" s="96" t="e" cm="1">
        <f t="array" ref="L12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1" s="94" t="e">
        <f>AVERAGE(Table11918[[#This Row],[*C*]:[*TD*]])</f>
        <v>#N/A</v>
      </c>
    </row>
    <row r="122" spans="2:13" hidden="1" x14ac:dyDescent="0.35">
      <c r="B122" s="6" t="s">
        <v>145</v>
      </c>
      <c r="C122" s="97" t="s">
        <v>29</v>
      </c>
      <c r="D122" s="97" t="s">
        <v>67</v>
      </c>
      <c r="E122" s="23" t="str" cm="1">
        <f t="array" ref="E122">_xlfn.XLOOKUP(Table11918[[#This Row],[Team]],Table4334[Team],'2425'!$C$3:$C$34)</f>
        <v>n/a</v>
      </c>
      <c r="F122" s="97" t="str">
        <f>'2025'!$E$7</f>
        <v>n/a</v>
      </c>
      <c r="G122" s="94" t="e" cm="1">
        <f t="array" ref="G12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2" s="94" t="e" cm="1">
        <f t="array" ref="H12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2" s="94" t="e" cm="1">
        <f t="array" ref="I12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2" s="96" t="e" cm="1">
        <f t="array" ref="J12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2" s="96" t="e" cm="1">
        <f t="array" ref="K12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2" s="96" t="e" cm="1">
        <f t="array" ref="L12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2" s="94" t="e">
        <f>AVERAGE(Table11918[[#This Row],[*C*]:[*TD*]])</f>
        <v>#N/A</v>
      </c>
    </row>
    <row r="123" spans="2:13" x14ac:dyDescent="0.35">
      <c r="B123" s="6" t="s">
        <v>691</v>
      </c>
      <c r="C123" s="97" t="s">
        <v>53</v>
      </c>
      <c r="D123" s="97" t="s">
        <v>68</v>
      </c>
      <c r="E123" s="23" t="str" cm="1">
        <f t="array" ref="E123">_xlfn.XLOOKUP(Table11918[[#This Row],[Team]],Table4334[Team],'2425'!$C$3:$C$34)</f>
        <v>n/a</v>
      </c>
      <c r="F123" s="97" t="str">
        <f>'2025'!$E$31</f>
        <v>n/a</v>
      </c>
      <c r="G123" s="94" t="e" cm="1">
        <f t="array" ref="G12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3" s="94" t="e" cm="1">
        <f t="array" ref="H12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3" s="94" t="e" cm="1">
        <f t="array" ref="I12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3" s="96" t="e" cm="1">
        <f t="array" ref="J12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3" s="96" t="e" cm="1">
        <f t="array" ref="K12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3" s="96" t="e" cm="1">
        <f t="array" ref="L12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3" s="94" t="e">
        <f>AVERAGE(Table11918[[#This Row],[*C*]:[*TD*]])</f>
        <v>#N/A</v>
      </c>
    </row>
    <row r="124" spans="2:13" x14ac:dyDescent="0.35">
      <c r="B124" s="6" t="s">
        <v>528</v>
      </c>
      <c r="C124" s="97" t="s">
        <v>52</v>
      </c>
      <c r="D124" s="97" t="s">
        <v>68</v>
      </c>
      <c r="E124" s="23" t="str" cm="1">
        <f t="array" ref="E124">_xlfn.XLOOKUP(Table11918[[#This Row],[Team]],Table4334[Team],'2425'!$C$3:$C$34)</f>
        <v>SB LX</v>
      </c>
      <c r="F124" s="97" t="str">
        <f>'2025'!$E$30</f>
        <v>NE</v>
      </c>
      <c r="G124" s="94" cm="1">
        <f t="array" ref="G12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17</v>
      </c>
      <c r="H124" s="94" cm="1">
        <f t="array" ref="H12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14</v>
      </c>
      <c r="I124" s="94" cm="1">
        <f t="array" ref="I12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16.5</v>
      </c>
      <c r="J124" s="96" cm="1">
        <f t="array" ref="J12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1.9411764705882353</v>
      </c>
      <c r="K124" s="96" cm="1">
        <f t="array" ref="K12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24.058823529411764</v>
      </c>
      <c r="L124" s="96" cm="1">
        <f t="array" ref="L12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0.11764705882352941</v>
      </c>
      <c r="M124" s="94">
        <f>AVERAGE(Table11918[[#This Row],[*C*]:[*TD*]])</f>
        <v>15.833333333333334</v>
      </c>
    </row>
    <row r="125" spans="2:13" hidden="1" x14ac:dyDescent="0.35">
      <c r="B125" s="6" t="s">
        <v>601</v>
      </c>
      <c r="C125" s="97" t="s">
        <v>15</v>
      </c>
      <c r="D125" s="97" t="s">
        <v>403</v>
      </c>
      <c r="E125" s="23" t="str" cm="1">
        <f t="array" ref="E125">_xlfn.XLOOKUP(Table11918[[#This Row],[Team]],Table4334[Team],'2425'!$C$3:$C$34)</f>
        <v>n/a</v>
      </c>
      <c r="F125" s="97" t="str">
        <f>'2025'!$E$4</f>
        <v>n/a</v>
      </c>
      <c r="G125" s="94" t="e" cm="1">
        <f t="array" ref="G12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5" s="94" t="e" cm="1">
        <f t="array" ref="H12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5" s="94" t="e" cm="1">
        <f t="array" ref="I12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5" s="96" t="e" cm="1">
        <f t="array" ref="J12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5" s="96" t="e" cm="1">
        <f t="array" ref="K12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5" s="96" t="e" cm="1">
        <f t="array" ref="L12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5" s="94" t="e">
        <f>AVERAGE(Table11918[[#This Row],[*C*]:[*TD*]])</f>
        <v>#N/A</v>
      </c>
    </row>
    <row r="126" spans="2:13" hidden="1" x14ac:dyDescent="0.35">
      <c r="B126" s="6" t="s">
        <v>602</v>
      </c>
      <c r="C126" s="97" t="s">
        <v>15</v>
      </c>
      <c r="D126" s="97" t="s">
        <v>411</v>
      </c>
      <c r="E126" s="23" t="str" cm="1">
        <f t="array" ref="E126">_xlfn.XLOOKUP(Table11918[[#This Row],[Team]],Table4334[Team],'2425'!$C$3:$C$34)</f>
        <v>n/a</v>
      </c>
      <c r="F126" s="97" t="str">
        <f>'2025'!$E$4</f>
        <v>n/a</v>
      </c>
      <c r="G126" s="94" t="e" cm="1">
        <f t="array" ref="G12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6" s="94" t="e" cm="1">
        <f t="array" ref="H12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6" s="94" t="e" cm="1">
        <f t="array" ref="I12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6" s="96" t="e" cm="1">
        <f t="array" ref="J12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6" s="96" t="e" cm="1">
        <f t="array" ref="K12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6" s="96" t="e" cm="1">
        <f t="array" ref="L12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6" s="94" t="e">
        <f>AVERAGE(Table11918[[#This Row],[*C*]:[*TD*]])</f>
        <v>#N/A</v>
      </c>
    </row>
    <row r="127" spans="2:13" hidden="1" x14ac:dyDescent="0.35">
      <c r="B127" s="6" t="s">
        <v>603</v>
      </c>
      <c r="C127" s="97" t="s">
        <v>15</v>
      </c>
      <c r="D127" s="97" t="s">
        <v>441</v>
      </c>
      <c r="E127" s="23" t="str" cm="1">
        <f t="array" ref="E127">_xlfn.XLOOKUP(Table11918[[#This Row],[Team]],Table4334[Team],'2425'!$C$3:$C$34)</f>
        <v>n/a</v>
      </c>
      <c r="F127" s="97" t="str">
        <f>'2025'!$E$4</f>
        <v>n/a</v>
      </c>
      <c r="G127" s="94" t="e" cm="1">
        <f t="array" ref="G12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7" s="94" t="e" cm="1">
        <f t="array" ref="H12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7" s="94" t="e" cm="1">
        <f t="array" ref="I12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7" s="96" t="e" cm="1">
        <f t="array" ref="J12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7" s="96" t="e" cm="1">
        <f t="array" ref="K12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7" s="96" t="e" cm="1">
        <f t="array" ref="L12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7" s="94" t="e">
        <f>AVERAGE(Table11918[[#This Row],[*C*]:[*TD*]])</f>
        <v>#N/A</v>
      </c>
    </row>
    <row r="128" spans="2:13" x14ac:dyDescent="0.35">
      <c r="B128" s="6" t="s">
        <v>529</v>
      </c>
      <c r="C128" s="97" t="s">
        <v>52</v>
      </c>
      <c r="D128" s="97" t="s">
        <v>401</v>
      </c>
      <c r="E128" s="23" t="str" cm="1">
        <f t="array" ref="E128">_xlfn.XLOOKUP(Table11918[[#This Row],[Team]],Table4334[Team],'2425'!$C$3:$C$34)</f>
        <v>SB LX</v>
      </c>
      <c r="F128" s="97" t="str">
        <f>'2025'!$E$30</f>
        <v>NE</v>
      </c>
      <c r="G128" s="94" cm="1">
        <f t="array" ref="G12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29</v>
      </c>
      <c r="H128" s="94" cm="1">
        <f t="array" ref="H12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30</v>
      </c>
      <c r="I128" s="94" cm="1">
        <f t="array" ref="I12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128" s="96" cm="1">
        <f t="array" ref="J12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0.52941176470588236</v>
      </c>
      <c r="K128" s="96" cm="1">
        <f t="array" ref="K12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5</v>
      </c>
      <c r="L128" s="96" cm="1">
        <f t="array" ref="L12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128" s="94">
        <f>AVERAGE(Table11918[[#This Row],[*C*]:[*TD*]])</f>
        <v>25.5</v>
      </c>
    </row>
    <row r="129" spans="2:13" hidden="1" x14ac:dyDescent="0.35">
      <c r="B129" s="6" t="s">
        <v>291</v>
      </c>
      <c r="C129" s="97" t="s">
        <v>44</v>
      </c>
      <c r="D129" s="97" t="s">
        <v>66</v>
      </c>
      <c r="E129" s="23" t="str" cm="1">
        <f t="array" ref="E129">_xlfn.XLOOKUP(Table11918[[#This Row],[Team]],Table4334[Team],'2425'!$C$3:$C$34)</f>
        <v>n/a</v>
      </c>
      <c r="F129" s="97" t="str">
        <f>'2025'!$E$22</f>
        <v>n/a</v>
      </c>
      <c r="G129" s="94" t="e" cm="1">
        <f t="array" ref="G12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29" s="94" t="e" cm="1">
        <f t="array" ref="H12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29" s="94" t="e" cm="1">
        <f t="array" ref="I12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29" s="96" t="e" cm="1">
        <f t="array" ref="J12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29" s="96" t="e" cm="1">
        <f t="array" ref="K12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29" s="96" t="e" cm="1">
        <f t="array" ref="L12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29" s="94" t="e">
        <f>AVERAGE(Table11918[[#This Row],[*C*]:[*TD*]])</f>
        <v>#N/A</v>
      </c>
    </row>
    <row r="130" spans="2:13" hidden="1" x14ac:dyDescent="0.35">
      <c r="B130" s="6" t="s">
        <v>252</v>
      </c>
      <c r="C130" s="97" t="s">
        <v>40</v>
      </c>
      <c r="D130" s="97" t="s">
        <v>66</v>
      </c>
      <c r="E130" s="23" t="str" cm="1">
        <f t="array" ref="E130">_xlfn.XLOOKUP(Table11918[[#This Row],[Team]],Table4334[Team],'2425'!$C$3:$C$34)</f>
        <v>n/a</v>
      </c>
      <c r="F130" s="97" t="str">
        <f>'2025'!$E$18</f>
        <v>n/a</v>
      </c>
      <c r="G130" s="94" t="e" cm="1">
        <f t="array" ref="G13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0" s="94" t="e" cm="1">
        <f t="array" ref="H13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0" s="94" t="e" cm="1">
        <f t="array" ref="I13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0" s="96" t="e" cm="1">
        <f t="array" ref="J13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0" s="96" t="e" cm="1">
        <f t="array" ref="K13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0" s="96" t="e" cm="1">
        <f t="array" ref="L13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0" s="94" t="e">
        <f>AVERAGE(Table11918[[#This Row],[*C*]:[*TD*]])</f>
        <v>#N/A</v>
      </c>
    </row>
    <row r="131" spans="2:13" hidden="1" x14ac:dyDescent="0.35">
      <c r="B131" s="6" t="s">
        <v>335</v>
      </c>
      <c r="C131" s="97" t="s">
        <v>49</v>
      </c>
      <c r="D131" s="97" t="s">
        <v>66</v>
      </c>
      <c r="E131" s="23" t="str" cm="1">
        <f t="array" ref="E131">_xlfn.XLOOKUP(Table11918[[#This Row],[Team]],Table4334[Team],'2425'!$C$3:$C$34)</f>
        <v>n/a</v>
      </c>
      <c r="F131" s="97" t="str">
        <f>'2025'!$E$27</f>
        <v>n/a</v>
      </c>
      <c r="G131" s="94" t="e" cm="1">
        <f t="array" ref="G13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1" s="94" t="e" cm="1">
        <f t="array" ref="H13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1" s="94" t="e" cm="1">
        <f t="array" ref="I13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1" s="96" t="e" cm="1">
        <f t="array" ref="J13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1" s="96" t="e" cm="1">
        <f t="array" ref="K13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1" s="96" t="e" cm="1">
        <f t="array" ref="L13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1" s="94" t="e">
        <f>AVERAGE(Table11918[[#This Row],[*C*]:[*TD*]])</f>
        <v>#N/A</v>
      </c>
    </row>
    <row r="132" spans="2:13" x14ac:dyDescent="0.35">
      <c r="B132" s="6" t="s">
        <v>223</v>
      </c>
      <c r="C132" s="97" t="s">
        <v>37</v>
      </c>
      <c r="D132" s="97" t="s">
        <v>68</v>
      </c>
      <c r="E132" s="23" t="str" cm="1">
        <f t="array" ref="E132">_xlfn.XLOOKUP(Table11918[[#This Row],[Team]],Table4334[Team],'2425'!$C$3:$C$34)</f>
        <v>n/a</v>
      </c>
      <c r="F132" s="97" t="str">
        <f>'2025'!$E$15</f>
        <v>n/a</v>
      </c>
      <c r="G132" s="94" t="e" cm="1">
        <f t="array" ref="G13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2" s="94" t="e" cm="1">
        <f t="array" ref="H13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2" s="94" t="e" cm="1">
        <f t="array" ref="I13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2" s="96" t="e" cm="1">
        <f t="array" ref="J13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2" s="96" t="e" cm="1">
        <f t="array" ref="K13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2" s="96" t="e" cm="1">
        <f t="array" ref="L13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2" s="94" t="e">
        <f>AVERAGE(Table11918[[#This Row],[*C*]:[*TD*]])</f>
        <v>#N/A</v>
      </c>
    </row>
    <row r="133" spans="2:13" hidden="1" x14ac:dyDescent="0.35">
      <c r="B133" s="6" t="s">
        <v>690</v>
      </c>
      <c r="C133" s="97" t="s">
        <v>49</v>
      </c>
      <c r="D133" s="98" t="s">
        <v>403</v>
      </c>
      <c r="E133" s="23" t="str" cm="1">
        <f t="array" ref="E133">_xlfn.XLOOKUP(Table11918[[#This Row],[Team]],Table4334[Team],'2425'!$C$3:$C$34)</f>
        <v>n/a</v>
      </c>
      <c r="F133" s="97" t="str">
        <f>'2025'!$E$27</f>
        <v>n/a</v>
      </c>
      <c r="G133" s="94" t="e" cm="1">
        <f t="array" ref="G13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3" s="94" t="e" cm="1">
        <f t="array" ref="H13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3" s="94" t="e" cm="1">
        <f t="array" ref="I13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3" s="96" t="e" cm="1">
        <f t="array" ref="J13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3" s="96" t="e" cm="1">
        <f t="array" ref="K13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3" s="96" t="e" cm="1">
        <f t="array" ref="L13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3" s="94" t="e">
        <f>AVERAGE(Table11918[[#This Row],[*C*]:[*TD*]])</f>
        <v>#N/A</v>
      </c>
    </row>
    <row r="134" spans="2:13" hidden="1" x14ac:dyDescent="0.35">
      <c r="B134" s="6" t="s">
        <v>126</v>
      </c>
      <c r="C134" s="97" t="s">
        <v>49</v>
      </c>
      <c r="D134" s="97" t="s">
        <v>411</v>
      </c>
      <c r="E134" s="23" t="str" cm="1">
        <f t="array" ref="E134">_xlfn.XLOOKUP(Table11918[[#This Row],[Team]],Table4334[Team],'2425'!$C$3:$C$34)</f>
        <v>n/a</v>
      </c>
      <c r="F134" s="97" t="str">
        <f>'2025'!$E$27</f>
        <v>n/a</v>
      </c>
      <c r="G134" s="94" t="e" cm="1">
        <f t="array" ref="G13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4" s="94" t="e" cm="1">
        <f t="array" ref="H13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4" s="94" t="e" cm="1">
        <f t="array" ref="I13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4" s="96" t="e" cm="1">
        <f t="array" ref="J13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4" s="96" t="e" cm="1">
        <f t="array" ref="K13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4" s="96" t="e" cm="1">
        <f t="array" ref="L13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4" s="94" t="e">
        <f>AVERAGE(Table11918[[#This Row],[*C*]:[*TD*]])</f>
        <v>#N/A</v>
      </c>
    </row>
    <row r="135" spans="2:13" hidden="1" x14ac:dyDescent="0.35">
      <c r="B135" s="6" t="s">
        <v>281</v>
      </c>
      <c r="C135" s="97" t="s">
        <v>43</v>
      </c>
      <c r="D135" s="97" t="s">
        <v>66</v>
      </c>
      <c r="E135" s="23" t="str" cm="1">
        <f t="array" ref="E135">_xlfn.XLOOKUP(Table11918[[#This Row],[Team]],Table4334[Team],'2425'!$C$3:$C$34)</f>
        <v>n/a</v>
      </c>
      <c r="F135" s="97" t="str">
        <f>'2025'!$E$21</f>
        <v>n/a</v>
      </c>
      <c r="G135" s="94" t="e" cm="1">
        <f t="array" ref="G13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5" s="94" t="e" cm="1">
        <f t="array" ref="H13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5" s="94" t="e" cm="1">
        <f t="array" ref="I13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5" s="96" t="e" cm="1">
        <f t="array" ref="J13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5" s="96" t="e" cm="1">
        <f t="array" ref="K13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5" s="96" t="e" cm="1">
        <f t="array" ref="L13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5" s="94" t="e">
        <f>AVERAGE(Table11918[[#This Row],[*C*]:[*TD*]])</f>
        <v>#N/A</v>
      </c>
    </row>
    <row r="136" spans="2:13" hidden="1" x14ac:dyDescent="0.35">
      <c r="B136" s="6" t="s">
        <v>391</v>
      </c>
      <c r="C136" s="97" t="s">
        <v>56</v>
      </c>
      <c r="D136" s="97" t="s">
        <v>66</v>
      </c>
      <c r="E136" s="23" t="str" cm="1">
        <f t="array" ref="E136">_xlfn.XLOOKUP(Table11918[[#This Row],[Team]],Table4334[Team],'2425'!$C$3:$C$34)</f>
        <v>n/a</v>
      </c>
      <c r="F136" s="97" t="str">
        <f>'2025'!$E$34</f>
        <v>n/a</v>
      </c>
      <c r="G136" s="94" t="e" cm="1">
        <f t="array" ref="G13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6" s="94" t="e" cm="1">
        <f t="array" ref="H13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6" s="94" t="e" cm="1">
        <f t="array" ref="I13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6" s="96" t="e" cm="1">
        <f t="array" ref="J13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6" s="96" t="e" cm="1">
        <f t="array" ref="K13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6" s="96" t="e" cm="1">
        <f t="array" ref="L13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6" s="94" t="e">
        <f>AVERAGE(Table11918[[#This Row],[*C*]:[*TD*]])</f>
        <v>#N/A</v>
      </c>
    </row>
    <row r="137" spans="2:13" x14ac:dyDescent="0.35">
      <c r="B137" s="6" t="s">
        <v>499</v>
      </c>
      <c r="C137" s="97" t="s">
        <v>30</v>
      </c>
      <c r="D137" s="97" t="s">
        <v>68</v>
      </c>
      <c r="E137" s="23" t="str" cm="1">
        <f t="array" ref="E137">_xlfn.XLOOKUP(Table11918[[#This Row],[Team]],Table4334[Team],'2425'!$C$3:$C$34)</f>
        <v>n/a</v>
      </c>
      <c r="F137" s="97" t="str">
        <f>'2025'!$E$8</f>
        <v>n/a</v>
      </c>
      <c r="G137" s="94" t="e" cm="1">
        <f t="array" ref="G13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7" s="94" t="e" cm="1">
        <f t="array" ref="H13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7" s="94" t="e" cm="1">
        <f t="array" ref="I13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7" s="96" t="e" cm="1">
        <f t="array" ref="J13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7" s="96" t="e" cm="1">
        <f t="array" ref="K13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7" s="96" t="e" cm="1">
        <f t="array" ref="L13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7" s="94" t="e">
        <f>AVERAGE(Table11918[[#This Row],[*C*]:[*TD*]])</f>
        <v>#N/A</v>
      </c>
    </row>
    <row r="138" spans="2:13" x14ac:dyDescent="0.35">
      <c r="B138" s="6" t="s">
        <v>197</v>
      </c>
      <c r="C138" s="97" t="s">
        <v>34</v>
      </c>
      <c r="D138" s="97" t="s">
        <v>68</v>
      </c>
      <c r="E138" s="23" t="str" cm="1">
        <f t="array" ref="E138">_xlfn.XLOOKUP(Table11918[[#This Row],[Team]],Table4334[Team],'2425'!$C$3:$C$34)</f>
        <v>n/a</v>
      </c>
      <c r="F138" s="97" t="str">
        <f>'2025'!$E$12</f>
        <v>n/a</v>
      </c>
      <c r="G138" s="94" t="e" cm="1">
        <f t="array" ref="G13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8" s="94" t="e" cm="1">
        <f t="array" ref="H13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8" s="94" t="e" cm="1">
        <f t="array" ref="I13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8" s="96" t="e" cm="1">
        <f t="array" ref="J13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8" s="96" t="e" cm="1">
        <f t="array" ref="K13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8" s="96" t="e" cm="1">
        <f t="array" ref="L13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8" s="94" t="e">
        <f>AVERAGE(Table11918[[#This Row],[*C*]:[*TD*]])</f>
        <v>#N/A</v>
      </c>
    </row>
    <row r="139" spans="2:13" hidden="1" x14ac:dyDescent="0.35">
      <c r="B139" s="6" t="s">
        <v>610</v>
      </c>
      <c r="C139" s="97" t="s">
        <v>29</v>
      </c>
      <c r="D139" s="97" t="s">
        <v>68</v>
      </c>
      <c r="E139" s="23" t="str" cm="1">
        <f t="array" ref="E139">_xlfn.XLOOKUP(Table11918[[#This Row],[Team]],Table4334[Team],'2425'!$C$3:$C$34)</f>
        <v>n/a</v>
      </c>
      <c r="F139" s="97" t="str">
        <f>'2025'!$E$7</f>
        <v>n/a</v>
      </c>
      <c r="G139" s="94" t="e" cm="1">
        <f t="array" ref="G13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39" s="94" t="e" cm="1">
        <f t="array" ref="H13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39" s="94" t="e" cm="1">
        <f t="array" ref="I13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39" s="96" t="e" cm="1">
        <f t="array" ref="J13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39" s="96" t="e" cm="1">
        <f t="array" ref="K13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39" s="96" t="e" cm="1">
        <f t="array" ref="L13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39" s="94" t="e">
        <f>AVERAGE(Table11918[[#This Row],[*C*]:[*TD*]])</f>
        <v>#N/A</v>
      </c>
    </row>
    <row r="140" spans="2:13" hidden="1" x14ac:dyDescent="0.35">
      <c r="B140" s="6" t="s">
        <v>408</v>
      </c>
      <c r="C140" s="97" t="s">
        <v>44</v>
      </c>
      <c r="D140" s="97" t="s">
        <v>67</v>
      </c>
      <c r="E140" s="23" t="str" cm="1">
        <f t="array" ref="E140">_xlfn.XLOOKUP(Table11918[[#This Row],[Team]],Table4334[Team],'2425'!$C$3:$C$34)</f>
        <v>n/a</v>
      </c>
      <c r="F140" s="97" t="str">
        <f>'2025'!$E$22</f>
        <v>n/a</v>
      </c>
      <c r="G140" s="94" t="e" cm="1">
        <f t="array" ref="G14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0" s="94" t="e" cm="1">
        <f t="array" ref="H14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0" s="94" t="e" cm="1">
        <f t="array" ref="I14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0" s="96" t="e" cm="1">
        <f t="array" ref="J14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0" s="96" t="e" cm="1">
        <f t="array" ref="K14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0" s="96" t="e" cm="1">
        <f t="array" ref="L14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0" s="94" t="e">
        <f>AVERAGE(Table11918[[#This Row],[*C*]:[*TD*]])</f>
        <v>#N/A</v>
      </c>
    </row>
    <row r="141" spans="2:13" hidden="1" x14ac:dyDescent="0.35">
      <c r="B141" s="6" t="s">
        <v>242</v>
      </c>
      <c r="C141" s="97" t="s">
        <v>39</v>
      </c>
      <c r="D141" s="97" t="s">
        <v>68</v>
      </c>
      <c r="E141" s="23" t="str" cm="1">
        <f t="array" ref="E141">_xlfn.XLOOKUP(Table11918[[#This Row],[Team]],Table4334[Team],'2425'!$C$3:$C$34)</f>
        <v>n/a</v>
      </c>
      <c r="F141" s="97" t="str">
        <f>'2025'!$E$17</f>
        <v>n/a</v>
      </c>
      <c r="G141" s="94" t="e" cm="1">
        <f t="array" ref="G14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1" s="94" t="e" cm="1">
        <f t="array" ref="H14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1" s="94" t="e" cm="1">
        <f t="array" ref="I14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1" s="96" t="e" cm="1">
        <f t="array" ref="J14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1" s="96" t="e" cm="1">
        <f t="array" ref="K14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1" s="96" t="e" cm="1">
        <f t="array" ref="L14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1" s="94" t="e">
        <f>AVERAGE(Table11918[[#This Row],[*C*]:[*TD*]])</f>
        <v>#N/A</v>
      </c>
    </row>
    <row r="142" spans="2:13" hidden="1" x14ac:dyDescent="0.35">
      <c r="B142" s="6" t="s">
        <v>253</v>
      </c>
      <c r="C142" s="97" t="s">
        <v>40</v>
      </c>
      <c r="D142" s="97" t="s">
        <v>67</v>
      </c>
      <c r="E142" s="23" t="str" cm="1">
        <f t="array" ref="E142">_xlfn.XLOOKUP(Table11918[[#This Row],[Team]],Table4334[Team],'2425'!$C$3:$C$34)</f>
        <v>n/a</v>
      </c>
      <c r="F142" s="97" t="str">
        <f>'2025'!$E$18</f>
        <v>n/a</v>
      </c>
      <c r="G142" s="94" t="e" cm="1">
        <f t="array" ref="G14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2" s="94" t="e" cm="1">
        <f t="array" ref="H14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2" s="94" t="e" cm="1">
        <f t="array" ref="I14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2" s="96" t="e" cm="1">
        <f t="array" ref="J14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2" s="96" t="e" cm="1">
        <f t="array" ref="K14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2" s="96" t="e" cm="1">
        <f t="array" ref="L14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2" s="94" t="e">
        <f>AVERAGE(Table11918[[#This Row],[*C*]:[*TD*]])</f>
        <v>#N/A</v>
      </c>
    </row>
    <row r="143" spans="2:13" hidden="1" x14ac:dyDescent="0.35">
      <c r="B143" s="6" t="s">
        <v>431</v>
      </c>
      <c r="C143" s="97" t="s">
        <v>44</v>
      </c>
      <c r="D143" s="97" t="s">
        <v>403</v>
      </c>
      <c r="E143" s="23" t="str" cm="1">
        <f t="array" ref="E143">_xlfn.XLOOKUP(Table11918[[#This Row],[Team]],Table4334[Team],'2425'!$C$3:$C$34)</f>
        <v>n/a</v>
      </c>
      <c r="F143" s="97" t="str">
        <f>'2025'!$E$22</f>
        <v>n/a</v>
      </c>
      <c r="G143" s="94" t="e" cm="1">
        <f t="array" ref="G14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3" s="94" t="e" cm="1">
        <f t="array" ref="H14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3" s="94" t="e" cm="1">
        <f t="array" ref="I14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3" s="96" t="e" cm="1">
        <f t="array" ref="J14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3" s="96" t="e" cm="1">
        <f t="array" ref="K14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3" s="96" t="e" cm="1">
        <f t="array" ref="L14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3" s="94" t="e">
        <f>AVERAGE(Table11918[[#This Row],[*C*]:[*TD*]])</f>
        <v>#N/A</v>
      </c>
    </row>
    <row r="144" spans="2:13" hidden="1" x14ac:dyDescent="0.35">
      <c r="B144" s="6" t="s">
        <v>290</v>
      </c>
      <c r="C144" s="97" t="s">
        <v>44</v>
      </c>
      <c r="D144" s="97" t="s">
        <v>411</v>
      </c>
      <c r="E144" s="23" t="str" cm="1">
        <f t="array" ref="E144">_xlfn.XLOOKUP(Table11918[[#This Row],[Team]],Table4334[Team],'2425'!$C$3:$C$34)</f>
        <v>n/a</v>
      </c>
      <c r="F144" s="97" t="str">
        <f>'2025'!$E$22</f>
        <v>n/a</v>
      </c>
      <c r="G144" s="94" t="e" cm="1">
        <f t="array" ref="G14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4" s="94" t="e" cm="1">
        <f t="array" ref="H14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4" s="94" t="e" cm="1">
        <f t="array" ref="I14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4" s="96" t="e" cm="1">
        <f t="array" ref="J14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4" s="96" t="e" cm="1">
        <f t="array" ref="K14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4" s="96" t="e" cm="1">
        <f t="array" ref="L14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4" s="94" t="e">
        <f>AVERAGE(Table11918[[#This Row],[*C*]:[*TD*]])</f>
        <v>#N/A</v>
      </c>
    </row>
    <row r="145" spans="2:13" hidden="1" x14ac:dyDescent="0.35">
      <c r="B145" s="6" t="s">
        <v>184</v>
      </c>
      <c r="C145" s="97" t="s">
        <v>35</v>
      </c>
      <c r="D145" s="97" t="s">
        <v>67</v>
      </c>
      <c r="E145" s="23" t="str" cm="1">
        <f t="array" ref="E145">_xlfn.XLOOKUP(Table11918[[#This Row],[Team]],Table4334[Team],'2425'!$C$3:$C$34)</f>
        <v>n/a</v>
      </c>
      <c r="F145" s="97" t="str">
        <f>'2025'!$E$13</f>
        <v>n/a</v>
      </c>
      <c r="G145" s="94" t="e" cm="1">
        <f t="array" ref="G14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5" s="94" t="e" cm="1">
        <f t="array" ref="H14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5" s="94" t="e" cm="1">
        <f t="array" ref="I14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5" s="96" t="e" cm="1">
        <f t="array" ref="J14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5" s="96" t="e" cm="1">
        <f t="array" ref="K14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5" s="96" t="e" cm="1">
        <f t="array" ref="L14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5" s="94" t="e">
        <f>AVERAGE(Table11918[[#This Row],[*C*]:[*TD*]])</f>
        <v>#N/A</v>
      </c>
    </row>
    <row r="146" spans="2:13" hidden="1" x14ac:dyDescent="0.35">
      <c r="B146" s="6" t="s">
        <v>415</v>
      </c>
      <c r="C146" s="97" t="s">
        <v>49</v>
      </c>
      <c r="D146" s="97" t="s">
        <v>67</v>
      </c>
      <c r="E146" s="23" t="str" cm="1">
        <f t="array" ref="E146">_xlfn.XLOOKUP(Table11918[[#This Row],[Team]],Table4334[Team],'2425'!$C$3:$C$34)</f>
        <v>n/a</v>
      </c>
      <c r="F146" s="97" t="str">
        <f>'2025'!$E$27</f>
        <v>n/a</v>
      </c>
      <c r="G146" s="94" t="e" cm="1">
        <f t="array" ref="G14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6" s="94" t="e" cm="1">
        <f t="array" ref="H14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6" s="94" t="e" cm="1">
        <f t="array" ref="I14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6" s="96" t="e" cm="1">
        <f t="array" ref="J14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6" s="96" t="e" cm="1">
        <f t="array" ref="K14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6" s="96" t="e" cm="1">
        <f t="array" ref="L14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6" s="94" t="e">
        <f>AVERAGE(Table11918[[#This Row],[*C*]:[*TD*]])</f>
        <v>#N/A</v>
      </c>
    </row>
    <row r="147" spans="2:13" hidden="1" x14ac:dyDescent="0.35">
      <c r="B147" s="6" t="s">
        <v>568</v>
      </c>
      <c r="C147" s="97" t="s">
        <v>43</v>
      </c>
      <c r="D147" s="97" t="s">
        <v>67</v>
      </c>
      <c r="E147" s="23" t="str" cm="1">
        <f t="array" ref="E147">_xlfn.XLOOKUP(Table11918[[#This Row],[Team]],Table4334[Team],'2425'!$C$3:$C$34)</f>
        <v>n/a</v>
      </c>
      <c r="F147" s="97" t="str">
        <f>'2025'!$E$21</f>
        <v>n/a</v>
      </c>
      <c r="G147" s="94" t="e" cm="1">
        <f t="array" ref="G14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7" s="94" t="e" cm="1">
        <f t="array" ref="H14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7" s="94" t="e" cm="1">
        <f t="array" ref="I14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7" s="96" t="e" cm="1">
        <f t="array" ref="J14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7" s="96" t="e" cm="1">
        <f t="array" ref="K14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7" s="96" t="e" cm="1">
        <f t="array" ref="L14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7" s="94" t="e">
        <f>AVERAGE(Table11918[[#This Row],[*C*]:[*TD*]])</f>
        <v>#N/A</v>
      </c>
    </row>
    <row r="148" spans="2:13" hidden="1" x14ac:dyDescent="0.35">
      <c r="B148" s="6" t="s">
        <v>261</v>
      </c>
      <c r="C148" s="97" t="s">
        <v>41</v>
      </c>
      <c r="D148" s="97" t="s">
        <v>68</v>
      </c>
      <c r="E148" s="23" t="str" cm="1">
        <f t="array" ref="E148">_xlfn.XLOOKUP(Table11918[[#This Row],[Team]],Table4334[Team],'2425'!$C$3:$C$34)</f>
        <v>n/a</v>
      </c>
      <c r="F148" s="97" t="str">
        <f>'2025'!$E$19</f>
        <v>n/a</v>
      </c>
      <c r="G148" s="94" t="e" cm="1">
        <f t="array" ref="G14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8" s="94" t="e" cm="1">
        <f t="array" ref="H14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8" s="94" t="e" cm="1">
        <f t="array" ref="I14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8" s="96" t="e" cm="1">
        <f t="array" ref="J14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8" s="96" t="e" cm="1">
        <f t="array" ref="K14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8" s="96" t="e" cm="1">
        <f t="array" ref="L14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8" s="94" t="e">
        <f>AVERAGE(Table11918[[#This Row],[*C*]:[*TD*]])</f>
        <v>#N/A</v>
      </c>
    </row>
    <row r="149" spans="2:13" hidden="1" x14ac:dyDescent="0.35">
      <c r="B149" s="6" t="s">
        <v>549</v>
      </c>
      <c r="C149" s="97" t="s">
        <v>42</v>
      </c>
      <c r="D149" s="97" t="s">
        <v>403</v>
      </c>
      <c r="E149" s="23" t="str" cm="1">
        <f t="array" ref="E149">_xlfn.XLOOKUP(Table11918[[#This Row],[Team]],Table4334[Team],'2425'!$C$3:$C$34)</f>
        <v>n/a</v>
      </c>
      <c r="F149" s="97" t="str">
        <f>'2025'!$E$20</f>
        <v>n/a</v>
      </c>
      <c r="G149" s="94" t="e" cm="1">
        <f t="array" ref="G14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49" s="94" t="e" cm="1">
        <f t="array" ref="H14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49" s="94" t="e" cm="1">
        <f t="array" ref="I14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49" s="96" t="e" cm="1">
        <f t="array" ref="J14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49" s="96" t="e" cm="1">
        <f t="array" ref="K14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49" s="96" t="e" cm="1">
        <f t="array" ref="L14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49" s="94" t="e">
        <f>AVERAGE(Table11918[[#This Row],[*C*]:[*TD*]])</f>
        <v>#N/A</v>
      </c>
    </row>
    <row r="150" spans="2:13" hidden="1" x14ac:dyDescent="0.35">
      <c r="B150" s="6" t="s">
        <v>550</v>
      </c>
      <c r="C150" s="97" t="s">
        <v>42</v>
      </c>
      <c r="D150" s="97" t="s">
        <v>411</v>
      </c>
      <c r="E150" s="23" t="str" cm="1">
        <f t="array" ref="E150">_xlfn.XLOOKUP(Table11918[[#This Row],[Team]],Table4334[Team],'2425'!$C$3:$C$34)</f>
        <v>n/a</v>
      </c>
      <c r="F150" s="97" t="str">
        <f>'2025'!$E$20</f>
        <v>n/a</v>
      </c>
      <c r="G150" s="94" t="e" cm="1">
        <f t="array" ref="G15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0" s="94" t="e" cm="1">
        <f t="array" ref="H15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0" s="94" t="e" cm="1">
        <f t="array" ref="I15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0" s="96" t="e" cm="1">
        <f t="array" ref="J15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0" s="96" t="e" cm="1">
        <f t="array" ref="K15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0" s="96" t="e" cm="1">
        <f t="array" ref="L15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0" s="94" t="e">
        <f>AVERAGE(Table11918[[#This Row],[*C*]:[*TD*]])</f>
        <v>#N/A</v>
      </c>
    </row>
    <row r="151" spans="2:13" hidden="1" x14ac:dyDescent="0.35">
      <c r="B151" s="6" t="s">
        <v>464</v>
      </c>
      <c r="C151" s="97" t="s">
        <v>56</v>
      </c>
      <c r="D151" s="97" t="s">
        <v>67</v>
      </c>
      <c r="E151" s="23" t="str" cm="1">
        <f t="array" ref="E151">_xlfn.XLOOKUP(Table11918[[#This Row],[Team]],Table4334[Team],'2425'!$C$3:$C$34)</f>
        <v>n/a</v>
      </c>
      <c r="F151" s="97" t="str">
        <f>'2025'!$E$34</f>
        <v>n/a</v>
      </c>
      <c r="G151" s="94" t="e" cm="1">
        <f t="array" ref="G15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1" s="94" t="e" cm="1">
        <f t="array" ref="H15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1" s="94" t="e" cm="1">
        <f t="array" ref="I15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1" s="96" t="e" cm="1">
        <f t="array" ref="J15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1" s="96" t="e" cm="1">
        <f t="array" ref="K15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1" s="96" t="e" cm="1">
        <f t="array" ref="L15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1" s="94" t="e">
        <f>AVERAGE(Table11918[[#This Row],[*C*]:[*TD*]])</f>
        <v>#N/A</v>
      </c>
    </row>
    <row r="152" spans="2:13" x14ac:dyDescent="0.35">
      <c r="B152" s="6" t="s">
        <v>274</v>
      </c>
      <c r="C152" s="97" t="s">
        <v>42</v>
      </c>
      <c r="D152" s="97" t="s">
        <v>401</v>
      </c>
      <c r="E152" s="23" t="str" cm="1">
        <f t="array" ref="E152">_xlfn.XLOOKUP(Table11918[[#This Row],[Team]],Table4334[Team],'2425'!$C$3:$C$34)</f>
        <v>n/a</v>
      </c>
      <c r="F152" s="97" t="str">
        <f>'2025'!$E$20</f>
        <v>n/a</v>
      </c>
      <c r="G152" s="94" t="e" cm="1">
        <f t="array" ref="G15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2" s="94" t="e" cm="1">
        <f t="array" ref="H15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2" s="94" t="e" cm="1">
        <f t="array" ref="I15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2" s="96" t="e" cm="1">
        <f t="array" ref="J15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2" s="96" t="e" cm="1">
        <f t="array" ref="K15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2" s="96" t="e" cm="1">
        <f t="array" ref="L15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2" s="94" t="e">
        <f>AVERAGE(Table11918[[#This Row],[*C*]:[*TD*]])</f>
        <v>#N/A</v>
      </c>
    </row>
    <row r="153" spans="2:13" hidden="1" x14ac:dyDescent="0.35">
      <c r="B153" s="6" t="s">
        <v>142</v>
      </c>
      <c r="C153" s="97" t="s">
        <v>0</v>
      </c>
      <c r="D153" s="97" t="s">
        <v>67</v>
      </c>
      <c r="E153" s="23" t="str" cm="1">
        <f t="array" ref="E153">_xlfn.XLOOKUP(Table11918[[#This Row],[Team]],Table4334[Team],'2425'!$C$3:$C$34)</f>
        <v>n/a</v>
      </c>
      <c r="F153" s="97" t="str">
        <f>'2025'!$E$3</f>
        <v>n/a</v>
      </c>
      <c r="G153" s="94" t="e" cm="1">
        <f t="array" ref="G15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3" s="94" t="e" cm="1">
        <f t="array" ref="H15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3" s="94" t="e" cm="1">
        <f t="array" ref="I15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3" s="96" t="e" cm="1">
        <f t="array" ref="J15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3" s="96" t="e" cm="1">
        <f t="array" ref="K15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3" s="96" t="e" cm="1">
        <f t="array" ref="L15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3" s="94" t="e">
        <f>AVERAGE(Table11918[[#This Row],[*C*]:[*TD*]])</f>
        <v>#N/A</v>
      </c>
    </row>
    <row r="154" spans="2:13" hidden="1" x14ac:dyDescent="0.35">
      <c r="B154" s="6" t="s">
        <v>454</v>
      </c>
      <c r="C154" s="97" t="s">
        <v>50</v>
      </c>
      <c r="D154" s="98" t="s">
        <v>68</v>
      </c>
      <c r="E154" s="23" t="str" cm="1">
        <f t="array" ref="E154">_xlfn.XLOOKUP(Table11918[[#This Row],[Team]],Table4334[Team],'2425'!$C$3:$C$34)</f>
        <v>n/a</v>
      </c>
      <c r="F154" s="97" t="str">
        <f>'2025'!$E$28</f>
        <v>n/a</v>
      </c>
      <c r="G154" s="94" t="e" cm="1">
        <f t="array" ref="G15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4" s="94" t="e" cm="1">
        <f t="array" ref="H15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4" s="94" t="e" cm="1">
        <f t="array" ref="I15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4" s="96" t="e" cm="1">
        <f t="array" ref="J15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4" s="96" t="e" cm="1">
        <f t="array" ref="K15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4" s="96" t="e" cm="1">
        <f t="array" ref="L15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4" s="94" t="e">
        <f>AVERAGE(Table11918[[#This Row],[*C*]:[*TD*]])</f>
        <v>#N/A</v>
      </c>
    </row>
    <row r="155" spans="2:13" hidden="1" x14ac:dyDescent="0.35">
      <c r="B155" s="6" t="s">
        <v>214</v>
      </c>
      <c r="C155" s="97" t="s">
        <v>36</v>
      </c>
      <c r="D155" s="97" t="s">
        <v>68</v>
      </c>
      <c r="E155" s="23" t="str" cm="1">
        <f t="array" ref="E155">_xlfn.XLOOKUP(Table11918[[#This Row],[Team]],Table4334[Team],'2425'!$C$3:$C$34)</f>
        <v>n/a</v>
      </c>
      <c r="F155" s="97" t="str">
        <f>'2025'!$E$14</f>
        <v>n/a</v>
      </c>
      <c r="G155" s="94" t="e" cm="1">
        <f t="array" ref="G15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5" s="94" t="e" cm="1">
        <f t="array" ref="H15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5" s="94" t="e" cm="1">
        <f t="array" ref="I15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5" s="96" t="e" cm="1">
        <f t="array" ref="J15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5" s="96" t="e" cm="1">
        <f t="array" ref="K15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5" s="96" t="e" cm="1">
        <f t="array" ref="L15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5" s="94" t="e">
        <f>AVERAGE(Table11918[[#This Row],[*C*]:[*TD*]])</f>
        <v>#N/A</v>
      </c>
    </row>
    <row r="156" spans="2:13" hidden="1" x14ac:dyDescent="0.35">
      <c r="B156" s="6" t="s">
        <v>251</v>
      </c>
      <c r="C156" s="97" t="s">
        <v>40</v>
      </c>
      <c r="D156" s="97" t="s">
        <v>68</v>
      </c>
      <c r="E156" s="23" t="str" cm="1">
        <f t="array" ref="E156">_xlfn.XLOOKUP(Table11918[[#This Row],[Team]],Table4334[Team],'2425'!$C$3:$C$34)</f>
        <v>n/a</v>
      </c>
      <c r="F156" s="97" t="str">
        <f>'2025'!$E$18</f>
        <v>n/a</v>
      </c>
      <c r="G156" s="94" t="e" cm="1">
        <f t="array" ref="G15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6" s="94" t="e" cm="1">
        <f t="array" ref="H15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6" s="94" t="e" cm="1">
        <f t="array" ref="I15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6" s="96" t="e" cm="1">
        <f t="array" ref="J15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6" s="96" t="e" cm="1">
        <f t="array" ref="K15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6" s="96" t="e" cm="1">
        <f t="array" ref="L15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6" s="94" t="e">
        <f>AVERAGE(Table11918[[#This Row],[*C*]:[*TD*]])</f>
        <v>#N/A</v>
      </c>
    </row>
    <row r="157" spans="2:13" x14ac:dyDescent="0.35">
      <c r="B157" s="6" t="s">
        <v>144</v>
      </c>
      <c r="C157" s="97" t="s">
        <v>17</v>
      </c>
      <c r="D157" s="97" t="s">
        <v>66</v>
      </c>
      <c r="E157" s="23" t="str" cm="1">
        <f t="array" ref="E157">_xlfn.XLOOKUP(Table11918[[#This Row],[Team]],Table4334[Team],'2425'!$C$3:$C$34)</f>
        <v>n/a</v>
      </c>
      <c r="F157" s="97" t="str">
        <f>'2025'!$E$6</f>
        <v>n/a</v>
      </c>
      <c r="G157" s="94" t="e" cm="1">
        <f t="array" ref="G15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7" s="94" t="e" cm="1">
        <f t="array" ref="H15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7" s="94" t="e" cm="1">
        <f t="array" ref="I15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7" s="96" t="e" cm="1">
        <f t="array" ref="J15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7" s="96" t="e" cm="1">
        <f t="array" ref="K15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7" s="96" t="e" cm="1">
        <f t="array" ref="L15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7" s="94" t="e">
        <f>AVERAGE(Table11918[[#This Row],[*C*]:[*TD*]])</f>
        <v>#N/A</v>
      </c>
    </row>
    <row r="158" spans="2:13" x14ac:dyDescent="0.35">
      <c r="B158" s="6" t="s">
        <v>365</v>
      </c>
      <c r="C158" s="97" t="s">
        <v>53</v>
      </c>
      <c r="D158" s="97" t="s">
        <v>67</v>
      </c>
      <c r="E158" s="23" t="str" cm="1">
        <f t="array" ref="E158">_xlfn.XLOOKUP(Table11918[[#This Row],[Team]],Table4334[Team],'2425'!$C$3:$C$34)</f>
        <v>n/a</v>
      </c>
      <c r="F158" s="97" t="str">
        <f>'2025'!$E$31</f>
        <v>n/a</v>
      </c>
      <c r="G158" s="94" t="e" cm="1">
        <f t="array" ref="G15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8" s="94" t="e" cm="1">
        <f t="array" ref="H15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8" s="94" t="e" cm="1">
        <f t="array" ref="I15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8" s="96" t="e" cm="1">
        <f t="array" ref="J15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8" s="96" t="e" cm="1">
        <f t="array" ref="K15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8" s="96" t="e" cm="1">
        <f t="array" ref="L15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8" s="94" t="e">
        <f>AVERAGE(Table11918[[#This Row],[*C*]:[*TD*]])</f>
        <v>#N/A</v>
      </c>
    </row>
    <row r="159" spans="2:13" hidden="1" x14ac:dyDescent="0.35">
      <c r="B159" s="6" t="s">
        <v>562</v>
      </c>
      <c r="C159" s="97" t="s">
        <v>41</v>
      </c>
      <c r="D159" s="97" t="s">
        <v>403</v>
      </c>
      <c r="E159" s="23" t="str" cm="1">
        <f t="array" ref="E159">_xlfn.XLOOKUP(Table11918[[#This Row],[Team]],Table4334[Team],'2425'!$C$3:$C$34)</f>
        <v>n/a</v>
      </c>
      <c r="F159" s="97" t="str">
        <f>'2025'!$E$19</f>
        <v>n/a</v>
      </c>
      <c r="G159" s="94" t="e" cm="1">
        <f t="array" ref="G15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59" s="94" t="e" cm="1">
        <f t="array" ref="H15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59" s="94" t="e" cm="1">
        <f t="array" ref="I15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59" s="96" t="e" cm="1">
        <f t="array" ref="J15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59" s="96" t="e" cm="1">
        <f t="array" ref="K15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59" s="96" t="e" cm="1">
        <f t="array" ref="L15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59" s="94" t="e">
        <f>AVERAGE(Table11918[[#This Row],[*C*]:[*TD*]])</f>
        <v>#N/A</v>
      </c>
    </row>
    <row r="160" spans="2:13" hidden="1" x14ac:dyDescent="0.35">
      <c r="B160" s="6" t="s">
        <v>563</v>
      </c>
      <c r="C160" s="97" t="s">
        <v>41</v>
      </c>
      <c r="D160" s="97" t="s">
        <v>411</v>
      </c>
      <c r="E160" s="23" t="str" cm="1">
        <f t="array" ref="E160">_xlfn.XLOOKUP(Table11918[[#This Row],[Team]],Table4334[Team],'2425'!$C$3:$C$34)</f>
        <v>n/a</v>
      </c>
      <c r="F160" s="97" t="str">
        <f>'2025'!$E$19</f>
        <v>n/a</v>
      </c>
      <c r="G160" s="94" t="e" cm="1">
        <f t="array" ref="G16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0" s="94" t="e" cm="1">
        <f t="array" ref="H16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0" s="94" t="e" cm="1">
        <f t="array" ref="I16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0" s="96" t="e" cm="1">
        <f t="array" ref="J16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0" s="96" t="e" cm="1">
        <f t="array" ref="K16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0" s="96" t="e" cm="1">
        <f t="array" ref="L16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0" s="94" t="e">
        <f>AVERAGE(Table11918[[#This Row],[*C*]:[*TD*]])</f>
        <v>#N/A</v>
      </c>
    </row>
    <row r="161" spans="2:13" x14ac:dyDescent="0.35">
      <c r="B161" s="6" t="s">
        <v>273</v>
      </c>
      <c r="C161" s="97" t="s">
        <v>42</v>
      </c>
      <c r="D161" s="97" t="s">
        <v>68</v>
      </c>
      <c r="E161" s="23" t="str" cm="1">
        <f t="array" ref="E161">_xlfn.XLOOKUP(Table11918[[#This Row],[Team]],Table4334[Team],'2425'!$C$3:$C$34)</f>
        <v>n/a</v>
      </c>
      <c r="F161" s="97" t="str">
        <f>'2025'!$E$20</f>
        <v>n/a</v>
      </c>
      <c r="G161" s="94" t="e" cm="1">
        <f t="array" ref="G16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1" s="94" t="e" cm="1">
        <f t="array" ref="H16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1" s="94" t="e" cm="1">
        <f t="array" ref="I16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1" s="96" t="e" cm="1">
        <f t="array" ref="J16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1" s="96" t="e" cm="1">
        <f t="array" ref="K16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1" s="96" t="e" cm="1">
        <f t="array" ref="L16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1" s="94" t="e">
        <f>AVERAGE(Table11918[[#This Row],[*C*]:[*TD*]])</f>
        <v>#N/A</v>
      </c>
    </row>
    <row r="162" spans="2:13" hidden="1" x14ac:dyDescent="0.35">
      <c r="B162" s="6" t="s">
        <v>555</v>
      </c>
      <c r="C162" s="97" t="s">
        <v>0</v>
      </c>
      <c r="D162" s="97" t="s">
        <v>68</v>
      </c>
      <c r="E162" s="23" t="str" cm="1">
        <f t="array" ref="E162">_xlfn.XLOOKUP(Table11918[[#This Row],[Team]],Table4334[Team],'2425'!$C$3:$C$34)</f>
        <v>n/a</v>
      </c>
      <c r="F162" s="97" t="str">
        <f>'2025'!$E$3</f>
        <v>n/a</v>
      </c>
      <c r="G162" s="94" t="e" cm="1">
        <f t="array" ref="G16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2" s="94" t="e" cm="1">
        <f t="array" ref="H16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2" s="94" t="e" cm="1">
        <f t="array" ref="I16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2" s="96" t="e" cm="1">
        <f t="array" ref="J16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2" s="96" t="e" cm="1">
        <f t="array" ref="K16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2" s="96" t="e" cm="1">
        <f t="array" ref="L16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2" s="94" t="e">
        <f>AVERAGE(Table11918[[#This Row],[*C*]:[*TD*]])</f>
        <v>#N/A</v>
      </c>
    </row>
    <row r="163" spans="2:13" hidden="1" x14ac:dyDescent="0.35">
      <c r="B163" s="6" t="s">
        <v>417</v>
      </c>
      <c r="C163" s="97" t="s">
        <v>49</v>
      </c>
      <c r="D163" s="97" t="s">
        <v>68</v>
      </c>
      <c r="E163" s="23" t="str" cm="1">
        <f t="array" ref="E163">_xlfn.XLOOKUP(Table11918[[#This Row],[Team]],Table4334[Team],'2425'!$C$3:$C$34)</f>
        <v>n/a</v>
      </c>
      <c r="F163" s="97" t="str">
        <f>'2025'!$E$27</f>
        <v>n/a</v>
      </c>
      <c r="G163" s="94" t="e" cm="1">
        <f t="array" ref="G16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3" s="94" t="e" cm="1">
        <f t="array" ref="H16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3" s="94" t="e" cm="1">
        <f t="array" ref="I16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3" s="96" t="e" cm="1">
        <f t="array" ref="J16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3" s="96" t="e" cm="1">
        <f t="array" ref="K16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3" s="96" t="e" cm="1">
        <f t="array" ref="L16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3" s="94" t="e">
        <f>AVERAGE(Table11918[[#This Row],[*C*]:[*TD*]])</f>
        <v>#N/A</v>
      </c>
    </row>
    <row r="164" spans="2:13" hidden="1" x14ac:dyDescent="0.35">
      <c r="B164" s="6" t="s">
        <v>402</v>
      </c>
      <c r="C164" s="97" t="s">
        <v>17</v>
      </c>
      <c r="D164" s="97" t="s">
        <v>403</v>
      </c>
      <c r="E164" s="23" t="str" cm="1">
        <f t="array" ref="E164">_xlfn.XLOOKUP(Table11918[[#This Row],[Team]],Table4334[Team],'2425'!$C$3:$C$34)</f>
        <v>n/a</v>
      </c>
      <c r="F164" s="97" t="str">
        <f>'2025'!$E$6</f>
        <v>n/a</v>
      </c>
      <c r="G164" s="94" t="e" cm="1">
        <f t="array" ref="G16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4" s="94" t="e" cm="1">
        <f t="array" ref="H16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4" s="94" t="e" cm="1">
        <f t="array" ref="I16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4" s="96" t="e" cm="1">
        <f t="array" ref="J16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4" s="96" t="e" cm="1">
        <f t="array" ref="K16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4" s="96" t="e" cm="1">
        <f t="array" ref="L16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4" s="94" t="e">
        <f>AVERAGE(Table11918[[#This Row],[*C*]:[*TD*]])</f>
        <v>#N/A</v>
      </c>
    </row>
    <row r="165" spans="2:13" hidden="1" x14ac:dyDescent="0.35">
      <c r="B165" s="6" t="s">
        <v>410</v>
      </c>
      <c r="C165" s="97" t="s">
        <v>17</v>
      </c>
      <c r="D165" s="97" t="s">
        <v>411</v>
      </c>
      <c r="E165" s="23" t="str" cm="1">
        <f t="array" ref="E165">_xlfn.XLOOKUP(Table11918[[#This Row],[Team]],Table4334[Team],'2425'!$C$3:$C$34)</f>
        <v>n/a</v>
      </c>
      <c r="F165" s="97" t="str">
        <f>'2025'!$E$6</f>
        <v>n/a</v>
      </c>
      <c r="G165" s="94" t="e" cm="1">
        <f t="array" ref="G16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5" s="94" t="e" cm="1">
        <f t="array" ref="H16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5" s="94" t="e" cm="1">
        <f t="array" ref="I16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5" s="96" t="e" cm="1">
        <f t="array" ref="J16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5" s="96" t="e" cm="1">
        <f t="array" ref="K16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5" s="96" t="e" cm="1">
        <f t="array" ref="L16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5" s="94" t="e">
        <f>AVERAGE(Table11918[[#This Row],[*C*]:[*TD*]])</f>
        <v>#N/A</v>
      </c>
    </row>
    <row r="166" spans="2:13" hidden="1" x14ac:dyDescent="0.35">
      <c r="B166" s="6" t="s">
        <v>292</v>
      </c>
      <c r="C166" s="97" t="s">
        <v>44</v>
      </c>
      <c r="D166" s="97" t="s">
        <v>68</v>
      </c>
      <c r="E166" s="23" t="str" cm="1">
        <f t="array" ref="E166">_xlfn.XLOOKUP(Table11918[[#This Row],[Team]],Table4334[Team],'2425'!$C$3:$C$34)</f>
        <v>n/a</v>
      </c>
      <c r="F166" s="97" t="str">
        <f>'2025'!$E$22</f>
        <v>n/a</v>
      </c>
      <c r="G166" s="94" t="e" cm="1">
        <f t="array" ref="G16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6" s="94" t="e" cm="1">
        <f t="array" ref="H16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6" s="94" t="e" cm="1">
        <f t="array" ref="I16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6" s="96" t="e" cm="1">
        <f t="array" ref="J16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6" s="96" t="e" cm="1">
        <f t="array" ref="K16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6" s="96" t="e" cm="1">
        <f t="array" ref="L16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6" s="94" t="e">
        <f>AVERAGE(Table11918[[#This Row],[*C*]:[*TD*]])</f>
        <v>#N/A</v>
      </c>
    </row>
    <row r="167" spans="2:13" x14ac:dyDescent="0.35">
      <c r="B167" s="6" t="s">
        <v>225</v>
      </c>
      <c r="C167" s="97" t="s">
        <v>37</v>
      </c>
      <c r="D167" s="97" t="s">
        <v>401</v>
      </c>
      <c r="E167" s="23" t="str" cm="1">
        <f t="array" ref="E167">_xlfn.XLOOKUP(Table11918[[#This Row],[Team]],Table4334[Team],'2425'!$C$3:$C$34)</f>
        <v>n/a</v>
      </c>
      <c r="F167" s="97" t="str">
        <f>'2025'!$E$15</f>
        <v>n/a</v>
      </c>
      <c r="G167" s="94" t="e" cm="1">
        <f t="array" ref="G16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7" s="94" t="e" cm="1">
        <f t="array" ref="H16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7" s="94" t="e" cm="1">
        <f t="array" ref="I16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7" s="96" t="e" cm="1">
        <f t="array" ref="J16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7" s="96" t="e" cm="1">
        <f t="array" ref="K16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7" s="96" t="e" cm="1">
        <f t="array" ref="L16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7" s="94" t="e">
        <f>AVERAGE(Table11918[[#This Row],[*C*]:[*TD*]])</f>
        <v>#N/A</v>
      </c>
    </row>
    <row r="168" spans="2:13" hidden="1" x14ac:dyDescent="0.35">
      <c r="B168" s="6" t="s">
        <v>520</v>
      </c>
      <c r="C168" s="97" t="s">
        <v>45</v>
      </c>
      <c r="D168" s="97" t="s">
        <v>403</v>
      </c>
      <c r="E168" s="23" t="str" cm="1">
        <f t="array" ref="E168">_xlfn.XLOOKUP(Table11918[[#This Row],[Team]],Table4334[Team],'2425'!$C$3:$C$34)</f>
        <v>n/a</v>
      </c>
      <c r="F168" s="97" t="str">
        <f>'2025'!$E$23</f>
        <v>n/a</v>
      </c>
      <c r="G168" s="94" t="e" cm="1">
        <f t="array" ref="G16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8" s="94" t="e" cm="1">
        <f t="array" ref="H16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8" s="94" t="e" cm="1">
        <f t="array" ref="I16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8" s="96" t="e" cm="1">
        <f t="array" ref="J16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8" s="96" t="e" cm="1">
        <f t="array" ref="K16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8" s="96" t="e" cm="1">
        <f t="array" ref="L16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8" s="94" t="e">
        <f>AVERAGE(Table11918[[#This Row],[*C*]:[*TD*]])</f>
        <v>#N/A</v>
      </c>
    </row>
    <row r="169" spans="2:13" hidden="1" x14ac:dyDescent="0.35">
      <c r="B169" s="6" t="s">
        <v>521</v>
      </c>
      <c r="C169" s="97" t="s">
        <v>45</v>
      </c>
      <c r="D169" s="97" t="s">
        <v>411</v>
      </c>
      <c r="E169" s="23" t="str" cm="1">
        <f t="array" ref="E169">_xlfn.XLOOKUP(Table11918[[#This Row],[Team]],Table4334[Team],'2425'!$C$3:$C$34)</f>
        <v>n/a</v>
      </c>
      <c r="F169" s="97" t="str">
        <f>'2025'!$E$23</f>
        <v>n/a</v>
      </c>
      <c r="G169" s="94" t="e" cm="1">
        <f t="array" ref="G16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69" s="94" t="e" cm="1">
        <f t="array" ref="H16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69" s="94" t="e" cm="1">
        <f t="array" ref="I16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69" s="96" t="e" cm="1">
        <f t="array" ref="J16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69" s="96" t="e" cm="1">
        <f t="array" ref="K16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69" s="96" t="e" cm="1">
        <f t="array" ref="L16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69" s="94" t="e">
        <f>AVERAGE(Table11918[[#This Row],[*C*]:[*TD*]])</f>
        <v>#N/A</v>
      </c>
    </row>
    <row r="170" spans="2:13" hidden="1" x14ac:dyDescent="0.35">
      <c r="B170" s="6" t="s">
        <v>522</v>
      </c>
      <c r="C170" s="97" t="s">
        <v>45</v>
      </c>
      <c r="D170" s="97" t="s">
        <v>441</v>
      </c>
      <c r="E170" s="23" t="str" cm="1">
        <f t="array" ref="E170">_xlfn.XLOOKUP(Table11918[[#This Row],[Team]],Table4334[Team],'2425'!$C$3:$C$34)</f>
        <v>n/a</v>
      </c>
      <c r="F170" s="97" t="str">
        <f>'2025'!$E$23</f>
        <v>n/a</v>
      </c>
      <c r="G170" s="94" t="e" cm="1">
        <f t="array" ref="G17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0" s="94" t="e" cm="1">
        <f t="array" ref="H17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0" s="94" t="e" cm="1">
        <f t="array" ref="I17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0" s="96" t="e" cm="1">
        <f t="array" ref="J17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0" s="96" t="e" cm="1">
        <f t="array" ref="K17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0" s="96" t="e" cm="1">
        <f t="array" ref="L17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0" s="94" t="e">
        <f>AVERAGE(Table11918[[#This Row],[*C*]:[*TD*]])</f>
        <v>#N/A</v>
      </c>
    </row>
    <row r="171" spans="2:13" hidden="1" x14ac:dyDescent="0.35">
      <c r="B171" s="6" t="s">
        <v>505</v>
      </c>
      <c r="C171" s="97" t="s">
        <v>35</v>
      </c>
      <c r="D171" s="97" t="s">
        <v>68</v>
      </c>
      <c r="E171" s="23" t="str" cm="1">
        <f t="array" ref="E171">_xlfn.XLOOKUP(Table11918[[#This Row],[Team]],Table4334[Team],'2425'!$C$3:$C$34)</f>
        <v>n/a</v>
      </c>
      <c r="F171" s="97" t="str">
        <f>'2025'!$E$13</f>
        <v>n/a</v>
      </c>
      <c r="G171" s="94" t="e" cm="1">
        <f t="array" ref="G17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1" s="94" t="e" cm="1">
        <f t="array" ref="H17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1" s="94" t="e" cm="1">
        <f t="array" ref="I17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1" s="96" t="e" cm="1">
        <f t="array" ref="J17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1" s="96" t="e" cm="1">
        <f t="array" ref="K17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1" s="96" t="e" cm="1">
        <f t="array" ref="L17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1" s="94" t="e">
        <f>AVERAGE(Table11918[[#This Row],[*C*]:[*TD*]])</f>
        <v>#N/A</v>
      </c>
    </row>
    <row r="172" spans="2:13" hidden="1" x14ac:dyDescent="0.35">
      <c r="B172" s="6" t="s">
        <v>321</v>
      </c>
      <c r="C172" s="97" t="s">
        <v>51</v>
      </c>
      <c r="D172" s="97" t="s">
        <v>68</v>
      </c>
      <c r="E172" s="23" t="str" cm="1">
        <f t="array" ref="E172">_xlfn.XLOOKUP(Table11918[[#This Row],[Team]],Table4334[Team],'2425'!$C$3:$C$34)</f>
        <v>n/a</v>
      </c>
      <c r="F172" s="97" t="str">
        <f>'2025'!$E$29</f>
        <v>n/a</v>
      </c>
      <c r="G172" s="94" t="e" cm="1">
        <f t="array" ref="G17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2" s="94" t="e" cm="1">
        <f t="array" ref="H17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2" s="94" t="e" cm="1">
        <f t="array" ref="I17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2" s="96" t="e" cm="1">
        <f t="array" ref="J17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2" s="96" t="e" cm="1">
        <f t="array" ref="K17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2" s="96" t="e" cm="1">
        <f t="array" ref="L17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2" s="94" t="e">
        <f>AVERAGE(Table11918[[#This Row],[*C*]:[*TD*]])</f>
        <v>#N/A</v>
      </c>
    </row>
    <row r="173" spans="2:13" hidden="1" x14ac:dyDescent="0.35">
      <c r="B173" s="6" t="s">
        <v>283</v>
      </c>
      <c r="C173" s="97" t="s">
        <v>43</v>
      </c>
      <c r="D173" s="97" t="s">
        <v>68</v>
      </c>
      <c r="E173" s="23" t="str" cm="1">
        <f t="array" ref="E173">_xlfn.XLOOKUP(Table11918[[#This Row],[Team]],Table4334[Team],'2425'!$C$3:$C$34)</f>
        <v>n/a</v>
      </c>
      <c r="F173" s="97" t="str">
        <f>'2025'!$E$21</f>
        <v>n/a</v>
      </c>
      <c r="G173" s="94" t="e" cm="1">
        <f t="array" ref="G17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3" s="94" t="e" cm="1">
        <f t="array" ref="H17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3" s="94" t="e" cm="1">
        <f t="array" ref="I17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3" s="96" t="e" cm="1">
        <f t="array" ref="J17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3" s="96" t="e" cm="1">
        <f t="array" ref="K17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3" s="96" t="e" cm="1">
        <f t="array" ref="L17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3" s="94" t="e">
        <f>AVERAGE(Table11918[[#This Row],[*C*]:[*TD*]])</f>
        <v>#N/A</v>
      </c>
    </row>
    <row r="174" spans="2:13" hidden="1" x14ac:dyDescent="0.35">
      <c r="B174" s="6" t="s">
        <v>465</v>
      </c>
      <c r="C174" s="97" t="s">
        <v>56</v>
      </c>
      <c r="D174" s="97" t="s">
        <v>68</v>
      </c>
      <c r="E174" s="23" t="str" cm="1">
        <f t="array" ref="E174">_xlfn.XLOOKUP(Table11918[[#This Row],[Team]],Table4334[Team],'2425'!$C$3:$C$34)</f>
        <v>n/a</v>
      </c>
      <c r="F174" s="97" t="str">
        <f>'2025'!$E$34</f>
        <v>n/a</v>
      </c>
      <c r="G174" s="94" t="e" cm="1">
        <f t="array" ref="G17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4" s="94" t="e" cm="1">
        <f t="array" ref="H17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4" s="94" t="e" cm="1">
        <f t="array" ref="I17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4" s="96" t="e" cm="1">
        <f t="array" ref="J17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4" s="96" t="e" cm="1">
        <f t="array" ref="K17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4" s="96" t="e" cm="1">
        <f t="array" ref="L17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4" s="94" t="e">
        <f>AVERAGE(Table11918[[#This Row],[*C*]:[*TD*]])</f>
        <v>#N/A</v>
      </c>
    </row>
    <row r="175" spans="2:13" x14ac:dyDescent="0.35">
      <c r="B175" s="6" t="s">
        <v>400</v>
      </c>
      <c r="C175" s="97" t="s">
        <v>17</v>
      </c>
      <c r="D175" s="97" t="s">
        <v>401</v>
      </c>
      <c r="E175" s="23" t="str" cm="1">
        <f t="array" ref="E175">_xlfn.XLOOKUP(Table11918[[#This Row],[Team]],Table4334[Team],'2425'!$C$3:$C$34)</f>
        <v>n/a</v>
      </c>
      <c r="F175" s="97" t="str">
        <f>'2025'!$E$6</f>
        <v>n/a</v>
      </c>
      <c r="G175" s="94" t="e" cm="1">
        <f t="array" ref="G17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5" s="94" t="e" cm="1">
        <f t="array" ref="H17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5" s="94" t="e" cm="1">
        <f t="array" ref="I17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5" s="96" t="e" cm="1">
        <f t="array" ref="J17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5" s="96" t="e" cm="1">
        <f t="array" ref="K17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5" s="96" t="e" cm="1">
        <f t="array" ref="L17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5" s="94" t="e">
        <f>AVERAGE(Table11918[[#This Row],[*C*]:[*TD*]])</f>
        <v>#N/A</v>
      </c>
    </row>
    <row r="176" spans="2:13" hidden="1" x14ac:dyDescent="0.35">
      <c r="B176" s="6" t="s">
        <v>530</v>
      </c>
      <c r="C176" s="97" t="s">
        <v>52</v>
      </c>
      <c r="D176" s="97" t="s">
        <v>403</v>
      </c>
      <c r="E176" s="23" t="str" cm="1">
        <f t="array" ref="E176">_xlfn.XLOOKUP(Table11918[[#This Row],[Team]],Table4334[Team],'2425'!$C$3:$C$34)</f>
        <v>SB LX</v>
      </c>
      <c r="F176" s="97" t="str">
        <f>'2025'!$E$30</f>
        <v>NE</v>
      </c>
      <c r="G176" s="94" cm="1">
        <f t="array" ref="G17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29</v>
      </c>
      <c r="H176" s="94" cm="1">
        <f t="array" ref="H17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30</v>
      </c>
      <c r="I176" s="94" cm="1">
        <f t="array" ref="I17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176" s="96" cm="1">
        <f t="array" ref="J17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0.52941176470588236</v>
      </c>
      <c r="K176" s="96" cm="1">
        <f t="array" ref="K17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5</v>
      </c>
      <c r="L176" s="96" cm="1">
        <f t="array" ref="L17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176" s="94">
        <f>AVERAGE(Table11918[[#This Row],[*C*]:[*TD*]])</f>
        <v>25.5</v>
      </c>
    </row>
    <row r="177" spans="2:13" hidden="1" x14ac:dyDescent="0.35">
      <c r="B177" s="6" t="s">
        <v>531</v>
      </c>
      <c r="C177" s="97" t="s">
        <v>52</v>
      </c>
      <c r="D177" s="97" t="s">
        <v>411</v>
      </c>
      <c r="E177" s="23" t="str" cm="1">
        <f t="array" ref="E177">_xlfn.XLOOKUP(Table11918[[#This Row],[Team]],Table4334[Team],'2425'!$C$3:$C$34)</f>
        <v>SB LX</v>
      </c>
      <c r="F177" s="97" t="str">
        <f>'2025'!$E$30</f>
        <v>NE</v>
      </c>
      <c r="G177" s="94" cm="1">
        <f t="array" ref="G17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29</v>
      </c>
      <c r="H177" s="94" cm="1">
        <f t="array" ref="H17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30</v>
      </c>
      <c r="I177" s="94" cm="1">
        <f t="array" ref="I17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177" s="96" cm="1">
        <f t="array" ref="J17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0.52941176470588236</v>
      </c>
      <c r="K177" s="96" cm="1">
        <f t="array" ref="K17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5</v>
      </c>
      <c r="L177" s="96" cm="1">
        <f t="array" ref="L17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177" s="94">
        <f>AVERAGE(Table11918[[#This Row],[*C*]:[*TD*]])</f>
        <v>25.5</v>
      </c>
    </row>
    <row r="178" spans="2:13" hidden="1" x14ac:dyDescent="0.35">
      <c r="B178" s="6" t="s">
        <v>532</v>
      </c>
      <c r="C178" s="97" t="s">
        <v>52</v>
      </c>
      <c r="D178" s="97" t="s">
        <v>441</v>
      </c>
      <c r="E178" s="23" t="str" cm="1">
        <f t="array" ref="E178">_xlfn.XLOOKUP(Table11918[[#This Row],[Team]],Table4334[Team],'2425'!$C$3:$C$34)</f>
        <v>SB LX</v>
      </c>
      <c r="F178" s="97" t="str">
        <f>'2025'!$E$30</f>
        <v>NE</v>
      </c>
      <c r="G178" s="94" cm="1">
        <f t="array" ref="G17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29</v>
      </c>
      <c r="H178" s="94" cm="1">
        <f t="array" ref="H17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30</v>
      </c>
      <c r="I178" s="94" cm="1">
        <f t="array" ref="I17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178" s="96" cm="1">
        <f t="array" ref="J17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0.52941176470588236</v>
      </c>
      <c r="K178" s="96" cm="1">
        <f t="array" ref="K17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5</v>
      </c>
      <c r="L178" s="96" cm="1">
        <f t="array" ref="L17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178" s="94">
        <f>AVERAGE(Table11918[[#This Row],[*C*]:[*TD*]])</f>
        <v>25.5</v>
      </c>
    </row>
    <row r="179" spans="2:13" hidden="1" x14ac:dyDescent="0.35">
      <c r="B179" s="6" t="s">
        <v>513</v>
      </c>
      <c r="C179" s="97" t="s">
        <v>36</v>
      </c>
      <c r="D179" s="97" t="s">
        <v>401</v>
      </c>
      <c r="E179" s="23" t="str" cm="1">
        <f t="array" ref="E179">_xlfn.XLOOKUP(Table11918[[#This Row],[Team]],Table4334[Team],'2425'!$C$3:$C$34)</f>
        <v>n/a</v>
      </c>
      <c r="F179" s="97" t="str">
        <f>'2025'!$E$14</f>
        <v>n/a</v>
      </c>
      <c r="G179" s="94" t="e" cm="1">
        <f t="array" ref="G17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79" s="94" t="e" cm="1">
        <f t="array" ref="H17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79" s="94" t="e" cm="1">
        <f t="array" ref="I17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79" s="96" t="e" cm="1">
        <f t="array" ref="J17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79" s="96" t="e" cm="1">
        <f t="array" ref="K17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79" s="96" t="e" cm="1">
        <f t="array" ref="L17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79" s="94" t="e">
        <f>AVERAGE(Table11918[[#This Row],[*C*]:[*TD*]])</f>
        <v>#N/A</v>
      </c>
    </row>
    <row r="180" spans="2:13" x14ac:dyDescent="0.35">
      <c r="B180" s="6" t="s">
        <v>412</v>
      </c>
      <c r="C180" s="97" t="s">
        <v>46</v>
      </c>
      <c r="D180" s="97" t="s">
        <v>401</v>
      </c>
      <c r="E180" s="23" t="str" cm="1">
        <f t="array" ref="E180">_xlfn.XLOOKUP(Table11918[[#This Row],[Team]],Table4334[Team],'2425'!$C$3:$C$34)</f>
        <v>SB LX</v>
      </c>
      <c r="F180" s="97" t="str">
        <f>'2025'!$E$24</f>
        <v>SEA</v>
      </c>
      <c r="G180" s="94" cm="1">
        <f t="array" ref="G18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21</v>
      </c>
      <c r="H180" s="94" cm="1">
        <f t="array" ref="H18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20</v>
      </c>
      <c r="I180" s="94" cm="1">
        <f t="array" ref="I18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180" s="96" cm="1">
        <f t="array" ref="J18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0.88235294117647056</v>
      </c>
      <c r="K180" s="96" cm="1">
        <f t="array" ref="K18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10.529411764705882</v>
      </c>
      <c r="L180" s="96" cm="1">
        <f t="array" ref="L18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180" s="94">
        <f>AVERAGE(Table11918[[#This Row],[*C*]:[*TD*]])</f>
        <v>19.5</v>
      </c>
    </row>
    <row r="181" spans="2:13" hidden="1" x14ac:dyDescent="0.35">
      <c r="B181" s="6" t="s">
        <v>506</v>
      </c>
      <c r="C181" s="97" t="s">
        <v>35</v>
      </c>
      <c r="D181" s="97" t="s">
        <v>401</v>
      </c>
      <c r="E181" s="23" t="str" cm="1">
        <f t="array" ref="E181">_xlfn.XLOOKUP(Table11918[[#This Row],[Team]],Table4334[Team],'2425'!$C$3:$C$34)</f>
        <v>n/a</v>
      </c>
      <c r="F181" s="97" t="str">
        <f>'2025'!$E$13</f>
        <v>n/a</v>
      </c>
      <c r="G181" s="94" t="e" cm="1">
        <f t="array" ref="G18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1" s="94" t="e" cm="1">
        <f t="array" ref="H18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1" s="94" t="e" cm="1">
        <f t="array" ref="I18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1" s="96" t="e" cm="1">
        <f t="array" ref="J18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1" s="96" t="e" cm="1">
        <f t="array" ref="K18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1" s="96" t="e" cm="1">
        <f t="array" ref="L18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1" s="94" t="e">
        <f>AVERAGE(Table11918[[#This Row],[*C*]:[*TD*]])</f>
        <v>#N/A</v>
      </c>
    </row>
    <row r="182" spans="2:13" hidden="1" x14ac:dyDescent="0.35">
      <c r="B182" s="6" t="s">
        <v>282</v>
      </c>
      <c r="C182" s="97" t="s">
        <v>43</v>
      </c>
      <c r="D182" s="97" t="s">
        <v>401</v>
      </c>
      <c r="E182" s="23" t="str" cm="1">
        <f t="array" ref="E182">_xlfn.XLOOKUP(Table11918[[#This Row],[Team]],Table4334[Team],'2425'!$C$3:$C$34)</f>
        <v>n/a</v>
      </c>
      <c r="F182" s="97" t="str">
        <f>'2025'!$E$21</f>
        <v>n/a</v>
      </c>
      <c r="G182" s="94" t="e" cm="1">
        <f t="array" ref="G18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2" s="94" t="e" cm="1">
        <f t="array" ref="H18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2" s="94" t="e" cm="1">
        <f t="array" ref="I18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2" s="96" t="e" cm="1">
        <f t="array" ref="J18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2" s="96" t="e" cm="1">
        <f t="array" ref="K18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2" s="96" t="e" cm="1">
        <f t="array" ref="L18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2" s="94" t="e">
        <f>AVERAGE(Table11918[[#This Row],[*C*]:[*TD*]])</f>
        <v>#N/A</v>
      </c>
    </row>
    <row r="183" spans="2:13" x14ac:dyDescent="0.35">
      <c r="B183" s="6" t="s">
        <v>544</v>
      </c>
      <c r="C183" s="97" t="s">
        <v>53</v>
      </c>
      <c r="D183" s="97" t="s">
        <v>401</v>
      </c>
      <c r="E183" s="23" t="str" cm="1">
        <f t="array" ref="E183">_xlfn.XLOOKUP(Table11918[[#This Row],[Team]],Table4334[Team],'2425'!$C$3:$C$34)</f>
        <v>n/a</v>
      </c>
      <c r="F183" s="97" t="str">
        <f>'2025'!$E$31</f>
        <v>n/a</v>
      </c>
      <c r="G183" s="94" t="e" cm="1">
        <f t="array" ref="G18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3" s="94" t="e" cm="1">
        <f t="array" ref="H18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3" s="94" t="e" cm="1">
        <f t="array" ref="I18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3" s="96" t="e" cm="1">
        <f t="array" ref="J18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3" s="96" t="e" cm="1">
        <f t="array" ref="K18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3" s="96" t="e" cm="1">
        <f t="array" ref="L18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3" s="94" t="e">
        <f>AVERAGE(Table11918[[#This Row],[*C*]:[*TD*]])</f>
        <v>#N/A</v>
      </c>
    </row>
    <row r="184" spans="2:13" hidden="1" x14ac:dyDescent="0.35">
      <c r="B184" s="6" t="s">
        <v>663</v>
      </c>
      <c r="C184" s="97" t="s">
        <v>43</v>
      </c>
      <c r="D184" s="97" t="s">
        <v>403</v>
      </c>
      <c r="E184" s="23" t="str" cm="1">
        <f t="array" ref="E184">_xlfn.XLOOKUP(Table11918[[#This Row],[Team]],Table4334[Team],'2425'!$C$3:$C$34)</f>
        <v>n/a</v>
      </c>
      <c r="F184" s="97" t="str">
        <f>'2025'!$E$21</f>
        <v>n/a</v>
      </c>
      <c r="G184" s="94" t="e" cm="1">
        <f t="array" ref="G18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4" s="94" t="e" cm="1">
        <f t="array" ref="H18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4" s="94" t="e" cm="1">
        <f t="array" ref="I18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4" s="96" t="e" cm="1">
        <f t="array" ref="J18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4" s="96" t="e" cm="1">
        <f t="array" ref="K18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4" s="96" t="e" cm="1">
        <f t="array" ref="L18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4" s="94" t="e">
        <f>AVERAGE(Table11918[[#This Row],[*C*]:[*TD*]])</f>
        <v>#N/A</v>
      </c>
    </row>
    <row r="185" spans="2:13" hidden="1" x14ac:dyDescent="0.35">
      <c r="B185" s="6" t="s">
        <v>664</v>
      </c>
      <c r="C185" s="97" t="s">
        <v>43</v>
      </c>
      <c r="D185" s="97" t="s">
        <v>411</v>
      </c>
      <c r="E185" s="23" t="str" cm="1">
        <f t="array" ref="E185">_xlfn.XLOOKUP(Table11918[[#This Row],[Team]],Table4334[Team],'2425'!$C$3:$C$34)</f>
        <v>n/a</v>
      </c>
      <c r="F185" s="97" t="str">
        <f>'2025'!$E$21</f>
        <v>n/a</v>
      </c>
      <c r="G185" s="94" t="e" cm="1">
        <f t="array" ref="G18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5" s="94" t="e" cm="1">
        <f t="array" ref="H18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5" s="94" t="e" cm="1">
        <f t="array" ref="I18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5" s="96" t="e" cm="1">
        <f t="array" ref="J18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5" s="96" t="e" cm="1">
        <f t="array" ref="K18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5" s="96" t="e" cm="1">
        <f t="array" ref="L18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5" s="94" t="e">
        <f>AVERAGE(Table11918[[#This Row],[*C*]:[*TD*]])</f>
        <v>#N/A</v>
      </c>
    </row>
    <row r="186" spans="2:13" x14ac:dyDescent="0.35">
      <c r="B186" s="6" t="s">
        <v>140</v>
      </c>
      <c r="C186" s="97" t="s">
        <v>17</v>
      </c>
      <c r="D186" s="97" t="s">
        <v>67</v>
      </c>
      <c r="E186" s="23" t="str" cm="1">
        <f t="array" ref="E186">_xlfn.XLOOKUP(Table11918[[#This Row],[Team]],Table4334[Team],'2425'!$C$3:$C$34)</f>
        <v>n/a</v>
      </c>
      <c r="F186" s="97" t="str">
        <f>'2025'!$E$6</f>
        <v>n/a</v>
      </c>
      <c r="G186" s="94" t="e" cm="1">
        <f t="array" ref="G18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6" s="94" t="e" cm="1">
        <f t="array" ref="H18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6" s="94" t="e" cm="1">
        <f t="array" ref="I18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6" s="96" t="e" cm="1">
        <f t="array" ref="J18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6" s="96" t="e" cm="1">
        <f t="array" ref="K18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6" s="96" t="e" cm="1">
        <f t="array" ref="L18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6" s="94" t="e">
        <f>AVERAGE(Table11918[[#This Row],[*C*]:[*TD*]])</f>
        <v>#N/A</v>
      </c>
    </row>
    <row r="187" spans="2:13" hidden="1" x14ac:dyDescent="0.35">
      <c r="B187" s="6" t="s">
        <v>493</v>
      </c>
      <c r="C187" s="97" t="s">
        <v>51</v>
      </c>
      <c r="D187" s="97" t="s">
        <v>403</v>
      </c>
      <c r="E187" s="23" t="str" cm="1">
        <f t="array" ref="E187">_xlfn.XLOOKUP(Table11918[[#This Row],[Team]],Table4334[Team],'2425'!$C$3:$C$34)</f>
        <v>n/a</v>
      </c>
      <c r="F187" s="97" t="str">
        <f>'2025'!$E$29</f>
        <v>n/a</v>
      </c>
      <c r="G187" s="94" t="e" cm="1">
        <f t="array" ref="G18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7" s="94" t="e" cm="1">
        <f t="array" ref="H18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7" s="94" t="e" cm="1">
        <f t="array" ref="I18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7" s="96" t="e" cm="1">
        <f t="array" ref="J18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7" s="96" t="e" cm="1">
        <f t="array" ref="K18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7" s="96" t="e" cm="1">
        <f t="array" ref="L18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7" s="94" t="e">
        <f>AVERAGE(Table11918[[#This Row],[*C*]:[*TD*]])</f>
        <v>#N/A</v>
      </c>
    </row>
    <row r="188" spans="2:13" hidden="1" x14ac:dyDescent="0.35">
      <c r="B188" s="6" t="s">
        <v>455</v>
      </c>
      <c r="C188" s="97" t="s">
        <v>50</v>
      </c>
      <c r="D188" s="97" t="s">
        <v>401</v>
      </c>
      <c r="E188" s="23" t="str" cm="1">
        <f t="array" ref="E188">_xlfn.XLOOKUP(Table11918[[#This Row],[Team]],Table4334[Team],'2425'!$C$3:$C$34)</f>
        <v>n/a</v>
      </c>
      <c r="F188" s="97" t="str">
        <f>'2025'!$E$28</f>
        <v>n/a</v>
      </c>
      <c r="G188" s="94" t="e" cm="1">
        <f t="array" ref="G18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8" s="94" t="e" cm="1">
        <f t="array" ref="H18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8" s="94" t="e" cm="1">
        <f t="array" ref="I18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8" s="96" t="e" cm="1">
        <f t="array" ref="J18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8" s="96" t="e" cm="1">
        <f t="array" ref="K18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8" s="96" t="e" cm="1">
        <f t="array" ref="L18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8" s="94" t="e">
        <f>AVERAGE(Table11918[[#This Row],[*C*]:[*TD*]])</f>
        <v>#N/A</v>
      </c>
    </row>
    <row r="189" spans="2:13" hidden="1" x14ac:dyDescent="0.35">
      <c r="B189" s="6" t="s">
        <v>263</v>
      </c>
      <c r="C189" s="97" t="s">
        <v>41</v>
      </c>
      <c r="D189" s="97" t="s">
        <v>401</v>
      </c>
      <c r="E189" s="23" t="str" cm="1">
        <f t="array" ref="E189">_xlfn.XLOOKUP(Table11918[[#This Row],[Team]],Table4334[Team],'2425'!$C$3:$C$34)</f>
        <v>n/a</v>
      </c>
      <c r="F189" s="97" t="str">
        <f>'2025'!$E$19</f>
        <v>n/a</v>
      </c>
      <c r="G189" s="94" t="e" cm="1">
        <f t="array" ref="G18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89" s="94" t="e" cm="1">
        <f t="array" ref="H18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89" s="94" t="e" cm="1">
        <f t="array" ref="I18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89" s="96" t="e" cm="1">
        <f t="array" ref="J18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89" s="96" t="e" cm="1">
        <f t="array" ref="K18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89" s="96" t="e" cm="1">
        <f t="array" ref="L18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89" s="94" t="e">
        <f>AVERAGE(Table11918[[#This Row],[*C*]:[*TD*]])</f>
        <v>#N/A</v>
      </c>
    </row>
    <row r="190" spans="2:13" hidden="1" x14ac:dyDescent="0.35">
      <c r="B190" s="6" t="s">
        <v>409</v>
      </c>
      <c r="C190" s="97" t="s">
        <v>44</v>
      </c>
      <c r="D190" s="97" t="s">
        <v>401</v>
      </c>
      <c r="E190" s="23" t="str" cm="1">
        <f t="array" ref="E190">_xlfn.XLOOKUP(Table11918[[#This Row],[Team]],Table4334[Team],'2425'!$C$3:$C$34)</f>
        <v>n/a</v>
      </c>
      <c r="F190" s="97" t="str">
        <f>'2025'!$E$22</f>
        <v>n/a</v>
      </c>
      <c r="G190" s="94" t="e" cm="1">
        <f t="array" ref="G19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0" s="94" t="e" cm="1">
        <f t="array" ref="H19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0" s="94" t="e" cm="1">
        <f t="array" ref="I19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0" s="96" t="e" cm="1">
        <f t="array" ref="J19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0" s="96" t="e" cm="1">
        <f t="array" ref="K19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0" s="96" t="e" cm="1">
        <f t="array" ref="L19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0" s="94" t="e">
        <f>AVERAGE(Table11918[[#This Row],[*C*]:[*TD*]])</f>
        <v>#N/A</v>
      </c>
    </row>
    <row r="191" spans="2:13" x14ac:dyDescent="0.35">
      <c r="B191" s="6" t="s">
        <v>310</v>
      </c>
      <c r="C191" s="97" t="s">
        <v>46</v>
      </c>
      <c r="D191" s="97" t="s">
        <v>68</v>
      </c>
      <c r="E191" s="23" t="str" cm="1">
        <f t="array" ref="E191">_xlfn.XLOOKUP(Table11918[[#This Row],[Team]],Table4334[Team],'2425'!$C$3:$C$34)</f>
        <v>SB LX</v>
      </c>
      <c r="F191" s="97" t="str">
        <f>'2025'!$E$24</f>
        <v>SEA</v>
      </c>
      <c r="G191" s="94" cm="1">
        <f t="array" ref="G19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25</v>
      </c>
      <c r="H191" s="94" cm="1">
        <f t="array" ref="H19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28</v>
      </c>
      <c r="I191" s="94" cm="1">
        <f t="array" ref="I19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11</v>
      </c>
      <c r="J191" s="96" cm="1">
        <f t="array" ref="J19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1.7058823529411764</v>
      </c>
      <c r="K191" s="96" cm="1">
        <f t="array" ref="K19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16.176470588235293</v>
      </c>
      <c r="L191" s="96" cm="1">
        <f t="array" ref="L19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0.17647058823529413</v>
      </c>
      <c r="M191" s="94">
        <f>AVERAGE(Table11918[[#This Row],[*C*]:[*TD*]])</f>
        <v>21.333333333333332</v>
      </c>
    </row>
    <row r="192" spans="2:13" hidden="1" x14ac:dyDescent="0.35">
      <c r="B192" s="6" t="s">
        <v>700</v>
      </c>
      <c r="C192" s="97" t="s">
        <v>56</v>
      </c>
      <c r="D192" s="97" t="s">
        <v>401</v>
      </c>
      <c r="E192" s="23" t="str" cm="1">
        <f t="array" ref="E192">_xlfn.XLOOKUP(Table11918[[#This Row],[Team]],Table4334[Team],'2425'!$C$3:$C$34)</f>
        <v>n/a</v>
      </c>
      <c r="F192" s="97" t="str">
        <f>'2025'!$E$34</f>
        <v>n/a</v>
      </c>
      <c r="G192" s="94" t="e" cm="1">
        <f t="array" ref="G19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2" s="94" t="e" cm="1">
        <f t="array" ref="H19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2" s="94" t="e" cm="1">
        <f t="array" ref="I19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2" s="96" t="e" cm="1">
        <f t="array" ref="J19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2" s="96" t="e" cm="1">
        <f t="array" ref="K19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2" s="96" t="e" cm="1">
        <f t="array" ref="L19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2" s="94" t="e">
        <f>AVERAGE(Table11918[[#This Row],[*C*]:[*TD*]])</f>
        <v>#N/A</v>
      </c>
    </row>
    <row r="193" spans="2:13" hidden="1" x14ac:dyDescent="0.35">
      <c r="B193" s="6" t="s">
        <v>579</v>
      </c>
      <c r="C193" s="97" t="s">
        <v>34</v>
      </c>
      <c r="D193" s="97" t="s">
        <v>403</v>
      </c>
      <c r="E193" s="23" t="str" cm="1">
        <f t="array" ref="E193">_xlfn.XLOOKUP(Table11918[[#This Row],[Team]],Table4334[Team],'2425'!$C$3:$C$34)</f>
        <v>n/a</v>
      </c>
      <c r="F193" s="97" t="str">
        <f>'2025'!$E$12</f>
        <v>n/a</v>
      </c>
      <c r="G193" s="94" t="e" cm="1">
        <f t="array" ref="G19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3" s="94" t="e" cm="1">
        <f t="array" ref="H19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3" s="94" t="e" cm="1">
        <f t="array" ref="I19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3" s="96" t="e" cm="1">
        <f t="array" ref="J19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3" s="96" t="e" cm="1">
        <f t="array" ref="K19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3" s="96" t="e" cm="1">
        <f t="array" ref="L19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3" s="94" t="e">
        <f>AVERAGE(Table11918[[#This Row],[*C*]:[*TD*]])</f>
        <v>#N/A</v>
      </c>
    </row>
    <row r="194" spans="2:13" hidden="1" x14ac:dyDescent="0.35">
      <c r="B194" s="6" t="s">
        <v>570</v>
      </c>
      <c r="C194" s="97" t="s">
        <v>40</v>
      </c>
      <c r="D194" s="97" t="s">
        <v>401</v>
      </c>
      <c r="E194" s="23" t="str" cm="1">
        <f t="array" ref="E194">_xlfn.XLOOKUP(Table11918[[#This Row],[Team]],Table4334[Team],'2425'!$C$3:$C$34)</f>
        <v>n/a</v>
      </c>
      <c r="F194" s="97" t="str">
        <f>'2025'!$E$18</f>
        <v>n/a</v>
      </c>
      <c r="G194" s="94" t="e" cm="1">
        <f t="array" ref="G19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4" s="94" t="e" cm="1">
        <f t="array" ref="H19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4" s="94" t="e" cm="1">
        <f t="array" ref="I19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4" s="96" t="e" cm="1">
        <f t="array" ref="J19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4" s="96" t="e" cm="1">
        <f t="array" ref="K19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4" s="96" t="e" cm="1">
        <f t="array" ref="L19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4" s="94" t="e">
        <f>AVERAGE(Table11918[[#This Row],[*C*]:[*TD*]])</f>
        <v>#N/A</v>
      </c>
    </row>
    <row r="195" spans="2:13" hidden="1" x14ac:dyDescent="0.35">
      <c r="B195" s="6" t="s">
        <v>416</v>
      </c>
      <c r="C195" s="97" t="s">
        <v>49</v>
      </c>
      <c r="D195" s="97" t="s">
        <v>401</v>
      </c>
      <c r="E195" s="23" t="str" cm="1">
        <f t="array" ref="E195">_xlfn.XLOOKUP(Table11918[[#This Row],[Team]],Table4334[Team],'2425'!$C$3:$C$34)</f>
        <v>n/a</v>
      </c>
      <c r="F195" s="97" t="str">
        <f>'2025'!$E$27</f>
        <v>n/a</v>
      </c>
      <c r="G195" s="94" t="e" cm="1">
        <f t="array" ref="G19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5" s="94" t="e" cm="1">
        <f t="array" ref="H19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5" s="94" t="e" cm="1">
        <f t="array" ref="I19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5" s="96" t="e" cm="1">
        <f t="array" ref="J19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5" s="96" t="e" cm="1">
        <f t="array" ref="K19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5" s="96" t="e" cm="1">
        <f t="array" ref="L19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5" s="94" t="e">
        <f>AVERAGE(Table11918[[#This Row],[*C*]:[*TD*]])</f>
        <v>#N/A</v>
      </c>
    </row>
    <row r="196" spans="2:13" hidden="1" x14ac:dyDescent="0.35">
      <c r="B196" s="6" t="s">
        <v>390</v>
      </c>
      <c r="C196" s="97" t="s">
        <v>56</v>
      </c>
      <c r="D196" s="97" t="s">
        <v>403</v>
      </c>
      <c r="E196" s="23" t="str" cm="1">
        <f t="array" ref="E196">_xlfn.XLOOKUP(Table11918[[#This Row],[Team]],Table4334[Team],'2425'!$C$3:$C$34)</f>
        <v>n/a</v>
      </c>
      <c r="F196" s="97" t="str">
        <f>'2025'!$E$34</f>
        <v>n/a</v>
      </c>
      <c r="G196" s="94" t="e" cm="1">
        <f t="array" ref="G19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6" s="94" t="e" cm="1">
        <f t="array" ref="H19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6" s="94" t="e" cm="1">
        <f t="array" ref="I19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6" s="96" t="e" cm="1">
        <f t="array" ref="J19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6" s="96" t="e" cm="1">
        <f t="array" ref="K19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6" s="96" t="e" cm="1">
        <f t="array" ref="L19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6" s="94" t="e">
        <f>AVERAGE(Table11918[[#This Row],[*C*]:[*TD*]])</f>
        <v>#N/A</v>
      </c>
    </row>
    <row r="197" spans="2:13" hidden="1" x14ac:dyDescent="0.35">
      <c r="B197" s="6" t="s">
        <v>463</v>
      </c>
      <c r="C197" s="97" t="s">
        <v>56</v>
      </c>
      <c r="D197" s="97" t="s">
        <v>411</v>
      </c>
      <c r="E197" s="23" t="str" cm="1">
        <f t="array" ref="E197">_xlfn.XLOOKUP(Table11918[[#This Row],[Team]],Table4334[Team],'2425'!$C$3:$C$34)</f>
        <v>n/a</v>
      </c>
      <c r="F197" s="97" t="str">
        <f>'2025'!$E$34</f>
        <v>n/a</v>
      </c>
      <c r="G197" s="94" t="e" cm="1">
        <f t="array" ref="G19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7" s="94" t="e" cm="1">
        <f t="array" ref="H19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7" s="94" t="e" cm="1">
        <f t="array" ref="I19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7" s="96" t="e" cm="1">
        <f t="array" ref="J19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7" s="96" t="e" cm="1">
        <f t="array" ref="K19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7" s="96" t="e" cm="1">
        <f t="array" ref="L19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7" s="94" t="e">
        <f>AVERAGE(Table11918[[#This Row],[*C*]:[*TD*]])</f>
        <v>#N/A</v>
      </c>
    </row>
    <row r="198" spans="2:13" hidden="1" x14ac:dyDescent="0.35">
      <c r="B198" s="6" t="s">
        <v>146</v>
      </c>
      <c r="C198" s="97" t="s">
        <v>0</v>
      </c>
      <c r="D198" s="97" t="s">
        <v>401</v>
      </c>
      <c r="E198" s="23" t="str" cm="1">
        <f t="array" ref="E198">_xlfn.XLOOKUP(Table11918[[#This Row],[Team]],Table4334[Team],'2425'!$C$3:$C$34)</f>
        <v>n/a</v>
      </c>
      <c r="F198" s="97" t="str">
        <f>'2025'!$E$3</f>
        <v>n/a</v>
      </c>
      <c r="G198" s="94" t="e" cm="1">
        <f t="array" ref="G19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8" s="94" t="e" cm="1">
        <f t="array" ref="H19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8" s="94" t="e" cm="1">
        <f t="array" ref="I19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8" s="96" t="e" cm="1">
        <f t="array" ref="J19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8" s="96" t="e" cm="1">
        <f t="array" ref="K19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8" s="96" t="e" cm="1">
        <f t="array" ref="L19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8" s="94" t="e">
        <f>AVERAGE(Table11918[[#This Row],[*C*]:[*TD*]])</f>
        <v>#N/A</v>
      </c>
    </row>
    <row r="199" spans="2:13" hidden="1" x14ac:dyDescent="0.35">
      <c r="B199" s="6" t="s">
        <v>492</v>
      </c>
      <c r="C199" s="97" t="s">
        <v>51</v>
      </c>
      <c r="D199" s="97" t="s">
        <v>401</v>
      </c>
      <c r="E199" s="23" t="str" cm="1">
        <f t="array" ref="E199">_xlfn.XLOOKUP(Table11918[[#This Row],[Team]],Table4334[Team],'2425'!$C$3:$C$34)</f>
        <v>n/a</v>
      </c>
      <c r="F199" s="97" t="str">
        <f>'2025'!$E$29</f>
        <v>n/a</v>
      </c>
      <c r="G199" s="94" t="e" cm="1">
        <f t="array" ref="G19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199" s="94" t="e" cm="1">
        <f t="array" ref="H19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199" s="94" t="e" cm="1">
        <f t="array" ref="I19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199" s="96" t="e" cm="1">
        <f t="array" ref="J19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199" s="96" t="e" cm="1">
        <f t="array" ref="K19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199" s="96" t="e" cm="1">
        <f t="array" ref="L19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199" s="94" t="e">
        <f>AVERAGE(Table11918[[#This Row],[*C*]:[*TD*]])</f>
        <v>#N/A</v>
      </c>
    </row>
    <row r="200" spans="2:13" hidden="1" x14ac:dyDescent="0.35">
      <c r="B200" s="6" t="s">
        <v>609</v>
      </c>
      <c r="C200" s="97" t="s">
        <v>29</v>
      </c>
      <c r="D200" s="97" t="s">
        <v>401</v>
      </c>
      <c r="E200" s="23" t="str" cm="1">
        <f t="array" ref="E200">_xlfn.XLOOKUP(Table11918[[#This Row],[Team]],Table4334[Team],'2425'!$C$3:$C$34)</f>
        <v>n/a</v>
      </c>
      <c r="F200" s="97" t="str">
        <f>'2025'!$E$7</f>
        <v>n/a</v>
      </c>
      <c r="G200" s="94" t="e" cm="1">
        <f t="array" ref="G20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0" s="94" t="e" cm="1">
        <f t="array" ref="H20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0" s="94" t="e" cm="1">
        <f t="array" ref="I20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0" s="96" t="e" cm="1">
        <f t="array" ref="J20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0" s="96" t="e" cm="1">
        <f t="array" ref="K20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0" s="96" t="e" cm="1">
        <f t="array" ref="L20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0" s="94" t="e">
        <f>AVERAGE(Table11918[[#This Row],[*C*]:[*TD*]])</f>
        <v>#N/A</v>
      </c>
    </row>
    <row r="201" spans="2:13" hidden="1" x14ac:dyDescent="0.35">
      <c r="B201" s="6" t="s">
        <v>143</v>
      </c>
      <c r="C201" s="97" t="s">
        <v>16</v>
      </c>
      <c r="D201" s="97" t="s">
        <v>66</v>
      </c>
      <c r="E201" s="23" t="str" cm="1">
        <f t="array" ref="E201">_xlfn.XLOOKUP(Table11918[[#This Row],[Team]],Table4334[Team],'2425'!$C$3:$C$34)</f>
        <v>n/a</v>
      </c>
      <c r="F201" s="97" t="str">
        <f>'2025'!$E$5</f>
        <v>n/a</v>
      </c>
      <c r="G201" s="94" t="e" cm="1">
        <f t="array" ref="G20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1" s="94" t="e" cm="1">
        <f t="array" ref="H20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1" s="94" t="e" cm="1">
        <f t="array" ref="I20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1" s="96" t="e" cm="1">
        <f t="array" ref="J20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1" s="96" t="e" cm="1">
        <f t="array" ref="K20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1" s="96" t="e" cm="1">
        <f t="array" ref="L20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1" s="94" t="e">
        <f>AVERAGE(Table11918[[#This Row],[*C*]:[*TD*]])</f>
        <v>#N/A</v>
      </c>
    </row>
    <row r="202" spans="2:13" hidden="1" x14ac:dyDescent="0.35">
      <c r="B202" s="6" t="s">
        <v>266</v>
      </c>
      <c r="C202" s="97" t="s">
        <v>46</v>
      </c>
      <c r="D202" s="97" t="s">
        <v>403</v>
      </c>
      <c r="E202" s="23" t="str" cm="1">
        <f t="array" ref="E202">_xlfn.XLOOKUP(Table11918[[#This Row],[Team]],Table4334[Team],'2425'!$C$3:$C$34)</f>
        <v>SB LX</v>
      </c>
      <c r="F202" s="97" t="str">
        <f>'2025'!$E$24</f>
        <v>SEA</v>
      </c>
      <c r="G202" s="94" cm="1">
        <f t="array" ref="G20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21</v>
      </c>
      <c r="H202" s="94" cm="1">
        <f t="array" ref="H20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20</v>
      </c>
      <c r="I202" s="94" cm="1">
        <f t="array" ref="I20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202" s="96" cm="1">
        <f t="array" ref="J20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0.88235294117647056</v>
      </c>
      <c r="K202" s="96" cm="1">
        <f t="array" ref="K20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10.529411764705882</v>
      </c>
      <c r="L202" s="96" cm="1">
        <f t="array" ref="L20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202" s="94">
        <f>AVERAGE(Table11918[[#This Row],[*C*]:[*TD*]])</f>
        <v>19.5</v>
      </c>
    </row>
    <row r="203" spans="2:13" hidden="1" x14ac:dyDescent="0.35">
      <c r="B203" s="6" t="s">
        <v>450</v>
      </c>
      <c r="C203" s="97" t="s">
        <v>46</v>
      </c>
      <c r="D203" s="97" t="s">
        <v>411</v>
      </c>
      <c r="E203" s="23" t="str" cm="1">
        <f t="array" ref="E203">_xlfn.XLOOKUP(Table11918[[#This Row],[Team]],Table4334[Team],'2425'!$C$3:$C$34)</f>
        <v>SB LX</v>
      </c>
      <c r="F203" s="97" t="str">
        <f>'2025'!$E$24</f>
        <v>SEA</v>
      </c>
      <c r="G203" s="94" cm="1">
        <f t="array" ref="G20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21</v>
      </c>
      <c r="H203" s="94" cm="1">
        <f t="array" ref="H20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20</v>
      </c>
      <c r="I203" s="94" cm="1">
        <f t="array" ref="I20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203" s="96" cm="1">
        <f t="array" ref="J20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0.88235294117647056</v>
      </c>
      <c r="K203" s="96" cm="1">
        <f t="array" ref="K20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10.529411764705882</v>
      </c>
      <c r="L203" s="96" cm="1">
        <f t="array" ref="L20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203" s="94">
        <f>AVERAGE(Table11918[[#This Row],[*C*]:[*TD*]])</f>
        <v>19.5</v>
      </c>
    </row>
    <row r="204" spans="2:13" hidden="1" x14ac:dyDescent="0.35">
      <c r="B204" s="6" t="s">
        <v>413</v>
      </c>
      <c r="C204" s="97" t="s">
        <v>46</v>
      </c>
      <c r="D204" s="97" t="s">
        <v>441</v>
      </c>
      <c r="E204" s="23" t="str" cm="1">
        <f t="array" ref="E204">_xlfn.XLOOKUP(Table11918[[#This Row],[Team]],Table4334[Team],'2425'!$C$3:$C$34)</f>
        <v>SB LX</v>
      </c>
      <c r="F204" s="97" t="str">
        <f>'2025'!$E$24</f>
        <v>SEA</v>
      </c>
      <c r="G204" s="94" cm="1">
        <f t="array" ref="G20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21</v>
      </c>
      <c r="H204" s="94" cm="1">
        <f t="array" ref="H20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20</v>
      </c>
      <c r="I204" s="94" cm="1">
        <f t="array" ref="I20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17.5</v>
      </c>
      <c r="J204" s="96" cm="1">
        <f t="array" ref="J20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0.88235294117647056</v>
      </c>
      <c r="K204" s="96" cm="1">
        <f t="array" ref="K20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10.529411764705882</v>
      </c>
      <c r="L204" s="96" cm="1">
        <f t="array" ref="L20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5.8823529411764705E-2</v>
      </c>
      <c r="M204" s="94">
        <f>AVERAGE(Table11918[[#This Row],[*C*]:[*TD*]])</f>
        <v>19.5</v>
      </c>
    </row>
    <row r="205" spans="2:13" hidden="1" x14ac:dyDescent="0.35">
      <c r="B205" s="6" t="s">
        <v>139</v>
      </c>
      <c r="C205" s="97" t="s">
        <v>16</v>
      </c>
      <c r="D205" s="97" t="s">
        <v>67</v>
      </c>
      <c r="E205" s="23" t="str" cm="1">
        <f t="array" ref="E205">_xlfn.XLOOKUP(Table11918[[#This Row],[Team]],Table4334[Team],'2425'!$C$3:$C$34)</f>
        <v>n/a</v>
      </c>
      <c r="F205" s="97" t="str">
        <f>'2025'!$E$5</f>
        <v>n/a</v>
      </c>
      <c r="G205" s="94" t="e" cm="1">
        <f t="array" ref="G205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5" s="94" t="e" cm="1">
        <f t="array" ref="H205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5" s="94" t="e" cm="1">
        <f t="array" ref="I205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5" s="96" t="e" cm="1">
        <f t="array" ref="J205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5" s="96" t="e" cm="1">
        <f t="array" ref="K205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5" s="96" t="e" cm="1">
        <f t="array" ref="L205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5" s="94" t="e">
        <f>AVERAGE(Table11918[[#This Row],[*C*]:[*TD*]])</f>
        <v>#N/A</v>
      </c>
    </row>
    <row r="206" spans="2:13" x14ac:dyDescent="0.35">
      <c r="B206" s="6" t="s">
        <v>158</v>
      </c>
      <c r="C206" s="97" t="s">
        <v>30</v>
      </c>
      <c r="D206" s="97" t="s">
        <v>401</v>
      </c>
      <c r="E206" s="23" t="str" cm="1">
        <f t="array" ref="E206">_xlfn.XLOOKUP(Table11918[[#This Row],[Team]],Table4334[Team],'2425'!$C$3:$C$34)</f>
        <v>n/a</v>
      </c>
      <c r="F206" s="97" t="str">
        <f>'2025'!$E$8</f>
        <v>n/a</v>
      </c>
      <c r="G206" s="94" t="e" cm="1">
        <f t="array" ref="G206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6" s="94" t="e" cm="1">
        <f t="array" ref="H206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6" s="94" t="e" cm="1">
        <f t="array" ref="I206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6" s="96" t="e" cm="1">
        <f t="array" ref="J206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6" s="96" t="e" cm="1">
        <f t="array" ref="K206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6" s="96" t="e" cm="1">
        <f t="array" ref="L206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6" s="94" t="e">
        <f>AVERAGE(Table11918[[#This Row],[*C*]:[*TD*]])</f>
        <v>#N/A</v>
      </c>
    </row>
    <row r="207" spans="2:13" hidden="1" x14ac:dyDescent="0.35">
      <c r="B207" s="6" t="s">
        <v>147</v>
      </c>
      <c r="C207" s="97" t="s">
        <v>16</v>
      </c>
      <c r="D207" s="97" t="s">
        <v>68</v>
      </c>
      <c r="E207" s="23" t="str" cm="1">
        <f t="array" ref="E207">_xlfn.XLOOKUP(Table11918[[#This Row],[Team]],Table4334[Team],'2425'!$C$3:$C$34)</f>
        <v>n/a</v>
      </c>
      <c r="F207" s="97" t="str">
        <f>'2025'!$E$5</f>
        <v>n/a</v>
      </c>
      <c r="G207" s="94" t="e" cm="1">
        <f t="array" ref="G207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7" s="94" t="e" cm="1">
        <f t="array" ref="H207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7" s="94" t="e" cm="1">
        <f t="array" ref="I207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7" s="96" t="e" cm="1">
        <f t="array" ref="J207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7" s="96" t="e" cm="1">
        <f t="array" ref="K207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7" s="96" t="e" cm="1">
        <f t="array" ref="L207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7" s="94" t="e">
        <f>AVERAGE(Table11918[[#This Row],[*C*]:[*TD*]])</f>
        <v>#N/A</v>
      </c>
    </row>
    <row r="208" spans="2:13" hidden="1" x14ac:dyDescent="0.35">
      <c r="B208" s="6" t="s">
        <v>625</v>
      </c>
      <c r="C208" s="97" t="s">
        <v>39</v>
      </c>
      <c r="D208" s="97" t="s">
        <v>401</v>
      </c>
      <c r="E208" s="23" t="str" cm="1">
        <f t="array" ref="E208">_xlfn.XLOOKUP(Table11918[[#This Row],[Team]],Table4334[Team],'2425'!$C$3:$C$34)</f>
        <v>n/a</v>
      </c>
      <c r="F208" s="97" t="str">
        <f>'2025'!$E$17</f>
        <v>n/a</v>
      </c>
      <c r="G208" s="94" t="e" cm="1">
        <f t="array" ref="G208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8" s="94" t="e" cm="1">
        <f t="array" ref="H208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8" s="94" t="e" cm="1">
        <f t="array" ref="I208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8" s="96" t="e" cm="1">
        <f t="array" ref="J208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8" s="96" t="e" cm="1">
        <f t="array" ref="K208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8" s="96" t="e" cm="1">
        <f t="array" ref="L208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8" s="94" t="e">
        <f>AVERAGE(Table11918[[#This Row],[*C*]:[*TD*]])</f>
        <v>#N/A</v>
      </c>
    </row>
    <row r="209" spans="2:13" x14ac:dyDescent="0.35">
      <c r="B209" s="6" t="s">
        <v>578</v>
      </c>
      <c r="C209" s="97" t="s">
        <v>34</v>
      </c>
      <c r="D209" s="97" t="s">
        <v>401</v>
      </c>
      <c r="E209" s="23" t="str" cm="1">
        <f t="array" ref="E209">_xlfn.XLOOKUP(Table11918[[#This Row],[Team]],Table4334[Team],'2425'!$C$3:$C$34)</f>
        <v>n/a</v>
      </c>
      <c r="F209" s="97" t="str">
        <f>'2025'!$E$12</f>
        <v>n/a</v>
      </c>
      <c r="G209" s="94" t="e" cm="1">
        <f t="array" ref="G209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09" s="94" t="e" cm="1">
        <f t="array" ref="H209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09" s="94" t="e" cm="1">
        <f t="array" ref="I209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09" s="96" t="e" cm="1">
        <f t="array" ref="J209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09" s="96" t="e" cm="1">
        <f t="array" ref="K209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09" s="96" t="e" cm="1">
        <f t="array" ref="L209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09" s="94" t="e">
        <f>AVERAGE(Table11918[[#This Row],[*C*]:[*TD*]])</f>
        <v>#N/A</v>
      </c>
    </row>
    <row r="210" spans="2:13" hidden="1" x14ac:dyDescent="0.35">
      <c r="B210" s="6" t="s">
        <v>470</v>
      </c>
      <c r="C210" s="97" t="s">
        <v>16</v>
      </c>
      <c r="D210" s="97" t="s">
        <v>401</v>
      </c>
      <c r="E210" s="23" t="str" cm="1">
        <f t="array" ref="E210">_xlfn.XLOOKUP(Table11918[[#This Row],[Team]],Table4334[Team],'2425'!$C$3:$C$34)</f>
        <v>n/a</v>
      </c>
      <c r="F210" s="97" t="str">
        <f>'2025'!$E$5</f>
        <v>n/a</v>
      </c>
      <c r="G210" s="94" t="e" cm="1">
        <f t="array" ref="G210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10" s="94" t="e" cm="1">
        <f t="array" ref="H210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10" s="94" t="e" cm="1">
        <f t="array" ref="I210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10" s="96" t="e" cm="1">
        <f t="array" ref="J210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10" s="96" t="e" cm="1">
        <f t="array" ref="K210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10" s="96" t="e" cm="1">
        <f t="array" ref="L210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10" s="94" t="e">
        <f>AVERAGE(Table11918[[#This Row],[*C*]:[*TD*]])</f>
        <v>#N/A</v>
      </c>
    </row>
    <row r="211" spans="2:13" hidden="1" x14ac:dyDescent="0.35">
      <c r="B211" s="6" t="s">
        <v>428</v>
      </c>
      <c r="C211" s="97" t="s">
        <v>48</v>
      </c>
      <c r="D211" s="97" t="s">
        <v>403</v>
      </c>
      <c r="E211" s="23" t="str" cm="1">
        <f t="array" ref="E211">_xlfn.XLOOKUP(Table11918[[#This Row],[Team]],Table4334[Team],'2425'!$C$3:$C$34)</f>
        <v>n/a</v>
      </c>
      <c r="F211" s="97" t="str">
        <f>'2025'!$E$26</f>
        <v>n/a</v>
      </c>
      <c r="G211" s="94" t="e" cm="1">
        <f t="array" ref="G211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11" s="94" t="e" cm="1">
        <f t="array" ref="H211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11" s="94" t="e" cm="1">
        <f t="array" ref="I211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11" s="96" t="e" cm="1">
        <f t="array" ref="J211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11" s="96" t="e" cm="1">
        <f t="array" ref="K211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11" s="96" t="e" cm="1">
        <f t="array" ref="L211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11" s="94" t="e">
        <f>AVERAGE(Table11918[[#This Row],[*C*]:[*TD*]])</f>
        <v>#N/A</v>
      </c>
    </row>
    <row r="212" spans="2:13" hidden="1" x14ac:dyDescent="0.35">
      <c r="B212" s="112" t="s">
        <v>439</v>
      </c>
      <c r="C212" s="113" t="s">
        <v>48</v>
      </c>
      <c r="D212" s="113" t="s">
        <v>411</v>
      </c>
      <c r="E212" s="23" t="str" cm="1">
        <f t="array" ref="E212">_xlfn.XLOOKUP(Table11918[[#This Row],[Team]],Table4334[Team],'2425'!$C$3:$C$34)</f>
        <v>n/a</v>
      </c>
      <c r="F212" s="97" t="str">
        <f>'2025'!$E$26</f>
        <v>n/a</v>
      </c>
      <c r="G212" s="94" t="e" cm="1">
        <f t="array" ref="G212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12" s="94" t="e" cm="1">
        <f t="array" ref="H212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12" s="94" t="e" cm="1">
        <f t="array" ref="I212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12" s="96" t="e" cm="1">
        <f t="array" ref="J212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12" s="96" t="e" cm="1">
        <f t="array" ref="K212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12" s="96" t="e" cm="1">
        <f t="array" ref="L212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12" s="94" t="e">
        <f>AVERAGE(Table11918[[#This Row],[*C*]:[*TD*]])</f>
        <v>#N/A</v>
      </c>
    </row>
    <row r="213" spans="2:13" hidden="1" x14ac:dyDescent="0.35">
      <c r="B213" s="112" t="s">
        <v>440</v>
      </c>
      <c r="C213" s="113" t="s">
        <v>48</v>
      </c>
      <c r="D213" s="113" t="s">
        <v>441</v>
      </c>
      <c r="E213" s="23" t="str" cm="1">
        <f t="array" ref="E213">_xlfn.XLOOKUP(Table11918[[#This Row],[Team]],Table4334[Team],'2425'!$C$3:$C$34)</f>
        <v>n/a</v>
      </c>
      <c r="F213" s="97" t="str">
        <f>'2025'!$E$26</f>
        <v>n/a</v>
      </c>
      <c r="G213" s="94" t="e" cm="1">
        <f t="array" ref="G213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13" s="94" t="e" cm="1">
        <f t="array" ref="H213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13" s="94" t="e" cm="1">
        <f t="array" ref="I213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13" s="96" t="e" cm="1">
        <f t="array" ref="J213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13" s="96" t="e" cm="1">
        <f t="array" ref="K213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13" s="96" t="e" cm="1">
        <f t="array" ref="L213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13" s="94" t="e">
        <f>AVERAGE(Table11918[[#This Row],[*C*]:[*TD*]])</f>
        <v>#N/A</v>
      </c>
    </row>
    <row r="214" spans="2:13" hidden="1" x14ac:dyDescent="0.35">
      <c r="B214" s="112" t="s">
        <v>327</v>
      </c>
      <c r="C214" s="113" t="s">
        <v>48</v>
      </c>
      <c r="D214" s="113" t="s">
        <v>443</v>
      </c>
      <c r="E214" s="23" t="str" cm="1">
        <f t="array" ref="E214">_xlfn.XLOOKUP(Table11918[[#This Row],[Team]],Table4334[Team],'2425'!$C$3:$C$34)</f>
        <v>n/a</v>
      </c>
      <c r="F214" s="97" t="str">
        <f>'2025'!$E$26</f>
        <v>n/a</v>
      </c>
      <c r="G214" s="94" t="e" cm="1">
        <f t="array" ref="G214">_xlfn.IFS(Table11918[[#This Row],[Pos.]]="WR1",_xlfn.XLOOKUP(Table11918[[#This Row],[Opp]],Table4[DEF],'2025'!$AH$3:$AH$34),Table11918[[#This Row],[Pos.]]="WR2",_xlfn.XLOOKUP(Table11918[[#This Row],[Opp]],Table4[DEF],'2025'!$AQ$3:$AQ$34),Table11918[[#This Row],[Pos.]]="WR3",_xlfn.XLOOKUP(Table11918[[#This Row],[Opp]],Table4[DEF],'2025'!$AH$38:$AH$69),OR(Table11918[[#This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Row],[Opp]],Table4[DEF],'2025'!$AQ$38:$AQ$69))</f>
        <v>#N/A</v>
      </c>
      <c r="H214" s="94" t="e" cm="1">
        <f t="array" ref="H214">_xlfn.IFS(Table11918[[#This Row],[Pos.]]="WR1",_xlfn.XLOOKUP(Table11918[[#This Row],[Opp]],Table4[DEF],'2025'!$AI$3:$AI$34),Table11918[[#This Row],[Pos.]]="WR2",_xlfn.XLOOKUP(Table11918[[#This Row],[Opp]],Table4[DEF],'2025'!$AR$3:$AR$34),Table11918[[#This Row],[Pos.]]="WR3",_xlfn.XLOOKUP(Table11918[[#This Row],[Opp]],Table4[DEF],'2025'!$AI$38:$AI$69),OR(Table11918[[#This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Row],[Opp]],Table4[DEF],'2025'!$AR$38:$AR$69))</f>
        <v>#N/A</v>
      </c>
      <c r="I214" s="94" t="e" cm="1">
        <f t="array" ref="I214">_xlfn.IFS(Table11918[[#This Row],[Pos.]]="WR1",_xlfn.XLOOKUP(Table11918[[#This Row],[Opp]],Table4[DEF],'2025'!$AJ$3:$AJ$34),Table11918[[#This Row],[Pos.]]="WR2",_xlfn.XLOOKUP(Table11918[[#This Row],[Opp]],Table4[DEF],'2025'!$AS$3:$AS$34),Table11918[[#This Row],[Pos.]]="WR3",_xlfn.XLOOKUP(Table11918[[#This Row],[Opp]],Table4[DEF],'2025'!$AJ$38:$AJ$69),OR(Table11918[[#This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Row],[Opp]],Table4[DEF],'2025'!$AS$38:$AS$69))</f>
        <v>#N/A</v>
      </c>
      <c r="J214" s="96" t="e" cm="1">
        <f t="array" ref="J214">_xlfn.IFS(Table11918[[#This Row],[Pos.]]="WR1",_xlfn.XLOOKUP(Table11918[[#This Row],[Opp]],Table4[DEF],Table7[REC]),Table11918[[#This Row],[Pos.]]="WR2",_xlfn.XLOOKUP(Table11918[[#This Row],[Opp]],Table4[DEF],Table712[REC]),Table11918[[#This Row],[Pos.]]="WR3",_xlfn.XLOOKUP(Table11918[[#This Row],[Opp]],Table4[DEF],Table71214[REC]),OR(Table11918[[#This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Row],[Opp]],Table4[DEF],Table7121415[REC]))</f>
        <v>#N/A</v>
      </c>
      <c r="K214" s="96" t="e" cm="1">
        <f t="array" ref="K214">_xlfn.IFS(Table11918[[#This Row],[Pos.]]="WR1",_xlfn.XLOOKUP(Table11918[[#This Row],[Opp]],Table4[DEF],Table7[Y]),Table11918[[#This Row],[Pos.]]="WR2",_xlfn.XLOOKUP(Table11918[[#This Row],[Opp]],Table4[DEF],Table712[Y]),Table11918[[#This Row],[Pos.]]="WR3",_xlfn.XLOOKUP(Table11918[[#This Row],[Opp]],Table4[DEF],Table71214[Y]),OR(Table11918[[#This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Row],[Opp]],Table4[DEF],Table7121415[Y]))</f>
        <v>#N/A</v>
      </c>
      <c r="L214" s="96" t="e" cm="1">
        <f t="array" ref="L214">_xlfn.IFS(Table11918[[#This Row],[Pos.]]="WR1",_xlfn.XLOOKUP(Table11918[[#This Row],[Opp]],Table4[DEF],Table7[TD]),Table11918[[#This Row],[Pos.]]="WR2",_xlfn.XLOOKUP(Table11918[[#This Row],[Opp]],Table4[DEF],Table712[TD]),Table11918[[#This Row],[Pos.]]="WR3",_xlfn.XLOOKUP(Table11918[[#This Row],[Opp]],Table4[DEF],Table71214[TD]),OR(Table11918[[#This Row],[Pos.]]="WR4",Table11918[[#This Row],[Pos.]]="WR5",Table11918[[#This Row],[Pos.]]="WR6",Table11918[[#This Row],[Pos.]]="WR7",Table11918[[#This Row],[Pos.]]="WR8",Table11918[[#This Row],[Pos.]]="WR9"),_xlfn.XLOOKUP(Table11918[[#This Row],[Opp]],Table4[DEF],Table7121415[TD]))</f>
        <v>#N/A</v>
      </c>
      <c r="M214" s="94" t="e">
        <f>AVERAGE(Table11918[[#This Row],[*C*]:[*TD*]])</f>
        <v>#N/A</v>
      </c>
    </row>
  </sheetData>
  <phoneticPr fontId="5" type="noConversion"/>
  <conditionalFormatting sqref="C2:C214 F2:F214 H2:H214">
    <cfRule type="cellIs" dxfId="2926" priority="23" operator="equal">
      <formula>"TB"</formula>
    </cfRule>
    <cfRule type="cellIs" dxfId="2925" priority="34" operator="equal">
      <formula>"SF"</formula>
    </cfRule>
    <cfRule type="cellIs" dxfId="2924" priority="35" operator="equal">
      <formula>"WAS"</formula>
    </cfRule>
    <cfRule type="cellIs" dxfId="2923" priority="36" operator="equal">
      <formula>"GB"</formula>
    </cfRule>
    <cfRule type="cellIs" dxfId="2922" priority="37" operator="equal">
      <formula>"DAL"</formula>
    </cfRule>
    <cfRule type="cellIs" dxfId="2921" priority="38" operator="equal">
      <formula>"CIN"</formula>
    </cfRule>
    <cfRule type="cellIs" dxfId="2920" priority="39" operator="equal">
      <formula>"ARI"</formula>
    </cfRule>
    <cfRule type="cellIs" dxfId="2919" priority="40" operator="equal">
      <formula>"HOU"</formula>
    </cfRule>
    <cfRule type="cellIs" dxfId="2918" priority="17" operator="equal">
      <formula>"PIT"</formula>
    </cfRule>
    <cfRule type="cellIs" dxfId="2917" priority="41" operator="equal">
      <formula>"IND"</formula>
    </cfRule>
    <cfRule type="cellIs" dxfId="2916" priority="42" operator="equal">
      <formula>"KC"</formula>
    </cfRule>
    <cfRule type="cellIs" dxfId="2915" priority="43" operator="equal">
      <formula>"BAL"</formula>
    </cfRule>
    <cfRule type="cellIs" dxfId="2914" priority="13" operator="equal">
      <formula>"BYE"</formula>
    </cfRule>
    <cfRule type="cellIs" dxfId="2913" priority="14" operator="equal">
      <formula>"LV"</formula>
    </cfRule>
    <cfRule type="cellIs" dxfId="2912" priority="15" operator="equal">
      <formula>"NE"</formula>
    </cfRule>
    <cfRule type="cellIs" dxfId="2911" priority="16" operator="equal">
      <formula>"MIN"</formula>
    </cfRule>
    <cfRule type="cellIs" dxfId="2910" priority="44" operator="equal">
      <formula>"PHI"</formula>
    </cfRule>
    <cfRule type="cellIs" dxfId="2909" priority="18" operator="equal">
      <formula>"DEN"</formula>
    </cfRule>
    <cfRule type="cellIs" dxfId="2908" priority="19" operator="equal">
      <formula>"CAR"</formula>
    </cfRule>
    <cfRule type="cellIs" dxfId="2907" priority="20" operator="equal">
      <formula>"NYG"</formula>
    </cfRule>
    <cfRule type="cellIs" dxfId="2906" priority="21" operator="equal">
      <formula>"NO"</formula>
    </cfRule>
    <cfRule type="cellIs" dxfId="2905" priority="22" operator="equal">
      <formula>"TEN"</formula>
    </cfRule>
    <cfRule type="cellIs" dxfId="2904" priority="45" operator="equal">
      <formula>"BUF"</formula>
    </cfRule>
    <cfRule type="cellIs" dxfId="2903" priority="24" operator="equal">
      <formula>"CLE"</formula>
    </cfRule>
    <cfRule type="cellIs" dxfId="2902" priority="25" operator="equal">
      <formula>"NYJ"</formula>
    </cfRule>
    <cfRule type="cellIs" dxfId="2901" priority="26" operator="equal">
      <formula>"SEA"</formula>
    </cfRule>
    <cfRule type="cellIs" dxfId="2900" priority="27" operator="equal">
      <formula>"LAC"</formula>
    </cfRule>
    <cfRule type="cellIs" dxfId="2899" priority="28" operator="equal">
      <formula>"LAR"</formula>
    </cfRule>
    <cfRule type="cellIs" dxfId="2898" priority="29" operator="equal">
      <formula>"ATL"</formula>
    </cfRule>
    <cfRule type="cellIs" dxfId="2897" priority="30" operator="equal">
      <formula>"JAX"</formula>
    </cfRule>
    <cfRule type="cellIs" dxfId="2896" priority="31" operator="equal">
      <formula>"CHI"</formula>
    </cfRule>
    <cfRule type="cellIs" dxfId="2895" priority="32" operator="equal">
      <formula>"MIA"</formula>
    </cfRule>
    <cfRule type="cellIs" dxfId="2894" priority="33" operator="equal">
      <formula>"DET"</formula>
    </cfRule>
  </conditionalFormatting>
  <conditionalFormatting sqref="D2:D214">
    <cfRule type="cellIs" dxfId="2893" priority="50" operator="equal">
      <formula>"TE5"</formula>
    </cfRule>
    <cfRule type="cellIs" dxfId="2892" priority="58" operator="equal">
      <formula>"TE3"</formula>
    </cfRule>
    <cfRule type="cellIs" dxfId="2891" priority="59" operator="equal">
      <formula>"WR3"</formula>
    </cfRule>
    <cfRule type="cellIs" dxfId="2890" priority="60" operator="equal">
      <formula>"RB3"</formula>
    </cfRule>
    <cfRule type="cellIs" dxfId="2889" priority="61" operator="equal">
      <formula>"QB3"</formula>
    </cfRule>
    <cfRule type="cellIs" dxfId="2888" priority="62" operator="equal">
      <formula>"TE2"</formula>
    </cfRule>
    <cfRule type="cellIs" dxfId="2887" priority="63" operator="equal">
      <formula>"WR2"</formula>
    </cfRule>
    <cfRule type="cellIs" dxfId="2886" priority="67" operator="equal">
      <formula>"WR1"</formula>
    </cfRule>
    <cfRule type="cellIs" dxfId="2885" priority="68" operator="equal">
      <formula>"RB1"</formula>
    </cfRule>
    <cfRule type="cellIs" dxfId="2884" priority="69" operator="equal">
      <formula>"QB1"</formula>
    </cfRule>
    <cfRule type="cellIs" dxfId="2883" priority="64" operator="equal">
      <formula>"RB2"</formula>
    </cfRule>
    <cfRule type="cellIs" dxfId="2882" priority="65" operator="equal">
      <formula>"QB2"</formula>
    </cfRule>
    <cfRule type="cellIs" dxfId="2881" priority="46" operator="equal">
      <formula>"WR9"</formula>
    </cfRule>
    <cfRule type="cellIs" dxfId="2880" priority="47" operator="equal">
      <formula>"WR8"</formula>
    </cfRule>
    <cfRule type="cellIs" dxfId="2879" priority="48" operator="equal">
      <formula>"WR7"</formula>
    </cfRule>
    <cfRule type="cellIs" dxfId="2878" priority="49" operator="equal">
      <formula>"WR6"</formula>
    </cfRule>
    <cfRule type="cellIs" dxfId="2877" priority="66" operator="equal">
      <formula>"TE1"</formula>
    </cfRule>
    <cfRule type="cellIs" dxfId="2876" priority="51" operator="equal">
      <formula>"WR5"</formula>
    </cfRule>
    <cfRule type="cellIs" dxfId="2875" priority="52" operator="equal">
      <formula>"RB5"</formula>
    </cfRule>
    <cfRule type="cellIs" dxfId="2874" priority="53" operator="equal">
      <formula>"QB5"</formula>
    </cfRule>
    <cfRule type="cellIs" dxfId="2873" priority="54" operator="equal">
      <formula>"TE4"</formula>
    </cfRule>
    <cfRule type="cellIs" dxfId="2872" priority="55" operator="equal">
      <formula>"WR4"</formula>
    </cfRule>
    <cfRule type="cellIs" dxfId="2871" priority="56" operator="equal">
      <formula>"RB4"</formula>
    </cfRule>
    <cfRule type="cellIs" dxfId="2870" priority="57" operator="equal">
      <formula>"QB4"</formula>
    </cfRule>
  </conditionalFormatting>
  <conditionalFormatting sqref="E2:E214">
    <cfRule type="cellIs" dxfId="2869" priority="3" operator="equal">
      <formula>"snf"</formula>
    </cfRule>
    <cfRule type="cellIs" dxfId="2868" priority="4" operator="equal">
      <formula>"mnf"</formula>
    </cfRule>
    <cfRule type="cellIs" dxfId="2867" priority="5" operator="equal">
      <formula>"pm"</formula>
    </cfRule>
    <cfRule type="cellIs" dxfId="2866" priority="6" operator="equal">
      <formula>"am"</formula>
    </cfRule>
    <cfRule type="cellIs" dxfId="2865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2864" priority="1" operator="equal">
      <formula>"FRI"</formula>
    </cfRule>
    <cfRule type="cellIs" dxfId="2863" priority="2" operator="equal">
      <formula>"bye"</formula>
    </cfRule>
  </conditionalFormatting>
  <conditionalFormatting sqref="G2:G214">
    <cfRule type="cellIs" dxfId="2862" priority="128" operator="equal">
      <formula>"BAL"</formula>
    </cfRule>
    <cfRule type="cellIs" dxfId="2861" priority="129" operator="equal">
      <formula>"PHI"</formula>
    </cfRule>
    <cfRule type="cellIs" dxfId="2860" priority="130" operator="equal">
      <formula>"BUF"</formula>
    </cfRule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859" priority="98" operator="equal">
      <formula>"BYE"</formula>
    </cfRule>
    <cfRule type="cellIs" dxfId="2858" priority="99" operator="equal">
      <formula>"LV"</formula>
    </cfRule>
    <cfRule type="cellIs" dxfId="2857" priority="100" operator="equal">
      <formula>"NE"</formula>
    </cfRule>
    <cfRule type="cellIs" dxfId="2856" priority="101" operator="equal">
      <formula>"MIN"</formula>
    </cfRule>
    <cfRule type="cellIs" dxfId="2855" priority="102" operator="equal">
      <formula>"PIT"</formula>
    </cfRule>
    <cfRule type="cellIs" dxfId="2854" priority="103" operator="equal">
      <formula>"DEN"</formula>
    </cfRule>
    <cfRule type="cellIs" dxfId="2853" priority="104" operator="equal">
      <formula>"CAR"</formula>
    </cfRule>
    <cfRule type="cellIs" dxfId="2852" priority="105" operator="equal">
      <formula>"NYG"</formula>
    </cfRule>
    <cfRule type="cellIs" dxfId="2851" priority="106" operator="equal">
      <formula>"NO"</formula>
    </cfRule>
    <cfRule type="cellIs" dxfId="2850" priority="107" operator="equal">
      <formula>"TEN"</formula>
    </cfRule>
    <cfRule type="cellIs" dxfId="2849" priority="108" operator="equal">
      <formula>"TB"</formula>
    </cfRule>
    <cfRule type="cellIs" dxfId="2848" priority="109" operator="equal">
      <formula>"CLE"</formula>
    </cfRule>
    <cfRule type="cellIs" dxfId="2847" priority="110" operator="equal">
      <formula>"NYJ"</formula>
    </cfRule>
    <cfRule type="cellIs" dxfId="2846" priority="111" operator="equal">
      <formula>"SEA"</formula>
    </cfRule>
    <cfRule type="cellIs" dxfId="2845" priority="112" operator="equal">
      <formula>"LAC"</formula>
    </cfRule>
    <cfRule type="cellIs" dxfId="2844" priority="113" operator="equal">
      <formula>"LAR"</formula>
    </cfRule>
    <cfRule type="cellIs" dxfId="2843" priority="114" operator="equal">
      <formula>"ATL"</formula>
    </cfRule>
    <cfRule type="cellIs" dxfId="2842" priority="115" operator="equal">
      <formula>"JAX"</formula>
    </cfRule>
    <cfRule type="cellIs" dxfId="2841" priority="116" operator="equal">
      <formula>"CHI"</formula>
    </cfRule>
    <cfRule type="cellIs" dxfId="2840" priority="117" operator="equal">
      <formula>"MIA"</formula>
    </cfRule>
    <cfRule type="cellIs" dxfId="2839" priority="118" operator="equal">
      <formula>"DET"</formula>
    </cfRule>
    <cfRule type="cellIs" dxfId="2838" priority="119" operator="equal">
      <formula>"SF"</formula>
    </cfRule>
    <cfRule type="cellIs" dxfId="2837" priority="120" operator="equal">
      <formula>"WAS"</formula>
    </cfRule>
    <cfRule type="cellIs" dxfId="2836" priority="121" operator="equal">
      <formula>"GB"</formula>
    </cfRule>
    <cfRule type="cellIs" dxfId="2835" priority="122" operator="equal">
      <formula>"DAL"</formula>
    </cfRule>
    <cfRule type="cellIs" dxfId="2834" priority="123" operator="equal">
      <formula>"CIN"</formula>
    </cfRule>
    <cfRule type="cellIs" dxfId="2833" priority="124" operator="equal">
      <formula>"ARI"</formula>
    </cfRule>
    <cfRule type="cellIs" dxfId="2832" priority="125" operator="equal">
      <formula>"HOU"</formula>
    </cfRule>
    <cfRule type="cellIs" dxfId="2831" priority="126" operator="equal">
      <formula>"IND"</formula>
    </cfRule>
    <cfRule type="cellIs" dxfId="2830" priority="127" operator="equal">
      <formula>"KC"</formula>
    </cfRule>
  </conditionalFormatting>
  <conditionalFormatting sqref="H2:H214">
    <cfRule type="colorScale" priority="1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214">
    <cfRule type="cellIs" dxfId="2829" priority="137" operator="equal">
      <formula>"NE"</formula>
    </cfRule>
    <cfRule type="cellIs" dxfId="2828" priority="165" operator="equal">
      <formula>"BAL"</formula>
    </cfRule>
    <cfRule type="cellIs" dxfId="2827" priority="166" operator="equal">
      <formula>"PHI"</formula>
    </cfRule>
    <cfRule type="colorScale" priority="134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826" priority="135" operator="equal">
      <formula>"BYE"</formula>
    </cfRule>
    <cfRule type="cellIs" dxfId="2825" priority="136" operator="equal">
      <formula>"LV"</formula>
    </cfRule>
    <cfRule type="cellIs" dxfId="2824" priority="146" operator="equal">
      <formula>"CLE"</formula>
    </cfRule>
    <cfRule type="cellIs" dxfId="2823" priority="138" operator="equal">
      <formula>"MIN"</formula>
    </cfRule>
    <cfRule type="cellIs" dxfId="2822" priority="139" operator="equal">
      <formula>"PIT"</formula>
    </cfRule>
    <cfRule type="cellIs" dxfId="2821" priority="140" operator="equal">
      <formula>"DEN"</formula>
    </cfRule>
    <cfRule type="cellIs" dxfId="2820" priority="141" operator="equal">
      <formula>"CAR"</formula>
    </cfRule>
    <cfRule type="cellIs" dxfId="2819" priority="142" operator="equal">
      <formula>"NYG"</formula>
    </cfRule>
    <cfRule type="cellIs" dxfId="2818" priority="143" operator="equal">
      <formula>"NO"</formula>
    </cfRule>
    <cfRule type="cellIs" dxfId="2817" priority="144" operator="equal">
      <formula>"TEN"</formula>
    </cfRule>
    <cfRule type="cellIs" dxfId="2816" priority="145" operator="equal">
      <formula>"TB"</formula>
    </cfRule>
    <cfRule type="cellIs" dxfId="2815" priority="167" operator="equal">
      <formula>"BUF"</formula>
    </cfRule>
    <cfRule type="cellIs" dxfId="2814" priority="147" operator="equal">
      <formula>"NYJ"</formula>
    </cfRule>
    <cfRule type="cellIs" dxfId="2813" priority="148" operator="equal">
      <formula>"SEA"</formula>
    </cfRule>
    <cfRule type="cellIs" dxfId="2812" priority="149" operator="equal">
      <formula>"LAC"</formula>
    </cfRule>
    <cfRule type="cellIs" dxfId="2811" priority="150" operator="equal">
      <formula>"LAR"</formula>
    </cfRule>
    <cfRule type="cellIs" dxfId="2810" priority="151" operator="equal">
      <formula>"ATL"</formula>
    </cfRule>
    <cfRule type="cellIs" dxfId="2809" priority="152" operator="equal">
      <formula>"JAX"</formula>
    </cfRule>
    <cfRule type="cellIs" dxfId="2808" priority="153" operator="equal">
      <formula>"CHI"</formula>
    </cfRule>
    <cfRule type="cellIs" dxfId="2807" priority="154" operator="equal">
      <formula>"MIA"</formula>
    </cfRule>
    <cfRule type="cellIs" dxfId="2806" priority="155" operator="equal">
      <formula>"DET"</formula>
    </cfRule>
    <cfRule type="cellIs" dxfId="2805" priority="156" operator="equal">
      <formula>"SF"</formula>
    </cfRule>
    <cfRule type="cellIs" dxfId="2804" priority="157" operator="equal">
      <formula>"WAS"</formula>
    </cfRule>
    <cfRule type="cellIs" dxfId="2803" priority="158" operator="equal">
      <formula>"GB"</formula>
    </cfRule>
    <cfRule type="cellIs" dxfId="2802" priority="159" operator="equal">
      <formula>"DAL"</formula>
    </cfRule>
    <cfRule type="cellIs" dxfId="2801" priority="160" operator="equal">
      <formula>"CIN"</formula>
    </cfRule>
    <cfRule type="cellIs" dxfId="2800" priority="161" operator="equal">
      <formula>"ARI"</formula>
    </cfRule>
    <cfRule type="cellIs" dxfId="2799" priority="162" operator="equal">
      <formula>"HOU"</formula>
    </cfRule>
    <cfRule type="cellIs" dxfId="2798" priority="163" operator="equal">
      <formula>"IND"</formula>
    </cfRule>
    <cfRule type="cellIs" dxfId="2797" priority="164" operator="equal">
      <formula>"KC"</formula>
    </cfRule>
  </conditionalFormatting>
  <conditionalFormatting sqref="J2:J2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14">
    <cfRule type="colorScale" priority="172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796" priority="173" operator="equal">
      <formula>"BYE"</formula>
    </cfRule>
    <cfRule type="cellIs" dxfId="2795" priority="174" operator="equal">
      <formula>"LV"</formula>
    </cfRule>
    <cfRule type="cellIs" dxfId="2794" priority="175" operator="equal">
      <formula>"NE"</formula>
    </cfRule>
    <cfRule type="cellIs" dxfId="2793" priority="176" operator="equal">
      <formula>"MIN"</formula>
    </cfRule>
    <cfRule type="cellIs" dxfId="2792" priority="177" operator="equal">
      <formula>"PIT"</formula>
    </cfRule>
    <cfRule type="cellIs" dxfId="2791" priority="178" operator="equal">
      <formula>"DEN"</formula>
    </cfRule>
    <cfRule type="cellIs" dxfId="2790" priority="179" operator="equal">
      <formula>"CAR"</formula>
    </cfRule>
    <cfRule type="cellIs" dxfId="2789" priority="180" operator="equal">
      <formula>"NYG"</formula>
    </cfRule>
    <cfRule type="cellIs" dxfId="2788" priority="181" operator="equal">
      <formula>"NO"</formula>
    </cfRule>
    <cfRule type="cellIs" dxfId="2787" priority="182" operator="equal">
      <formula>"TEN"</formula>
    </cfRule>
    <cfRule type="cellIs" dxfId="2786" priority="183" operator="equal">
      <formula>"TB"</formula>
    </cfRule>
    <cfRule type="cellIs" dxfId="2785" priority="184" operator="equal">
      <formula>"CLE"</formula>
    </cfRule>
    <cfRule type="cellIs" dxfId="2784" priority="185" operator="equal">
      <formula>"NYJ"</formula>
    </cfRule>
    <cfRule type="cellIs" dxfId="2783" priority="186" operator="equal">
      <formula>"SEA"</formula>
    </cfRule>
    <cfRule type="cellIs" dxfId="2782" priority="187" operator="equal">
      <formula>"LAC"</formula>
    </cfRule>
    <cfRule type="cellIs" dxfId="2781" priority="188" operator="equal">
      <formula>"LAR"</formula>
    </cfRule>
    <cfRule type="cellIs" dxfId="2780" priority="189" operator="equal">
      <formula>"ATL"</formula>
    </cfRule>
    <cfRule type="cellIs" dxfId="2779" priority="190" operator="equal">
      <formula>"JAX"</formula>
    </cfRule>
    <cfRule type="cellIs" dxfId="2778" priority="191" operator="equal">
      <formula>"CHI"</formula>
    </cfRule>
    <cfRule type="cellIs" dxfId="2777" priority="192" operator="equal">
      <formula>"MIA"</formula>
    </cfRule>
    <cfRule type="cellIs" dxfId="2776" priority="193" operator="equal">
      <formula>"DET"</formula>
    </cfRule>
    <cfRule type="cellIs" dxfId="2775" priority="194" operator="equal">
      <formula>"SF"</formula>
    </cfRule>
    <cfRule type="cellIs" dxfId="2774" priority="195" operator="equal">
      <formula>"WAS"</formula>
    </cfRule>
    <cfRule type="cellIs" dxfId="2773" priority="196" operator="equal">
      <formula>"GB"</formula>
    </cfRule>
    <cfRule type="cellIs" dxfId="2772" priority="197" operator="equal">
      <formula>"DAL"</formula>
    </cfRule>
    <cfRule type="cellIs" dxfId="2771" priority="198" operator="equal">
      <formula>"CIN"</formula>
    </cfRule>
    <cfRule type="cellIs" dxfId="2770" priority="199" operator="equal">
      <formula>"ARI"</formula>
    </cfRule>
    <cfRule type="cellIs" dxfId="2769" priority="200" operator="equal">
      <formula>"HOU"</formula>
    </cfRule>
    <cfRule type="cellIs" dxfId="2768" priority="201" operator="equal">
      <formula>"IND"</formula>
    </cfRule>
    <cfRule type="cellIs" dxfId="2767" priority="202" operator="equal">
      <formula>"KC"</formula>
    </cfRule>
    <cfRule type="cellIs" dxfId="2766" priority="203" operator="equal">
      <formula>"BAL"</formula>
    </cfRule>
    <cfRule type="cellIs" dxfId="2765" priority="204" operator="equal">
      <formula>"PHI"</formula>
    </cfRule>
    <cfRule type="cellIs" dxfId="2764" priority="205" operator="equal">
      <formula>"BUF"</formula>
    </cfRule>
  </conditionalFormatting>
  <printOptions horizontalCentered="1" verticalCentered="1"/>
  <pageMargins left="0" right="0" top="0.25" bottom="0.25" header="0.05" footer="0.05"/>
  <pageSetup paperSize="3" scale="38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34593484-CE50-49DA-830D-C5616137CB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E2:E214</xm:sqref>
        </x14:conditionalFormatting>
        <x14:conditionalFormatting xmlns:xm="http://schemas.microsoft.com/office/excel/2006/main">
          <x14:cfRule type="iconSet" priority="96" id="{15CF89F6-37A5-46DE-B9E9-1C5B1881C1A8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G2:G214</xm:sqref>
        </x14:conditionalFormatting>
        <x14:conditionalFormatting xmlns:xm="http://schemas.microsoft.com/office/excel/2006/main">
          <x14:cfRule type="iconSet" priority="131" id="{C3CB3713-E9F5-47A4-8C24-51C3E525702F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H2:H214</xm:sqref>
        </x14:conditionalFormatting>
        <x14:conditionalFormatting xmlns:xm="http://schemas.microsoft.com/office/excel/2006/main">
          <x14:cfRule type="iconSet" priority="133" id="{C7B02C0E-0F99-431F-932F-5C8EAF70F48E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I2:I214</xm:sqref>
        </x14:conditionalFormatting>
        <x14:conditionalFormatting xmlns:xm="http://schemas.microsoft.com/office/excel/2006/main">
          <x14:cfRule type="iconSet" priority="171" id="{04B49686-63DE-4AD5-AE13-CED91D345C81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M2:M214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10FD-9461-413B-A01E-14E02E26DC9D}">
  <sheetPr>
    <tabColor theme="3" tint="0.89999084444715716"/>
    <pageSetUpPr fitToPage="1"/>
  </sheetPr>
  <dimension ref="B1:M214"/>
  <sheetViews>
    <sheetView zoomScaleNormal="100" workbookViewId="0">
      <selection activeCell="AC234" sqref="AC234"/>
    </sheetView>
  </sheetViews>
  <sheetFormatPr defaultRowHeight="14.5" x14ac:dyDescent="0.35"/>
  <cols>
    <col min="1" max="1" width="1.6328125" customWidth="1"/>
    <col min="2" max="2" width="15.632812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7" width="7.453125" bestFit="1" customWidth="1"/>
    <col min="8" max="8" width="7.36328125" bestFit="1" customWidth="1"/>
    <col min="9" max="9" width="8.1796875" bestFit="1" customWidth="1"/>
    <col min="10" max="10" width="6" bestFit="1" customWidth="1"/>
    <col min="11" max="11" width="5.90625" bestFit="1" customWidth="1"/>
    <col min="12" max="12" width="6.7265625" bestFit="1" customWidth="1"/>
    <col min="13" max="13" width="5.90625" bestFit="1" customWidth="1"/>
  </cols>
  <sheetData>
    <row r="1" spans="2:13" ht="15" thickBot="1" x14ac:dyDescent="0.4">
      <c r="B1" s="90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2" t="s">
        <v>657</v>
      </c>
      <c r="H1" s="92" t="s">
        <v>652</v>
      </c>
      <c r="I1" s="91" t="s">
        <v>653</v>
      </c>
      <c r="J1" s="93" t="s">
        <v>656</v>
      </c>
      <c r="K1" s="93" t="s">
        <v>104</v>
      </c>
      <c r="L1" s="93" t="s">
        <v>72</v>
      </c>
      <c r="M1" s="93" t="s">
        <v>649</v>
      </c>
    </row>
    <row r="2" spans="2:13" hidden="1" x14ac:dyDescent="0.35">
      <c r="B2" s="6" t="s">
        <v>372</v>
      </c>
      <c r="C2" s="97" t="s">
        <v>54</v>
      </c>
      <c r="D2" s="97" t="s">
        <v>66</v>
      </c>
      <c r="E2" s="23" t="str" cm="1">
        <f t="array" ref="E2">_xlfn.XLOOKUP(Table1191835[[#This Row],[Team]],Table4334[Team],'2425'!$C$3:$C$34)</f>
        <v>n/a</v>
      </c>
      <c r="F2" s="97" t="str">
        <f>'2025'!$E$32</f>
        <v>n/a</v>
      </c>
      <c r="G2" s="94" t="e" cm="1">
        <f t="array" ref="G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" s="94" t="e" cm="1">
        <f t="array" ref="H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" s="94" t="e" cm="1">
        <f t="array" ref="I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" s="96" t="e" cm="1">
        <f t="array" ref="J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" s="96" t="e" cm="1">
        <f t="array" ref="K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" s="96" t="e" cm="1">
        <f t="array" ref="L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" s="94" t="e">
        <f>AVERAGE(Table1191835[[#This Row],[*C*]:[*TD*]])</f>
        <v>#N/A</v>
      </c>
    </row>
    <row r="3" spans="2:13" hidden="1" x14ac:dyDescent="0.35">
      <c r="B3" s="6" t="s">
        <v>141</v>
      </c>
      <c r="C3" s="97" t="s">
        <v>29</v>
      </c>
      <c r="D3" s="97" t="s">
        <v>66</v>
      </c>
      <c r="E3" s="23" t="str" cm="1">
        <f t="array" ref="E3">_xlfn.XLOOKUP(Table1191835[[#This Row],[Team]],Table4334[Team],'2425'!$C$3:$C$34)</f>
        <v>n/a</v>
      </c>
      <c r="F3" s="97" t="str">
        <f>'2025'!$E$7</f>
        <v>n/a</v>
      </c>
      <c r="G3" s="94" t="e" cm="1">
        <f t="array" ref="G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" s="94" t="e" cm="1">
        <f t="array" ref="H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" s="94" t="e" cm="1">
        <f t="array" ref="I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" s="96" t="e" cm="1">
        <f t="array" ref="J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" s="96" t="e" cm="1">
        <f t="array" ref="K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" s="96" t="e" cm="1">
        <f t="array" ref="L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" s="94" t="e">
        <f>AVERAGE(Table1191835[[#This Row],[*C*]:[*TD*]])</f>
        <v>#N/A</v>
      </c>
    </row>
    <row r="4" spans="2:13" hidden="1" x14ac:dyDescent="0.35">
      <c r="B4" s="6" t="s">
        <v>211</v>
      </c>
      <c r="C4" s="97" t="s">
        <v>36</v>
      </c>
      <c r="D4" s="97" t="s">
        <v>66</v>
      </c>
      <c r="E4" s="23" t="str" cm="1">
        <f t="array" ref="E4">_xlfn.XLOOKUP(Table1191835[[#This Row],[Team]],Table4334[Team],'2425'!$C$3:$C$34)</f>
        <v>n/a</v>
      </c>
      <c r="F4" s="97" t="str">
        <f>'2025'!$E$14</f>
        <v>n/a</v>
      </c>
      <c r="G4" s="94" t="e" cm="1">
        <f t="array" ref="G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" s="94" t="e" cm="1">
        <f t="array" ref="H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" s="94" t="e" cm="1">
        <f t="array" ref="I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" s="96" t="e" cm="1">
        <f t="array" ref="J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" s="96" t="e" cm="1">
        <f t="array" ref="K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" s="96" t="e" cm="1">
        <f t="array" ref="L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" s="94" t="e">
        <f>AVERAGE(Table1191835[[#This Row],[*C*]:[*TD*]])</f>
        <v>#N/A</v>
      </c>
    </row>
    <row r="5" spans="2:13" x14ac:dyDescent="0.35">
      <c r="B5" s="6" t="s">
        <v>272</v>
      </c>
      <c r="C5" s="97" t="s">
        <v>42</v>
      </c>
      <c r="D5" s="97" t="s">
        <v>66</v>
      </c>
      <c r="E5" s="23" t="str" cm="1">
        <f t="array" ref="E5">_xlfn.XLOOKUP(Table1191835[[#This Row],[Team]],Table4334[Team],'2425'!$C$3:$C$34)</f>
        <v>n/a</v>
      </c>
      <c r="F5" s="97" t="str">
        <f>'2025'!$E$20</f>
        <v>n/a</v>
      </c>
      <c r="G5" s="94" t="e" cm="1">
        <f t="array" ref="G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" s="94" t="e" cm="1">
        <f t="array" ref="H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" s="94" t="e" cm="1">
        <f t="array" ref="I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" s="96" t="e" cm="1">
        <f t="array" ref="J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" s="96" t="e" cm="1">
        <f t="array" ref="K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" s="96" t="e" cm="1">
        <f t="array" ref="L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" s="94" t="e">
        <f>AVERAGE(Table1191835[[#This Row],[*C*]:[*TD*]])</f>
        <v>#N/A</v>
      </c>
    </row>
    <row r="6" spans="2:13" x14ac:dyDescent="0.35">
      <c r="B6" s="6" t="s">
        <v>156</v>
      </c>
      <c r="C6" s="97" t="s">
        <v>30</v>
      </c>
      <c r="D6" s="97" t="s">
        <v>66</v>
      </c>
      <c r="E6" s="23" t="str" cm="1">
        <f t="array" ref="E6">_xlfn.XLOOKUP(Table1191835[[#This Row],[Team]],Table4334[Team],'2425'!$C$3:$C$34)</f>
        <v>n/a</v>
      </c>
      <c r="F6" s="97" t="str">
        <f>'2025'!$E$8</f>
        <v>n/a</v>
      </c>
      <c r="G6" s="94" t="e" cm="1">
        <f t="array" ref="G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" s="94" t="e" cm="1">
        <f t="array" ref="H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" s="94" t="e" cm="1">
        <f t="array" ref="I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" s="96" t="e" cm="1">
        <f t="array" ref="J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" s="96" t="e" cm="1">
        <f t="array" ref="K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" s="96" t="e" cm="1">
        <f t="array" ref="L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" s="94" t="e">
        <f>AVERAGE(Table1191835[[#This Row],[*C*]:[*TD*]])</f>
        <v>#N/A</v>
      </c>
    </row>
    <row r="7" spans="2:13" hidden="1" x14ac:dyDescent="0.35">
      <c r="B7" s="6" t="s">
        <v>373</v>
      </c>
      <c r="C7" s="97" t="s">
        <v>54</v>
      </c>
      <c r="D7" s="97" t="s">
        <v>67</v>
      </c>
      <c r="E7" s="23" t="str" cm="1">
        <f t="array" ref="E7">_xlfn.XLOOKUP(Table1191835[[#This Row],[Team]],Table4334[Team],'2425'!$C$3:$C$34)</f>
        <v>n/a</v>
      </c>
      <c r="F7" s="97" t="str">
        <f>'2025'!$E$32</f>
        <v>n/a</v>
      </c>
      <c r="G7" s="94" t="e" cm="1">
        <f t="array" ref="G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" s="94" t="e" cm="1">
        <f t="array" ref="H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" s="94" t="e" cm="1">
        <f t="array" ref="I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" s="96" t="e" cm="1">
        <f t="array" ref="J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" s="96" t="e" cm="1">
        <f t="array" ref="K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" s="96" t="e" cm="1">
        <f t="array" ref="L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" s="94" t="e">
        <f>AVERAGE(Table1191835[[#This Row],[*C*]:[*TD*]])</f>
        <v>#N/A</v>
      </c>
    </row>
    <row r="8" spans="2:13" x14ac:dyDescent="0.35">
      <c r="B8" s="6" t="s">
        <v>356</v>
      </c>
      <c r="C8" s="97" t="s">
        <v>52</v>
      </c>
      <c r="D8" s="97" t="s">
        <v>67</v>
      </c>
      <c r="E8" s="23" t="str" cm="1">
        <f t="array" ref="E8">_xlfn.XLOOKUP(Table1191835[[#This Row],[Team]],Table4334[Team],'2425'!$C$3:$C$34)</f>
        <v>SB LX</v>
      </c>
      <c r="F8" s="97" t="str">
        <f>'2025'!$E$30</f>
        <v>NE</v>
      </c>
      <c r="G8" s="94" cm="1">
        <f t="array" ref="G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7</v>
      </c>
      <c r="H8" s="94" cm="1">
        <f t="array" ref="H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11</v>
      </c>
      <c r="I8" s="94" cm="1">
        <f t="array" ref="I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8</v>
      </c>
      <c r="J8" s="96" cm="1">
        <f t="array" ref="J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3.8529411764705883</v>
      </c>
      <c r="K8" s="96" cm="1">
        <f t="array" ref="K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47.676470588235297</v>
      </c>
      <c r="L8" s="96" cm="1">
        <f t="array" ref="L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0.41176470588235292</v>
      </c>
      <c r="M8" s="94">
        <f>AVERAGE(Table1191835[[#This Row],[*C*]:[*TD*]])</f>
        <v>8.6666666666666661</v>
      </c>
    </row>
    <row r="9" spans="2:13" hidden="1" x14ac:dyDescent="0.35">
      <c r="B9" s="6" t="s">
        <v>262</v>
      </c>
      <c r="C9" s="97" t="s">
        <v>41</v>
      </c>
      <c r="D9" s="97" t="s">
        <v>66</v>
      </c>
      <c r="E9" s="23" t="str" cm="1">
        <f t="array" ref="E9">_xlfn.XLOOKUP(Table1191835[[#This Row],[Team]],Table4334[Team],'2425'!$C$3:$C$34)</f>
        <v>n/a</v>
      </c>
      <c r="F9" s="97" t="str">
        <f>'2025'!$E$19</f>
        <v>n/a</v>
      </c>
      <c r="G9" s="94" t="e" cm="1">
        <f t="array" ref="G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" s="94" t="e" cm="1">
        <f t="array" ref="H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" s="94" t="e" cm="1">
        <f t="array" ref="I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" s="96" t="e" cm="1">
        <f t="array" ref="J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" s="96" t="e" cm="1">
        <f t="array" ref="K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" s="96" t="e" cm="1">
        <f t="array" ref="L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" s="94" t="e">
        <f>AVERAGE(Table1191835[[#This Row],[*C*]:[*TD*]])</f>
        <v>#N/A</v>
      </c>
    </row>
    <row r="10" spans="2:13" x14ac:dyDescent="0.35">
      <c r="B10" s="6" t="s">
        <v>198</v>
      </c>
      <c r="C10" s="97" t="s">
        <v>34</v>
      </c>
      <c r="D10" s="97" t="s">
        <v>67</v>
      </c>
      <c r="E10" s="23" t="str" cm="1">
        <f t="array" ref="E10">_xlfn.XLOOKUP(Table1191835[[#This Row],[Team]],Table4334[Team],'2425'!$C$3:$C$34)</f>
        <v>n/a</v>
      </c>
      <c r="F10" s="97" t="str">
        <f>'2025'!$E$12</f>
        <v>n/a</v>
      </c>
      <c r="G10" s="94" t="e" cm="1">
        <f t="array" ref="G1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" s="94" t="e" cm="1">
        <f t="array" ref="H1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" s="94" t="e" cm="1">
        <f t="array" ref="I1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" s="96" t="e" cm="1">
        <f t="array" ref="J1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" s="96" t="e" cm="1">
        <f t="array" ref="K1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" s="96" t="e" cm="1">
        <f t="array" ref="L1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" s="94" t="e">
        <f>AVERAGE(Table1191835[[#This Row],[*C*]:[*TD*]])</f>
        <v>#N/A</v>
      </c>
    </row>
    <row r="11" spans="2:13" x14ac:dyDescent="0.35">
      <c r="B11" s="6" t="s">
        <v>224</v>
      </c>
      <c r="C11" s="97" t="s">
        <v>37</v>
      </c>
      <c r="D11" s="97" t="s">
        <v>66</v>
      </c>
      <c r="E11" s="23" t="str" cm="1">
        <f t="array" ref="E11">_xlfn.XLOOKUP(Table1191835[[#This Row],[Team]],Table4334[Team],'2425'!$C$3:$C$34)</f>
        <v>n/a</v>
      </c>
      <c r="F11" s="97" t="str">
        <f>'2025'!$E$15</f>
        <v>n/a</v>
      </c>
      <c r="G11" s="94" t="e" cm="1">
        <f t="array" ref="G1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" s="94" t="e" cm="1">
        <f t="array" ref="H1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" s="94" t="e" cm="1">
        <f t="array" ref="I1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" s="96" t="e" cm="1">
        <f t="array" ref="J1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" s="96" t="e" cm="1">
        <f t="array" ref="K1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" s="96" t="e" cm="1">
        <f t="array" ref="L1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" s="94" t="e">
        <f>AVERAGE(Table1191835[[#This Row],[*C*]:[*TD*]])</f>
        <v>#N/A</v>
      </c>
    </row>
    <row r="12" spans="2:13" x14ac:dyDescent="0.35">
      <c r="B12" s="6" t="s">
        <v>364</v>
      </c>
      <c r="C12" s="97" t="s">
        <v>53</v>
      </c>
      <c r="D12" s="97" t="s">
        <v>66</v>
      </c>
      <c r="E12" s="23" t="str" cm="1">
        <f t="array" ref="E12">_xlfn.XLOOKUP(Table1191835[[#This Row],[Team]],Table4334[Team],'2425'!$C$3:$C$34)</f>
        <v>n/a</v>
      </c>
      <c r="F12" s="97" t="str">
        <f>'2025'!$E$31</f>
        <v>n/a</v>
      </c>
      <c r="G12" s="94" t="e" cm="1">
        <f t="array" ref="G1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" s="94" t="e" cm="1">
        <f t="array" ref="H1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" s="94" t="e" cm="1">
        <f t="array" ref="I1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" s="96" t="e" cm="1">
        <f t="array" ref="J1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" s="96" t="e" cm="1">
        <f t="array" ref="K1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" s="96" t="e" cm="1">
        <f t="array" ref="L1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" s="94" t="e">
        <f>AVERAGE(Table1191835[[#This Row],[*C*]:[*TD*]])</f>
        <v>#N/A</v>
      </c>
    </row>
    <row r="13" spans="2:13" hidden="1" x14ac:dyDescent="0.35">
      <c r="B13" s="6" t="s">
        <v>584</v>
      </c>
      <c r="C13" s="97" t="s">
        <v>54</v>
      </c>
      <c r="D13" s="97" t="s">
        <v>68</v>
      </c>
      <c r="E13" s="23" t="str" cm="1">
        <f t="array" ref="E13">_xlfn.XLOOKUP(Table1191835[[#This Row],[Team]],Table4334[Team],'2425'!$C$3:$C$34)</f>
        <v>n/a</v>
      </c>
      <c r="F13" s="97" t="str">
        <f>'2025'!$E$32</f>
        <v>n/a</v>
      </c>
      <c r="G13" s="94" t="e" cm="1">
        <f t="array" ref="G1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" s="94" t="e" cm="1">
        <f t="array" ref="H1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" s="94" t="e" cm="1">
        <f t="array" ref="I1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" s="96" t="e" cm="1">
        <f t="array" ref="J1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" s="96" t="e" cm="1">
        <f t="array" ref="K1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" s="96" t="e" cm="1">
        <f t="array" ref="L1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" s="94" t="e">
        <f>AVERAGE(Table1191835[[#This Row],[*C*]:[*TD*]])</f>
        <v>#N/A</v>
      </c>
    </row>
    <row r="14" spans="2:13" x14ac:dyDescent="0.35">
      <c r="B14" s="6" t="s">
        <v>311</v>
      </c>
      <c r="C14" s="97" t="s">
        <v>46</v>
      </c>
      <c r="D14" s="97" t="s">
        <v>67</v>
      </c>
      <c r="E14" s="23" t="str" cm="1">
        <f t="array" ref="E14">_xlfn.XLOOKUP(Table1191835[[#This Row],[Team]],Table4334[Team],'2425'!$C$3:$C$34)</f>
        <v>SB LX</v>
      </c>
      <c r="F14" s="97" t="str">
        <f>'2025'!$E$24</f>
        <v>SEA</v>
      </c>
      <c r="G14" s="94" cm="1">
        <f t="array" ref="G1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16</v>
      </c>
      <c r="H14" s="94" cm="1">
        <f t="array" ref="H1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22</v>
      </c>
      <c r="I14" s="94" cm="1">
        <f t="array" ref="I1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30</v>
      </c>
      <c r="J14" s="96" cm="1">
        <f t="array" ref="J1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3.5588235294117649</v>
      </c>
      <c r="K14" s="96" cm="1">
        <f t="array" ref="K1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42.764705882352942</v>
      </c>
      <c r="L14" s="96" cm="1">
        <f t="array" ref="L1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0.20588235294117649</v>
      </c>
      <c r="M14" s="94">
        <f>AVERAGE(Table1191835[[#This Row],[*C*]:[*TD*]])</f>
        <v>22.666666666666668</v>
      </c>
    </row>
    <row r="15" spans="2:13" x14ac:dyDescent="0.35">
      <c r="B15" s="6" t="s">
        <v>632</v>
      </c>
      <c r="C15" s="97" t="s">
        <v>37</v>
      </c>
      <c r="D15" s="97" t="s">
        <v>67</v>
      </c>
      <c r="E15" s="23" t="str" cm="1">
        <f t="array" ref="E15">_xlfn.XLOOKUP(Table1191835[[#This Row],[Team]],Table4334[Team],'2425'!$C$3:$C$34)</f>
        <v>n/a</v>
      </c>
      <c r="F15" s="97" t="str">
        <f>'2025'!$E$15</f>
        <v>n/a</v>
      </c>
      <c r="G15" s="94" t="e" cm="1">
        <f t="array" ref="G1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" s="94" t="e" cm="1">
        <f t="array" ref="H1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" s="94" t="e" cm="1">
        <f t="array" ref="I1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" s="96" t="e" cm="1">
        <f t="array" ref="J1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" s="96" t="e" cm="1">
        <f t="array" ref="K1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" s="96" t="e" cm="1">
        <f t="array" ref="L1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" s="94" t="e">
        <f>AVERAGE(Table1191835[[#This Row],[*C*]:[*TD*]])</f>
        <v>#N/A</v>
      </c>
    </row>
    <row r="16" spans="2:13" x14ac:dyDescent="0.35">
      <c r="B16" s="6" t="s">
        <v>355</v>
      </c>
      <c r="C16" s="97" t="s">
        <v>52</v>
      </c>
      <c r="D16" s="97" t="s">
        <v>66</v>
      </c>
      <c r="E16" s="23" t="str" cm="1">
        <f t="array" ref="E16">_xlfn.XLOOKUP(Table1191835[[#This Row],[Team]],Table4334[Team],'2425'!$C$3:$C$34)</f>
        <v>SB LX</v>
      </c>
      <c r="F16" s="97" t="str">
        <f>'2025'!$E$30</f>
        <v>NE</v>
      </c>
      <c r="G16" s="94" cm="1">
        <f t="array" ref="G1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26.5</v>
      </c>
      <c r="H16" s="94" cm="1">
        <f t="array" ref="H1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27</v>
      </c>
      <c r="I16" s="94" cm="1">
        <f t="array" ref="I1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12</v>
      </c>
      <c r="J16" s="96" cm="1">
        <f t="array" ref="J1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4.5882352941176467</v>
      </c>
      <c r="K16" s="96" cm="1">
        <f t="array" ref="K1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56.17647058823529</v>
      </c>
      <c r="L16" s="96" cm="1">
        <f t="array" ref="L1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0.44117647058823528</v>
      </c>
      <c r="M16" s="94">
        <f>AVERAGE(Table1191835[[#This Row],[*C*]:[*TD*]])</f>
        <v>21.833333333333332</v>
      </c>
    </row>
    <row r="17" spans="2:13" hidden="1" x14ac:dyDescent="0.35">
      <c r="B17" s="6" t="s">
        <v>126</v>
      </c>
      <c r="C17" s="97" t="s">
        <v>54</v>
      </c>
      <c r="D17" s="97" t="s">
        <v>401</v>
      </c>
      <c r="E17" s="23" t="str" cm="1">
        <f t="array" ref="E17">_xlfn.XLOOKUP(Table1191835[[#This Row],[Team]],Table4334[Team],'2425'!$C$3:$C$34)</f>
        <v>n/a</v>
      </c>
      <c r="F17" s="97" t="str">
        <f>'2025'!$E$32</f>
        <v>n/a</v>
      </c>
      <c r="G17" s="94" t="e" cm="1">
        <f t="array" ref="G1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" s="94" t="e" cm="1">
        <f t="array" ref="H1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" s="94" t="e" cm="1">
        <f t="array" ref="I1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" s="96" t="e" cm="1">
        <f t="array" ref="J1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" s="96" t="e" cm="1">
        <f t="array" ref="K1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" s="96" t="e" cm="1">
        <f t="array" ref="L1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" s="94" t="e">
        <f>AVERAGE(Table1191835[[#This Row],[*C*]:[*TD*]])</f>
        <v>#N/A</v>
      </c>
    </row>
    <row r="18" spans="2:13" hidden="1" x14ac:dyDescent="0.35">
      <c r="B18" s="6" t="s">
        <v>328</v>
      </c>
      <c r="C18" s="97" t="s">
        <v>48</v>
      </c>
      <c r="D18" s="97" t="s">
        <v>66</v>
      </c>
      <c r="E18" s="23" t="str" cm="1">
        <f t="array" ref="E18">_xlfn.XLOOKUP(Table1191835[[#This Row],[Team]],Table4334[Team],'2425'!$C$3:$C$34)</f>
        <v>n/a</v>
      </c>
      <c r="F18" s="97" t="str">
        <f>'2025'!$E$26</f>
        <v>n/a</v>
      </c>
      <c r="G18" s="94" t="e" cm="1">
        <f t="array" ref="G1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" s="94" t="e" cm="1">
        <f t="array" ref="H1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" s="94" t="e" cm="1">
        <f t="array" ref="I1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" s="96" t="e" cm="1">
        <f t="array" ref="J1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" s="96" t="e" cm="1">
        <f t="array" ref="K1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" s="96" t="e" cm="1">
        <f t="array" ref="L1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" s="94" t="e">
        <f>AVERAGE(Table1191835[[#This Row],[*C*]:[*TD*]])</f>
        <v>#N/A</v>
      </c>
    </row>
    <row r="19" spans="2:13" hidden="1" x14ac:dyDescent="0.35">
      <c r="B19" s="6" t="s">
        <v>319</v>
      </c>
      <c r="C19" s="97" t="s">
        <v>47</v>
      </c>
      <c r="D19" s="97" t="s">
        <v>66</v>
      </c>
      <c r="E19" s="23" t="str" cm="1">
        <f t="array" ref="E19">_xlfn.XLOOKUP(Table1191835[[#This Row],[Team]],Table4334[Team],'2425'!$C$3:$C$34)</f>
        <v>n/a</v>
      </c>
      <c r="F19" s="97" t="str">
        <f>'2025'!$E$25</f>
        <v>n/a</v>
      </c>
      <c r="G19" s="94" t="e" cm="1">
        <f t="array" ref="G1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" s="94" t="e" cm="1">
        <f t="array" ref="H1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" s="94" t="e" cm="1">
        <f t="array" ref="I1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" s="96" t="e" cm="1">
        <f t="array" ref="J1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" s="96" t="e" cm="1">
        <f t="array" ref="K1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" s="96" t="e" cm="1">
        <f t="array" ref="L1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" s="94" t="e">
        <f>AVERAGE(Table1191835[[#This Row],[*C*]:[*TD*]])</f>
        <v>#N/A</v>
      </c>
    </row>
    <row r="20" spans="2:13" x14ac:dyDescent="0.35">
      <c r="B20" s="6" t="s">
        <v>309</v>
      </c>
      <c r="C20" s="97" t="s">
        <v>46</v>
      </c>
      <c r="D20" s="97" t="s">
        <v>66</v>
      </c>
      <c r="E20" s="23" t="str" cm="1">
        <f t="array" ref="E20">_xlfn.XLOOKUP(Table1191835[[#This Row],[Team]],Table4334[Team],'2425'!$C$3:$C$34)</f>
        <v>SB LX</v>
      </c>
      <c r="F20" s="97" t="str">
        <f>'2025'!$E$24</f>
        <v>SEA</v>
      </c>
      <c r="G20" s="94" cm="1">
        <f t="array" ref="G2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19</v>
      </c>
      <c r="H20" s="94" cm="1">
        <f t="array" ref="H2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31</v>
      </c>
      <c r="I20" s="94" cm="1">
        <f t="array" ref="I2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16</v>
      </c>
      <c r="J20" s="96" cm="1">
        <f t="array" ref="J2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4.764705882352942</v>
      </c>
      <c r="K20" s="96" cm="1">
        <f t="array" ref="K2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52.558823529411768</v>
      </c>
      <c r="L20" s="96" cm="1">
        <f t="array" ref="L2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0.41176470588235292</v>
      </c>
      <c r="M20" s="94">
        <f>AVERAGE(Table1191835[[#This Row],[*C*]:[*TD*]])</f>
        <v>22</v>
      </c>
    </row>
    <row r="21" spans="2:13" hidden="1" x14ac:dyDescent="0.35">
      <c r="B21" s="6" t="s">
        <v>167</v>
      </c>
      <c r="C21" s="97" t="s">
        <v>31</v>
      </c>
      <c r="D21" s="97" t="s">
        <v>66</v>
      </c>
      <c r="E21" s="23" t="str" cm="1">
        <f t="array" ref="E21">_xlfn.XLOOKUP(Table1191835[[#This Row],[Team]],Table4334[Team],'2425'!$C$3:$C$34)</f>
        <v>n/a</v>
      </c>
      <c r="F21" s="97" t="str">
        <f>'2025'!$E$9</f>
        <v>n/a</v>
      </c>
      <c r="G21" s="94" t="e" cm="1">
        <f t="array" ref="G2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1" s="94" t="e" cm="1">
        <f t="array" ref="H2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1" s="94" t="e" cm="1">
        <f t="array" ref="I2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1" s="96" t="e" cm="1">
        <f t="array" ref="J2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1" s="96" t="e" cm="1">
        <f t="array" ref="K2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1" s="96" t="e" cm="1">
        <f t="array" ref="L2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1" s="94" t="e">
        <f>AVERAGE(Table1191835[[#This Row],[*C*]:[*TD*]])</f>
        <v>#N/A</v>
      </c>
    </row>
    <row r="22" spans="2:13" hidden="1" x14ac:dyDescent="0.35">
      <c r="B22" s="6" t="s">
        <v>299</v>
      </c>
      <c r="C22" s="97" t="s">
        <v>45</v>
      </c>
      <c r="D22" s="97" t="s">
        <v>66</v>
      </c>
      <c r="E22" s="23" t="str" cm="1">
        <f t="array" ref="E22">_xlfn.XLOOKUP(Table1191835[[#This Row],[Team]],Table4334[Team],'2425'!$C$3:$C$34)</f>
        <v>n/a</v>
      </c>
      <c r="F22" s="97" t="str">
        <f>'2025'!$E$23</f>
        <v>n/a</v>
      </c>
      <c r="G22" s="94" t="e" cm="1">
        <f t="array" ref="G2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2" s="94" t="e" cm="1">
        <f t="array" ref="H2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2" s="94" t="e" cm="1">
        <f t="array" ref="I2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2" s="96" t="e" cm="1">
        <f t="array" ref="J2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2" s="96" t="e" cm="1">
        <f t="array" ref="K2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2" s="96" t="e" cm="1">
        <f t="array" ref="L2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2" s="94" t="e">
        <f>AVERAGE(Table1191835[[#This Row],[*C*]:[*TD*]])</f>
        <v>#N/A</v>
      </c>
    </row>
    <row r="23" spans="2:13" hidden="1" x14ac:dyDescent="0.35">
      <c r="B23" s="6" t="s">
        <v>138</v>
      </c>
      <c r="C23" s="97" t="s">
        <v>15</v>
      </c>
      <c r="D23" s="97" t="s">
        <v>66</v>
      </c>
      <c r="E23" s="23" t="str" cm="1">
        <f t="array" ref="E23">_xlfn.XLOOKUP(Table1191835[[#This Row],[Team]],Table4334[Team],'2425'!$C$3:$C$34)</f>
        <v>n/a</v>
      </c>
      <c r="F23" s="97" t="str">
        <f>'2025'!$E$4</f>
        <v>n/a</v>
      </c>
      <c r="G23" s="94" t="e" cm="1">
        <f t="array" ref="G2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3" s="94" t="e" cm="1">
        <f t="array" ref="H2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3" s="94" t="e" cm="1">
        <f t="array" ref="I2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3" s="96" t="e" cm="1">
        <f t="array" ref="J2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3" s="96" t="e" cm="1">
        <f t="array" ref="K2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3" s="96" t="e" cm="1">
        <f t="array" ref="L2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3" s="94" t="e">
        <f>AVERAGE(Table1191835[[#This Row],[*C*]:[*TD*]])</f>
        <v>#N/A</v>
      </c>
    </row>
    <row r="24" spans="2:13" hidden="1" x14ac:dyDescent="0.35">
      <c r="B24" s="6" t="s">
        <v>187</v>
      </c>
      <c r="C24" s="97" t="s">
        <v>33</v>
      </c>
      <c r="D24" s="97" t="s">
        <v>66</v>
      </c>
      <c r="E24" s="23" t="str" cm="1">
        <f t="array" ref="E24">_xlfn.XLOOKUP(Table1191835[[#This Row],[Team]],Table4334[Team],'2425'!$C$3:$C$34)</f>
        <v>n/a</v>
      </c>
      <c r="F24" s="97" t="str">
        <f>'2025'!$E$11</f>
        <v>n/a</v>
      </c>
      <c r="G24" s="94" t="e" cm="1">
        <f t="array" ref="G2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4" s="94" t="e" cm="1">
        <f t="array" ref="H2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4" s="94" t="e" cm="1">
        <f t="array" ref="I2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4" s="96" t="e" cm="1">
        <f t="array" ref="J2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4" s="96" t="e" cm="1">
        <f t="array" ref="K2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4" s="96" t="e" cm="1">
        <f t="array" ref="L2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4" s="94" t="e">
        <f>AVERAGE(Table1191835[[#This Row],[*C*]:[*TD*]])</f>
        <v>#N/A</v>
      </c>
    </row>
    <row r="25" spans="2:13" hidden="1" x14ac:dyDescent="0.35">
      <c r="B25" s="6" t="s">
        <v>383</v>
      </c>
      <c r="C25" s="97" t="s">
        <v>55</v>
      </c>
      <c r="D25" s="97" t="s">
        <v>66</v>
      </c>
      <c r="E25" s="23" t="str" cm="1">
        <f t="array" ref="E25">_xlfn.XLOOKUP(Table1191835[[#This Row],[Team]],Table4334[Team],'2425'!$C$3:$C$34)</f>
        <v>n/a</v>
      </c>
      <c r="F25" s="97" t="str">
        <f>'2025'!$E$33</f>
        <v>n/a</v>
      </c>
      <c r="G25" s="94" t="e" cm="1">
        <f t="array" ref="G2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5" s="94" t="e" cm="1">
        <f t="array" ref="H2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5" s="94" t="e" cm="1">
        <f t="array" ref="I2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5" s="96" t="e" cm="1">
        <f t="array" ref="J2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5" s="96" t="e" cm="1">
        <f t="array" ref="K2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5" s="96" t="e" cm="1">
        <f t="array" ref="L2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5" s="94" t="e">
        <f>AVERAGE(Table1191835[[#This Row],[*C*]:[*TD*]])</f>
        <v>#N/A</v>
      </c>
    </row>
    <row r="26" spans="2:13" hidden="1" x14ac:dyDescent="0.35">
      <c r="B26" s="6" t="s">
        <v>571</v>
      </c>
      <c r="C26" s="97" t="s">
        <v>40</v>
      </c>
      <c r="D26" s="97" t="s">
        <v>403</v>
      </c>
      <c r="E26" s="23" t="str" cm="1">
        <f t="array" ref="E26">_xlfn.XLOOKUP(Table1191835[[#This Row],[Team]],Table4334[Team],'2425'!$C$3:$C$34)</f>
        <v>n/a</v>
      </c>
      <c r="F26" s="97" t="str">
        <f>'2025'!$E$18</f>
        <v>n/a</v>
      </c>
      <c r="G26" s="94" t="e" cm="1">
        <f t="array" ref="G2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6" s="94" t="e" cm="1">
        <f t="array" ref="H2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6" s="94" t="e" cm="1">
        <f t="array" ref="I2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6" s="96" t="e" cm="1">
        <f t="array" ref="J2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6" s="96" t="e" cm="1">
        <f t="array" ref="K2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6" s="96" t="e" cm="1">
        <f t="array" ref="L2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6" s="94" t="e">
        <f>AVERAGE(Table1191835[[#This Row],[*C*]:[*TD*]])</f>
        <v>#N/A</v>
      </c>
    </row>
    <row r="27" spans="2:13" hidden="1" x14ac:dyDescent="0.35">
      <c r="B27" s="6" t="s">
        <v>478</v>
      </c>
      <c r="C27" s="97" t="s">
        <v>31</v>
      </c>
      <c r="D27" s="97" t="s">
        <v>403</v>
      </c>
      <c r="E27" s="23" t="str" cm="1">
        <f t="array" ref="E27">_xlfn.XLOOKUP(Table1191835[[#This Row],[Team]],Table4334[Team],'2425'!$C$3:$C$34)</f>
        <v>n/a</v>
      </c>
      <c r="F27" s="97" t="str">
        <f>'2025'!$E$9</f>
        <v>n/a</v>
      </c>
      <c r="G27" s="94" t="e" cm="1">
        <f t="array" ref="G2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7" s="94" t="e" cm="1">
        <f t="array" ref="H2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7" s="94" t="e" cm="1">
        <f t="array" ref="I2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7" s="96" t="e" cm="1">
        <f t="array" ref="J2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7" s="96" t="e" cm="1">
        <f t="array" ref="K2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7" s="96" t="e" cm="1">
        <f t="array" ref="L2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7" s="94" t="e">
        <f>AVERAGE(Table1191835[[#This Row],[*C*]:[*TD*]])</f>
        <v>#N/A</v>
      </c>
    </row>
    <row r="28" spans="2:13" hidden="1" x14ac:dyDescent="0.35">
      <c r="B28" s="6" t="s">
        <v>471</v>
      </c>
      <c r="C28" s="97" t="s">
        <v>16</v>
      </c>
      <c r="D28" s="97" t="s">
        <v>403</v>
      </c>
      <c r="E28" s="23" t="str" cm="1">
        <f t="array" ref="E28">_xlfn.XLOOKUP(Table1191835[[#This Row],[Team]],Table4334[Team],'2425'!$C$3:$C$34)</f>
        <v>n/a</v>
      </c>
      <c r="F28" s="97" t="str">
        <f>'2025'!$E$5</f>
        <v>n/a</v>
      </c>
      <c r="G28" s="94" t="e" cm="1">
        <f t="array" ref="G2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8" s="94" t="e" cm="1">
        <f t="array" ref="H2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8" s="94" t="e" cm="1">
        <f t="array" ref="I2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8" s="96" t="e" cm="1">
        <f t="array" ref="J2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8" s="96" t="e" cm="1">
        <f t="array" ref="K2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8" s="96" t="e" cm="1">
        <f t="array" ref="L2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8" s="94" t="e">
        <f>AVERAGE(Table1191835[[#This Row],[*C*]:[*TD*]])</f>
        <v>#N/A</v>
      </c>
    </row>
    <row r="29" spans="2:13" hidden="1" x14ac:dyDescent="0.35">
      <c r="B29" s="6" t="s">
        <v>188</v>
      </c>
      <c r="C29" s="97" t="s">
        <v>33</v>
      </c>
      <c r="D29" s="97" t="s">
        <v>403</v>
      </c>
      <c r="E29" s="23" t="str" cm="1">
        <f t="array" ref="E29">_xlfn.XLOOKUP(Table1191835[[#This Row],[Team]],Table4334[Team],'2425'!$C$3:$C$34)</f>
        <v>n/a</v>
      </c>
      <c r="F29" s="97" t="str">
        <f>'2025'!$E$11</f>
        <v>n/a</v>
      </c>
      <c r="G29" s="94" t="e" cm="1">
        <f t="array" ref="G2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9" s="94" t="e" cm="1">
        <f t="array" ref="H2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9" s="94" t="e" cm="1">
        <f t="array" ref="I2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9" s="96" t="e" cm="1">
        <f t="array" ref="J2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9" s="96" t="e" cm="1">
        <f t="array" ref="K2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9" s="96" t="e" cm="1">
        <f t="array" ref="L2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9" s="94" t="e">
        <f>AVERAGE(Table1191835[[#This Row],[*C*]:[*TD*]])</f>
        <v>#N/A</v>
      </c>
    </row>
    <row r="30" spans="2:13" hidden="1" x14ac:dyDescent="0.35">
      <c r="B30" s="6" t="s">
        <v>512</v>
      </c>
      <c r="C30" s="97" t="s">
        <v>36</v>
      </c>
      <c r="D30" s="97" t="s">
        <v>403</v>
      </c>
      <c r="E30" s="23" t="str" cm="1">
        <f t="array" ref="E30">_xlfn.XLOOKUP(Table1191835[[#This Row],[Team]],Table4334[Team],'2425'!$C$3:$C$34)</f>
        <v>n/a</v>
      </c>
      <c r="F30" s="97" t="str">
        <f>'2025'!$E$14</f>
        <v>n/a</v>
      </c>
      <c r="G30" s="94" t="e" cm="1">
        <f t="array" ref="G3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0" s="94" t="e" cm="1">
        <f t="array" ref="H3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0" s="94" t="e" cm="1">
        <f t="array" ref="I3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0" s="96" t="e" cm="1">
        <f t="array" ref="J3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0" s="96" t="e" cm="1">
        <f t="array" ref="K3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0" s="96" t="e" cm="1">
        <f t="array" ref="L3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0" s="94" t="e">
        <f>AVERAGE(Table1191835[[#This Row],[*C*]:[*TD*]])</f>
        <v>#N/A</v>
      </c>
    </row>
    <row r="31" spans="2:13" hidden="1" x14ac:dyDescent="0.35">
      <c r="B31" s="6" t="s">
        <v>507</v>
      </c>
      <c r="C31" s="97" t="s">
        <v>35</v>
      </c>
      <c r="D31" s="97" t="s">
        <v>403</v>
      </c>
      <c r="E31" s="23" t="str" cm="1">
        <f t="array" ref="E31">_xlfn.XLOOKUP(Table1191835[[#This Row],[Team]],Table4334[Team],'2425'!$C$3:$C$34)</f>
        <v>n/a</v>
      </c>
      <c r="F31" s="97" t="str">
        <f>'2025'!$E$13</f>
        <v>n/a</v>
      </c>
      <c r="G31" s="94" t="e" cm="1">
        <f t="array" ref="G3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1" s="94" t="e" cm="1">
        <f t="array" ref="H3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1" s="94" t="e" cm="1">
        <f t="array" ref="I3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1" s="96" t="e" cm="1">
        <f t="array" ref="J3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1" s="96" t="e" cm="1">
        <f t="array" ref="K3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1" s="96" t="e" cm="1">
        <f t="array" ref="L3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1" s="94" t="e">
        <f>AVERAGE(Table1191835[[#This Row],[*C*]:[*TD*]])</f>
        <v>#N/A</v>
      </c>
    </row>
    <row r="32" spans="2:13" hidden="1" x14ac:dyDescent="0.35">
      <c r="B32" s="6" t="s">
        <v>254</v>
      </c>
      <c r="C32" s="97" t="s">
        <v>40</v>
      </c>
      <c r="D32" s="97" t="s">
        <v>411</v>
      </c>
      <c r="E32" s="23" t="str" cm="1">
        <f t="array" ref="E32">_xlfn.XLOOKUP(Table1191835[[#This Row],[Team]],Table4334[Team],'2425'!$C$3:$C$34)</f>
        <v>n/a</v>
      </c>
      <c r="F32" s="97" t="str">
        <f>'2025'!$E$18</f>
        <v>n/a</v>
      </c>
      <c r="G32" s="94" t="e" cm="1">
        <f t="array" ref="G3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2" s="94" t="e" cm="1">
        <f t="array" ref="H3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2" s="94" t="e" cm="1">
        <f t="array" ref="I3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2" s="96" t="e" cm="1">
        <f t="array" ref="J3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2" s="96" t="e" cm="1">
        <f t="array" ref="K3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2" s="96" t="e" cm="1">
        <f t="array" ref="L3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2" s="94" t="e">
        <f>AVERAGE(Table1191835[[#This Row],[*C*]:[*TD*]])</f>
        <v>#N/A</v>
      </c>
    </row>
    <row r="33" spans="2:13" hidden="1" x14ac:dyDescent="0.35">
      <c r="B33" s="6" t="s">
        <v>479</v>
      </c>
      <c r="C33" s="97" t="s">
        <v>31</v>
      </c>
      <c r="D33" s="97" t="s">
        <v>411</v>
      </c>
      <c r="E33" s="23" t="str" cm="1">
        <f t="array" ref="E33">_xlfn.XLOOKUP(Table1191835[[#This Row],[Team]],Table4334[Team],'2425'!$C$3:$C$34)</f>
        <v>n/a</v>
      </c>
      <c r="F33" s="97" t="str">
        <f>'2025'!$E$9</f>
        <v>n/a</v>
      </c>
      <c r="G33" s="94" t="e" cm="1">
        <f t="array" ref="G3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3" s="94" t="e" cm="1">
        <f t="array" ref="H3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3" s="94" t="e" cm="1">
        <f t="array" ref="I3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3" s="96" t="e" cm="1">
        <f t="array" ref="J3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3" s="96" t="e" cm="1">
        <f t="array" ref="K3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3" s="96" t="e" cm="1">
        <f t="array" ref="L3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3" s="94" t="e">
        <f>AVERAGE(Table1191835[[#This Row],[*C*]:[*TD*]])</f>
        <v>#N/A</v>
      </c>
    </row>
    <row r="34" spans="2:13" hidden="1" x14ac:dyDescent="0.35">
      <c r="B34" s="6" t="s">
        <v>472</v>
      </c>
      <c r="C34" s="97" t="s">
        <v>16</v>
      </c>
      <c r="D34" s="97" t="s">
        <v>411</v>
      </c>
      <c r="E34" s="23" t="str" cm="1">
        <f t="array" ref="E34">_xlfn.XLOOKUP(Table1191835[[#This Row],[Team]],Table4334[Team],'2425'!$C$3:$C$34)</f>
        <v>n/a</v>
      </c>
      <c r="F34" s="97" t="str">
        <f>'2025'!$E$5</f>
        <v>n/a</v>
      </c>
      <c r="G34" s="94" t="e" cm="1">
        <f t="array" ref="G3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4" s="94" t="e" cm="1">
        <f t="array" ref="H3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4" s="94" t="e" cm="1">
        <f t="array" ref="I3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4" s="96" t="e" cm="1">
        <f t="array" ref="J3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4" s="96" t="e" cm="1">
        <f t="array" ref="K3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4" s="96" t="e" cm="1">
        <f t="array" ref="L3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4" s="94" t="e">
        <f>AVERAGE(Table1191835[[#This Row],[*C*]:[*TD*]])</f>
        <v>#N/A</v>
      </c>
    </row>
    <row r="35" spans="2:13" hidden="1" x14ac:dyDescent="0.35">
      <c r="B35" s="6" t="s">
        <v>514</v>
      </c>
      <c r="C35" s="97" t="s">
        <v>36</v>
      </c>
      <c r="D35" s="97" t="s">
        <v>411</v>
      </c>
      <c r="E35" s="23" t="str" cm="1">
        <f t="array" ref="E35">_xlfn.XLOOKUP(Table1191835[[#This Row],[Team]],Table4334[Team],'2425'!$C$3:$C$34)</f>
        <v>n/a</v>
      </c>
      <c r="F35" s="97" t="str">
        <f>'2025'!$E$14</f>
        <v>n/a</v>
      </c>
      <c r="G35" s="94" t="e" cm="1">
        <f t="array" ref="G3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5" s="94" t="e" cm="1">
        <f t="array" ref="H3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5" s="94" t="e" cm="1">
        <f t="array" ref="I3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5" s="96" t="e" cm="1">
        <f t="array" ref="J3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5" s="96" t="e" cm="1">
        <f t="array" ref="K3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5" s="96" t="e" cm="1">
        <f t="array" ref="L3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5" s="94" t="e">
        <f>AVERAGE(Table1191835[[#This Row],[*C*]:[*TD*]])</f>
        <v>#N/A</v>
      </c>
    </row>
    <row r="36" spans="2:13" hidden="1" x14ac:dyDescent="0.35">
      <c r="B36" s="6" t="s">
        <v>572</v>
      </c>
      <c r="C36" s="97" t="s">
        <v>40</v>
      </c>
      <c r="D36" s="97" t="s">
        <v>441</v>
      </c>
      <c r="E36" s="23" t="str" cm="1">
        <f t="array" ref="E36">_xlfn.XLOOKUP(Table1191835[[#This Row],[Team]],Table4334[Team],'2425'!$C$3:$C$34)</f>
        <v>n/a</v>
      </c>
      <c r="F36" s="97" t="str">
        <f>'2025'!$E$18</f>
        <v>n/a</v>
      </c>
      <c r="G36" s="94" t="e" cm="1">
        <f t="array" ref="G3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6" s="94" t="e" cm="1">
        <f t="array" ref="H3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6" s="94" t="e" cm="1">
        <f t="array" ref="I3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6" s="96" t="e" cm="1">
        <f t="array" ref="J3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6" s="96" t="e" cm="1">
        <f t="array" ref="K3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6" s="96" t="e" cm="1">
        <f t="array" ref="L3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6" s="94" t="e">
        <f>AVERAGE(Table1191835[[#This Row],[*C*]:[*TD*]])</f>
        <v>#N/A</v>
      </c>
    </row>
    <row r="37" spans="2:13" hidden="1" x14ac:dyDescent="0.35">
      <c r="B37" s="6" t="s">
        <v>473</v>
      </c>
      <c r="C37" s="97" t="s">
        <v>16</v>
      </c>
      <c r="D37" s="97" t="s">
        <v>441</v>
      </c>
      <c r="E37" s="23" t="str" cm="1">
        <f t="array" ref="E37">_xlfn.XLOOKUP(Table1191835[[#This Row],[Team]],Table4334[Team],'2425'!$C$3:$C$34)</f>
        <v>n/a</v>
      </c>
      <c r="F37" s="97" t="str">
        <f>'2025'!$E$5</f>
        <v>n/a</v>
      </c>
      <c r="G37" s="94" t="e" cm="1">
        <f t="array" ref="G3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7" s="94" t="e" cm="1">
        <f t="array" ref="H3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7" s="94" t="e" cm="1">
        <f t="array" ref="I3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7" s="96" t="e" cm="1">
        <f t="array" ref="J3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7" s="96" t="e" cm="1">
        <f t="array" ref="K3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7" s="96" t="e" cm="1">
        <f t="array" ref="L3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7" s="94" t="e">
        <f>AVERAGE(Table1191835[[#This Row],[*C*]:[*TD*]])</f>
        <v>#N/A</v>
      </c>
    </row>
    <row r="38" spans="2:13" hidden="1" x14ac:dyDescent="0.35">
      <c r="B38" s="6" t="s">
        <v>212</v>
      </c>
      <c r="C38" s="97" t="s">
        <v>36</v>
      </c>
      <c r="D38" s="97" t="s">
        <v>441</v>
      </c>
      <c r="E38" s="23" t="str" cm="1">
        <f t="array" ref="E38">_xlfn.XLOOKUP(Table1191835[[#This Row],[Team]],Table4334[Team],'2425'!$C$3:$C$34)</f>
        <v>n/a</v>
      </c>
      <c r="F38" s="97" t="str">
        <f>'2025'!$E$14</f>
        <v>n/a</v>
      </c>
      <c r="G38" s="94" t="e" cm="1">
        <f t="array" ref="G3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8" s="94" t="e" cm="1">
        <f t="array" ref="H3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8" s="94" t="e" cm="1">
        <f t="array" ref="I3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8" s="96" t="e" cm="1">
        <f t="array" ref="J3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8" s="96" t="e" cm="1">
        <f t="array" ref="K3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8" s="96" t="e" cm="1">
        <f t="array" ref="L3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8" s="94" t="e">
        <f>AVERAGE(Table1191835[[#This Row],[*C*]:[*TD*]])</f>
        <v>#N/A</v>
      </c>
    </row>
    <row r="39" spans="2:13" hidden="1" x14ac:dyDescent="0.35">
      <c r="B39" s="6" t="s">
        <v>573</v>
      </c>
      <c r="C39" s="97" t="s">
        <v>40</v>
      </c>
      <c r="D39" s="97" t="s">
        <v>443</v>
      </c>
      <c r="E39" s="23" t="str" cm="1">
        <f t="array" ref="E39">_xlfn.XLOOKUP(Table1191835[[#This Row],[Team]],Table4334[Team],'2425'!$C$3:$C$34)</f>
        <v>n/a</v>
      </c>
      <c r="F39" s="97" t="str">
        <f>'2025'!$E$18</f>
        <v>n/a</v>
      </c>
      <c r="G39" s="94" t="e" cm="1">
        <f t="array" ref="G3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39" s="94" t="e" cm="1">
        <f t="array" ref="H3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39" s="94" t="e" cm="1">
        <f t="array" ref="I3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39" s="96" t="e" cm="1">
        <f t="array" ref="J3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39" s="96" t="e" cm="1">
        <f t="array" ref="K3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39" s="96" t="e" cm="1">
        <f t="array" ref="L3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39" s="94" t="e">
        <f>AVERAGE(Table1191835[[#This Row],[*C*]:[*TD*]])</f>
        <v>#N/A</v>
      </c>
    </row>
    <row r="40" spans="2:13" hidden="1" x14ac:dyDescent="0.35">
      <c r="B40" s="6" t="s">
        <v>179</v>
      </c>
      <c r="C40" s="97" t="s">
        <v>32</v>
      </c>
      <c r="D40" s="97" t="s">
        <v>66</v>
      </c>
      <c r="E40" s="23" t="str" cm="1">
        <f t="array" ref="E40">_xlfn.XLOOKUP(Table1191835[[#This Row],[Team]],Table4334[Team],'2425'!$C$3:$C$34)</f>
        <v>n/a</v>
      </c>
      <c r="F40" s="97" t="str">
        <f>'2025'!$E$10</f>
        <v>n/a</v>
      </c>
      <c r="G40" s="94" t="e" cm="1">
        <f t="array" ref="G4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0" s="94" t="e" cm="1">
        <f t="array" ref="H4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0" s="94" t="e" cm="1">
        <f t="array" ref="I4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0" s="96" t="e" cm="1">
        <f t="array" ref="J4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0" s="96" t="e" cm="1">
        <f t="array" ref="K4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0" s="96" t="e" cm="1">
        <f t="array" ref="L4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0" s="94" t="e">
        <f>AVERAGE(Table1191835[[#This Row],[*C*]:[*TD*]])</f>
        <v>#N/A</v>
      </c>
    </row>
    <row r="41" spans="2:13" hidden="1" x14ac:dyDescent="0.35">
      <c r="B41" s="6" t="s">
        <v>240</v>
      </c>
      <c r="C41" s="97" t="s">
        <v>39</v>
      </c>
      <c r="D41" s="97" t="s">
        <v>66</v>
      </c>
      <c r="E41" s="23" t="str" cm="1">
        <f t="array" ref="E41">_xlfn.XLOOKUP(Table1191835[[#This Row],[Team]],Table4334[Team],'2425'!$C$3:$C$34)</f>
        <v>n/a</v>
      </c>
      <c r="F41" s="97" t="str">
        <f>'2025'!$E$17</f>
        <v>n/a</v>
      </c>
      <c r="G41" s="94" t="e" cm="1">
        <f t="array" ref="G4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1" s="94" t="e" cm="1">
        <f t="array" ref="H4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1" s="94" t="e" cm="1">
        <f t="array" ref="I4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1" s="96" t="e" cm="1">
        <f t="array" ref="J4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1" s="96" t="e" cm="1">
        <f t="array" ref="K4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1" s="96" t="e" cm="1">
        <f t="array" ref="L4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1" s="94" t="e">
        <f>AVERAGE(Table1191835[[#This Row],[*C*]:[*TD*]])</f>
        <v>#N/A</v>
      </c>
    </row>
    <row r="42" spans="2:13" hidden="1" x14ac:dyDescent="0.35">
      <c r="B42" s="6" t="s">
        <v>231</v>
      </c>
      <c r="C42" s="97" t="s">
        <v>38</v>
      </c>
      <c r="D42" s="97" t="s">
        <v>66</v>
      </c>
      <c r="E42" s="23" t="str" cm="1">
        <f t="array" ref="E42">_xlfn.XLOOKUP(Table1191835[[#This Row],[Team]],Table4334[Team],'2425'!$C$3:$C$34)</f>
        <v>n/a</v>
      </c>
      <c r="F42" s="97" t="str">
        <f>'2025'!$E$16</f>
        <v>n/a</v>
      </c>
      <c r="G42" s="94" t="e" cm="1">
        <f t="array" ref="G4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2" s="94" t="e" cm="1">
        <f t="array" ref="H4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2" s="94" t="e" cm="1">
        <f t="array" ref="I4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2" s="96" t="e" cm="1">
        <f t="array" ref="J4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2" s="96" t="e" cm="1">
        <f t="array" ref="K4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2" s="96" t="e" cm="1">
        <f t="array" ref="L4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2" s="94" t="e">
        <f>AVERAGE(Table1191835[[#This Row],[*C*]:[*TD*]])</f>
        <v>#N/A</v>
      </c>
    </row>
    <row r="43" spans="2:13" hidden="1" x14ac:dyDescent="0.35">
      <c r="B43" s="6" t="s">
        <v>340</v>
      </c>
      <c r="C43" s="97" t="s">
        <v>50</v>
      </c>
      <c r="D43" s="97" t="s">
        <v>66</v>
      </c>
      <c r="E43" s="23" t="str" cm="1">
        <f t="array" ref="E43">_xlfn.XLOOKUP(Table1191835[[#This Row],[Team]],Table4334[Team],'2425'!$C$3:$C$34)</f>
        <v>n/a</v>
      </c>
      <c r="F43" s="97" t="str">
        <f>'2025'!$E$28</f>
        <v>n/a</v>
      </c>
      <c r="G43" s="94" t="e" cm="1">
        <f t="array" ref="G4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3" s="94" t="e" cm="1">
        <f t="array" ref="H4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3" s="94" t="e" cm="1">
        <f t="array" ref="I4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3" s="96" t="e" cm="1">
        <f t="array" ref="J4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3" s="96" t="e" cm="1">
        <f t="array" ref="K4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3" s="96" t="e" cm="1">
        <f t="array" ref="L4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3" s="94" t="e">
        <f>AVERAGE(Table1191835[[#This Row],[*C*]:[*TD*]])</f>
        <v>#N/A</v>
      </c>
    </row>
    <row r="44" spans="2:13" hidden="1" x14ac:dyDescent="0.35">
      <c r="B44" s="6" t="s">
        <v>189</v>
      </c>
      <c r="C44" s="97" t="s">
        <v>33</v>
      </c>
      <c r="D44" s="97" t="s">
        <v>67</v>
      </c>
      <c r="E44" s="23" t="str" cm="1">
        <f t="array" ref="E44">_xlfn.XLOOKUP(Table1191835[[#This Row],[Team]],Table4334[Team],'2425'!$C$3:$C$34)</f>
        <v>n/a</v>
      </c>
      <c r="F44" s="97" t="str">
        <f>'2025'!$E$11</f>
        <v>n/a</v>
      </c>
      <c r="G44" s="94" t="e" cm="1">
        <f t="array" ref="G4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4" s="94" t="e" cm="1">
        <f t="array" ref="H4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4" s="94" t="e" cm="1">
        <f t="array" ref="I4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4" s="96" t="e" cm="1">
        <f t="array" ref="J4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4" s="96" t="e" cm="1">
        <f t="array" ref="K4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4" s="96" t="e" cm="1">
        <f t="array" ref="L4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4" s="94" t="e">
        <f>AVERAGE(Table1191835[[#This Row],[*C*]:[*TD*]])</f>
        <v>#N/A</v>
      </c>
    </row>
    <row r="45" spans="2:13" hidden="1" x14ac:dyDescent="0.35">
      <c r="B45" s="6" t="s">
        <v>318</v>
      </c>
      <c r="C45" s="97" t="s">
        <v>47</v>
      </c>
      <c r="D45" s="97" t="s">
        <v>67</v>
      </c>
      <c r="E45" s="23" t="str" cm="1">
        <f t="array" ref="E45">_xlfn.XLOOKUP(Table1191835[[#This Row],[Team]],Table4334[Team],'2425'!$C$3:$C$34)</f>
        <v>n/a</v>
      </c>
      <c r="F45" s="97" t="str">
        <f>'2025'!$E$25</f>
        <v>n/a</v>
      </c>
      <c r="G45" s="94" t="e" cm="1">
        <f t="array" ref="G4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5" s="94" t="e" cm="1">
        <f t="array" ref="H4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5" s="94" t="e" cm="1">
        <f t="array" ref="I4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5" s="96" t="e" cm="1">
        <f t="array" ref="J4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5" s="96" t="e" cm="1">
        <f t="array" ref="K4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5" s="96" t="e" cm="1">
        <f t="array" ref="L4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5" s="94" t="e">
        <f>AVERAGE(Table1191835[[#This Row],[*C*]:[*TD*]])</f>
        <v>#N/A</v>
      </c>
    </row>
    <row r="46" spans="2:13" hidden="1" x14ac:dyDescent="0.35">
      <c r="B46" s="6" t="s">
        <v>133</v>
      </c>
      <c r="C46" s="97" t="s">
        <v>15</v>
      </c>
      <c r="D46" s="97" t="s">
        <v>67</v>
      </c>
      <c r="E46" s="23" t="str" cm="1">
        <f t="array" ref="E46">_xlfn.XLOOKUP(Table1191835[[#This Row],[Team]],Table4334[Team],'2425'!$C$3:$C$34)</f>
        <v>n/a</v>
      </c>
      <c r="F46" s="97" t="str">
        <f>'2025'!$E$4</f>
        <v>n/a</v>
      </c>
      <c r="G46" s="94" t="e" cm="1">
        <f t="array" ref="G4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6" s="94" t="e" cm="1">
        <f t="array" ref="H4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6" s="94" t="e" cm="1">
        <f t="array" ref="I4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6" s="96" t="e" cm="1">
        <f t="array" ref="J4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6" s="96" t="e" cm="1">
        <f t="array" ref="K4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6" s="96" t="e" cm="1">
        <f t="array" ref="L4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6" s="94" t="e">
        <f>AVERAGE(Table1191835[[#This Row],[*C*]:[*TD*]])</f>
        <v>#N/A</v>
      </c>
    </row>
    <row r="47" spans="2:13" hidden="1" x14ac:dyDescent="0.35">
      <c r="B47" s="6" t="s">
        <v>348</v>
      </c>
      <c r="C47" s="97" t="s">
        <v>51</v>
      </c>
      <c r="D47" s="97" t="s">
        <v>66</v>
      </c>
      <c r="E47" s="23" t="str" cm="1">
        <f t="array" ref="E47">_xlfn.XLOOKUP(Table1191835[[#This Row],[Team]],Table4334[Team],'2425'!$C$3:$C$34)</f>
        <v>n/a</v>
      </c>
      <c r="F47" s="97" t="str">
        <f>'2025'!$E$29</f>
        <v>n/a</v>
      </c>
      <c r="G47" s="94" t="e" cm="1">
        <f t="array" ref="G4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7" s="94" t="e" cm="1">
        <f t="array" ref="H4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7" s="94" t="e" cm="1">
        <f t="array" ref="I4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7" s="96" t="e" cm="1">
        <f t="array" ref="J4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7" s="96" t="e" cm="1">
        <f t="array" ref="K4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7" s="96" t="e" cm="1">
        <f t="array" ref="L4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7" s="94" t="e">
        <f>AVERAGE(Table1191835[[#This Row],[*C*]:[*TD*]])</f>
        <v>#N/A</v>
      </c>
    </row>
    <row r="48" spans="2:13" hidden="1" x14ac:dyDescent="0.35">
      <c r="B48" s="6" t="s">
        <v>500</v>
      </c>
      <c r="C48" s="97" t="s">
        <v>30</v>
      </c>
      <c r="D48" s="97" t="s">
        <v>403</v>
      </c>
      <c r="E48" s="23" t="str" cm="1">
        <f t="array" ref="E48">_xlfn.XLOOKUP(Table1191835[[#This Row],[Team]],Table4334[Team],'2425'!$C$3:$C$34)</f>
        <v>n/a</v>
      </c>
      <c r="F48" s="97" t="str">
        <f>'2025'!$E$8</f>
        <v>n/a</v>
      </c>
      <c r="G48" s="94" t="e" cm="1">
        <f t="array" ref="G4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8" s="94" t="e" cm="1">
        <f t="array" ref="H4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8" s="94" t="e" cm="1">
        <f t="array" ref="I4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8" s="96" t="e" cm="1">
        <f t="array" ref="J4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8" s="96" t="e" cm="1">
        <f t="array" ref="K4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8" s="96" t="e" cm="1">
        <f t="array" ref="L4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8" s="94" t="e">
        <f>AVERAGE(Table1191835[[#This Row],[*C*]:[*TD*]])</f>
        <v>#N/A</v>
      </c>
    </row>
    <row r="49" spans="2:13" hidden="1" x14ac:dyDescent="0.35">
      <c r="B49" s="6" t="s">
        <v>456</v>
      </c>
      <c r="C49" s="97" t="s">
        <v>50</v>
      </c>
      <c r="D49" s="97" t="s">
        <v>403</v>
      </c>
      <c r="E49" s="23" t="str" cm="1">
        <f t="array" ref="E49">_xlfn.XLOOKUP(Table1191835[[#This Row],[Team]],Table4334[Team],'2425'!$C$3:$C$34)</f>
        <v>n/a</v>
      </c>
      <c r="F49" s="97" t="str">
        <f>'2025'!$E$28</f>
        <v>n/a</v>
      </c>
      <c r="G49" s="94" t="e" cm="1">
        <f t="array" ref="G4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49" s="94" t="e" cm="1">
        <f t="array" ref="H4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49" s="94" t="e" cm="1">
        <f t="array" ref="I4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49" s="96" t="e" cm="1">
        <f t="array" ref="J4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49" s="96" t="e" cm="1">
        <f t="array" ref="K4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49" s="96" t="e" cm="1">
        <f t="array" ref="L4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49" s="94" t="e">
        <f>AVERAGE(Table1191835[[#This Row],[*C*]:[*TD*]])</f>
        <v>#N/A</v>
      </c>
    </row>
    <row r="50" spans="2:13" hidden="1" x14ac:dyDescent="0.35">
      <c r="B50" s="6" t="s">
        <v>501</v>
      </c>
      <c r="C50" s="97" t="s">
        <v>30</v>
      </c>
      <c r="D50" s="97" t="s">
        <v>411</v>
      </c>
      <c r="E50" s="23" t="str" cm="1">
        <f t="array" ref="E50">_xlfn.XLOOKUP(Table1191835[[#This Row],[Team]],Table4334[Team],'2425'!$C$3:$C$34)</f>
        <v>n/a</v>
      </c>
      <c r="F50" s="97" t="str">
        <f>'2025'!$E$8</f>
        <v>n/a</v>
      </c>
      <c r="G50" s="94" t="e" cm="1">
        <f t="array" ref="G5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0" s="94" t="e" cm="1">
        <f t="array" ref="H5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0" s="94" t="e" cm="1">
        <f t="array" ref="I5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0" s="96" t="e" cm="1">
        <f t="array" ref="J5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0" s="96" t="e" cm="1">
        <f t="array" ref="K5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0" s="96" t="e" cm="1">
        <f t="array" ref="L5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0" s="94" t="e">
        <f>AVERAGE(Table1191835[[#This Row],[*C*]:[*TD*]])</f>
        <v>#N/A</v>
      </c>
    </row>
    <row r="51" spans="2:13" hidden="1" x14ac:dyDescent="0.35">
      <c r="B51" s="6" t="s">
        <v>457</v>
      </c>
      <c r="C51" s="97" t="s">
        <v>50</v>
      </c>
      <c r="D51" s="97" t="s">
        <v>411</v>
      </c>
      <c r="E51" s="23" t="str" cm="1">
        <f t="array" ref="E51">_xlfn.XLOOKUP(Table1191835[[#This Row],[Team]],Table4334[Team],'2425'!$C$3:$C$34)</f>
        <v>n/a</v>
      </c>
      <c r="F51" s="97" t="str">
        <f>'2025'!$E$28</f>
        <v>n/a</v>
      </c>
      <c r="G51" s="94" t="e" cm="1">
        <f t="array" ref="G5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1" s="94" t="e" cm="1">
        <f t="array" ref="H5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1" s="94" t="e" cm="1">
        <f t="array" ref="I5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1" s="96" t="e" cm="1">
        <f t="array" ref="J5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1" s="96" t="e" cm="1">
        <f t="array" ref="K5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1" s="96" t="e" cm="1">
        <f t="array" ref="L5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1" s="94" t="e">
        <f>AVERAGE(Table1191835[[#This Row],[*C*]:[*TD*]])</f>
        <v>#N/A</v>
      </c>
    </row>
    <row r="52" spans="2:13" hidden="1" x14ac:dyDescent="0.35">
      <c r="B52" s="6" t="s">
        <v>382</v>
      </c>
      <c r="C52" s="97" t="s">
        <v>55</v>
      </c>
      <c r="D52" s="97" t="s">
        <v>67</v>
      </c>
      <c r="E52" s="23" t="str" cm="1">
        <f t="array" ref="E52">_xlfn.XLOOKUP(Table1191835[[#This Row],[Team]],Table4334[Team],'2425'!$C$3:$C$34)</f>
        <v>n/a</v>
      </c>
      <c r="F52" s="97" t="str">
        <f>'2025'!$E$33</f>
        <v>n/a</v>
      </c>
      <c r="G52" s="94" t="e" cm="1">
        <f t="array" ref="G5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2" s="94" t="e" cm="1">
        <f t="array" ref="H5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2" s="94" t="e" cm="1">
        <f t="array" ref="I5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2" s="96" t="e" cm="1">
        <f t="array" ref="J5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2" s="96" t="e" cm="1">
        <f t="array" ref="K5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2" s="96" t="e" cm="1">
        <f t="array" ref="L5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2" s="94" t="e">
        <f>AVERAGE(Table1191835[[#This Row],[*C*]:[*TD*]])</f>
        <v>#N/A</v>
      </c>
    </row>
    <row r="53" spans="2:13" hidden="1" x14ac:dyDescent="0.35">
      <c r="B53" s="6" t="s">
        <v>329</v>
      </c>
      <c r="C53" s="97" t="s">
        <v>48</v>
      </c>
      <c r="D53" s="97" t="s">
        <v>67</v>
      </c>
      <c r="E53" s="23" t="str" cm="1">
        <f t="array" ref="E53">_xlfn.XLOOKUP(Table1191835[[#This Row],[Team]],Table4334[Team],'2425'!$C$3:$C$34)</f>
        <v>n/a</v>
      </c>
      <c r="F53" s="97" t="str">
        <f>'2025'!$E$26</f>
        <v>n/a</v>
      </c>
      <c r="G53" s="94" t="e" cm="1">
        <f t="array" ref="G5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3" s="94" t="e" cm="1">
        <f t="array" ref="H5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3" s="94" t="e" cm="1">
        <f t="array" ref="I5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3" s="96" t="e" cm="1">
        <f t="array" ref="J5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3" s="96" t="e" cm="1">
        <f t="array" ref="K5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3" s="96" t="e" cm="1">
        <f t="array" ref="L5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3" s="94" t="e">
        <f>AVERAGE(Table1191835[[#This Row],[*C*]:[*TD*]])</f>
        <v>#N/A</v>
      </c>
    </row>
    <row r="54" spans="2:13" hidden="1" x14ac:dyDescent="0.35">
      <c r="B54" s="6" t="s">
        <v>341</v>
      </c>
      <c r="C54" s="97" t="s">
        <v>50</v>
      </c>
      <c r="D54" s="97" t="s">
        <v>67</v>
      </c>
      <c r="E54" s="23" t="str" cm="1">
        <f t="array" ref="E54">_xlfn.XLOOKUP(Table1191835[[#This Row],[Team]],Table4334[Team],'2425'!$C$3:$C$34)</f>
        <v>n/a</v>
      </c>
      <c r="F54" s="97" t="str">
        <f>'2025'!$E$28</f>
        <v>n/a</v>
      </c>
      <c r="G54" s="94" t="e" cm="1">
        <f t="array" ref="G5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4" s="94" t="e" cm="1">
        <f t="array" ref="H5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4" s="94" t="e" cm="1">
        <f t="array" ref="I5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4" s="96" t="e" cm="1">
        <f t="array" ref="J5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4" s="96" t="e" cm="1">
        <f t="array" ref="K5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4" s="96" t="e" cm="1">
        <f t="array" ref="L5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4" s="94" t="e">
        <f>AVERAGE(Table1191835[[#This Row],[*C*]:[*TD*]])</f>
        <v>#N/A</v>
      </c>
    </row>
    <row r="55" spans="2:13" hidden="1" x14ac:dyDescent="0.35">
      <c r="B55" s="6" t="s">
        <v>232</v>
      </c>
      <c r="C55" s="97" t="s">
        <v>38</v>
      </c>
      <c r="D55" s="97" t="s">
        <v>67</v>
      </c>
      <c r="E55" s="23" t="str" cm="1">
        <f t="array" ref="E55">_xlfn.XLOOKUP(Table1191835[[#This Row],[Team]],Table4334[Team],'2425'!$C$3:$C$34)</f>
        <v>n/a</v>
      </c>
      <c r="F55" s="97" t="str">
        <f>'2025'!$E$16</f>
        <v>n/a</v>
      </c>
      <c r="G55" s="94" t="e" cm="1">
        <f t="array" ref="G5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5" s="94" t="e" cm="1">
        <f t="array" ref="H5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5" s="94" t="e" cm="1">
        <f t="array" ref="I5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5" s="96" t="e" cm="1">
        <f t="array" ref="J5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5" s="96" t="e" cm="1">
        <f t="array" ref="K5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5" s="96" t="e" cm="1">
        <f t="array" ref="L5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5" s="94" t="e">
        <f>AVERAGE(Table1191835[[#This Row],[*C*]:[*TD*]])</f>
        <v>#N/A</v>
      </c>
    </row>
    <row r="56" spans="2:13" hidden="1" x14ac:dyDescent="0.35">
      <c r="B56" s="6" t="s">
        <v>166</v>
      </c>
      <c r="C56" s="97" t="s">
        <v>31</v>
      </c>
      <c r="D56" s="97" t="s">
        <v>67</v>
      </c>
      <c r="E56" s="23" t="str" cm="1">
        <f t="array" ref="E56">_xlfn.XLOOKUP(Table1191835[[#This Row],[Team]],Table4334[Team],'2425'!$C$3:$C$34)</f>
        <v>n/a</v>
      </c>
      <c r="F56" s="97" t="str">
        <f>'2025'!$E$9</f>
        <v>n/a</v>
      </c>
      <c r="G56" s="94" t="e" cm="1">
        <f t="array" ref="G5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6" s="94" t="e" cm="1">
        <f t="array" ref="H5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6" s="94" t="e" cm="1">
        <f t="array" ref="I5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6" s="96" t="e" cm="1">
        <f t="array" ref="J5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6" s="96" t="e" cm="1">
        <f t="array" ref="K5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6" s="96" t="e" cm="1">
        <f t="array" ref="L5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6" s="94" t="e">
        <f>AVERAGE(Table1191835[[#This Row],[*C*]:[*TD*]])</f>
        <v>#N/A</v>
      </c>
    </row>
    <row r="57" spans="2:13" hidden="1" x14ac:dyDescent="0.35">
      <c r="B57" s="6" t="s">
        <v>300</v>
      </c>
      <c r="C57" s="97" t="s">
        <v>45</v>
      </c>
      <c r="D57" s="97" t="s">
        <v>67</v>
      </c>
      <c r="E57" s="23" t="str" cm="1">
        <f t="array" ref="E57">_xlfn.XLOOKUP(Table1191835[[#This Row],[Team]],Table4334[Team],'2425'!$C$3:$C$34)</f>
        <v>n/a</v>
      </c>
      <c r="F57" s="97" t="str">
        <f>'2025'!$E$23</f>
        <v>n/a</v>
      </c>
      <c r="G57" s="94" t="e" cm="1">
        <f t="array" ref="G5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7" s="94" t="e" cm="1">
        <f t="array" ref="H5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7" s="94" t="e" cm="1">
        <f t="array" ref="I5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7" s="96" t="e" cm="1">
        <f t="array" ref="J5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7" s="96" t="e" cm="1">
        <f t="array" ref="K5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7" s="96" t="e" cm="1">
        <f t="array" ref="L5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7" s="94" t="e">
        <f>AVERAGE(Table1191835[[#This Row],[*C*]:[*TD*]])</f>
        <v>#N/A</v>
      </c>
    </row>
    <row r="58" spans="2:13" hidden="1" x14ac:dyDescent="0.35">
      <c r="B58" s="6" t="s">
        <v>654</v>
      </c>
      <c r="C58" s="97" t="s">
        <v>32</v>
      </c>
      <c r="D58" s="97" t="s">
        <v>67</v>
      </c>
      <c r="E58" s="23" t="str" cm="1">
        <f t="array" ref="E58">_xlfn.XLOOKUP(Table1191835[[#This Row],[Team]],Table4334[Team],'2425'!$C$3:$C$34)</f>
        <v>n/a</v>
      </c>
      <c r="F58" s="97" t="str">
        <f>'2025'!$E$10</f>
        <v>n/a</v>
      </c>
      <c r="G58" s="94" t="e" cm="1">
        <f t="array" ref="G5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8" s="94" t="e" cm="1">
        <f t="array" ref="H5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8" s="94" t="e" cm="1">
        <f t="array" ref="I5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8" s="96" t="e" cm="1">
        <f t="array" ref="J5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8" s="96" t="e" cm="1">
        <f t="array" ref="K5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8" s="96" t="e" cm="1">
        <f t="array" ref="L5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8" s="94" t="e">
        <f>AVERAGE(Table1191835[[#This Row],[*C*]:[*TD*]])</f>
        <v>#N/A</v>
      </c>
    </row>
    <row r="59" spans="2:13" hidden="1" x14ac:dyDescent="0.35">
      <c r="B59" s="6" t="s">
        <v>241</v>
      </c>
      <c r="C59" s="97" t="s">
        <v>39</v>
      </c>
      <c r="D59" s="97" t="s">
        <v>67</v>
      </c>
      <c r="E59" s="23" t="str" cm="1">
        <f t="array" ref="E59">_xlfn.XLOOKUP(Table1191835[[#This Row],[Team]],Table4334[Team],'2425'!$C$3:$C$34)</f>
        <v>n/a</v>
      </c>
      <c r="F59" s="97" t="str">
        <f>'2025'!$E$17</f>
        <v>n/a</v>
      </c>
      <c r="G59" s="94" t="e" cm="1">
        <f t="array" ref="G5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59" s="94" t="e" cm="1">
        <f t="array" ref="H5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59" s="94" t="e" cm="1">
        <f t="array" ref="I5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59" s="96" t="e" cm="1">
        <f t="array" ref="J5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59" s="96" t="e" cm="1">
        <f t="array" ref="K5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59" s="96" t="e" cm="1">
        <f t="array" ref="L5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59" s="94" t="e">
        <f>AVERAGE(Table1191835[[#This Row],[*C*]:[*TD*]])</f>
        <v>#N/A</v>
      </c>
    </row>
    <row r="60" spans="2:13" hidden="1" x14ac:dyDescent="0.35">
      <c r="B60" s="6" t="s">
        <v>482</v>
      </c>
      <c r="C60" s="97" t="s">
        <v>32</v>
      </c>
      <c r="D60" s="97" t="s">
        <v>68</v>
      </c>
      <c r="E60" s="23" t="str" cm="1">
        <f t="array" ref="E60">_xlfn.XLOOKUP(Table1191835[[#This Row],[Team]],Table4334[Team],'2425'!$C$3:$C$34)</f>
        <v>n/a</v>
      </c>
      <c r="F60" s="97" t="str">
        <f>'2025'!$E$10</f>
        <v>n/a</v>
      </c>
      <c r="G60" s="94" t="e" cm="1">
        <f t="array" ref="G6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0" s="94" t="e" cm="1">
        <f t="array" ref="H6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0" s="94" t="e" cm="1">
        <f t="array" ref="I6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0" s="96" t="e" cm="1">
        <f t="array" ref="J6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0" s="96" t="e" cm="1">
        <f t="array" ref="K6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0" s="96" t="e" cm="1">
        <f t="array" ref="L6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0" s="94" t="e">
        <f>AVERAGE(Table1191835[[#This Row],[*C*]:[*TD*]])</f>
        <v>#N/A</v>
      </c>
    </row>
    <row r="61" spans="2:13" hidden="1" x14ac:dyDescent="0.35">
      <c r="B61" s="6" t="s">
        <v>168</v>
      </c>
      <c r="C61" s="97" t="s">
        <v>31</v>
      </c>
      <c r="D61" s="97" t="s">
        <v>68</v>
      </c>
      <c r="E61" s="23" t="str" cm="1">
        <f t="array" ref="E61">_xlfn.XLOOKUP(Table1191835[[#This Row],[Team]],Table4334[Team],'2425'!$C$3:$C$34)</f>
        <v>n/a</v>
      </c>
      <c r="F61" s="97" t="str">
        <f>'2025'!$E$9</f>
        <v>n/a</v>
      </c>
      <c r="G61" s="94" t="e" cm="1">
        <f t="array" ref="G6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1" s="94" t="e" cm="1">
        <f t="array" ref="H6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1" s="94" t="e" cm="1">
        <f t="array" ref="I6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1" s="96" t="e" cm="1">
        <f t="array" ref="J6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1" s="96" t="e" cm="1">
        <f t="array" ref="K6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1" s="96" t="e" cm="1">
        <f t="array" ref="L6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1" s="94" t="e">
        <f>AVERAGE(Table1191835[[#This Row],[*C*]:[*TD*]])</f>
        <v>#N/A</v>
      </c>
    </row>
    <row r="62" spans="2:13" hidden="1" x14ac:dyDescent="0.35">
      <c r="B62" s="6" t="s">
        <v>264</v>
      </c>
      <c r="C62" s="97" t="s">
        <v>41</v>
      </c>
      <c r="D62" s="97" t="s">
        <v>67</v>
      </c>
      <c r="E62" s="23" t="str" cm="1">
        <f t="array" ref="E62">_xlfn.XLOOKUP(Table1191835[[#This Row],[Team]],Table4334[Team],'2425'!$C$3:$C$34)</f>
        <v>n/a</v>
      </c>
      <c r="F62" s="97" t="str">
        <f>'2025'!$E$19</f>
        <v>n/a</v>
      </c>
      <c r="G62" s="94" t="e" cm="1">
        <f t="array" ref="G6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2" s="94" t="e" cm="1">
        <f t="array" ref="H6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2" s="94" t="e" cm="1">
        <f t="array" ref="I6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2" s="96" t="e" cm="1">
        <f t="array" ref="J6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2" s="96" t="e" cm="1">
        <f t="array" ref="K6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2" s="96" t="e" cm="1">
        <f t="array" ref="L6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2" s="94" t="e">
        <f>AVERAGE(Table1191835[[#This Row],[*C*]:[*TD*]])</f>
        <v>#N/A</v>
      </c>
    </row>
    <row r="63" spans="2:13" hidden="1" x14ac:dyDescent="0.35">
      <c r="B63" s="6" t="s">
        <v>699</v>
      </c>
      <c r="C63" s="97" t="s">
        <v>48</v>
      </c>
      <c r="D63" s="97" t="s">
        <v>68</v>
      </c>
      <c r="E63" s="23" t="str" cm="1">
        <f t="array" ref="E63">_xlfn.XLOOKUP(Table1191835[[#This Row],[Team]],Table4334[Team],'2425'!$C$3:$C$34)</f>
        <v>n/a</v>
      </c>
      <c r="F63" s="97" t="str">
        <f>'2025'!$E$26</f>
        <v>n/a</v>
      </c>
      <c r="G63" s="94" t="e" cm="1">
        <f t="array" ref="G6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3" s="94" t="e" cm="1">
        <f t="array" ref="H6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3" s="94" t="e" cm="1">
        <f t="array" ref="I6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3" s="96" t="e" cm="1">
        <f t="array" ref="J6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3" s="96" t="e" cm="1">
        <f t="array" ref="K6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3" s="96" t="e" cm="1">
        <f t="array" ref="L6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3" s="94" t="e">
        <f>AVERAGE(Table1191835[[#This Row],[*C*]:[*TD*]])</f>
        <v>#N/A</v>
      </c>
    </row>
    <row r="64" spans="2:13" hidden="1" x14ac:dyDescent="0.35">
      <c r="B64" s="6" t="s">
        <v>136</v>
      </c>
      <c r="C64" s="97" t="s">
        <v>45</v>
      </c>
      <c r="D64" s="97" t="s">
        <v>68</v>
      </c>
      <c r="E64" s="23" t="str" cm="1">
        <f t="array" ref="E64">_xlfn.XLOOKUP(Table1191835[[#This Row],[Team]],Table4334[Team],'2425'!$C$3:$C$34)</f>
        <v>n/a</v>
      </c>
      <c r="F64" s="97" t="str">
        <f>'2025'!$E$23</f>
        <v>n/a</v>
      </c>
      <c r="G64" s="94" t="e" cm="1">
        <f t="array" ref="G6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4" s="94" t="e" cm="1">
        <f t="array" ref="H6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4" s="94" t="e" cm="1">
        <f t="array" ref="I6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4" s="96" t="e" cm="1">
        <f t="array" ref="J6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4" s="96" t="e" cm="1">
        <f t="array" ref="K6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4" s="96" t="e" cm="1">
        <f t="array" ref="L6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4" s="94" t="e">
        <f>AVERAGE(Table1191835[[#This Row],[*C*]:[*TD*]])</f>
        <v>#N/A</v>
      </c>
    </row>
    <row r="65" spans="2:13" hidden="1" x14ac:dyDescent="0.35">
      <c r="B65" s="6" t="s">
        <v>349</v>
      </c>
      <c r="C65" s="97" t="s">
        <v>51</v>
      </c>
      <c r="D65" s="97" t="s">
        <v>67</v>
      </c>
      <c r="E65" s="23" t="str" cm="1">
        <f t="array" ref="E65">_xlfn.XLOOKUP(Table1191835[[#This Row],[Team]],Table4334[Team],'2425'!$C$3:$C$34)</f>
        <v>n/a</v>
      </c>
      <c r="F65" s="97" t="str">
        <f>'2025'!$E$29</f>
        <v>n/a</v>
      </c>
      <c r="G65" s="94" t="e" cm="1">
        <f t="array" ref="G6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5" s="94" t="e" cm="1">
        <f t="array" ref="H6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5" s="94" t="e" cm="1">
        <f t="array" ref="I6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5" s="96" t="e" cm="1">
        <f t="array" ref="J6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5" s="96" t="e" cm="1">
        <f t="array" ref="K6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5" s="96" t="e" cm="1">
        <f t="array" ref="L6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5" s="94" t="e">
        <f>AVERAGE(Table1191835[[#This Row],[*C*]:[*TD*]])</f>
        <v>#N/A</v>
      </c>
    </row>
    <row r="66" spans="2:13" hidden="1" x14ac:dyDescent="0.35">
      <c r="B66" s="6" t="s">
        <v>599</v>
      </c>
      <c r="C66" s="97" t="s">
        <v>15</v>
      </c>
      <c r="D66" s="97" t="s">
        <v>68</v>
      </c>
      <c r="E66" s="23" t="str" cm="1">
        <f t="array" ref="E66">_xlfn.XLOOKUP(Table1191835[[#This Row],[Team]],Table4334[Team],'2425'!$C$3:$C$34)</f>
        <v>n/a</v>
      </c>
      <c r="F66" s="97" t="str">
        <f>'2025'!$E$4</f>
        <v>n/a</v>
      </c>
      <c r="G66" s="94" t="e" cm="1">
        <f t="array" ref="G6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6" s="94" t="e" cm="1">
        <f t="array" ref="H6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6" s="94" t="e" cm="1">
        <f t="array" ref="I6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6" s="96" t="e" cm="1">
        <f t="array" ref="J6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6" s="96" t="e" cm="1">
        <f t="array" ref="K6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6" s="96" t="e" cm="1">
        <f t="array" ref="L6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6" s="94" t="e">
        <f>AVERAGE(Table1191835[[#This Row],[*C*]:[*TD*]])</f>
        <v>#N/A</v>
      </c>
    </row>
    <row r="67" spans="2:13" hidden="1" x14ac:dyDescent="0.35">
      <c r="B67" s="6" t="s">
        <v>233</v>
      </c>
      <c r="C67" s="97" t="s">
        <v>38</v>
      </c>
      <c r="D67" s="97" t="s">
        <v>68</v>
      </c>
      <c r="E67" s="23" t="str" cm="1">
        <f t="array" ref="E67">_xlfn.XLOOKUP(Table1191835[[#This Row],[Team]],Table4334[Team],'2425'!$C$3:$C$34)</f>
        <v>n/a</v>
      </c>
      <c r="F67" s="97" t="str">
        <f>'2025'!$E$16</f>
        <v>n/a</v>
      </c>
      <c r="G67" s="94" t="e" cm="1">
        <f t="array" ref="G6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7" s="94" t="e" cm="1">
        <f t="array" ref="H6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7" s="94" t="e" cm="1">
        <f t="array" ref="I6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7" s="96" t="e" cm="1">
        <f t="array" ref="J6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7" s="96" t="e" cm="1">
        <f t="array" ref="K6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7" s="96" t="e" cm="1">
        <f t="array" ref="L6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7" s="94" t="e">
        <f>AVERAGE(Table1191835[[#This Row],[*C*]:[*TD*]])</f>
        <v>#N/A</v>
      </c>
    </row>
    <row r="68" spans="2:13" hidden="1" x14ac:dyDescent="0.35">
      <c r="B68" s="6" t="s">
        <v>320</v>
      </c>
      <c r="C68" s="97" t="s">
        <v>47</v>
      </c>
      <c r="D68" s="97" t="s">
        <v>68</v>
      </c>
      <c r="E68" s="23" t="str" cm="1">
        <f t="array" ref="E68">_xlfn.XLOOKUP(Table1191835[[#This Row],[Team]],Table4334[Team],'2425'!$C$3:$C$34)</f>
        <v>n/a</v>
      </c>
      <c r="F68" s="97" t="str">
        <f>'2025'!$E$25</f>
        <v>n/a</v>
      </c>
      <c r="G68" s="94" t="e" cm="1">
        <f t="array" ref="G6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8" s="94" t="e" cm="1">
        <f t="array" ref="H6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8" s="94" t="e" cm="1">
        <f t="array" ref="I6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8" s="96" t="e" cm="1">
        <f t="array" ref="J6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8" s="96" t="e" cm="1">
        <f t="array" ref="K6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8" s="96" t="e" cm="1">
        <f t="array" ref="L6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8" s="94" t="e">
        <f>AVERAGE(Table1191835[[#This Row],[*C*]:[*TD*]])</f>
        <v>#N/A</v>
      </c>
    </row>
    <row r="69" spans="2:13" x14ac:dyDescent="0.35">
      <c r="B69" s="6" t="s">
        <v>157</v>
      </c>
      <c r="C69" s="97" t="s">
        <v>30</v>
      </c>
      <c r="D69" s="97" t="s">
        <v>67</v>
      </c>
      <c r="E69" s="23" t="str" cm="1">
        <f t="array" ref="E69">_xlfn.XLOOKUP(Table1191835[[#This Row],[Team]],Table4334[Team],'2425'!$C$3:$C$34)</f>
        <v>n/a</v>
      </c>
      <c r="F69" s="97" t="str">
        <f>'2025'!$E$8</f>
        <v>n/a</v>
      </c>
      <c r="G69" s="94" t="e" cm="1">
        <f t="array" ref="G6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69" s="94" t="e" cm="1">
        <f t="array" ref="H6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69" s="94" t="e" cm="1">
        <f t="array" ref="I6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69" s="96" t="e" cm="1">
        <f t="array" ref="J6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69" s="96" t="e" cm="1">
        <f t="array" ref="K6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69" s="96" t="e" cm="1">
        <f t="array" ref="L6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69" s="94" t="e">
        <f>AVERAGE(Table1191835[[#This Row],[*C*]:[*TD*]])</f>
        <v>#N/A</v>
      </c>
    </row>
    <row r="70" spans="2:13" hidden="1" x14ac:dyDescent="0.35">
      <c r="B70" s="6" t="s">
        <v>190</v>
      </c>
      <c r="C70" s="97" t="s">
        <v>33</v>
      </c>
      <c r="D70" s="97" t="s">
        <v>68</v>
      </c>
      <c r="E70" s="23" t="str" cm="1">
        <f t="array" ref="E70">_xlfn.XLOOKUP(Table1191835[[#This Row],[Team]],Table4334[Team],'2425'!$C$3:$C$34)</f>
        <v>n/a</v>
      </c>
      <c r="F70" s="97" t="str">
        <f>'2025'!$E$11</f>
        <v>n/a</v>
      </c>
      <c r="G70" s="94" t="e" cm="1">
        <f t="array" ref="G7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0" s="94" t="e" cm="1">
        <f t="array" ref="H7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0" s="94" t="e" cm="1">
        <f t="array" ref="I7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0" s="96" t="e" cm="1">
        <f t="array" ref="J7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0" s="96" t="e" cm="1">
        <f t="array" ref="K7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0" s="96" t="e" cm="1">
        <f t="array" ref="L7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0" s="94" t="e">
        <f>AVERAGE(Table1191835[[#This Row],[*C*]:[*TD*]])</f>
        <v>#N/A</v>
      </c>
    </row>
    <row r="71" spans="2:13" hidden="1" x14ac:dyDescent="0.35">
      <c r="B71" s="6" t="s">
        <v>384</v>
      </c>
      <c r="C71" s="97" t="s">
        <v>55</v>
      </c>
      <c r="D71" s="97" t="s">
        <v>68</v>
      </c>
      <c r="E71" s="23" t="str" cm="1">
        <f t="array" ref="E71">_xlfn.XLOOKUP(Table1191835[[#This Row],[Team]],Table4334[Team],'2425'!$C$3:$C$34)</f>
        <v>n/a</v>
      </c>
      <c r="F71" s="97" t="str">
        <f>'2025'!$E$33</f>
        <v>n/a</v>
      </c>
      <c r="G71" s="94" t="e" cm="1">
        <f t="array" ref="G7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1" s="94" t="e" cm="1">
        <f t="array" ref="H7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1" s="94" t="e" cm="1">
        <f t="array" ref="I7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1" s="96" t="e" cm="1">
        <f t="array" ref="J7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1" s="96" t="e" cm="1">
        <f t="array" ref="K7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1" s="96" t="e" cm="1">
        <f t="array" ref="L7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1" s="94" t="e">
        <f>AVERAGE(Table1191835[[#This Row],[*C*]:[*TD*]])</f>
        <v>#N/A</v>
      </c>
    </row>
    <row r="72" spans="2:13" hidden="1" x14ac:dyDescent="0.35">
      <c r="B72" s="6" t="s">
        <v>477</v>
      </c>
      <c r="C72" s="97" t="s">
        <v>31</v>
      </c>
      <c r="D72" s="97" t="s">
        <v>401</v>
      </c>
      <c r="E72" s="23" t="str" cm="1">
        <f t="array" ref="E72">_xlfn.XLOOKUP(Table1191835[[#This Row],[Team]],Table4334[Team],'2425'!$C$3:$C$34)</f>
        <v>n/a</v>
      </c>
      <c r="F72" s="97" t="str">
        <f>'2025'!$E$9</f>
        <v>n/a</v>
      </c>
      <c r="G72" s="94" t="e" cm="1">
        <f t="array" ref="G7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2" s="94" t="e" cm="1">
        <f t="array" ref="H7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2" s="94" t="e" cm="1">
        <f t="array" ref="I7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2" s="96" t="e" cm="1">
        <f t="array" ref="J7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2" s="96" t="e" cm="1">
        <f t="array" ref="K7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2" s="96" t="e" cm="1">
        <f t="array" ref="L7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2" s="94" t="e">
        <f>AVERAGE(Table1191835[[#This Row],[*C*]:[*TD*]])</f>
        <v>#N/A</v>
      </c>
    </row>
    <row r="73" spans="2:13" hidden="1" x14ac:dyDescent="0.35">
      <c r="B73" s="6" t="s">
        <v>301</v>
      </c>
      <c r="C73" s="97" t="s">
        <v>45</v>
      </c>
      <c r="D73" s="97" t="s">
        <v>401</v>
      </c>
      <c r="E73" s="23" t="str" cm="1">
        <f t="array" ref="E73">_xlfn.XLOOKUP(Table1191835[[#This Row],[Team]],Table4334[Team],'2425'!$C$3:$C$34)</f>
        <v>n/a</v>
      </c>
      <c r="F73" s="97" t="str">
        <f>'2025'!$E$23</f>
        <v>n/a</v>
      </c>
      <c r="G73" s="94" t="e" cm="1">
        <f t="array" ref="G7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3" s="94" t="e" cm="1">
        <f t="array" ref="H7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3" s="94" t="e" cm="1">
        <f t="array" ref="I7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3" s="96" t="e" cm="1">
        <f t="array" ref="J7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3" s="96" t="e" cm="1">
        <f t="array" ref="K7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3" s="96" t="e" cm="1">
        <f t="array" ref="L7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3" s="94" t="e">
        <f>AVERAGE(Table1191835[[#This Row],[*C*]:[*TD*]])</f>
        <v>#N/A</v>
      </c>
    </row>
    <row r="74" spans="2:13" hidden="1" x14ac:dyDescent="0.35">
      <c r="B74" s="6" t="s">
        <v>689</v>
      </c>
      <c r="C74" s="97" t="s">
        <v>33</v>
      </c>
      <c r="D74" s="97" t="s">
        <v>401</v>
      </c>
      <c r="E74" s="23" t="str" cm="1">
        <f t="array" ref="E74">_xlfn.XLOOKUP(Table1191835[[#This Row],[Team]],Table4334[Team],'2425'!$C$3:$C$34)</f>
        <v>n/a</v>
      </c>
      <c r="F74" s="97" t="str">
        <f>'2025'!$E$11</f>
        <v>n/a</v>
      </c>
      <c r="G74" s="94" t="e" cm="1">
        <f t="array" ref="G7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4" s="94" t="e" cm="1">
        <f t="array" ref="H7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4" s="94" t="e" cm="1">
        <f t="array" ref="I7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4" s="96" t="e" cm="1">
        <f t="array" ref="J7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4" s="96" t="e" cm="1">
        <f t="array" ref="K7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4" s="96" t="e" cm="1">
        <f t="array" ref="L7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4" s="94" t="e">
        <f>AVERAGE(Table1191835[[#This Row],[*C*]:[*TD*]])</f>
        <v>#N/A</v>
      </c>
    </row>
    <row r="75" spans="2:13" hidden="1" x14ac:dyDescent="0.35">
      <c r="B75" s="6" t="s">
        <v>426</v>
      </c>
      <c r="C75" s="97" t="s">
        <v>48</v>
      </c>
      <c r="D75" s="97" t="s">
        <v>401</v>
      </c>
      <c r="E75" s="23" t="str" cm="1">
        <f t="array" ref="E75">_xlfn.XLOOKUP(Table1191835[[#This Row],[Team]],Table4334[Team],'2425'!$C$3:$C$34)</f>
        <v>n/a</v>
      </c>
      <c r="F75" s="97" t="str">
        <f>'2025'!$E$26</f>
        <v>n/a</v>
      </c>
      <c r="G75" s="94" t="e" cm="1">
        <f t="array" ref="G7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5" s="94" t="e" cm="1">
        <f t="array" ref="H7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5" s="94" t="e" cm="1">
        <f t="array" ref="I7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5" s="96" t="e" cm="1">
        <f t="array" ref="J7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5" s="96" t="e" cm="1">
        <f t="array" ref="K7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5" s="96" t="e" cm="1">
        <f t="array" ref="L7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5" s="94" t="e">
        <f>AVERAGE(Table1191835[[#This Row],[*C*]:[*TD*]])</f>
        <v>#N/A</v>
      </c>
    </row>
    <row r="76" spans="2:13" hidden="1" x14ac:dyDescent="0.35">
      <c r="B76" s="6" t="s">
        <v>620</v>
      </c>
      <c r="C76" s="97" t="s">
        <v>47</v>
      </c>
      <c r="D76" s="97" t="s">
        <v>401</v>
      </c>
      <c r="E76" s="23" t="str" cm="1">
        <f t="array" ref="E76">_xlfn.XLOOKUP(Table1191835[[#This Row],[Team]],Table4334[Team],'2425'!$C$3:$C$34)</f>
        <v>n/a</v>
      </c>
      <c r="F76" s="97" t="str">
        <f>'2025'!$E$25</f>
        <v>n/a</v>
      </c>
      <c r="G76" s="94" t="e" cm="1">
        <f t="array" ref="G7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6" s="94" t="e" cm="1">
        <f t="array" ref="H7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6" s="94" t="e" cm="1">
        <f t="array" ref="I7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6" s="96" t="e" cm="1">
        <f t="array" ref="J7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6" s="96" t="e" cm="1">
        <f t="array" ref="K7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6" s="96" t="e" cm="1">
        <f t="array" ref="L7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6" s="94" t="e">
        <f>AVERAGE(Table1191835[[#This Row],[*C*]:[*TD*]])</f>
        <v>#N/A</v>
      </c>
    </row>
    <row r="77" spans="2:13" hidden="1" x14ac:dyDescent="0.35">
      <c r="B77" s="6" t="s">
        <v>591</v>
      </c>
      <c r="C77" s="97" t="s">
        <v>55</v>
      </c>
      <c r="D77" s="97" t="s">
        <v>401</v>
      </c>
      <c r="E77" s="23" t="str" cm="1">
        <f t="array" ref="E77">_xlfn.XLOOKUP(Table1191835[[#This Row],[Team]],Table4334[Team],'2425'!$C$3:$C$34)</f>
        <v>n/a</v>
      </c>
      <c r="F77" s="97" t="str">
        <f>'2025'!$E$33</f>
        <v>n/a</v>
      </c>
      <c r="G77" s="94" t="e" cm="1">
        <f t="array" ref="G7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7" s="94" t="e" cm="1">
        <f t="array" ref="H7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7" s="94" t="e" cm="1">
        <f t="array" ref="I7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7" s="96" t="e" cm="1">
        <f t="array" ref="J7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7" s="96" t="e" cm="1">
        <f t="array" ref="K7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7" s="96" t="e" cm="1">
        <f t="array" ref="L7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7" s="94" t="e">
        <f>AVERAGE(Table1191835[[#This Row],[*C*]:[*TD*]])</f>
        <v>#N/A</v>
      </c>
    </row>
    <row r="78" spans="2:13" x14ac:dyDescent="0.35">
      <c r="B78" s="6" t="s">
        <v>196</v>
      </c>
      <c r="C78" s="97" t="s">
        <v>34</v>
      </c>
      <c r="D78" s="97" t="s">
        <v>66</v>
      </c>
      <c r="E78" s="23" t="str" cm="1">
        <f t="array" ref="E78">_xlfn.XLOOKUP(Table1191835[[#This Row],[Team]],Table4334[Team],'2425'!$C$3:$C$34)</f>
        <v>n/a</v>
      </c>
      <c r="F78" s="97" t="str">
        <f>'2025'!$E$12</f>
        <v>n/a</v>
      </c>
      <c r="G78" s="94" t="e" cm="1">
        <f t="array" ref="G7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8" s="94" t="e" cm="1">
        <f t="array" ref="H7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8" s="94" t="e" cm="1">
        <f t="array" ref="I7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8" s="96" t="e" cm="1">
        <f t="array" ref="J7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8" s="96" t="e" cm="1">
        <f t="array" ref="K7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8" s="96" t="e" cm="1">
        <f t="array" ref="L7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8" s="94" t="e">
        <f>AVERAGE(Table1191835[[#This Row],[*C*]:[*TD*]])</f>
        <v>#N/A</v>
      </c>
    </row>
    <row r="79" spans="2:13" hidden="1" x14ac:dyDescent="0.35">
      <c r="B79" s="6" t="s">
        <v>145</v>
      </c>
      <c r="C79" s="97" t="s">
        <v>29</v>
      </c>
      <c r="D79" s="97" t="s">
        <v>67</v>
      </c>
      <c r="E79" s="23" t="str" cm="1">
        <f t="array" ref="E79">_xlfn.XLOOKUP(Table1191835[[#This Row],[Team]],Table4334[Team],'2425'!$C$3:$C$34)</f>
        <v>n/a</v>
      </c>
      <c r="F79" s="97" t="str">
        <f>'2025'!$E$7</f>
        <v>n/a</v>
      </c>
      <c r="G79" s="94" t="e" cm="1">
        <f t="array" ref="G7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79" s="94" t="e" cm="1">
        <f t="array" ref="H7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79" s="94" t="e" cm="1">
        <f t="array" ref="I7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79" s="96" t="e" cm="1">
        <f t="array" ref="J7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79" s="96" t="e" cm="1">
        <f t="array" ref="K7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79" s="96" t="e" cm="1">
        <f t="array" ref="L7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79" s="94" t="e">
        <f>AVERAGE(Table1191835[[#This Row],[*C*]:[*TD*]])</f>
        <v>#N/A</v>
      </c>
    </row>
    <row r="80" spans="2:13" hidden="1" x14ac:dyDescent="0.35">
      <c r="B80" s="6" t="s">
        <v>642</v>
      </c>
      <c r="C80" s="97" t="s">
        <v>38</v>
      </c>
      <c r="D80" s="97" t="s">
        <v>401</v>
      </c>
      <c r="E80" s="23" t="str" cm="1">
        <f t="array" ref="E80">_xlfn.XLOOKUP(Table1191835[[#This Row],[Team]],Table4334[Team],'2425'!$C$3:$C$34)</f>
        <v>n/a</v>
      </c>
      <c r="F80" s="97" t="str">
        <f>'2025'!$E$16</f>
        <v>n/a</v>
      </c>
      <c r="G80" s="94" t="e" cm="1">
        <f t="array" ref="G8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0" s="94" t="e" cm="1">
        <f t="array" ref="H8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0" s="94" t="e" cm="1">
        <f t="array" ref="I8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0" s="96" t="e" cm="1">
        <f t="array" ref="J8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0" s="96" t="e" cm="1">
        <f t="array" ref="K8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0" s="96" t="e" cm="1">
        <f t="array" ref="L8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0" s="94" t="e">
        <f>AVERAGE(Table1191835[[#This Row],[*C*]:[*TD*]])</f>
        <v>#N/A</v>
      </c>
    </row>
    <row r="81" spans="2:13" hidden="1" x14ac:dyDescent="0.35">
      <c r="B81" s="6" t="s">
        <v>485</v>
      </c>
      <c r="C81" s="97" t="s">
        <v>32</v>
      </c>
      <c r="D81" s="97" t="s">
        <v>401</v>
      </c>
      <c r="E81" s="23" t="str" cm="1">
        <f t="array" ref="E81">_xlfn.XLOOKUP(Table1191835[[#This Row],[Team]],Table4334[Team],'2425'!$C$3:$C$34)</f>
        <v>n/a</v>
      </c>
      <c r="F81" s="97" t="str">
        <f>'2025'!$E$10</f>
        <v>n/a</v>
      </c>
      <c r="G81" s="94" t="e" cm="1">
        <f t="array" ref="G8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1" s="94" t="e" cm="1">
        <f t="array" ref="H8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1" s="94" t="e" cm="1">
        <f t="array" ref="I8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1" s="96" t="e" cm="1">
        <f t="array" ref="J8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1" s="96" t="e" cm="1">
        <f t="array" ref="K8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1" s="96" t="e" cm="1">
        <f t="array" ref="L8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1" s="94" t="e">
        <f>AVERAGE(Table1191835[[#This Row],[*C*]:[*TD*]])</f>
        <v>#N/A</v>
      </c>
    </row>
    <row r="82" spans="2:13" x14ac:dyDescent="0.35">
      <c r="B82" s="6" t="s">
        <v>691</v>
      </c>
      <c r="C82" s="97" t="s">
        <v>53</v>
      </c>
      <c r="D82" s="97" t="s">
        <v>68</v>
      </c>
      <c r="E82" s="23" t="str" cm="1">
        <f t="array" ref="E82">_xlfn.XLOOKUP(Table1191835[[#This Row],[Team]],Table4334[Team],'2425'!$C$3:$C$34)</f>
        <v>n/a</v>
      </c>
      <c r="F82" s="97" t="str">
        <f>'2025'!$E$31</f>
        <v>n/a</v>
      </c>
      <c r="G82" s="94" t="e" cm="1">
        <f t="array" ref="G8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2" s="94" t="e" cm="1">
        <f t="array" ref="H8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2" s="94" t="e" cm="1">
        <f t="array" ref="I8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2" s="96" t="e" cm="1">
        <f t="array" ref="J8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2" s="96" t="e" cm="1">
        <f t="array" ref="K8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2" s="96" t="e" cm="1">
        <f t="array" ref="L8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2" s="94" t="e">
        <f>AVERAGE(Table1191835[[#This Row],[*C*]:[*TD*]])</f>
        <v>#N/A</v>
      </c>
    </row>
    <row r="83" spans="2:13" hidden="1" x14ac:dyDescent="0.35">
      <c r="B83" s="6" t="s">
        <v>600</v>
      </c>
      <c r="C83" s="97" t="s">
        <v>15</v>
      </c>
      <c r="D83" s="97" t="s">
        <v>401</v>
      </c>
      <c r="E83" s="23" t="str" cm="1">
        <f t="array" ref="E83">_xlfn.XLOOKUP(Table1191835[[#This Row],[Team]],Table4334[Team],'2425'!$C$3:$C$34)</f>
        <v>n/a</v>
      </c>
      <c r="F83" s="97" t="str">
        <f>'2025'!$E$4</f>
        <v>n/a</v>
      </c>
      <c r="G83" s="94" t="e" cm="1">
        <f t="array" ref="G8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3" s="94" t="e" cm="1">
        <f t="array" ref="H8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3" s="94" t="e" cm="1">
        <f t="array" ref="I8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3" s="96" t="e" cm="1">
        <f t="array" ref="J8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3" s="96" t="e" cm="1">
        <f t="array" ref="K8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3" s="96" t="e" cm="1">
        <f t="array" ref="L8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3" s="94" t="e">
        <f>AVERAGE(Table1191835[[#This Row],[*C*]:[*TD*]])</f>
        <v>#N/A</v>
      </c>
    </row>
    <row r="84" spans="2:13" hidden="1" x14ac:dyDescent="0.35">
      <c r="B84" s="6" t="s">
        <v>203</v>
      </c>
      <c r="C84" s="97" t="s">
        <v>35</v>
      </c>
      <c r="D84" s="97" t="s">
        <v>66</v>
      </c>
      <c r="E84" s="23" t="str" cm="1">
        <f t="array" ref="E84">_xlfn.XLOOKUP(Table1191835[[#This Row],[Team]],Table4334[Team],'2425'!$C$3:$C$34)</f>
        <v>n/a</v>
      </c>
      <c r="F84" s="97" t="str">
        <f>'2025'!$E$13</f>
        <v>n/a</v>
      </c>
      <c r="G84" s="94" t="e" cm="1">
        <f t="array" ref="G8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4" s="94" t="e" cm="1">
        <f t="array" ref="H8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4" s="94" t="e" cm="1">
        <f t="array" ref="I8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4" s="96" t="e" cm="1">
        <f t="array" ref="J8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4" s="96" t="e" cm="1">
        <f t="array" ref="K8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4" s="96" t="e" cm="1">
        <f t="array" ref="L8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4" s="94" t="e">
        <f>AVERAGE(Table1191835[[#This Row],[*C*]:[*TD*]])</f>
        <v>#N/A</v>
      </c>
    </row>
    <row r="85" spans="2:13" hidden="1" x14ac:dyDescent="0.35">
      <c r="B85" s="6" t="s">
        <v>137</v>
      </c>
      <c r="C85" s="97" t="s">
        <v>0</v>
      </c>
      <c r="D85" s="97" t="s">
        <v>66</v>
      </c>
      <c r="E85" s="23" t="str" cm="1">
        <f t="array" ref="E85">_xlfn.XLOOKUP(Table1191835[[#This Row],[Team]],Table4334[Team],'2425'!$C$3:$C$34)</f>
        <v>n/a</v>
      </c>
      <c r="F85" s="97" t="str">
        <f>'2025'!$E$3</f>
        <v>n/a</v>
      </c>
      <c r="G85" s="94" t="e" cm="1">
        <f t="array" ref="G8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5" s="94" t="e" cm="1">
        <f t="array" ref="H8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5" s="94" t="e" cm="1">
        <f t="array" ref="I8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5" s="96" t="e" cm="1">
        <f t="array" ref="J8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5" s="96" t="e" cm="1">
        <f t="array" ref="K8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5" s="96" t="e" cm="1">
        <f t="array" ref="L8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5" s="94" t="e">
        <f>AVERAGE(Table1191835[[#This Row],[*C*]:[*TD*]])</f>
        <v>#N/A</v>
      </c>
    </row>
    <row r="86" spans="2:13" x14ac:dyDescent="0.35">
      <c r="B86" s="6" t="s">
        <v>271</v>
      </c>
      <c r="C86" s="97" t="s">
        <v>42</v>
      </c>
      <c r="D86" s="97" t="s">
        <v>67</v>
      </c>
      <c r="E86" s="23" t="str" cm="1">
        <f t="array" ref="E86">_xlfn.XLOOKUP(Table1191835[[#This Row],[Team]],Table4334[Team],'2425'!$C$3:$C$34)</f>
        <v>n/a</v>
      </c>
      <c r="F86" s="97" t="str">
        <f>'2025'!$E$20</f>
        <v>n/a</v>
      </c>
      <c r="G86" s="94" t="e" cm="1">
        <f t="array" ref="G8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6" s="94" t="e" cm="1">
        <f t="array" ref="H8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6" s="94" t="e" cm="1">
        <f t="array" ref="I8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6" s="96" t="e" cm="1">
        <f t="array" ref="J8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6" s="96" t="e" cm="1">
        <f t="array" ref="K8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6" s="96" t="e" cm="1">
        <f t="array" ref="L8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6" s="94" t="e">
        <f>AVERAGE(Table1191835[[#This Row],[*C*]:[*TD*]])</f>
        <v>#N/A</v>
      </c>
    </row>
    <row r="87" spans="2:13" x14ac:dyDescent="0.35">
      <c r="B87" s="6" t="s">
        <v>365</v>
      </c>
      <c r="C87" s="97" t="s">
        <v>53</v>
      </c>
      <c r="D87" s="97" t="s">
        <v>67</v>
      </c>
      <c r="E87" s="23" t="str" cm="1">
        <f t="array" ref="E87">_xlfn.XLOOKUP(Table1191835[[#This Row],[Team]],Table4334[Team],'2425'!$C$3:$C$34)</f>
        <v>n/a</v>
      </c>
      <c r="F87" s="97" t="str">
        <f>'2025'!$E$31</f>
        <v>n/a</v>
      </c>
      <c r="G87" s="94" t="e" cm="1">
        <f t="array" ref="G8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7" s="94" t="e" cm="1">
        <f t="array" ref="H8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7" s="94" t="e" cm="1">
        <f t="array" ref="I8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7" s="96" t="e" cm="1">
        <f t="array" ref="J8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7" s="96" t="e" cm="1">
        <f t="array" ref="K8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7" s="96" t="e" cm="1">
        <f t="array" ref="L8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7" s="94" t="e">
        <f>AVERAGE(Table1191835[[#This Row],[*C*]:[*TD*]])</f>
        <v>#N/A</v>
      </c>
    </row>
    <row r="88" spans="2:13" x14ac:dyDescent="0.35">
      <c r="B88" s="6" t="s">
        <v>140</v>
      </c>
      <c r="C88" s="97" t="s">
        <v>17</v>
      </c>
      <c r="D88" s="97" t="s">
        <v>67</v>
      </c>
      <c r="E88" s="23" t="str" cm="1">
        <f t="array" ref="E88">_xlfn.XLOOKUP(Table1191835[[#This Row],[Team]],Table4334[Team],'2425'!$C$3:$C$34)</f>
        <v>n/a</v>
      </c>
      <c r="F88" s="97" t="str">
        <f>'2025'!$E$6</f>
        <v>n/a</v>
      </c>
      <c r="G88" s="94" t="e" cm="1">
        <f t="array" ref="G8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8" s="94" t="e" cm="1">
        <f t="array" ref="H8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8" s="94" t="e" cm="1">
        <f t="array" ref="I8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8" s="96" t="e" cm="1">
        <f t="array" ref="J8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8" s="96" t="e" cm="1">
        <f t="array" ref="K8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8" s="96" t="e" cm="1">
        <f t="array" ref="L8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8" s="94" t="e">
        <f>AVERAGE(Table1191835[[#This Row],[*C*]:[*TD*]])</f>
        <v>#N/A</v>
      </c>
    </row>
    <row r="89" spans="2:13" hidden="1" x14ac:dyDescent="0.35">
      <c r="B89" s="6" t="s">
        <v>213</v>
      </c>
      <c r="C89" s="97" t="s">
        <v>36</v>
      </c>
      <c r="D89" s="97" t="s">
        <v>67</v>
      </c>
      <c r="E89" s="23" t="str" cm="1">
        <f t="array" ref="E89">_xlfn.XLOOKUP(Table1191835[[#This Row],[Team]],Table4334[Team],'2425'!$C$3:$C$34)</f>
        <v>n/a</v>
      </c>
      <c r="F89" s="97" t="str">
        <f>'2025'!$E$14</f>
        <v>n/a</v>
      </c>
      <c r="G89" s="94" t="e" cm="1">
        <f t="array" ref="G8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89" s="94" t="e" cm="1">
        <f t="array" ref="H8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89" s="94" t="e" cm="1">
        <f t="array" ref="I8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89" s="96" t="e" cm="1">
        <f t="array" ref="J8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89" s="96" t="e" cm="1">
        <f t="array" ref="K8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89" s="96" t="e" cm="1">
        <f t="array" ref="L8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89" s="94" t="e">
        <f>AVERAGE(Table1191835[[#This Row],[*C*]:[*TD*]])</f>
        <v>#N/A</v>
      </c>
    </row>
    <row r="90" spans="2:13" hidden="1" x14ac:dyDescent="0.35">
      <c r="B90" s="6" t="s">
        <v>291</v>
      </c>
      <c r="C90" s="97" t="s">
        <v>44</v>
      </c>
      <c r="D90" s="97" t="s">
        <v>66</v>
      </c>
      <c r="E90" s="23" t="str" cm="1">
        <f t="array" ref="E90">_xlfn.XLOOKUP(Table1191835[[#This Row],[Team]],Table4334[Team],'2425'!$C$3:$C$34)</f>
        <v>n/a</v>
      </c>
      <c r="F90" s="97" t="str">
        <f>'2025'!$E$22</f>
        <v>n/a</v>
      </c>
      <c r="G90" s="94" t="e" cm="1">
        <f t="array" ref="G9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0" s="94" t="e" cm="1">
        <f t="array" ref="H9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0" s="94" t="e" cm="1">
        <f t="array" ref="I9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0" s="96" t="e" cm="1">
        <f t="array" ref="J9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0" s="96" t="e" cm="1">
        <f t="array" ref="K9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0" s="96" t="e" cm="1">
        <f t="array" ref="L9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0" s="94" t="e">
        <f>AVERAGE(Table1191835[[#This Row],[*C*]:[*TD*]])</f>
        <v>#N/A</v>
      </c>
    </row>
    <row r="91" spans="2:13" hidden="1" x14ac:dyDescent="0.35">
      <c r="B91" s="6" t="s">
        <v>252</v>
      </c>
      <c r="C91" s="97" t="s">
        <v>40</v>
      </c>
      <c r="D91" s="97" t="s">
        <v>66</v>
      </c>
      <c r="E91" s="23" t="str" cm="1">
        <f t="array" ref="E91">_xlfn.XLOOKUP(Table1191835[[#This Row],[Team]],Table4334[Team],'2425'!$C$3:$C$34)</f>
        <v>n/a</v>
      </c>
      <c r="F91" s="97" t="str">
        <f>'2025'!$E$18</f>
        <v>n/a</v>
      </c>
      <c r="G91" s="94" t="e" cm="1">
        <f t="array" ref="G9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1" s="94" t="e" cm="1">
        <f t="array" ref="H9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1" s="94" t="e" cm="1">
        <f t="array" ref="I9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1" s="96" t="e" cm="1">
        <f t="array" ref="J9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1" s="96" t="e" cm="1">
        <f t="array" ref="K9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1" s="96" t="e" cm="1">
        <f t="array" ref="L9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1" s="94" t="e">
        <f>AVERAGE(Table1191835[[#This Row],[*C*]:[*TD*]])</f>
        <v>#N/A</v>
      </c>
    </row>
    <row r="92" spans="2:13" x14ac:dyDescent="0.35">
      <c r="B92" s="6" t="s">
        <v>144</v>
      </c>
      <c r="C92" s="97" t="s">
        <v>17</v>
      </c>
      <c r="D92" s="97" t="s">
        <v>66</v>
      </c>
      <c r="E92" s="23" t="str" cm="1">
        <f t="array" ref="E92">_xlfn.XLOOKUP(Table1191835[[#This Row],[Team]],Table4334[Team],'2425'!$C$3:$C$34)</f>
        <v>n/a</v>
      </c>
      <c r="F92" s="97" t="str">
        <f>'2025'!$E$6</f>
        <v>n/a</v>
      </c>
      <c r="G92" s="94" t="e" cm="1">
        <f t="array" ref="G9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2" s="94" t="e" cm="1">
        <f t="array" ref="H9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2" s="94" t="e" cm="1">
        <f t="array" ref="I9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2" s="96" t="e" cm="1">
        <f t="array" ref="J9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2" s="96" t="e" cm="1">
        <f t="array" ref="K9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2" s="96" t="e" cm="1">
        <f t="array" ref="L9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2" s="94" t="e">
        <f>AVERAGE(Table1191835[[#This Row],[*C*]:[*TD*]])</f>
        <v>#N/A</v>
      </c>
    </row>
    <row r="93" spans="2:13" x14ac:dyDescent="0.35">
      <c r="B93" s="6" t="s">
        <v>310</v>
      </c>
      <c r="C93" s="97" t="s">
        <v>46</v>
      </c>
      <c r="D93" s="97" t="s">
        <v>68</v>
      </c>
      <c r="E93" s="23" t="str" cm="1">
        <f t="array" ref="E93">_xlfn.XLOOKUP(Table1191835[[#This Row],[Team]],Table4334[Team],'2425'!$C$3:$C$34)</f>
        <v>SB LX</v>
      </c>
      <c r="F93" s="97" t="str">
        <f>'2025'!$E$24</f>
        <v>SEA</v>
      </c>
      <c r="G93" s="94" cm="1">
        <f t="array" ref="G9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18.5</v>
      </c>
      <c r="H93" s="94" cm="1">
        <f t="array" ref="H9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29</v>
      </c>
      <c r="I93" s="94" cm="1">
        <f t="array" ref="I9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</v>
      </c>
      <c r="J93" s="96" cm="1">
        <f t="array" ref="J9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2</v>
      </c>
      <c r="K93" s="96" cm="1">
        <f t="array" ref="K9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21.794117647058822</v>
      </c>
      <c r="L93" s="96" cm="1">
        <f t="array" ref="L9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0.26470588235294118</v>
      </c>
      <c r="M93" s="94">
        <f>AVERAGE(Table1191835[[#This Row],[*C*]:[*TD*]])</f>
        <v>16.166666666666668</v>
      </c>
    </row>
    <row r="94" spans="2:13" hidden="1" x14ac:dyDescent="0.35">
      <c r="B94" s="6" t="s">
        <v>391</v>
      </c>
      <c r="C94" s="97" t="s">
        <v>56</v>
      </c>
      <c r="D94" s="97" t="s">
        <v>66</v>
      </c>
      <c r="E94" s="23" t="str" cm="1">
        <f t="array" ref="E94">_xlfn.XLOOKUP(Table1191835[[#This Row],[Team]],Table4334[Team],'2425'!$C$3:$C$34)</f>
        <v>n/a</v>
      </c>
      <c r="F94" s="97" t="str">
        <f>'2025'!$E$34</f>
        <v>n/a</v>
      </c>
      <c r="G94" s="94" t="e" cm="1">
        <f t="array" ref="G9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4" s="94" t="e" cm="1">
        <f t="array" ref="H9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4" s="94" t="e" cm="1">
        <f t="array" ref="I9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4" s="96" t="e" cm="1">
        <f t="array" ref="J9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4" s="96" t="e" cm="1">
        <f t="array" ref="K9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4" s="96" t="e" cm="1">
        <f t="array" ref="L9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4" s="94" t="e">
        <f>AVERAGE(Table1191835[[#This Row],[*C*]:[*TD*]])</f>
        <v>#N/A</v>
      </c>
    </row>
    <row r="95" spans="2:13" hidden="1" x14ac:dyDescent="0.35">
      <c r="B95" s="6" t="s">
        <v>335</v>
      </c>
      <c r="C95" s="97" t="s">
        <v>49</v>
      </c>
      <c r="D95" s="97" t="s">
        <v>66</v>
      </c>
      <c r="E95" s="23" t="str" cm="1">
        <f t="array" ref="E95">_xlfn.XLOOKUP(Table1191835[[#This Row],[Team]],Table4334[Team],'2425'!$C$3:$C$34)</f>
        <v>n/a</v>
      </c>
      <c r="F95" s="97" t="str">
        <f>'2025'!$E$27</f>
        <v>n/a</v>
      </c>
      <c r="G95" s="94" t="e" cm="1">
        <f t="array" ref="G9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5" s="94" t="e" cm="1">
        <f t="array" ref="H9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5" s="94" t="e" cm="1">
        <f t="array" ref="I9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5" s="96" t="e" cm="1">
        <f t="array" ref="J9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5" s="96" t="e" cm="1">
        <f t="array" ref="K9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5" s="96" t="e" cm="1">
        <f t="array" ref="L9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5" s="94" t="e">
        <f>AVERAGE(Table1191835[[#This Row],[*C*]:[*TD*]])</f>
        <v>#N/A</v>
      </c>
    </row>
    <row r="96" spans="2:13" hidden="1" x14ac:dyDescent="0.35">
      <c r="B96" s="6" t="s">
        <v>281</v>
      </c>
      <c r="C96" s="97" t="s">
        <v>43</v>
      </c>
      <c r="D96" s="97" t="s">
        <v>66</v>
      </c>
      <c r="E96" s="23" t="str" cm="1">
        <f t="array" ref="E96">_xlfn.XLOOKUP(Table1191835[[#This Row],[Team]],Table4334[Team],'2425'!$C$3:$C$34)</f>
        <v>n/a</v>
      </c>
      <c r="F96" s="97" t="str">
        <f>'2025'!$E$21</f>
        <v>n/a</v>
      </c>
      <c r="G96" s="94" t="e" cm="1">
        <f t="array" ref="G9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6" s="94" t="e" cm="1">
        <f t="array" ref="H9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6" s="94" t="e" cm="1">
        <f t="array" ref="I9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6" s="96" t="e" cm="1">
        <f t="array" ref="J9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6" s="96" t="e" cm="1">
        <f t="array" ref="K9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6" s="96" t="e" cm="1">
        <f t="array" ref="L9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6" s="94" t="e">
        <f>AVERAGE(Table1191835[[#This Row],[*C*]:[*TD*]])</f>
        <v>#N/A</v>
      </c>
    </row>
    <row r="97" spans="2:13" x14ac:dyDescent="0.35">
      <c r="B97" s="6" t="s">
        <v>273</v>
      </c>
      <c r="C97" s="97" t="s">
        <v>42</v>
      </c>
      <c r="D97" s="97" t="s">
        <v>68</v>
      </c>
      <c r="E97" s="23" t="str" cm="1">
        <f t="array" ref="E97">_xlfn.XLOOKUP(Table1191835[[#This Row],[Team]],Table4334[Team],'2425'!$C$3:$C$34)</f>
        <v>n/a</v>
      </c>
      <c r="F97" s="97" t="str">
        <f>'2025'!$E$20</f>
        <v>n/a</v>
      </c>
      <c r="G97" s="94" t="e" cm="1">
        <f t="array" ref="G9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7" s="94" t="e" cm="1">
        <f t="array" ref="H9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7" s="94" t="e" cm="1">
        <f t="array" ref="I9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7" s="96" t="e" cm="1">
        <f t="array" ref="J9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7" s="96" t="e" cm="1">
        <f t="array" ref="K9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7" s="96" t="e" cm="1">
        <f t="array" ref="L9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7" s="94" t="e">
        <f>AVERAGE(Table1191835[[#This Row],[*C*]:[*TD*]])</f>
        <v>#N/A</v>
      </c>
    </row>
    <row r="98" spans="2:13" hidden="1" x14ac:dyDescent="0.35">
      <c r="B98" s="6" t="s">
        <v>214</v>
      </c>
      <c r="C98" s="97" t="s">
        <v>36</v>
      </c>
      <c r="D98" s="97" t="s">
        <v>68</v>
      </c>
      <c r="E98" s="23" t="str" cm="1">
        <f t="array" ref="E98">_xlfn.XLOOKUP(Table1191835[[#This Row],[Team]],Table4334[Team],'2425'!$C$3:$C$34)</f>
        <v>n/a</v>
      </c>
      <c r="F98" s="97" t="str">
        <f>'2025'!$E$14</f>
        <v>n/a</v>
      </c>
      <c r="G98" s="94" t="e" cm="1">
        <f t="array" ref="G9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8" s="94" t="e" cm="1">
        <f t="array" ref="H9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8" s="94" t="e" cm="1">
        <f t="array" ref="I9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8" s="96" t="e" cm="1">
        <f t="array" ref="J9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8" s="96" t="e" cm="1">
        <f t="array" ref="K9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8" s="96" t="e" cm="1">
        <f t="array" ref="L9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8" s="94" t="e">
        <f>AVERAGE(Table1191835[[#This Row],[*C*]:[*TD*]])</f>
        <v>#N/A</v>
      </c>
    </row>
    <row r="99" spans="2:13" hidden="1" x14ac:dyDescent="0.35">
      <c r="B99" s="6" t="s">
        <v>415</v>
      </c>
      <c r="C99" s="97" t="s">
        <v>49</v>
      </c>
      <c r="D99" s="97" t="s">
        <v>67</v>
      </c>
      <c r="E99" s="23" t="str" cm="1">
        <f t="array" ref="E99">_xlfn.XLOOKUP(Table1191835[[#This Row],[Team]],Table4334[Team],'2425'!$C$3:$C$34)</f>
        <v>n/a</v>
      </c>
      <c r="F99" s="97" t="str">
        <f>'2025'!$E$27</f>
        <v>n/a</v>
      </c>
      <c r="G99" s="94" t="e" cm="1">
        <f t="array" ref="G9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99" s="94" t="e" cm="1">
        <f t="array" ref="H9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99" s="94" t="e" cm="1">
        <f t="array" ref="I9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99" s="96" t="e" cm="1">
        <f t="array" ref="J9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99" s="96" t="e" cm="1">
        <f t="array" ref="K9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99" s="96" t="e" cm="1">
        <f t="array" ref="L9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99" s="94" t="e">
        <f>AVERAGE(Table1191835[[#This Row],[*C*]:[*TD*]])</f>
        <v>#N/A</v>
      </c>
    </row>
    <row r="100" spans="2:13" hidden="1" x14ac:dyDescent="0.35">
      <c r="B100" s="6" t="s">
        <v>408</v>
      </c>
      <c r="C100" s="97" t="s">
        <v>44</v>
      </c>
      <c r="D100" s="97" t="s">
        <v>67</v>
      </c>
      <c r="E100" s="23" t="str" cm="1">
        <f t="array" ref="E100">_xlfn.XLOOKUP(Table1191835[[#This Row],[Team]],Table4334[Team],'2425'!$C$3:$C$34)</f>
        <v>n/a</v>
      </c>
      <c r="F100" s="97" t="str">
        <f>'2025'!$E$22</f>
        <v>n/a</v>
      </c>
      <c r="G100" s="94" t="e" cm="1">
        <f t="array" ref="G10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0" s="94" t="e" cm="1">
        <f t="array" ref="H10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0" s="94" t="e" cm="1">
        <f t="array" ref="I10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0" s="96" t="e" cm="1">
        <f t="array" ref="J10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0" s="96" t="e" cm="1">
        <f t="array" ref="K10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0" s="96" t="e" cm="1">
        <f t="array" ref="L10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0" s="94" t="e">
        <f>AVERAGE(Table1191835[[#This Row],[*C*]:[*TD*]])</f>
        <v>#N/A</v>
      </c>
    </row>
    <row r="101" spans="2:13" hidden="1" x14ac:dyDescent="0.35">
      <c r="B101" s="6" t="s">
        <v>568</v>
      </c>
      <c r="C101" s="97" t="s">
        <v>43</v>
      </c>
      <c r="D101" s="97" t="s">
        <v>67</v>
      </c>
      <c r="E101" s="23" t="str" cm="1">
        <f t="array" ref="E101">_xlfn.XLOOKUP(Table1191835[[#This Row],[Team]],Table4334[Team],'2425'!$C$3:$C$34)</f>
        <v>n/a</v>
      </c>
      <c r="F101" s="97" t="str">
        <f>'2025'!$E$21</f>
        <v>n/a</v>
      </c>
      <c r="G101" s="94" t="e" cm="1">
        <f t="array" ref="G10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1" s="94" t="e" cm="1">
        <f t="array" ref="H10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1" s="94" t="e" cm="1">
        <f t="array" ref="I10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1" s="96" t="e" cm="1">
        <f t="array" ref="J10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1" s="96" t="e" cm="1">
        <f t="array" ref="K10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1" s="96" t="e" cm="1">
        <f t="array" ref="L10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1" s="94" t="e">
        <f>AVERAGE(Table1191835[[#This Row],[*C*]:[*TD*]])</f>
        <v>#N/A</v>
      </c>
    </row>
    <row r="102" spans="2:13" hidden="1" x14ac:dyDescent="0.35">
      <c r="B102" s="6" t="s">
        <v>321</v>
      </c>
      <c r="C102" s="97" t="s">
        <v>51</v>
      </c>
      <c r="D102" s="97" t="s">
        <v>68</v>
      </c>
      <c r="E102" s="23" t="str" cm="1">
        <f t="array" ref="E102">_xlfn.XLOOKUP(Table1191835[[#This Row],[Team]],Table4334[Team],'2425'!$C$3:$C$34)</f>
        <v>n/a</v>
      </c>
      <c r="F102" s="97" t="str">
        <f>'2025'!$E$29</f>
        <v>n/a</v>
      </c>
      <c r="G102" s="94" t="e" cm="1">
        <f t="array" ref="G10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2" s="94" t="e" cm="1">
        <f t="array" ref="H10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2" s="94" t="e" cm="1">
        <f t="array" ref="I10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2" s="96" t="e" cm="1">
        <f t="array" ref="J10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2" s="96" t="e" cm="1">
        <f t="array" ref="K10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2" s="96" t="e" cm="1">
        <f t="array" ref="L10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2" s="94" t="e">
        <f>AVERAGE(Table1191835[[#This Row],[*C*]:[*TD*]])</f>
        <v>#N/A</v>
      </c>
    </row>
    <row r="103" spans="2:13" hidden="1" x14ac:dyDescent="0.35">
      <c r="B103" s="6" t="s">
        <v>454</v>
      </c>
      <c r="C103" s="97" t="s">
        <v>50</v>
      </c>
      <c r="D103" s="98" t="s">
        <v>68</v>
      </c>
      <c r="E103" s="23" t="str" cm="1">
        <f t="array" ref="E103">_xlfn.XLOOKUP(Table1191835[[#This Row],[Team]],Table4334[Team],'2425'!$C$3:$C$34)</f>
        <v>n/a</v>
      </c>
      <c r="F103" s="97" t="str">
        <f>'2025'!$E$28</f>
        <v>n/a</v>
      </c>
      <c r="G103" s="94" t="e" cm="1">
        <f t="array" ref="G10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3" s="94" t="e" cm="1">
        <f t="array" ref="H10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3" s="94" t="e" cm="1">
        <f t="array" ref="I10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3" s="96" t="e" cm="1">
        <f t="array" ref="J10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3" s="96" t="e" cm="1">
        <f t="array" ref="K10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3" s="96" t="e" cm="1">
        <f t="array" ref="L10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3" s="94" t="e">
        <f>AVERAGE(Table1191835[[#This Row],[*C*]:[*TD*]])</f>
        <v>#N/A</v>
      </c>
    </row>
    <row r="104" spans="2:13" x14ac:dyDescent="0.35">
      <c r="B104" s="6" t="s">
        <v>528</v>
      </c>
      <c r="C104" s="97" t="s">
        <v>52</v>
      </c>
      <c r="D104" s="97" t="s">
        <v>68</v>
      </c>
      <c r="E104" s="23" t="str" cm="1">
        <f t="array" ref="E104">_xlfn.XLOOKUP(Table1191835[[#This Row],[Team]],Table4334[Team],'2425'!$C$3:$C$34)</f>
        <v>SB LX</v>
      </c>
      <c r="F104" s="97" t="str">
        <f>'2025'!$E$30</f>
        <v>NE</v>
      </c>
      <c r="G104" s="94" cm="1">
        <f t="array" ref="G10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23.5</v>
      </c>
      <c r="H104" s="94" cm="1">
        <f t="array" ref="H10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25</v>
      </c>
      <c r="I104" s="94" cm="1">
        <f t="array" ref="I10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27.5</v>
      </c>
      <c r="J104" s="96" cm="1">
        <f t="array" ref="J10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1.8529411764705883</v>
      </c>
      <c r="K104" s="96" cm="1">
        <f t="array" ref="K10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22.558823529411764</v>
      </c>
      <c r="L104" s="96" cm="1">
        <f t="array" ref="L10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8.8235294117647051E-2</v>
      </c>
      <c r="M104" s="94">
        <f>AVERAGE(Table1191835[[#This Row],[*C*]:[*TD*]])</f>
        <v>25.333333333333332</v>
      </c>
    </row>
    <row r="105" spans="2:13" hidden="1" x14ac:dyDescent="0.35">
      <c r="B105" s="6" t="s">
        <v>142</v>
      </c>
      <c r="C105" s="97" t="s">
        <v>0</v>
      </c>
      <c r="D105" s="97" t="s">
        <v>67</v>
      </c>
      <c r="E105" s="23" t="str" cm="1">
        <f t="array" ref="E105">_xlfn.XLOOKUP(Table1191835[[#This Row],[Team]],Table4334[Team],'2425'!$C$3:$C$34)</f>
        <v>n/a</v>
      </c>
      <c r="F105" s="97" t="str">
        <f>'2025'!$E$3</f>
        <v>n/a</v>
      </c>
      <c r="G105" s="94" t="e" cm="1">
        <f t="array" ref="G10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5" s="94" t="e" cm="1">
        <f t="array" ref="H10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5" s="94" t="e" cm="1">
        <f t="array" ref="I10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5" s="96" t="e" cm="1">
        <f t="array" ref="J10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5" s="96" t="e" cm="1">
        <f t="array" ref="K10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5" s="96" t="e" cm="1">
        <f t="array" ref="L10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5" s="94" t="e">
        <f>AVERAGE(Table1191835[[#This Row],[*C*]:[*TD*]])</f>
        <v>#N/A</v>
      </c>
    </row>
    <row r="106" spans="2:13" hidden="1" x14ac:dyDescent="0.35">
      <c r="B106" s="6" t="s">
        <v>253</v>
      </c>
      <c r="C106" s="97" t="s">
        <v>40</v>
      </c>
      <c r="D106" s="97" t="s">
        <v>67</v>
      </c>
      <c r="E106" s="23" t="str" cm="1">
        <f t="array" ref="E106">_xlfn.XLOOKUP(Table1191835[[#This Row],[Team]],Table4334[Team],'2425'!$C$3:$C$34)</f>
        <v>n/a</v>
      </c>
      <c r="F106" s="97" t="str">
        <f>'2025'!$E$18</f>
        <v>n/a</v>
      </c>
      <c r="G106" s="94" t="e" cm="1">
        <f t="array" ref="G10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6" s="94" t="e" cm="1">
        <f t="array" ref="H10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6" s="94" t="e" cm="1">
        <f t="array" ref="I10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6" s="96" t="e" cm="1">
        <f t="array" ref="J10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6" s="96" t="e" cm="1">
        <f t="array" ref="K10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6" s="96" t="e" cm="1">
        <f t="array" ref="L10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6" s="94" t="e">
        <f>AVERAGE(Table1191835[[#This Row],[*C*]:[*TD*]])</f>
        <v>#N/A</v>
      </c>
    </row>
    <row r="107" spans="2:13" hidden="1" x14ac:dyDescent="0.35">
      <c r="B107" s="6" t="s">
        <v>464</v>
      </c>
      <c r="C107" s="97" t="s">
        <v>56</v>
      </c>
      <c r="D107" s="97" t="s">
        <v>67</v>
      </c>
      <c r="E107" s="23" t="str" cm="1">
        <f t="array" ref="E107">_xlfn.XLOOKUP(Table1191835[[#This Row],[Team]],Table4334[Team],'2425'!$C$3:$C$34)</f>
        <v>n/a</v>
      </c>
      <c r="F107" s="97" t="str">
        <f>'2025'!$E$34</f>
        <v>n/a</v>
      </c>
      <c r="G107" s="94" t="e" cm="1">
        <f t="array" ref="G10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7" s="94" t="e" cm="1">
        <f t="array" ref="H10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7" s="94" t="e" cm="1">
        <f t="array" ref="I10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7" s="96" t="e" cm="1">
        <f t="array" ref="J10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7" s="96" t="e" cm="1">
        <f t="array" ref="K10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7" s="96" t="e" cm="1">
        <f t="array" ref="L10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7" s="94" t="e">
        <f>AVERAGE(Table1191835[[#This Row],[*C*]:[*TD*]])</f>
        <v>#N/A</v>
      </c>
    </row>
    <row r="108" spans="2:13" hidden="1" x14ac:dyDescent="0.35">
      <c r="B108" s="6" t="s">
        <v>556</v>
      </c>
      <c r="C108" s="97" t="s">
        <v>0</v>
      </c>
      <c r="D108" s="97" t="s">
        <v>403</v>
      </c>
      <c r="E108" s="23" t="str" cm="1">
        <f t="array" ref="E108">_xlfn.XLOOKUP(Table1191835[[#This Row],[Team]],Table4334[Team],'2425'!$C$3:$C$34)</f>
        <v>n/a</v>
      </c>
      <c r="F108" s="97" t="str">
        <f>'2025'!$E$3</f>
        <v>n/a</v>
      </c>
      <c r="G108" s="94" t="e" cm="1">
        <f t="array" ref="G10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8" s="94" t="e" cm="1">
        <f t="array" ref="H10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8" s="94" t="e" cm="1">
        <f t="array" ref="I10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8" s="96" t="e" cm="1">
        <f t="array" ref="J10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8" s="96" t="e" cm="1">
        <f t="array" ref="K10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8" s="96" t="e" cm="1">
        <f t="array" ref="L10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8" s="94" t="e">
        <f>AVERAGE(Table1191835[[#This Row],[*C*]:[*TD*]])</f>
        <v>#N/A</v>
      </c>
    </row>
    <row r="109" spans="2:13" hidden="1" x14ac:dyDescent="0.35">
      <c r="B109" s="6" t="s">
        <v>590</v>
      </c>
      <c r="C109" s="97" t="s">
        <v>55</v>
      </c>
      <c r="D109" s="97" t="s">
        <v>403</v>
      </c>
      <c r="E109" s="23" t="str" cm="1">
        <f t="array" ref="E109">_xlfn.XLOOKUP(Table1191835[[#This Row],[Team]],Table4334[Team],'2425'!$C$3:$C$34)</f>
        <v>n/a</v>
      </c>
      <c r="F109" s="97" t="str">
        <f>'2025'!$E$33</f>
        <v>n/a</v>
      </c>
      <c r="G109" s="94" t="e" cm="1">
        <f t="array" ref="G10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09" s="94" t="e" cm="1">
        <f t="array" ref="H10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09" s="94" t="e" cm="1">
        <f t="array" ref="I10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09" s="96" t="e" cm="1">
        <f t="array" ref="J10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09" s="96" t="e" cm="1">
        <f t="array" ref="K10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09" s="96" t="e" cm="1">
        <f t="array" ref="L10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09" s="94" t="e">
        <f>AVERAGE(Table1191835[[#This Row],[*C*]:[*TD*]])</f>
        <v>#N/A</v>
      </c>
    </row>
    <row r="110" spans="2:13" hidden="1" x14ac:dyDescent="0.35">
      <c r="B110" s="6" t="s">
        <v>688</v>
      </c>
      <c r="C110" s="97" t="s">
        <v>32</v>
      </c>
      <c r="D110" s="97" t="s">
        <v>403</v>
      </c>
      <c r="E110" s="23" t="str" cm="1">
        <f t="array" ref="E110">_xlfn.XLOOKUP(Table1191835[[#This Row],[Team]],Table4334[Team],'2425'!$C$3:$C$34)</f>
        <v>n/a</v>
      </c>
      <c r="F110" s="97" t="str">
        <f>'2025'!$E$10</f>
        <v>n/a</v>
      </c>
      <c r="G110" s="94" t="e" cm="1">
        <f t="array" ref="G11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0" s="94" t="e" cm="1">
        <f t="array" ref="H11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0" s="94" t="e" cm="1">
        <f t="array" ref="I11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0" s="96" t="e" cm="1">
        <f t="array" ref="J11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0" s="96" t="e" cm="1">
        <f t="array" ref="K11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0" s="96" t="e" cm="1">
        <f t="array" ref="L11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0" s="94" t="e">
        <f>AVERAGE(Table1191835[[#This Row],[*C*]:[*TD*]])</f>
        <v>#N/A</v>
      </c>
    </row>
    <row r="111" spans="2:13" hidden="1" x14ac:dyDescent="0.35">
      <c r="B111" s="6" t="s">
        <v>611</v>
      </c>
      <c r="C111" s="97" t="s">
        <v>29</v>
      </c>
      <c r="D111" s="97" t="s">
        <v>403</v>
      </c>
      <c r="E111" s="23" t="str" cm="1">
        <f t="array" ref="E111">_xlfn.XLOOKUP(Table1191835[[#This Row],[Team]],Table4334[Team],'2425'!$C$3:$C$34)</f>
        <v>n/a</v>
      </c>
      <c r="F111" s="97" t="str">
        <f>'2025'!$E$7</f>
        <v>n/a</v>
      </c>
      <c r="G111" s="94" t="e" cm="1">
        <f t="array" ref="G11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1" s="94" t="e" cm="1">
        <f t="array" ref="H11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1" s="94" t="e" cm="1">
        <f t="array" ref="I11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1" s="96" t="e" cm="1">
        <f t="array" ref="J11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1" s="96" t="e" cm="1">
        <f t="array" ref="K11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1" s="96" t="e" cm="1">
        <f t="array" ref="L11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1" s="94" t="e">
        <f>AVERAGE(Table1191835[[#This Row],[*C*]:[*TD*]])</f>
        <v>#N/A</v>
      </c>
    </row>
    <row r="112" spans="2:13" hidden="1" x14ac:dyDescent="0.35">
      <c r="B112" s="6" t="s">
        <v>585</v>
      </c>
      <c r="C112" s="97" t="s">
        <v>54</v>
      </c>
      <c r="D112" s="97" t="s">
        <v>403</v>
      </c>
      <c r="E112" s="23" t="str" cm="1">
        <f t="array" ref="E112">_xlfn.XLOOKUP(Table1191835[[#This Row],[Team]],Table4334[Team],'2425'!$C$3:$C$34)</f>
        <v>n/a</v>
      </c>
      <c r="F112" s="97" t="str">
        <f>'2025'!$E$32</f>
        <v>n/a</v>
      </c>
      <c r="G112" s="94" t="e" cm="1">
        <f t="array" ref="G11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2" s="94" t="e" cm="1">
        <f t="array" ref="H11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2" s="94" t="e" cm="1">
        <f t="array" ref="I11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2" s="96" t="e" cm="1">
        <f t="array" ref="J11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2" s="96" t="e" cm="1">
        <f t="array" ref="K11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2" s="96" t="e" cm="1">
        <f t="array" ref="L11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2" s="94" t="e">
        <f>AVERAGE(Table1191835[[#This Row],[*C*]:[*TD*]])</f>
        <v>#N/A</v>
      </c>
    </row>
    <row r="113" spans="2:13" hidden="1" x14ac:dyDescent="0.35">
      <c r="B113" s="6" t="s">
        <v>690</v>
      </c>
      <c r="C113" s="97" t="s">
        <v>49</v>
      </c>
      <c r="D113" s="98" t="s">
        <v>403</v>
      </c>
      <c r="E113" s="23" t="str" cm="1">
        <f t="array" ref="E113">_xlfn.XLOOKUP(Table1191835[[#This Row],[Team]],Table4334[Team],'2425'!$C$3:$C$34)</f>
        <v>n/a</v>
      </c>
      <c r="F113" s="97" t="str">
        <f>'2025'!$E$27</f>
        <v>n/a</v>
      </c>
      <c r="G113" s="94" t="e" cm="1">
        <f t="array" ref="G11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3" s="94" t="e" cm="1">
        <f t="array" ref="H11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3" s="94" t="e" cm="1">
        <f t="array" ref="I11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3" s="96" t="e" cm="1">
        <f t="array" ref="J11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3" s="96" t="e" cm="1">
        <f t="array" ref="K11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3" s="96" t="e" cm="1">
        <f t="array" ref="L11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3" s="94" t="e">
        <f>AVERAGE(Table1191835[[#This Row],[*C*]:[*TD*]])</f>
        <v>#N/A</v>
      </c>
    </row>
    <row r="114" spans="2:13" hidden="1" x14ac:dyDescent="0.35">
      <c r="B114" s="6" t="s">
        <v>542</v>
      </c>
      <c r="C114" s="97" t="s">
        <v>53</v>
      </c>
      <c r="D114" s="97" t="s">
        <v>403</v>
      </c>
      <c r="E114" s="23" t="str" cm="1">
        <f t="array" ref="E114">_xlfn.XLOOKUP(Table1191835[[#This Row],[Team]],Table4334[Team],'2425'!$C$3:$C$34)</f>
        <v>n/a</v>
      </c>
      <c r="F114" s="97" t="str">
        <f>'2025'!$E$31</f>
        <v>n/a</v>
      </c>
      <c r="G114" s="94" t="e" cm="1">
        <f t="array" ref="G11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4" s="94" t="e" cm="1">
        <f t="array" ref="H11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4" s="94" t="e" cm="1">
        <f t="array" ref="I11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4" s="96" t="e" cm="1">
        <f t="array" ref="J11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4" s="96" t="e" cm="1">
        <f t="array" ref="K11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4" s="96" t="e" cm="1">
        <f t="array" ref="L11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4" s="94" t="e">
        <f>AVERAGE(Table1191835[[#This Row],[*C*]:[*TD*]])</f>
        <v>#N/A</v>
      </c>
    </row>
    <row r="115" spans="2:13" hidden="1" x14ac:dyDescent="0.35">
      <c r="B115" s="6" t="s">
        <v>618</v>
      </c>
      <c r="C115" s="97" t="s">
        <v>47</v>
      </c>
      <c r="D115" s="97" t="s">
        <v>403</v>
      </c>
      <c r="E115" s="23" t="str" cm="1">
        <f t="array" ref="E115">_xlfn.XLOOKUP(Table1191835[[#This Row],[Team]],Table4334[Team],'2425'!$C$3:$C$34)</f>
        <v>n/a</v>
      </c>
      <c r="F115" s="97" t="str">
        <f>'2025'!$E$25</f>
        <v>n/a</v>
      </c>
      <c r="G115" s="94" t="e" cm="1">
        <f t="array" ref="G11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5" s="94" t="e" cm="1">
        <f t="array" ref="H11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5" s="94" t="e" cm="1">
        <f t="array" ref="I11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5" s="96" t="e" cm="1">
        <f t="array" ref="J11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5" s="96" t="e" cm="1">
        <f t="array" ref="K11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5" s="96" t="e" cm="1">
        <f t="array" ref="L11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5" s="94" t="e">
        <f>AVERAGE(Table1191835[[#This Row],[*C*]:[*TD*]])</f>
        <v>#N/A</v>
      </c>
    </row>
    <row r="116" spans="2:13" hidden="1" x14ac:dyDescent="0.35">
      <c r="B116" s="6" t="s">
        <v>643</v>
      </c>
      <c r="C116" s="97" t="s">
        <v>38</v>
      </c>
      <c r="D116" s="97" t="s">
        <v>403</v>
      </c>
      <c r="E116" s="23" t="str" cm="1">
        <f t="array" ref="E116">_xlfn.XLOOKUP(Table1191835[[#This Row],[Team]],Table4334[Team],'2425'!$C$3:$C$34)</f>
        <v>n/a</v>
      </c>
      <c r="F116" s="97" t="str">
        <f>'2025'!$E$16</f>
        <v>n/a</v>
      </c>
      <c r="G116" s="94" t="e" cm="1">
        <f t="array" ref="G11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6" s="94" t="e" cm="1">
        <f t="array" ref="H11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6" s="94" t="e" cm="1">
        <f t="array" ref="I11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6" s="96" t="e" cm="1">
        <f t="array" ref="J11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6" s="96" t="e" cm="1">
        <f t="array" ref="K11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6" s="96" t="e" cm="1">
        <f t="array" ref="L11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6" s="94" t="e">
        <f>AVERAGE(Table1191835[[#This Row],[*C*]:[*TD*]])</f>
        <v>#N/A</v>
      </c>
    </row>
    <row r="117" spans="2:13" hidden="1" x14ac:dyDescent="0.35">
      <c r="B117" s="6" t="s">
        <v>634</v>
      </c>
      <c r="C117" s="97" t="s">
        <v>37</v>
      </c>
      <c r="D117" s="97" t="s">
        <v>403</v>
      </c>
      <c r="E117" s="23" t="str" cm="1">
        <f t="array" ref="E117">_xlfn.XLOOKUP(Table1191835[[#This Row],[Team]],Table4334[Team],'2425'!$C$3:$C$34)</f>
        <v>n/a</v>
      </c>
      <c r="F117" s="97" t="str">
        <f>'2025'!$E$15</f>
        <v>n/a</v>
      </c>
      <c r="G117" s="94" t="e" cm="1">
        <f t="array" ref="G11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7" s="94" t="e" cm="1">
        <f t="array" ref="H11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7" s="94" t="e" cm="1">
        <f t="array" ref="I11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7" s="96" t="e" cm="1">
        <f t="array" ref="J11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7" s="96" t="e" cm="1">
        <f t="array" ref="K11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7" s="96" t="e" cm="1">
        <f t="array" ref="L11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7" s="94" t="e">
        <f>AVERAGE(Table1191835[[#This Row],[*C*]:[*TD*]])</f>
        <v>#N/A</v>
      </c>
    </row>
    <row r="118" spans="2:13" hidden="1" x14ac:dyDescent="0.35">
      <c r="B118" s="6" t="s">
        <v>601</v>
      </c>
      <c r="C118" s="97" t="s">
        <v>15</v>
      </c>
      <c r="D118" s="97" t="s">
        <v>403</v>
      </c>
      <c r="E118" s="23" t="str" cm="1">
        <f t="array" ref="E118">_xlfn.XLOOKUP(Table1191835[[#This Row],[Team]],Table4334[Team],'2425'!$C$3:$C$34)</f>
        <v>n/a</v>
      </c>
      <c r="F118" s="97" t="str">
        <f>'2025'!$E$4</f>
        <v>n/a</v>
      </c>
      <c r="G118" s="94" t="e" cm="1">
        <f t="array" ref="G11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8" s="94" t="e" cm="1">
        <f t="array" ref="H11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8" s="94" t="e" cm="1">
        <f t="array" ref="I11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8" s="96" t="e" cm="1">
        <f t="array" ref="J11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8" s="96" t="e" cm="1">
        <f t="array" ref="K11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8" s="96" t="e" cm="1">
        <f t="array" ref="L11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8" s="94" t="e">
        <f>AVERAGE(Table1191835[[#This Row],[*C*]:[*TD*]])</f>
        <v>#N/A</v>
      </c>
    </row>
    <row r="119" spans="2:13" hidden="1" x14ac:dyDescent="0.35">
      <c r="B119" s="6" t="s">
        <v>626</v>
      </c>
      <c r="C119" s="97" t="s">
        <v>39</v>
      </c>
      <c r="D119" s="97" t="s">
        <v>403</v>
      </c>
      <c r="E119" s="23" t="str" cm="1">
        <f t="array" ref="E119">_xlfn.XLOOKUP(Table1191835[[#This Row],[Team]],Table4334[Team],'2425'!$C$3:$C$34)</f>
        <v>n/a</v>
      </c>
      <c r="F119" s="97" t="str">
        <f>'2025'!$E$17</f>
        <v>n/a</v>
      </c>
      <c r="G119" s="94" t="e" cm="1">
        <f t="array" ref="G11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19" s="94" t="e" cm="1">
        <f t="array" ref="H11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19" s="94" t="e" cm="1">
        <f t="array" ref="I11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19" s="96" t="e" cm="1">
        <f t="array" ref="J11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19" s="96" t="e" cm="1">
        <f t="array" ref="K11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19" s="96" t="e" cm="1">
        <f t="array" ref="L11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19" s="94" t="e">
        <f>AVERAGE(Table1191835[[#This Row],[*C*]:[*TD*]])</f>
        <v>#N/A</v>
      </c>
    </row>
    <row r="120" spans="2:13" hidden="1" x14ac:dyDescent="0.35">
      <c r="B120" s="6" t="s">
        <v>431</v>
      </c>
      <c r="C120" s="97" t="s">
        <v>44</v>
      </c>
      <c r="D120" s="97" t="s">
        <v>403</v>
      </c>
      <c r="E120" s="23" t="str" cm="1">
        <f t="array" ref="E120">_xlfn.XLOOKUP(Table1191835[[#This Row],[Team]],Table4334[Team],'2425'!$C$3:$C$34)</f>
        <v>n/a</v>
      </c>
      <c r="F120" s="97" t="str">
        <f>'2025'!$E$22</f>
        <v>n/a</v>
      </c>
      <c r="G120" s="94" t="e" cm="1">
        <f t="array" ref="G12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0" s="94" t="e" cm="1">
        <f t="array" ref="H12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0" s="94" t="e" cm="1">
        <f t="array" ref="I12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0" s="96" t="e" cm="1">
        <f t="array" ref="J12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0" s="96" t="e" cm="1">
        <f t="array" ref="K12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0" s="96" t="e" cm="1">
        <f t="array" ref="L12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0" s="94" t="e">
        <f>AVERAGE(Table1191835[[#This Row],[*C*]:[*TD*]])</f>
        <v>#N/A</v>
      </c>
    </row>
    <row r="121" spans="2:13" hidden="1" x14ac:dyDescent="0.35">
      <c r="B121" s="6" t="s">
        <v>549</v>
      </c>
      <c r="C121" s="97" t="s">
        <v>42</v>
      </c>
      <c r="D121" s="97" t="s">
        <v>403</v>
      </c>
      <c r="E121" s="23" t="str" cm="1">
        <f t="array" ref="E121">_xlfn.XLOOKUP(Table1191835[[#This Row],[Team]],Table4334[Team],'2425'!$C$3:$C$34)</f>
        <v>n/a</v>
      </c>
      <c r="F121" s="97" t="str">
        <f>'2025'!$E$20</f>
        <v>n/a</v>
      </c>
      <c r="G121" s="94" t="e" cm="1">
        <f t="array" ref="G12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1" s="94" t="e" cm="1">
        <f t="array" ref="H12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1" s="94" t="e" cm="1">
        <f t="array" ref="I12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1" s="96" t="e" cm="1">
        <f t="array" ref="J12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1" s="96" t="e" cm="1">
        <f t="array" ref="K12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1" s="96" t="e" cm="1">
        <f t="array" ref="L12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1" s="94" t="e">
        <f>AVERAGE(Table1191835[[#This Row],[*C*]:[*TD*]])</f>
        <v>#N/A</v>
      </c>
    </row>
    <row r="122" spans="2:13" hidden="1" x14ac:dyDescent="0.35">
      <c r="B122" s="6" t="s">
        <v>557</v>
      </c>
      <c r="C122" s="97" t="s">
        <v>0</v>
      </c>
      <c r="D122" s="97" t="s">
        <v>411</v>
      </c>
      <c r="E122" s="23" t="str" cm="1">
        <f t="array" ref="E122">_xlfn.XLOOKUP(Table1191835[[#This Row],[Team]],Table4334[Team],'2425'!$C$3:$C$34)</f>
        <v>n/a</v>
      </c>
      <c r="F122" s="97" t="str">
        <f>'2025'!$E$3</f>
        <v>n/a</v>
      </c>
      <c r="G122" s="94" t="e" cm="1">
        <f t="array" ref="G12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2" s="94" t="e" cm="1">
        <f t="array" ref="H12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2" s="94" t="e" cm="1">
        <f t="array" ref="I12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2" s="96" t="e" cm="1">
        <f t="array" ref="J12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2" s="96" t="e" cm="1">
        <f t="array" ref="K12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2" s="96" t="e" cm="1">
        <f t="array" ref="L12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2" s="94" t="e">
        <f>AVERAGE(Table1191835[[#This Row],[*C*]:[*TD*]])</f>
        <v>#N/A</v>
      </c>
    </row>
    <row r="123" spans="2:13" hidden="1" x14ac:dyDescent="0.35">
      <c r="B123" s="6" t="s">
        <v>592</v>
      </c>
      <c r="C123" s="97" t="s">
        <v>55</v>
      </c>
      <c r="D123" s="97" t="s">
        <v>411</v>
      </c>
      <c r="E123" s="23" t="str" cm="1">
        <f t="array" ref="E123">_xlfn.XLOOKUP(Table1191835[[#This Row],[Team]],Table4334[Team],'2425'!$C$3:$C$34)</f>
        <v>n/a</v>
      </c>
      <c r="F123" s="97" t="str">
        <f>'2025'!$E$33</f>
        <v>n/a</v>
      </c>
      <c r="G123" s="94" t="e" cm="1">
        <f t="array" ref="G12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3" s="94" t="e" cm="1">
        <f t="array" ref="H12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3" s="94" t="e" cm="1">
        <f t="array" ref="I12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3" s="96" t="e" cm="1">
        <f t="array" ref="J12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3" s="96" t="e" cm="1">
        <f t="array" ref="K12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3" s="96" t="e" cm="1">
        <f t="array" ref="L12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3" s="94" t="e">
        <f>AVERAGE(Table1191835[[#This Row],[*C*]:[*TD*]])</f>
        <v>#N/A</v>
      </c>
    </row>
    <row r="124" spans="2:13" hidden="1" x14ac:dyDescent="0.35">
      <c r="B124" s="6" t="s">
        <v>180</v>
      </c>
      <c r="C124" s="97" t="s">
        <v>32</v>
      </c>
      <c r="D124" s="97" t="s">
        <v>411</v>
      </c>
      <c r="E124" s="23" t="str" cm="1">
        <f t="array" ref="E124">_xlfn.XLOOKUP(Table1191835[[#This Row],[Team]],Table4334[Team],'2425'!$C$3:$C$34)</f>
        <v>n/a</v>
      </c>
      <c r="F124" s="97" t="str">
        <f>'2025'!$E$10</f>
        <v>n/a</v>
      </c>
      <c r="G124" s="94" t="e" cm="1">
        <f t="array" ref="G12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4" s="94" t="e" cm="1">
        <f t="array" ref="H12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4" s="94" t="e" cm="1">
        <f t="array" ref="I12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4" s="96" t="e" cm="1">
        <f t="array" ref="J12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4" s="96" t="e" cm="1">
        <f t="array" ref="K12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4" s="96" t="e" cm="1">
        <f t="array" ref="L12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4" s="94" t="e">
        <f>AVERAGE(Table1191835[[#This Row],[*C*]:[*TD*]])</f>
        <v>#N/A</v>
      </c>
    </row>
    <row r="125" spans="2:13" hidden="1" x14ac:dyDescent="0.35">
      <c r="B125" s="6" t="s">
        <v>612</v>
      </c>
      <c r="C125" s="97" t="s">
        <v>29</v>
      </c>
      <c r="D125" s="97" t="s">
        <v>411</v>
      </c>
      <c r="E125" s="23" t="str" cm="1">
        <f t="array" ref="E125">_xlfn.XLOOKUP(Table1191835[[#This Row],[Team]],Table4334[Team],'2425'!$C$3:$C$34)</f>
        <v>n/a</v>
      </c>
      <c r="F125" s="97" t="str">
        <f>'2025'!$E$7</f>
        <v>n/a</v>
      </c>
      <c r="G125" s="94" t="e" cm="1">
        <f t="array" ref="G12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5" s="94" t="e" cm="1">
        <f t="array" ref="H12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5" s="94" t="e" cm="1">
        <f t="array" ref="I12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5" s="96" t="e" cm="1">
        <f t="array" ref="J12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5" s="96" t="e" cm="1">
        <f t="array" ref="K12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5" s="96" t="e" cm="1">
        <f t="array" ref="L12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5" s="94" t="e">
        <f>AVERAGE(Table1191835[[#This Row],[*C*]:[*TD*]])</f>
        <v>#N/A</v>
      </c>
    </row>
    <row r="126" spans="2:13" hidden="1" x14ac:dyDescent="0.35">
      <c r="B126" s="6" t="s">
        <v>343</v>
      </c>
      <c r="C126" s="97" t="s">
        <v>54</v>
      </c>
      <c r="D126" s="97" t="s">
        <v>411</v>
      </c>
      <c r="E126" s="23" t="str" cm="1">
        <f t="array" ref="E126">_xlfn.XLOOKUP(Table1191835[[#This Row],[Team]],Table4334[Team],'2425'!$C$3:$C$34)</f>
        <v>n/a</v>
      </c>
      <c r="F126" s="97" t="str">
        <f>'2025'!$E$32</f>
        <v>n/a</v>
      </c>
      <c r="G126" s="94" t="e" cm="1">
        <f t="array" ref="G12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6" s="94" t="e" cm="1">
        <f t="array" ref="H12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6" s="94" t="e" cm="1">
        <f t="array" ref="I12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6" s="96" t="e" cm="1">
        <f t="array" ref="J12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6" s="96" t="e" cm="1">
        <f t="array" ref="K12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6" s="96" t="e" cm="1">
        <f t="array" ref="L12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6" s="94" t="e">
        <f>AVERAGE(Table1191835[[#This Row],[*C*]:[*TD*]])</f>
        <v>#N/A</v>
      </c>
    </row>
    <row r="127" spans="2:13" hidden="1" x14ac:dyDescent="0.35">
      <c r="B127" s="6" t="s">
        <v>126</v>
      </c>
      <c r="C127" s="97" t="s">
        <v>49</v>
      </c>
      <c r="D127" s="97" t="s">
        <v>411</v>
      </c>
      <c r="E127" s="23" t="str" cm="1">
        <f t="array" ref="E127">_xlfn.XLOOKUP(Table1191835[[#This Row],[Team]],Table4334[Team],'2425'!$C$3:$C$34)</f>
        <v>n/a</v>
      </c>
      <c r="F127" s="97" t="str">
        <f>'2025'!$E$27</f>
        <v>n/a</v>
      </c>
      <c r="G127" s="94" t="e" cm="1">
        <f t="array" ref="G12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7" s="94" t="e" cm="1">
        <f t="array" ref="H12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7" s="94" t="e" cm="1">
        <f t="array" ref="I12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7" s="96" t="e" cm="1">
        <f t="array" ref="J12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7" s="96" t="e" cm="1">
        <f t="array" ref="K12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7" s="96" t="e" cm="1">
        <f t="array" ref="L12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7" s="94" t="e">
        <f>AVERAGE(Table1191835[[#This Row],[*C*]:[*TD*]])</f>
        <v>#N/A</v>
      </c>
    </row>
    <row r="128" spans="2:13" hidden="1" x14ac:dyDescent="0.35">
      <c r="B128" s="6" t="s">
        <v>541</v>
      </c>
      <c r="C128" s="97" t="s">
        <v>53</v>
      </c>
      <c r="D128" s="97" t="s">
        <v>411</v>
      </c>
      <c r="E128" s="23" t="str" cm="1">
        <f t="array" ref="E128">_xlfn.XLOOKUP(Table1191835[[#This Row],[Team]],Table4334[Team],'2425'!$C$3:$C$34)</f>
        <v>n/a</v>
      </c>
      <c r="F128" s="97" t="str">
        <f>'2025'!$E$31</f>
        <v>n/a</v>
      </c>
      <c r="G128" s="94" t="e" cm="1">
        <f t="array" ref="G12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8" s="94" t="e" cm="1">
        <f t="array" ref="H12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8" s="94" t="e" cm="1">
        <f t="array" ref="I12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8" s="96" t="e" cm="1">
        <f t="array" ref="J12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8" s="96" t="e" cm="1">
        <f t="array" ref="K12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8" s="96" t="e" cm="1">
        <f t="array" ref="L12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8" s="94" t="e">
        <f>AVERAGE(Table1191835[[#This Row],[*C*]:[*TD*]])</f>
        <v>#N/A</v>
      </c>
    </row>
    <row r="129" spans="2:13" hidden="1" x14ac:dyDescent="0.35">
      <c r="B129" s="6" t="s">
        <v>619</v>
      </c>
      <c r="C129" s="97" t="s">
        <v>47</v>
      </c>
      <c r="D129" s="97" t="s">
        <v>411</v>
      </c>
      <c r="E129" s="23" t="str" cm="1">
        <f t="array" ref="E129">_xlfn.XLOOKUP(Table1191835[[#This Row],[Team]],Table4334[Team],'2425'!$C$3:$C$34)</f>
        <v>n/a</v>
      </c>
      <c r="F129" s="97" t="str">
        <f>'2025'!$E$25</f>
        <v>n/a</v>
      </c>
      <c r="G129" s="94" t="e" cm="1">
        <f t="array" ref="G12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29" s="94" t="e" cm="1">
        <f t="array" ref="H12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29" s="94" t="e" cm="1">
        <f t="array" ref="I12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29" s="96" t="e" cm="1">
        <f t="array" ref="J12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29" s="96" t="e" cm="1">
        <f t="array" ref="K12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29" s="96" t="e" cm="1">
        <f t="array" ref="L12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29" s="94" t="e">
        <f>AVERAGE(Table1191835[[#This Row],[*C*]:[*TD*]])</f>
        <v>#N/A</v>
      </c>
    </row>
    <row r="130" spans="2:13" hidden="1" x14ac:dyDescent="0.35">
      <c r="B130" s="6" t="s">
        <v>644</v>
      </c>
      <c r="C130" s="97" t="s">
        <v>38</v>
      </c>
      <c r="D130" s="97" t="s">
        <v>411</v>
      </c>
      <c r="E130" s="23" t="str" cm="1">
        <f t="array" ref="E130">_xlfn.XLOOKUP(Table1191835[[#This Row],[Team]],Table4334[Team],'2425'!$C$3:$C$34)</f>
        <v>n/a</v>
      </c>
      <c r="F130" s="97" t="str">
        <f>'2025'!$E$16</f>
        <v>n/a</v>
      </c>
      <c r="G130" s="94" t="e" cm="1">
        <f t="array" ref="G13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0" s="94" t="e" cm="1">
        <f t="array" ref="H13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0" s="94" t="e" cm="1">
        <f t="array" ref="I13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0" s="96" t="e" cm="1">
        <f t="array" ref="J13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0" s="96" t="e" cm="1">
        <f t="array" ref="K13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0" s="96" t="e" cm="1">
        <f t="array" ref="L13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0" s="94" t="e">
        <f>AVERAGE(Table1191835[[#This Row],[*C*]:[*TD*]])</f>
        <v>#N/A</v>
      </c>
    </row>
    <row r="131" spans="2:13" hidden="1" x14ac:dyDescent="0.35">
      <c r="B131" s="6" t="s">
        <v>633</v>
      </c>
      <c r="C131" s="97" t="s">
        <v>37</v>
      </c>
      <c r="D131" s="97" t="s">
        <v>411</v>
      </c>
      <c r="E131" s="23" t="str" cm="1">
        <f t="array" ref="E131">_xlfn.XLOOKUP(Table1191835[[#This Row],[Team]],Table4334[Team],'2425'!$C$3:$C$34)</f>
        <v>n/a</v>
      </c>
      <c r="F131" s="97" t="str">
        <f>'2025'!$E$15</f>
        <v>n/a</v>
      </c>
      <c r="G131" s="94" t="e" cm="1">
        <f t="array" ref="G13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1" s="94" t="e" cm="1">
        <f t="array" ref="H13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1" s="94" t="e" cm="1">
        <f t="array" ref="I13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1" s="96" t="e" cm="1">
        <f t="array" ref="J13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1" s="96" t="e" cm="1">
        <f t="array" ref="K13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1" s="96" t="e" cm="1">
        <f t="array" ref="L13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1" s="94" t="e">
        <f>AVERAGE(Table1191835[[#This Row],[*C*]:[*TD*]])</f>
        <v>#N/A</v>
      </c>
    </row>
    <row r="132" spans="2:13" hidden="1" x14ac:dyDescent="0.35">
      <c r="B132" s="6" t="s">
        <v>602</v>
      </c>
      <c r="C132" s="97" t="s">
        <v>15</v>
      </c>
      <c r="D132" s="97" t="s">
        <v>411</v>
      </c>
      <c r="E132" s="23" t="str" cm="1">
        <f t="array" ref="E132">_xlfn.XLOOKUP(Table1191835[[#This Row],[Team]],Table4334[Team],'2425'!$C$3:$C$34)</f>
        <v>n/a</v>
      </c>
      <c r="F132" s="97" t="str">
        <f>'2025'!$E$4</f>
        <v>n/a</v>
      </c>
      <c r="G132" s="94" t="e" cm="1">
        <f t="array" ref="G13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2" s="94" t="e" cm="1">
        <f t="array" ref="H13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2" s="94" t="e" cm="1">
        <f t="array" ref="I13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2" s="96" t="e" cm="1">
        <f t="array" ref="J13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2" s="96" t="e" cm="1">
        <f t="array" ref="K13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2" s="96" t="e" cm="1">
        <f t="array" ref="L13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2" s="94" t="e">
        <f>AVERAGE(Table1191835[[#This Row],[*C*]:[*TD*]])</f>
        <v>#N/A</v>
      </c>
    </row>
    <row r="133" spans="2:13" hidden="1" x14ac:dyDescent="0.35">
      <c r="B133" s="6" t="s">
        <v>627</v>
      </c>
      <c r="C133" s="97" t="s">
        <v>39</v>
      </c>
      <c r="D133" s="97" t="s">
        <v>411</v>
      </c>
      <c r="E133" s="23" t="str" cm="1">
        <f t="array" ref="E133">_xlfn.XLOOKUP(Table1191835[[#This Row],[Team]],Table4334[Team],'2425'!$C$3:$C$34)</f>
        <v>n/a</v>
      </c>
      <c r="F133" s="97" t="str">
        <f>'2025'!$E$17</f>
        <v>n/a</v>
      </c>
      <c r="G133" s="94" t="e" cm="1">
        <f t="array" ref="G13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3" s="94" t="e" cm="1">
        <f t="array" ref="H13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3" s="94" t="e" cm="1">
        <f t="array" ref="I13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3" s="96" t="e" cm="1">
        <f t="array" ref="J13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3" s="96" t="e" cm="1">
        <f t="array" ref="K13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3" s="96" t="e" cm="1">
        <f t="array" ref="L13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3" s="94" t="e">
        <f>AVERAGE(Table1191835[[#This Row],[*C*]:[*TD*]])</f>
        <v>#N/A</v>
      </c>
    </row>
    <row r="134" spans="2:13" hidden="1" x14ac:dyDescent="0.35">
      <c r="B134" s="6" t="s">
        <v>290</v>
      </c>
      <c r="C134" s="97" t="s">
        <v>44</v>
      </c>
      <c r="D134" s="97" t="s">
        <v>411</v>
      </c>
      <c r="E134" s="23" t="str" cm="1">
        <f t="array" ref="E134">_xlfn.XLOOKUP(Table1191835[[#This Row],[Team]],Table4334[Team],'2425'!$C$3:$C$34)</f>
        <v>n/a</v>
      </c>
      <c r="F134" s="97" t="str">
        <f>'2025'!$E$22</f>
        <v>n/a</v>
      </c>
      <c r="G134" s="94" t="e" cm="1">
        <f t="array" ref="G13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4" s="94" t="e" cm="1">
        <f t="array" ref="H13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4" s="94" t="e" cm="1">
        <f t="array" ref="I13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4" s="96" t="e" cm="1">
        <f t="array" ref="J13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4" s="96" t="e" cm="1">
        <f t="array" ref="K13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4" s="96" t="e" cm="1">
        <f t="array" ref="L13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4" s="94" t="e">
        <f>AVERAGE(Table1191835[[#This Row],[*C*]:[*TD*]])</f>
        <v>#N/A</v>
      </c>
    </row>
    <row r="135" spans="2:13" hidden="1" x14ac:dyDescent="0.35">
      <c r="B135" s="6" t="s">
        <v>550</v>
      </c>
      <c r="C135" s="97" t="s">
        <v>42</v>
      </c>
      <c r="D135" s="97" t="s">
        <v>411</v>
      </c>
      <c r="E135" s="23" t="str" cm="1">
        <f t="array" ref="E135">_xlfn.XLOOKUP(Table1191835[[#This Row],[Team]],Table4334[Team],'2425'!$C$3:$C$34)</f>
        <v>n/a</v>
      </c>
      <c r="F135" s="97" t="str">
        <f>'2025'!$E$20</f>
        <v>n/a</v>
      </c>
      <c r="G135" s="94" t="e" cm="1">
        <f t="array" ref="G13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5" s="94" t="e" cm="1">
        <f t="array" ref="H13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5" s="94" t="e" cm="1">
        <f t="array" ref="I13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5" s="96" t="e" cm="1">
        <f t="array" ref="J13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5" s="96" t="e" cm="1">
        <f t="array" ref="K13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5" s="96" t="e" cm="1">
        <f t="array" ref="L13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5" s="94" t="e">
        <f>AVERAGE(Table1191835[[#This Row],[*C*]:[*TD*]])</f>
        <v>#N/A</v>
      </c>
    </row>
    <row r="136" spans="2:13" hidden="1" x14ac:dyDescent="0.35">
      <c r="B136" s="6" t="s">
        <v>593</v>
      </c>
      <c r="C136" s="97" t="s">
        <v>55</v>
      </c>
      <c r="D136" s="97" t="s">
        <v>441</v>
      </c>
      <c r="E136" s="23" t="str" cm="1">
        <f t="array" ref="E136">_xlfn.XLOOKUP(Table1191835[[#This Row],[Team]],Table4334[Team],'2425'!$C$3:$C$34)</f>
        <v>n/a</v>
      </c>
      <c r="F136" s="97" t="str">
        <f>'2025'!$E$33</f>
        <v>n/a</v>
      </c>
      <c r="G136" s="94" t="e" cm="1">
        <f t="array" ref="G13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6" s="94" t="e" cm="1">
        <f t="array" ref="H13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6" s="94" t="e" cm="1">
        <f t="array" ref="I13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6" s="96" t="e" cm="1">
        <f t="array" ref="J13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6" s="96" t="e" cm="1">
        <f t="array" ref="K13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6" s="96" t="e" cm="1">
        <f t="array" ref="L13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6" s="94" t="e">
        <f>AVERAGE(Table1191835[[#This Row],[*C*]:[*TD*]])</f>
        <v>#N/A</v>
      </c>
    </row>
    <row r="137" spans="2:13" hidden="1" x14ac:dyDescent="0.35">
      <c r="B137" s="6" t="s">
        <v>484</v>
      </c>
      <c r="C137" s="97" t="s">
        <v>32</v>
      </c>
      <c r="D137" s="97" t="s">
        <v>441</v>
      </c>
      <c r="E137" s="23" t="str" cm="1">
        <f t="array" ref="E137">_xlfn.XLOOKUP(Table1191835[[#This Row],[Team]],Table4334[Team],'2425'!$C$3:$C$34)</f>
        <v>n/a</v>
      </c>
      <c r="F137" s="97" t="str">
        <f>'2025'!$E$10</f>
        <v>n/a</v>
      </c>
      <c r="G137" s="94" t="e" cm="1">
        <f t="array" ref="G13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7" s="94" t="e" cm="1">
        <f t="array" ref="H13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7" s="94" t="e" cm="1">
        <f t="array" ref="I13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7" s="96" t="e" cm="1">
        <f t="array" ref="J13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7" s="96" t="e" cm="1">
        <f t="array" ref="K13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7" s="96" t="e" cm="1">
        <f t="array" ref="L13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7" s="94" t="e">
        <f>AVERAGE(Table1191835[[#This Row],[*C*]:[*TD*]])</f>
        <v>#N/A</v>
      </c>
    </row>
    <row r="138" spans="2:13" hidden="1" x14ac:dyDescent="0.35">
      <c r="B138" s="6" t="s">
        <v>613</v>
      </c>
      <c r="C138" s="97" t="s">
        <v>29</v>
      </c>
      <c r="D138" s="97" t="s">
        <v>441</v>
      </c>
      <c r="E138" s="23" t="str" cm="1">
        <f t="array" ref="E138">_xlfn.XLOOKUP(Table1191835[[#This Row],[Team]],Table4334[Team],'2425'!$C$3:$C$34)</f>
        <v>n/a</v>
      </c>
      <c r="F138" s="97" t="str">
        <f>'2025'!$E$7</f>
        <v>n/a</v>
      </c>
      <c r="G138" s="94" t="e" cm="1">
        <f t="array" ref="G13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8" s="94" t="e" cm="1">
        <f t="array" ref="H13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8" s="94" t="e" cm="1">
        <f t="array" ref="I13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8" s="96" t="e" cm="1">
        <f t="array" ref="J13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8" s="96" t="e" cm="1">
        <f t="array" ref="K13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8" s="96" t="e" cm="1">
        <f t="array" ref="L13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8" s="94" t="e">
        <f>AVERAGE(Table1191835[[#This Row],[*C*]:[*TD*]])</f>
        <v>#N/A</v>
      </c>
    </row>
    <row r="139" spans="2:13" hidden="1" x14ac:dyDescent="0.35">
      <c r="B139" s="6" t="s">
        <v>375</v>
      </c>
      <c r="C139" s="97" t="s">
        <v>54</v>
      </c>
      <c r="D139" s="97" t="s">
        <v>441</v>
      </c>
      <c r="E139" s="23" t="str" cm="1">
        <f t="array" ref="E139">_xlfn.XLOOKUP(Table1191835[[#This Row],[Team]],Table4334[Team],'2425'!$C$3:$C$34)</f>
        <v>n/a</v>
      </c>
      <c r="F139" s="97" t="str">
        <f>'2025'!$E$32</f>
        <v>n/a</v>
      </c>
      <c r="G139" s="94" t="e" cm="1">
        <f t="array" ref="G13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39" s="94" t="e" cm="1">
        <f t="array" ref="H13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39" s="94" t="e" cm="1">
        <f t="array" ref="I13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39" s="96" t="e" cm="1">
        <f t="array" ref="J13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39" s="96" t="e" cm="1">
        <f t="array" ref="K13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39" s="96" t="e" cm="1">
        <f t="array" ref="L13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39" s="94" t="e">
        <f>AVERAGE(Table1191835[[#This Row],[*C*]:[*TD*]])</f>
        <v>#N/A</v>
      </c>
    </row>
    <row r="140" spans="2:13" hidden="1" x14ac:dyDescent="0.35">
      <c r="B140" s="6" t="s">
        <v>543</v>
      </c>
      <c r="C140" s="97" t="s">
        <v>53</v>
      </c>
      <c r="D140" s="97" t="s">
        <v>441</v>
      </c>
      <c r="E140" s="23" t="str" cm="1">
        <f t="array" ref="E140">_xlfn.XLOOKUP(Table1191835[[#This Row],[Team]],Table4334[Team],'2425'!$C$3:$C$34)</f>
        <v>n/a</v>
      </c>
      <c r="F140" s="97" t="str">
        <f>'2025'!$E$31</f>
        <v>n/a</v>
      </c>
      <c r="G140" s="94" t="e" cm="1">
        <f t="array" ref="G14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0" s="94" t="e" cm="1">
        <f t="array" ref="H14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0" s="94" t="e" cm="1">
        <f t="array" ref="I14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0" s="96" t="e" cm="1">
        <f t="array" ref="J14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0" s="96" t="e" cm="1">
        <f t="array" ref="K14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0" s="96" t="e" cm="1">
        <f t="array" ref="L14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0" s="94" t="e">
        <f>AVERAGE(Table1191835[[#This Row],[*C*]:[*TD*]])</f>
        <v>#N/A</v>
      </c>
    </row>
    <row r="141" spans="2:13" hidden="1" x14ac:dyDescent="0.35">
      <c r="B141" s="6" t="s">
        <v>621</v>
      </c>
      <c r="C141" s="97" t="s">
        <v>47</v>
      </c>
      <c r="D141" s="97" t="s">
        <v>441</v>
      </c>
      <c r="E141" s="23" t="str" cm="1">
        <f t="array" ref="E141">_xlfn.XLOOKUP(Table1191835[[#This Row],[Team]],Table4334[Team],'2425'!$C$3:$C$34)</f>
        <v>n/a</v>
      </c>
      <c r="F141" s="97" t="str">
        <f>'2025'!$E$25</f>
        <v>n/a</v>
      </c>
      <c r="G141" s="94" t="e" cm="1">
        <f t="array" ref="G14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1" s="94" t="e" cm="1">
        <f t="array" ref="H14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1" s="94" t="e" cm="1">
        <f t="array" ref="I14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1" s="96" t="e" cm="1">
        <f t="array" ref="J14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1" s="96" t="e" cm="1">
        <f t="array" ref="K14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1" s="96" t="e" cm="1">
        <f t="array" ref="L14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1" s="94" t="e">
        <f>AVERAGE(Table1191835[[#This Row],[*C*]:[*TD*]])</f>
        <v>#N/A</v>
      </c>
    </row>
    <row r="142" spans="2:13" hidden="1" x14ac:dyDescent="0.35">
      <c r="B142" s="6" t="s">
        <v>645</v>
      </c>
      <c r="C142" s="97" t="s">
        <v>38</v>
      </c>
      <c r="D142" s="97" t="s">
        <v>441</v>
      </c>
      <c r="E142" s="23" t="str" cm="1">
        <f t="array" ref="E142">_xlfn.XLOOKUP(Table1191835[[#This Row],[Team]],Table4334[Team],'2425'!$C$3:$C$34)</f>
        <v>n/a</v>
      </c>
      <c r="F142" s="97" t="str">
        <f>'2025'!$E$16</f>
        <v>n/a</v>
      </c>
      <c r="G142" s="94" t="e" cm="1">
        <f t="array" ref="G14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2" s="94" t="e" cm="1">
        <f t="array" ref="H14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2" s="94" t="e" cm="1">
        <f t="array" ref="I14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2" s="96" t="e" cm="1">
        <f t="array" ref="J14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2" s="96" t="e" cm="1">
        <f t="array" ref="K14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2" s="96" t="e" cm="1">
        <f t="array" ref="L14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2" s="94" t="e">
        <f>AVERAGE(Table1191835[[#This Row],[*C*]:[*TD*]])</f>
        <v>#N/A</v>
      </c>
    </row>
    <row r="143" spans="2:13" hidden="1" x14ac:dyDescent="0.35">
      <c r="B143" s="6" t="s">
        <v>222</v>
      </c>
      <c r="C143" s="97" t="s">
        <v>37</v>
      </c>
      <c r="D143" s="97" t="s">
        <v>441</v>
      </c>
      <c r="E143" s="23" t="str" cm="1">
        <f t="array" ref="E143">_xlfn.XLOOKUP(Table1191835[[#This Row],[Team]],Table4334[Team],'2425'!$C$3:$C$34)</f>
        <v>n/a</v>
      </c>
      <c r="F143" s="97" t="str">
        <f>'2025'!$E$15</f>
        <v>n/a</v>
      </c>
      <c r="G143" s="94" t="e" cm="1">
        <f t="array" ref="G14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3" s="94" t="e" cm="1">
        <f t="array" ref="H14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3" s="94" t="e" cm="1">
        <f t="array" ref="I14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3" s="96" t="e" cm="1">
        <f t="array" ref="J14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3" s="96" t="e" cm="1">
        <f t="array" ref="K14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3" s="96" t="e" cm="1">
        <f t="array" ref="L14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3" s="94" t="e">
        <f>AVERAGE(Table1191835[[#This Row],[*C*]:[*TD*]])</f>
        <v>#N/A</v>
      </c>
    </row>
    <row r="144" spans="2:13" hidden="1" x14ac:dyDescent="0.35">
      <c r="B144" s="6" t="s">
        <v>603</v>
      </c>
      <c r="C144" s="97" t="s">
        <v>15</v>
      </c>
      <c r="D144" s="97" t="s">
        <v>441</v>
      </c>
      <c r="E144" s="23" t="str" cm="1">
        <f t="array" ref="E144">_xlfn.XLOOKUP(Table1191835[[#This Row],[Team]],Table4334[Team],'2425'!$C$3:$C$34)</f>
        <v>n/a</v>
      </c>
      <c r="F144" s="97" t="str">
        <f>'2025'!$E$4</f>
        <v>n/a</v>
      </c>
      <c r="G144" s="94" t="e" cm="1">
        <f t="array" ref="G14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4" s="94" t="e" cm="1">
        <f t="array" ref="H14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4" s="94" t="e" cm="1">
        <f t="array" ref="I14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4" s="96" t="e" cm="1">
        <f t="array" ref="J14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4" s="96" t="e" cm="1">
        <f t="array" ref="K14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4" s="96" t="e" cm="1">
        <f t="array" ref="L14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4" s="94" t="e">
        <f>AVERAGE(Table1191835[[#This Row],[*C*]:[*TD*]])</f>
        <v>#N/A</v>
      </c>
    </row>
    <row r="145" spans="2:13" hidden="1" x14ac:dyDescent="0.35">
      <c r="B145" s="6" t="s">
        <v>487</v>
      </c>
      <c r="C145" s="97" t="s">
        <v>32</v>
      </c>
      <c r="D145" s="97" t="s">
        <v>443</v>
      </c>
      <c r="E145" s="23" t="str" cm="1">
        <f t="array" ref="E145">_xlfn.XLOOKUP(Table1191835[[#This Row],[Team]],Table4334[Team],'2425'!$C$3:$C$34)</f>
        <v>n/a</v>
      </c>
      <c r="F145" s="97" t="str">
        <f>'2025'!$E$10</f>
        <v>n/a</v>
      </c>
      <c r="G145" s="94" t="e" cm="1">
        <f t="array" ref="G14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5" s="94" t="e" cm="1">
        <f t="array" ref="H14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5" s="94" t="e" cm="1">
        <f t="array" ref="I14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5" s="96" t="e" cm="1">
        <f t="array" ref="J14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5" s="96" t="e" cm="1">
        <f t="array" ref="K14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5" s="96" t="e" cm="1">
        <f t="array" ref="L14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5" s="94" t="e">
        <f>AVERAGE(Table1191835[[#This Row],[*C*]:[*TD*]])</f>
        <v>#N/A</v>
      </c>
    </row>
    <row r="146" spans="2:13" hidden="1" x14ac:dyDescent="0.35">
      <c r="B146" s="6" t="s">
        <v>149</v>
      </c>
      <c r="C146" s="97" t="s">
        <v>29</v>
      </c>
      <c r="D146" s="97" t="s">
        <v>443</v>
      </c>
      <c r="E146" s="23" t="str" cm="1">
        <f t="array" ref="E146">_xlfn.XLOOKUP(Table1191835[[#This Row],[Team]],Table4334[Team],'2425'!$C$3:$C$34)</f>
        <v>n/a</v>
      </c>
      <c r="F146" s="97" t="str">
        <f>'2025'!$E$7</f>
        <v>n/a</v>
      </c>
      <c r="G146" s="94" t="e" cm="1">
        <f t="array" ref="G14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6" s="94" t="e" cm="1">
        <f t="array" ref="H14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6" s="94" t="e" cm="1">
        <f t="array" ref="I14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6" s="96" t="e" cm="1">
        <f t="array" ref="J14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6" s="96" t="e" cm="1">
        <f t="array" ref="K14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6" s="96" t="e" cm="1">
        <f t="array" ref="L14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6" s="94" t="e">
        <f>AVERAGE(Table1191835[[#This Row],[*C*]:[*TD*]])</f>
        <v>#N/A</v>
      </c>
    </row>
    <row r="147" spans="2:13" hidden="1" x14ac:dyDescent="0.35">
      <c r="B147" s="6" t="s">
        <v>346</v>
      </c>
      <c r="C147" s="97" t="s">
        <v>54</v>
      </c>
      <c r="D147" s="97" t="s">
        <v>443</v>
      </c>
      <c r="E147" s="23" t="str" cm="1">
        <f t="array" ref="E147">_xlfn.XLOOKUP(Table1191835[[#This Row],[Team]],Table4334[Team],'2425'!$C$3:$C$34)</f>
        <v>n/a</v>
      </c>
      <c r="F147" s="97" t="str">
        <f>'2025'!$E$32</f>
        <v>n/a</v>
      </c>
      <c r="G147" s="94" t="e" cm="1">
        <f t="array" ref="G14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7" s="94" t="e" cm="1">
        <f t="array" ref="H14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7" s="94" t="e" cm="1">
        <f t="array" ref="I14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7" s="96" t="e" cm="1">
        <f t="array" ref="J14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7" s="96" t="e" cm="1">
        <f t="array" ref="K14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7" s="96" t="e" cm="1">
        <f t="array" ref="L14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7" s="94" t="e">
        <f>AVERAGE(Table1191835[[#This Row],[*C*]:[*TD*]])</f>
        <v>#N/A</v>
      </c>
    </row>
    <row r="148" spans="2:13" hidden="1" x14ac:dyDescent="0.35">
      <c r="B148" s="6" t="s">
        <v>366</v>
      </c>
      <c r="C148" s="97" t="s">
        <v>53</v>
      </c>
      <c r="D148" s="97" t="s">
        <v>443</v>
      </c>
      <c r="E148" s="23" t="str" cm="1">
        <f t="array" ref="E148">_xlfn.XLOOKUP(Table1191835[[#This Row],[Team]],Table4334[Team],'2425'!$C$3:$C$34)</f>
        <v>n/a</v>
      </c>
      <c r="F148" s="97" t="str">
        <f>'2025'!$E$31</f>
        <v>n/a</v>
      </c>
      <c r="G148" s="94" t="e" cm="1">
        <f t="array" ref="G14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8" s="94" t="e" cm="1">
        <f t="array" ref="H14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8" s="94" t="e" cm="1">
        <f t="array" ref="I14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8" s="96" t="e" cm="1">
        <f t="array" ref="J14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8" s="96" t="e" cm="1">
        <f t="array" ref="K14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8" s="96" t="e" cm="1">
        <f t="array" ref="L14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8" s="94" t="e">
        <f>AVERAGE(Table1191835[[#This Row],[*C*]:[*TD*]])</f>
        <v>#N/A</v>
      </c>
    </row>
    <row r="149" spans="2:13" hidden="1" x14ac:dyDescent="0.35">
      <c r="B149" s="6" t="s">
        <v>635</v>
      </c>
      <c r="C149" s="97" t="s">
        <v>37</v>
      </c>
      <c r="D149" s="97" t="s">
        <v>443</v>
      </c>
      <c r="E149" s="23" t="str" cm="1">
        <f t="array" ref="E149">_xlfn.XLOOKUP(Table1191835[[#This Row],[Team]],Table4334[Team],'2425'!$C$3:$C$34)</f>
        <v>n/a</v>
      </c>
      <c r="F149" s="97" t="str">
        <f>'2025'!$E$15</f>
        <v>n/a</v>
      </c>
      <c r="G149" s="94" t="e" cm="1">
        <f t="array" ref="G14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49" s="94" t="e" cm="1">
        <f t="array" ref="H14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49" s="94" t="e" cm="1">
        <f t="array" ref="I14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49" s="96" t="e" cm="1">
        <f t="array" ref="J14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49" s="96" t="e" cm="1">
        <f t="array" ref="K14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49" s="96" t="e" cm="1">
        <f t="array" ref="L14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49" s="94" t="e">
        <f>AVERAGE(Table1191835[[#This Row],[*C*]:[*TD*]])</f>
        <v>#N/A</v>
      </c>
    </row>
    <row r="150" spans="2:13" hidden="1" x14ac:dyDescent="0.35">
      <c r="B150" s="6" t="s">
        <v>374</v>
      </c>
      <c r="C150" s="97" t="s">
        <v>54</v>
      </c>
      <c r="D150" s="97" t="s">
        <v>546</v>
      </c>
      <c r="E150" s="23" t="str" cm="1">
        <f t="array" ref="E150">_xlfn.XLOOKUP(Table1191835[[#This Row],[Team]],Table4334[Team],'2425'!$C$3:$C$34)</f>
        <v>n/a</v>
      </c>
      <c r="F150" s="97" t="str">
        <f>'2025'!$E$32</f>
        <v>n/a</v>
      </c>
      <c r="G150" s="94" t="e" cm="1">
        <f t="array" ref="G15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0" s="94" t="e" cm="1">
        <f t="array" ref="H15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0" s="94" t="e" cm="1">
        <f t="array" ref="I15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0" s="96" t="e" cm="1">
        <f t="array" ref="J15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0" s="96" t="e" cm="1">
        <f t="array" ref="K15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0" s="96" t="e" cm="1">
        <f t="array" ref="L15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0" s="94" t="e">
        <f>AVERAGE(Table1191835[[#This Row],[*C*]:[*TD*]])</f>
        <v>#N/A</v>
      </c>
    </row>
    <row r="151" spans="2:13" hidden="1" x14ac:dyDescent="0.35">
      <c r="B151" s="6" t="s">
        <v>545</v>
      </c>
      <c r="C151" s="97" t="s">
        <v>53</v>
      </c>
      <c r="D151" s="97" t="s">
        <v>546</v>
      </c>
      <c r="E151" s="23" t="str" cm="1">
        <f t="array" ref="E151">_xlfn.XLOOKUP(Table1191835[[#This Row],[Team]],Table4334[Team],'2425'!$C$3:$C$34)</f>
        <v>n/a</v>
      </c>
      <c r="F151" s="97" t="str">
        <f>'2025'!$E$31</f>
        <v>n/a</v>
      </c>
      <c r="G151" s="94" t="e" cm="1">
        <f t="array" ref="G15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1" s="94" t="e" cm="1">
        <f t="array" ref="H15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1" s="94" t="e" cm="1">
        <f t="array" ref="I15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1" s="96" t="e" cm="1">
        <f t="array" ref="J15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1" s="96" t="e" cm="1">
        <f t="array" ref="K15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1" s="96" t="e" cm="1">
        <f t="array" ref="L15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1" s="94" t="e">
        <f>AVERAGE(Table1191835[[#This Row],[*C*]:[*TD*]])</f>
        <v>#N/A</v>
      </c>
    </row>
    <row r="152" spans="2:13" hidden="1" x14ac:dyDescent="0.35">
      <c r="B152" s="6" t="s">
        <v>184</v>
      </c>
      <c r="C152" s="97" t="s">
        <v>35</v>
      </c>
      <c r="D152" s="97" t="s">
        <v>67</v>
      </c>
      <c r="E152" s="23" t="str" cm="1">
        <f t="array" ref="E152">_xlfn.XLOOKUP(Table1191835[[#This Row],[Team]],Table4334[Team],'2425'!$C$3:$C$34)</f>
        <v>n/a</v>
      </c>
      <c r="F152" s="97" t="str">
        <f>'2025'!$E$13</f>
        <v>n/a</v>
      </c>
      <c r="G152" s="94" t="e" cm="1">
        <f t="array" ref="G15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2" s="94" t="e" cm="1">
        <f t="array" ref="H15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2" s="94" t="e" cm="1">
        <f t="array" ref="I15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2" s="96" t="e" cm="1">
        <f t="array" ref="J15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2" s="96" t="e" cm="1">
        <f t="array" ref="K15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2" s="96" t="e" cm="1">
        <f t="array" ref="L15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2" s="94" t="e">
        <f>AVERAGE(Table1191835[[#This Row],[*C*]:[*TD*]])</f>
        <v>#N/A</v>
      </c>
    </row>
    <row r="153" spans="2:13" x14ac:dyDescent="0.35">
      <c r="B153" s="6" t="s">
        <v>148</v>
      </c>
      <c r="C153" s="97" t="s">
        <v>17</v>
      </c>
      <c r="D153" s="97" t="s">
        <v>68</v>
      </c>
      <c r="E153" s="23" t="str" cm="1">
        <f t="array" ref="E153">_xlfn.XLOOKUP(Table1191835[[#This Row],[Team]],Table4334[Team],'2425'!$C$3:$C$34)</f>
        <v>n/a</v>
      </c>
      <c r="F153" s="97" t="str">
        <f>'2025'!$E$6</f>
        <v>n/a</v>
      </c>
      <c r="G153" s="94" t="e" cm="1">
        <f t="array" ref="G15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3" s="94" t="e" cm="1">
        <f t="array" ref="H15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3" s="94" t="e" cm="1">
        <f t="array" ref="I15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3" s="96" t="e" cm="1">
        <f t="array" ref="J15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3" s="96" t="e" cm="1">
        <f t="array" ref="K15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3" s="96" t="e" cm="1">
        <f t="array" ref="L15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3" s="94" t="e">
        <f>AVERAGE(Table1191835[[#This Row],[*C*]:[*TD*]])</f>
        <v>#N/A</v>
      </c>
    </row>
    <row r="154" spans="2:13" hidden="1" x14ac:dyDescent="0.35">
      <c r="B154" s="6" t="s">
        <v>610</v>
      </c>
      <c r="C154" s="97" t="s">
        <v>29</v>
      </c>
      <c r="D154" s="97" t="s">
        <v>68</v>
      </c>
      <c r="E154" s="23" t="str" cm="1">
        <f t="array" ref="E154">_xlfn.XLOOKUP(Table1191835[[#This Row],[Team]],Table4334[Team],'2425'!$C$3:$C$34)</f>
        <v>n/a</v>
      </c>
      <c r="F154" s="97" t="str">
        <f>'2025'!$E$7</f>
        <v>n/a</v>
      </c>
      <c r="G154" s="94" t="e" cm="1">
        <f t="array" ref="G15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4" s="94" t="e" cm="1">
        <f t="array" ref="H15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4" s="94" t="e" cm="1">
        <f t="array" ref="I15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4" s="96" t="e" cm="1">
        <f t="array" ref="J15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4" s="96" t="e" cm="1">
        <f t="array" ref="K15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4" s="96" t="e" cm="1">
        <f t="array" ref="L15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4" s="94" t="e">
        <f>AVERAGE(Table1191835[[#This Row],[*C*]:[*TD*]])</f>
        <v>#N/A</v>
      </c>
    </row>
    <row r="155" spans="2:13" hidden="1" x14ac:dyDescent="0.35">
      <c r="B155" s="6" t="s">
        <v>242</v>
      </c>
      <c r="C155" s="97" t="s">
        <v>39</v>
      </c>
      <c r="D155" s="97" t="s">
        <v>68</v>
      </c>
      <c r="E155" s="23" t="str" cm="1">
        <f t="array" ref="E155">_xlfn.XLOOKUP(Table1191835[[#This Row],[Team]],Table4334[Team],'2425'!$C$3:$C$34)</f>
        <v>n/a</v>
      </c>
      <c r="F155" s="97" t="str">
        <f>'2025'!$E$17</f>
        <v>n/a</v>
      </c>
      <c r="G155" s="94" t="e" cm="1">
        <f t="array" ref="G15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5" s="94" t="e" cm="1">
        <f t="array" ref="H15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5" s="94" t="e" cm="1">
        <f t="array" ref="I15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5" s="96" t="e" cm="1">
        <f t="array" ref="J15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5" s="96" t="e" cm="1">
        <f t="array" ref="K15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5" s="96" t="e" cm="1">
        <f t="array" ref="L15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5" s="94" t="e">
        <f>AVERAGE(Table1191835[[#This Row],[*C*]:[*TD*]])</f>
        <v>#N/A</v>
      </c>
    </row>
    <row r="156" spans="2:13" hidden="1" x14ac:dyDescent="0.35">
      <c r="B156" s="6" t="s">
        <v>251</v>
      </c>
      <c r="C156" s="97" t="s">
        <v>40</v>
      </c>
      <c r="D156" s="97" t="s">
        <v>68</v>
      </c>
      <c r="E156" s="23" t="str" cm="1">
        <f t="array" ref="E156">_xlfn.XLOOKUP(Table1191835[[#This Row],[Team]],Table4334[Team],'2425'!$C$3:$C$34)</f>
        <v>n/a</v>
      </c>
      <c r="F156" s="97" t="str">
        <f>'2025'!$E$18</f>
        <v>n/a</v>
      </c>
      <c r="G156" s="94" t="e" cm="1">
        <f t="array" ref="G15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6" s="94" t="e" cm="1">
        <f t="array" ref="H15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6" s="94" t="e" cm="1">
        <f t="array" ref="I15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6" s="96" t="e" cm="1">
        <f t="array" ref="J15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6" s="96" t="e" cm="1">
        <f t="array" ref="K15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6" s="96" t="e" cm="1">
        <f t="array" ref="L15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6" s="94" t="e">
        <f>AVERAGE(Table1191835[[#This Row],[*C*]:[*TD*]])</f>
        <v>#N/A</v>
      </c>
    </row>
    <row r="157" spans="2:13" hidden="1" x14ac:dyDescent="0.35">
      <c r="B157" s="6" t="s">
        <v>261</v>
      </c>
      <c r="C157" s="97" t="s">
        <v>41</v>
      </c>
      <c r="D157" s="97" t="s">
        <v>68</v>
      </c>
      <c r="E157" s="23" t="str" cm="1">
        <f t="array" ref="E157">_xlfn.XLOOKUP(Table1191835[[#This Row],[Team]],Table4334[Team],'2425'!$C$3:$C$34)</f>
        <v>n/a</v>
      </c>
      <c r="F157" s="97" t="str">
        <f>'2025'!$E$19</f>
        <v>n/a</v>
      </c>
      <c r="G157" s="94" t="e" cm="1">
        <f t="array" ref="G15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7" s="94" t="e" cm="1">
        <f t="array" ref="H15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7" s="94" t="e" cm="1">
        <f t="array" ref="I15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7" s="96" t="e" cm="1">
        <f t="array" ref="J15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7" s="96" t="e" cm="1">
        <f t="array" ref="K15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7" s="96" t="e" cm="1">
        <f t="array" ref="L15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7" s="94" t="e">
        <f>AVERAGE(Table1191835[[#This Row],[*C*]:[*TD*]])</f>
        <v>#N/A</v>
      </c>
    </row>
    <row r="158" spans="2:13" hidden="1" x14ac:dyDescent="0.35">
      <c r="B158" s="6" t="s">
        <v>283</v>
      </c>
      <c r="C158" s="97" t="s">
        <v>43</v>
      </c>
      <c r="D158" s="97" t="s">
        <v>68</v>
      </c>
      <c r="E158" s="23" t="str" cm="1">
        <f t="array" ref="E158">_xlfn.XLOOKUP(Table1191835[[#This Row],[Team]],Table4334[Team],'2425'!$C$3:$C$34)</f>
        <v>n/a</v>
      </c>
      <c r="F158" s="97" t="str">
        <f>'2025'!$E$21</f>
        <v>n/a</v>
      </c>
      <c r="G158" s="94" t="e" cm="1">
        <f t="array" ref="G15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8" s="94" t="e" cm="1">
        <f t="array" ref="H15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8" s="94" t="e" cm="1">
        <f t="array" ref="I15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8" s="96" t="e" cm="1">
        <f t="array" ref="J15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8" s="96" t="e" cm="1">
        <f t="array" ref="K15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8" s="96" t="e" cm="1">
        <f t="array" ref="L15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8" s="94" t="e">
        <f>AVERAGE(Table1191835[[#This Row],[*C*]:[*TD*]])</f>
        <v>#N/A</v>
      </c>
    </row>
    <row r="159" spans="2:13" x14ac:dyDescent="0.35">
      <c r="B159" s="6" t="s">
        <v>158</v>
      </c>
      <c r="C159" s="97" t="s">
        <v>30</v>
      </c>
      <c r="D159" s="97" t="s">
        <v>401</v>
      </c>
      <c r="E159" s="23" t="str" cm="1">
        <f t="array" ref="E159">_xlfn.XLOOKUP(Table1191835[[#This Row],[Team]],Table4334[Team],'2425'!$C$3:$C$34)</f>
        <v>n/a</v>
      </c>
      <c r="F159" s="97" t="str">
        <f>'2025'!$E$8</f>
        <v>n/a</v>
      </c>
      <c r="G159" s="94" t="e" cm="1">
        <f t="array" ref="G15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59" s="94" t="e" cm="1">
        <f t="array" ref="H15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59" s="94" t="e" cm="1">
        <f t="array" ref="I15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59" s="96" t="e" cm="1">
        <f t="array" ref="J15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59" s="96" t="e" cm="1">
        <f t="array" ref="K15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59" s="96" t="e" cm="1">
        <f t="array" ref="L15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59" s="94" t="e">
        <f>AVERAGE(Table1191835[[#This Row],[*C*]:[*TD*]])</f>
        <v>#N/A</v>
      </c>
    </row>
    <row r="160" spans="2:13" hidden="1" x14ac:dyDescent="0.35">
      <c r="B160" s="6" t="s">
        <v>505</v>
      </c>
      <c r="C160" s="97" t="s">
        <v>35</v>
      </c>
      <c r="D160" s="97" t="s">
        <v>68</v>
      </c>
      <c r="E160" s="23" t="str" cm="1">
        <f t="array" ref="E160">_xlfn.XLOOKUP(Table1191835[[#This Row],[Team]],Table4334[Team],'2425'!$C$3:$C$34)</f>
        <v>n/a</v>
      </c>
      <c r="F160" s="97" t="str">
        <f>'2025'!$E$13</f>
        <v>n/a</v>
      </c>
      <c r="G160" s="94" t="e" cm="1">
        <f t="array" ref="G16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0" s="94" t="e" cm="1">
        <f t="array" ref="H16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0" s="94" t="e" cm="1">
        <f t="array" ref="I16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0" s="96" t="e" cm="1">
        <f t="array" ref="J16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0" s="96" t="e" cm="1">
        <f t="array" ref="K16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0" s="96" t="e" cm="1">
        <f t="array" ref="L16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0" s="94" t="e">
        <f>AVERAGE(Table1191835[[#This Row],[*C*]:[*TD*]])</f>
        <v>#N/A</v>
      </c>
    </row>
    <row r="161" spans="2:13" x14ac:dyDescent="0.35">
      <c r="B161" s="6" t="s">
        <v>529</v>
      </c>
      <c r="C161" s="97" t="s">
        <v>52</v>
      </c>
      <c r="D161" s="97" t="s">
        <v>401</v>
      </c>
      <c r="E161" s="23" t="str" cm="1">
        <f t="array" ref="E161">_xlfn.XLOOKUP(Table1191835[[#This Row],[Team]],Table4334[Team],'2425'!$C$3:$C$34)</f>
        <v>SB LX</v>
      </c>
      <c r="F161" s="97" t="str">
        <f>'2025'!$E$30</f>
        <v>NE</v>
      </c>
      <c r="G161" s="94" cm="1">
        <f t="array" ref="G16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28</v>
      </c>
      <c r="H161" s="94" cm="1">
        <f t="array" ref="H16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30</v>
      </c>
      <c r="I161" s="94" cm="1">
        <f t="array" ref="I16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161" s="96" cm="1">
        <f t="array" ref="J16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0.64705882352941169</v>
      </c>
      <c r="K161" s="96" cm="1">
        <f t="array" ref="K16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6.1764705882352935</v>
      </c>
      <c r="L161" s="96" cm="1">
        <f t="array" ref="L16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161" s="94">
        <f>AVERAGE(Table1191835[[#This Row],[*C*]:[*TD*]])</f>
        <v>25</v>
      </c>
    </row>
    <row r="162" spans="2:13" x14ac:dyDescent="0.35">
      <c r="B162" s="6" t="s">
        <v>223</v>
      </c>
      <c r="C162" s="97" t="s">
        <v>37</v>
      </c>
      <c r="D162" s="97" t="s">
        <v>68</v>
      </c>
      <c r="E162" s="23" t="str" cm="1">
        <f t="array" ref="E162">_xlfn.XLOOKUP(Table1191835[[#This Row],[Team]],Table4334[Team],'2425'!$C$3:$C$34)</f>
        <v>n/a</v>
      </c>
      <c r="F162" s="97" t="str">
        <f>'2025'!$E$15</f>
        <v>n/a</v>
      </c>
      <c r="G162" s="94" t="e" cm="1">
        <f t="array" ref="G16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2" s="94" t="e" cm="1">
        <f t="array" ref="H16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2" s="94" t="e" cm="1">
        <f t="array" ref="I16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2" s="96" t="e" cm="1">
        <f t="array" ref="J16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2" s="96" t="e" cm="1">
        <f t="array" ref="K16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2" s="96" t="e" cm="1">
        <f t="array" ref="L16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2" s="94" t="e">
        <f>AVERAGE(Table1191835[[#This Row],[*C*]:[*TD*]])</f>
        <v>#N/A</v>
      </c>
    </row>
    <row r="163" spans="2:13" x14ac:dyDescent="0.35">
      <c r="B163" s="6" t="s">
        <v>499</v>
      </c>
      <c r="C163" s="97" t="s">
        <v>30</v>
      </c>
      <c r="D163" s="97" t="s">
        <v>68</v>
      </c>
      <c r="E163" s="23" t="str" cm="1">
        <f t="array" ref="E163">_xlfn.XLOOKUP(Table1191835[[#This Row],[Team]],Table4334[Team],'2425'!$C$3:$C$34)</f>
        <v>n/a</v>
      </c>
      <c r="F163" s="97" t="str">
        <f>'2025'!$E$8</f>
        <v>n/a</v>
      </c>
      <c r="G163" s="94" t="e" cm="1">
        <f t="array" ref="G16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3" s="94" t="e" cm="1">
        <f t="array" ref="H16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3" s="94" t="e" cm="1">
        <f t="array" ref="I16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3" s="96" t="e" cm="1">
        <f t="array" ref="J16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3" s="96" t="e" cm="1">
        <f t="array" ref="K16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3" s="96" t="e" cm="1">
        <f t="array" ref="L16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3" s="94" t="e">
        <f>AVERAGE(Table1191835[[#This Row],[*C*]:[*TD*]])</f>
        <v>#N/A</v>
      </c>
    </row>
    <row r="164" spans="2:13" hidden="1" x14ac:dyDescent="0.35">
      <c r="B164" s="6" t="s">
        <v>609</v>
      </c>
      <c r="C164" s="97" t="s">
        <v>29</v>
      </c>
      <c r="D164" s="97" t="s">
        <v>401</v>
      </c>
      <c r="E164" s="23" t="str" cm="1">
        <f t="array" ref="E164">_xlfn.XLOOKUP(Table1191835[[#This Row],[Team]],Table4334[Team],'2425'!$C$3:$C$34)</f>
        <v>n/a</v>
      </c>
      <c r="F164" s="97" t="str">
        <f>'2025'!$E$7</f>
        <v>n/a</v>
      </c>
      <c r="G164" s="94" t="e" cm="1">
        <f t="array" ref="G16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4" s="94" t="e" cm="1">
        <f t="array" ref="H16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4" s="94" t="e" cm="1">
        <f t="array" ref="I16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4" s="96" t="e" cm="1">
        <f t="array" ref="J16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4" s="96" t="e" cm="1">
        <f t="array" ref="K16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4" s="96" t="e" cm="1">
        <f t="array" ref="L16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4" s="94" t="e">
        <f>AVERAGE(Table1191835[[#This Row],[*C*]:[*TD*]])</f>
        <v>#N/A</v>
      </c>
    </row>
    <row r="165" spans="2:13" hidden="1" x14ac:dyDescent="0.35">
      <c r="B165" s="6" t="s">
        <v>555</v>
      </c>
      <c r="C165" s="97" t="s">
        <v>0</v>
      </c>
      <c r="D165" s="97" t="s">
        <v>68</v>
      </c>
      <c r="E165" s="23" t="str" cm="1">
        <f t="array" ref="E165">_xlfn.XLOOKUP(Table1191835[[#This Row],[Team]],Table4334[Team],'2425'!$C$3:$C$34)</f>
        <v>n/a</v>
      </c>
      <c r="F165" s="97" t="str">
        <f>'2025'!$E$3</f>
        <v>n/a</v>
      </c>
      <c r="G165" s="94" t="e" cm="1">
        <f t="array" ref="G16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5" s="94" t="e" cm="1">
        <f t="array" ref="H16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5" s="94" t="e" cm="1">
        <f t="array" ref="I16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5" s="96" t="e" cm="1">
        <f t="array" ref="J16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5" s="96" t="e" cm="1">
        <f t="array" ref="K16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5" s="96" t="e" cm="1">
        <f t="array" ref="L16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5" s="94" t="e">
        <f>AVERAGE(Table1191835[[#This Row],[*C*]:[*TD*]])</f>
        <v>#N/A</v>
      </c>
    </row>
    <row r="166" spans="2:13" hidden="1" x14ac:dyDescent="0.35">
      <c r="B166" s="6" t="s">
        <v>292</v>
      </c>
      <c r="C166" s="97" t="s">
        <v>44</v>
      </c>
      <c r="D166" s="97" t="s">
        <v>68</v>
      </c>
      <c r="E166" s="23" t="str" cm="1">
        <f t="array" ref="E166">_xlfn.XLOOKUP(Table1191835[[#This Row],[Team]],Table4334[Team],'2425'!$C$3:$C$34)</f>
        <v>n/a</v>
      </c>
      <c r="F166" s="97" t="str">
        <f>'2025'!$E$22</f>
        <v>n/a</v>
      </c>
      <c r="G166" s="94" t="e" cm="1">
        <f t="array" ref="G16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6" s="94" t="e" cm="1">
        <f t="array" ref="H16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6" s="94" t="e" cm="1">
        <f t="array" ref="I16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6" s="96" t="e" cm="1">
        <f t="array" ref="J16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6" s="96" t="e" cm="1">
        <f t="array" ref="K16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6" s="96" t="e" cm="1">
        <f t="array" ref="L16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6" s="94" t="e">
        <f>AVERAGE(Table1191835[[#This Row],[*C*]:[*TD*]])</f>
        <v>#N/A</v>
      </c>
    </row>
    <row r="167" spans="2:13" hidden="1" x14ac:dyDescent="0.35">
      <c r="B167" s="6" t="s">
        <v>417</v>
      </c>
      <c r="C167" s="97" t="s">
        <v>49</v>
      </c>
      <c r="D167" s="97" t="s">
        <v>68</v>
      </c>
      <c r="E167" s="23" t="str" cm="1">
        <f t="array" ref="E167">_xlfn.XLOOKUP(Table1191835[[#This Row],[Team]],Table4334[Team],'2425'!$C$3:$C$34)</f>
        <v>n/a</v>
      </c>
      <c r="F167" s="97" t="str">
        <f>'2025'!$E$27</f>
        <v>n/a</v>
      </c>
      <c r="G167" s="94" t="e" cm="1">
        <f t="array" ref="G16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7" s="94" t="e" cm="1">
        <f t="array" ref="H16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7" s="94" t="e" cm="1">
        <f t="array" ref="I16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7" s="96" t="e" cm="1">
        <f t="array" ref="J16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7" s="96" t="e" cm="1">
        <f t="array" ref="K16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7" s="96" t="e" cm="1">
        <f t="array" ref="L16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7" s="94" t="e">
        <f>AVERAGE(Table1191835[[#This Row],[*C*]:[*TD*]])</f>
        <v>#N/A</v>
      </c>
    </row>
    <row r="168" spans="2:13" hidden="1" x14ac:dyDescent="0.35">
      <c r="B168" s="6" t="s">
        <v>465</v>
      </c>
      <c r="C168" s="97" t="s">
        <v>56</v>
      </c>
      <c r="D168" s="97" t="s">
        <v>68</v>
      </c>
      <c r="E168" s="23" t="str" cm="1">
        <f t="array" ref="E168">_xlfn.XLOOKUP(Table1191835[[#This Row],[Team]],Table4334[Team],'2425'!$C$3:$C$34)</f>
        <v>n/a</v>
      </c>
      <c r="F168" s="97" t="str">
        <f>'2025'!$E$34</f>
        <v>n/a</v>
      </c>
      <c r="G168" s="94" t="e" cm="1">
        <f t="array" ref="G16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8" s="94" t="e" cm="1">
        <f t="array" ref="H16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8" s="94" t="e" cm="1">
        <f t="array" ref="I16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8" s="96" t="e" cm="1">
        <f t="array" ref="J16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8" s="96" t="e" cm="1">
        <f t="array" ref="K16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8" s="96" t="e" cm="1">
        <f t="array" ref="L16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8" s="94" t="e">
        <f>AVERAGE(Table1191835[[#This Row],[*C*]:[*TD*]])</f>
        <v>#N/A</v>
      </c>
    </row>
    <row r="169" spans="2:13" x14ac:dyDescent="0.35">
      <c r="B169" s="6" t="s">
        <v>197</v>
      </c>
      <c r="C169" s="97" t="s">
        <v>34</v>
      </c>
      <c r="D169" s="97" t="s">
        <v>68</v>
      </c>
      <c r="E169" s="23" t="str" cm="1">
        <f t="array" ref="E169">_xlfn.XLOOKUP(Table1191835[[#This Row],[Team]],Table4334[Team],'2425'!$C$3:$C$34)</f>
        <v>n/a</v>
      </c>
      <c r="F169" s="97" t="str">
        <f>'2025'!$E$12</f>
        <v>n/a</v>
      </c>
      <c r="G169" s="94" t="e" cm="1">
        <f t="array" ref="G16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69" s="94" t="e" cm="1">
        <f t="array" ref="H16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69" s="94" t="e" cm="1">
        <f t="array" ref="I16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69" s="96" t="e" cm="1">
        <f t="array" ref="J16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69" s="96" t="e" cm="1">
        <f t="array" ref="K16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69" s="96" t="e" cm="1">
        <f t="array" ref="L16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69" s="94" t="e">
        <f>AVERAGE(Table1191835[[#This Row],[*C*]:[*TD*]])</f>
        <v>#N/A</v>
      </c>
    </row>
    <row r="170" spans="2:13" x14ac:dyDescent="0.35">
      <c r="B170" s="6" t="s">
        <v>225</v>
      </c>
      <c r="C170" s="97" t="s">
        <v>37</v>
      </c>
      <c r="D170" s="97" t="s">
        <v>401</v>
      </c>
      <c r="E170" s="23" t="str" cm="1">
        <f t="array" ref="E170">_xlfn.XLOOKUP(Table1191835[[#This Row],[Team]],Table4334[Team],'2425'!$C$3:$C$34)</f>
        <v>n/a</v>
      </c>
      <c r="F170" s="97" t="str">
        <f>'2025'!$E$15</f>
        <v>n/a</v>
      </c>
      <c r="G170" s="94" t="e" cm="1">
        <f t="array" ref="G17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0" s="94" t="e" cm="1">
        <f t="array" ref="H17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0" s="94" t="e" cm="1">
        <f t="array" ref="I17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0" s="96" t="e" cm="1">
        <f t="array" ref="J17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0" s="96" t="e" cm="1">
        <f t="array" ref="K17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0" s="96" t="e" cm="1">
        <f t="array" ref="L17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0" s="94" t="e">
        <f>AVERAGE(Table1191835[[#This Row],[*C*]:[*TD*]])</f>
        <v>#N/A</v>
      </c>
    </row>
    <row r="171" spans="2:13" hidden="1" x14ac:dyDescent="0.35">
      <c r="B171" s="6" t="s">
        <v>146</v>
      </c>
      <c r="C171" s="97" t="s">
        <v>0</v>
      </c>
      <c r="D171" s="97" t="s">
        <v>401</v>
      </c>
      <c r="E171" s="23" t="str" cm="1">
        <f t="array" ref="E171">_xlfn.XLOOKUP(Table1191835[[#This Row],[Team]],Table4334[Team],'2425'!$C$3:$C$34)</f>
        <v>n/a</v>
      </c>
      <c r="F171" s="97" t="str">
        <f>'2025'!$E$3</f>
        <v>n/a</v>
      </c>
      <c r="G171" s="94" t="e" cm="1">
        <f t="array" ref="G17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1" s="94" t="e" cm="1">
        <f t="array" ref="H17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1" s="94" t="e" cm="1">
        <f t="array" ref="I17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1" s="96" t="e" cm="1">
        <f t="array" ref="J17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1" s="96" t="e" cm="1">
        <f t="array" ref="K17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1" s="96" t="e" cm="1">
        <f t="array" ref="L17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1" s="94" t="e">
        <f>AVERAGE(Table1191835[[#This Row],[*C*]:[*TD*]])</f>
        <v>#N/A</v>
      </c>
    </row>
    <row r="172" spans="2:13" hidden="1" x14ac:dyDescent="0.35">
      <c r="B172" s="6" t="s">
        <v>506</v>
      </c>
      <c r="C172" s="97" t="s">
        <v>35</v>
      </c>
      <c r="D172" s="97" t="s">
        <v>401</v>
      </c>
      <c r="E172" s="23" t="str" cm="1">
        <f t="array" ref="E172">_xlfn.XLOOKUP(Table1191835[[#This Row],[Team]],Table4334[Team],'2425'!$C$3:$C$34)</f>
        <v>n/a</v>
      </c>
      <c r="F172" s="97" t="str">
        <f>'2025'!$E$13</f>
        <v>n/a</v>
      </c>
      <c r="G172" s="94" t="e" cm="1">
        <f t="array" ref="G17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2" s="94" t="e" cm="1">
        <f t="array" ref="H17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2" s="94" t="e" cm="1">
        <f t="array" ref="I17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2" s="96" t="e" cm="1">
        <f t="array" ref="J17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2" s="96" t="e" cm="1">
        <f t="array" ref="K17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2" s="96" t="e" cm="1">
        <f t="array" ref="L17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2" s="94" t="e">
        <f>AVERAGE(Table1191835[[#This Row],[*C*]:[*TD*]])</f>
        <v>#N/A</v>
      </c>
    </row>
    <row r="173" spans="2:13" hidden="1" x14ac:dyDescent="0.35">
      <c r="B173" s="6" t="s">
        <v>282</v>
      </c>
      <c r="C173" s="97" t="s">
        <v>43</v>
      </c>
      <c r="D173" s="97" t="s">
        <v>401</v>
      </c>
      <c r="E173" s="23" t="str" cm="1">
        <f t="array" ref="E173">_xlfn.XLOOKUP(Table1191835[[#This Row],[Team]],Table4334[Team],'2425'!$C$3:$C$34)</f>
        <v>n/a</v>
      </c>
      <c r="F173" s="97" t="str">
        <f>'2025'!$E$21</f>
        <v>n/a</v>
      </c>
      <c r="G173" s="94" t="e" cm="1">
        <f t="array" ref="G17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3" s="94" t="e" cm="1">
        <f t="array" ref="H17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3" s="94" t="e" cm="1">
        <f t="array" ref="I17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3" s="96" t="e" cm="1">
        <f t="array" ref="J17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3" s="96" t="e" cm="1">
        <f t="array" ref="K17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3" s="96" t="e" cm="1">
        <f t="array" ref="L17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3" s="94" t="e">
        <f>AVERAGE(Table1191835[[#This Row],[*C*]:[*TD*]])</f>
        <v>#N/A</v>
      </c>
    </row>
    <row r="174" spans="2:13" hidden="1" x14ac:dyDescent="0.35">
      <c r="B174" s="6" t="s">
        <v>455</v>
      </c>
      <c r="C174" s="97" t="s">
        <v>50</v>
      </c>
      <c r="D174" s="97" t="s">
        <v>401</v>
      </c>
      <c r="E174" s="23" t="str" cm="1">
        <f t="array" ref="E174">_xlfn.XLOOKUP(Table1191835[[#This Row],[Team]],Table4334[Team],'2425'!$C$3:$C$34)</f>
        <v>n/a</v>
      </c>
      <c r="F174" s="97" t="str">
        <f>'2025'!$E$28</f>
        <v>n/a</v>
      </c>
      <c r="G174" s="94" t="e" cm="1">
        <f t="array" ref="G17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4" s="94" t="e" cm="1">
        <f t="array" ref="H17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4" s="94" t="e" cm="1">
        <f t="array" ref="I17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4" s="96" t="e" cm="1">
        <f t="array" ref="J17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4" s="96" t="e" cm="1">
        <f t="array" ref="K17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4" s="96" t="e" cm="1">
        <f t="array" ref="L17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4" s="94" t="e">
        <f>AVERAGE(Table1191835[[#This Row],[*C*]:[*TD*]])</f>
        <v>#N/A</v>
      </c>
    </row>
    <row r="175" spans="2:13" x14ac:dyDescent="0.35">
      <c r="B175" s="6" t="s">
        <v>544</v>
      </c>
      <c r="C175" s="97" t="s">
        <v>53</v>
      </c>
      <c r="D175" s="97" t="s">
        <v>401</v>
      </c>
      <c r="E175" s="23" t="str" cm="1">
        <f t="array" ref="E175">_xlfn.XLOOKUP(Table1191835[[#This Row],[Team]],Table4334[Team],'2425'!$C$3:$C$34)</f>
        <v>n/a</v>
      </c>
      <c r="F175" s="97" t="str">
        <f>'2025'!$E$31</f>
        <v>n/a</v>
      </c>
      <c r="G175" s="94" t="e" cm="1">
        <f t="array" ref="G17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5" s="94" t="e" cm="1">
        <f t="array" ref="H17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5" s="94" t="e" cm="1">
        <f t="array" ref="I17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5" s="96" t="e" cm="1">
        <f t="array" ref="J17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5" s="96" t="e" cm="1">
        <f t="array" ref="K17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5" s="96" t="e" cm="1">
        <f t="array" ref="L17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5" s="94" t="e">
        <f>AVERAGE(Table1191835[[#This Row],[*C*]:[*TD*]])</f>
        <v>#N/A</v>
      </c>
    </row>
    <row r="176" spans="2:13" hidden="1" x14ac:dyDescent="0.35">
      <c r="B176" s="6" t="s">
        <v>562</v>
      </c>
      <c r="C176" s="97" t="s">
        <v>41</v>
      </c>
      <c r="D176" s="97" t="s">
        <v>403</v>
      </c>
      <c r="E176" s="23" t="str" cm="1">
        <f t="array" ref="E176">_xlfn.XLOOKUP(Table1191835[[#This Row],[Team]],Table4334[Team],'2425'!$C$3:$C$34)</f>
        <v>n/a</v>
      </c>
      <c r="F176" s="97" t="str">
        <f>'2025'!$E$19</f>
        <v>n/a</v>
      </c>
      <c r="G176" s="94" t="e" cm="1">
        <f t="array" ref="G17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6" s="94" t="e" cm="1">
        <f t="array" ref="H17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6" s="94" t="e" cm="1">
        <f t="array" ref="I17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6" s="96" t="e" cm="1">
        <f t="array" ref="J17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6" s="96" t="e" cm="1">
        <f t="array" ref="K17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6" s="96" t="e" cm="1">
        <f t="array" ref="L17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6" s="94" t="e">
        <f>AVERAGE(Table1191835[[#This Row],[*C*]:[*TD*]])</f>
        <v>#N/A</v>
      </c>
    </row>
    <row r="177" spans="2:13" hidden="1" x14ac:dyDescent="0.35">
      <c r="B177" s="6" t="s">
        <v>520</v>
      </c>
      <c r="C177" s="97" t="s">
        <v>45</v>
      </c>
      <c r="D177" s="97" t="s">
        <v>403</v>
      </c>
      <c r="E177" s="23" t="str" cm="1">
        <f t="array" ref="E177">_xlfn.XLOOKUP(Table1191835[[#This Row],[Team]],Table4334[Team],'2425'!$C$3:$C$34)</f>
        <v>n/a</v>
      </c>
      <c r="F177" s="97" t="str">
        <f>'2025'!$E$23</f>
        <v>n/a</v>
      </c>
      <c r="G177" s="94" t="e" cm="1">
        <f t="array" ref="G17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7" s="94" t="e" cm="1">
        <f t="array" ref="H17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7" s="94" t="e" cm="1">
        <f t="array" ref="I17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7" s="96" t="e" cm="1">
        <f t="array" ref="J17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7" s="96" t="e" cm="1">
        <f t="array" ref="K17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7" s="96" t="e" cm="1">
        <f t="array" ref="L17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7" s="94" t="e">
        <f>AVERAGE(Table1191835[[#This Row],[*C*]:[*TD*]])</f>
        <v>#N/A</v>
      </c>
    </row>
    <row r="178" spans="2:13" hidden="1" x14ac:dyDescent="0.35">
      <c r="B178" s="6" t="s">
        <v>402</v>
      </c>
      <c r="C178" s="97" t="s">
        <v>17</v>
      </c>
      <c r="D178" s="97" t="s">
        <v>403</v>
      </c>
      <c r="E178" s="23" t="str" cm="1">
        <f t="array" ref="E178">_xlfn.XLOOKUP(Table1191835[[#This Row],[Team]],Table4334[Team],'2425'!$C$3:$C$34)</f>
        <v>n/a</v>
      </c>
      <c r="F178" s="97" t="str">
        <f>'2025'!$E$6</f>
        <v>n/a</v>
      </c>
      <c r="G178" s="94" t="e" cm="1">
        <f t="array" ref="G17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78" s="94" t="e" cm="1">
        <f t="array" ref="H17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78" s="94" t="e" cm="1">
        <f t="array" ref="I17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78" s="96" t="e" cm="1">
        <f t="array" ref="J17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78" s="96" t="e" cm="1">
        <f t="array" ref="K17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78" s="96" t="e" cm="1">
        <f t="array" ref="L17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78" s="94" t="e">
        <f>AVERAGE(Table1191835[[#This Row],[*C*]:[*TD*]])</f>
        <v>#N/A</v>
      </c>
    </row>
    <row r="179" spans="2:13" hidden="1" x14ac:dyDescent="0.35">
      <c r="B179" s="6" t="s">
        <v>530</v>
      </c>
      <c r="C179" s="97" t="s">
        <v>52</v>
      </c>
      <c r="D179" s="97" t="s">
        <v>403</v>
      </c>
      <c r="E179" s="23" t="str" cm="1">
        <f t="array" ref="E179">_xlfn.XLOOKUP(Table1191835[[#This Row],[Team]],Table4334[Team],'2425'!$C$3:$C$34)</f>
        <v>SB LX</v>
      </c>
      <c r="F179" s="97" t="str">
        <f>'2025'!$E$30</f>
        <v>NE</v>
      </c>
      <c r="G179" s="94" cm="1">
        <f t="array" ref="G17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28</v>
      </c>
      <c r="H179" s="94" cm="1">
        <f t="array" ref="H17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30</v>
      </c>
      <c r="I179" s="94" cm="1">
        <f t="array" ref="I17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179" s="96" cm="1">
        <f t="array" ref="J17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0.64705882352941169</v>
      </c>
      <c r="K179" s="96" cm="1">
        <f t="array" ref="K17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6.1764705882352935</v>
      </c>
      <c r="L179" s="96" cm="1">
        <f t="array" ref="L17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179" s="94">
        <f>AVERAGE(Table1191835[[#This Row],[*C*]:[*TD*]])</f>
        <v>25</v>
      </c>
    </row>
    <row r="180" spans="2:13" hidden="1" x14ac:dyDescent="0.35">
      <c r="B180" s="6" t="s">
        <v>493</v>
      </c>
      <c r="C180" s="97" t="s">
        <v>51</v>
      </c>
      <c r="D180" s="97" t="s">
        <v>403</v>
      </c>
      <c r="E180" s="23" t="str" cm="1">
        <f t="array" ref="E180">_xlfn.XLOOKUP(Table1191835[[#This Row],[Team]],Table4334[Team],'2425'!$C$3:$C$34)</f>
        <v>n/a</v>
      </c>
      <c r="F180" s="97" t="str">
        <f>'2025'!$E$29</f>
        <v>n/a</v>
      </c>
      <c r="G180" s="94" t="e" cm="1">
        <f t="array" ref="G18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0" s="94" t="e" cm="1">
        <f t="array" ref="H18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0" s="94" t="e" cm="1">
        <f t="array" ref="I18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0" s="96" t="e" cm="1">
        <f t="array" ref="J18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0" s="96" t="e" cm="1">
        <f t="array" ref="K18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0" s="96" t="e" cm="1">
        <f t="array" ref="L18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0" s="94" t="e">
        <f>AVERAGE(Table1191835[[#This Row],[*C*]:[*TD*]])</f>
        <v>#N/A</v>
      </c>
    </row>
    <row r="181" spans="2:13" hidden="1" x14ac:dyDescent="0.35">
      <c r="B181" s="6" t="s">
        <v>663</v>
      </c>
      <c r="C181" s="97" t="s">
        <v>43</v>
      </c>
      <c r="D181" s="97" t="s">
        <v>403</v>
      </c>
      <c r="E181" s="23" t="str" cm="1">
        <f t="array" ref="E181">_xlfn.XLOOKUP(Table1191835[[#This Row],[Team]],Table4334[Team],'2425'!$C$3:$C$34)</f>
        <v>n/a</v>
      </c>
      <c r="F181" s="97" t="str">
        <f>'2025'!$E$21</f>
        <v>n/a</v>
      </c>
      <c r="G181" s="94" t="e" cm="1">
        <f t="array" ref="G18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1" s="94" t="e" cm="1">
        <f t="array" ref="H18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1" s="94" t="e" cm="1">
        <f t="array" ref="I18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1" s="96" t="e" cm="1">
        <f t="array" ref="J18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1" s="96" t="e" cm="1">
        <f t="array" ref="K18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1" s="96" t="e" cm="1">
        <f t="array" ref="L18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1" s="94" t="e">
        <f>AVERAGE(Table1191835[[#This Row],[*C*]:[*TD*]])</f>
        <v>#N/A</v>
      </c>
    </row>
    <row r="182" spans="2:13" hidden="1" x14ac:dyDescent="0.35">
      <c r="B182" s="6" t="s">
        <v>563</v>
      </c>
      <c r="C182" s="97" t="s">
        <v>41</v>
      </c>
      <c r="D182" s="97" t="s">
        <v>411</v>
      </c>
      <c r="E182" s="23" t="str" cm="1">
        <f t="array" ref="E182">_xlfn.XLOOKUP(Table1191835[[#This Row],[Team]],Table4334[Team],'2425'!$C$3:$C$34)</f>
        <v>n/a</v>
      </c>
      <c r="F182" s="97" t="str">
        <f>'2025'!$E$19</f>
        <v>n/a</v>
      </c>
      <c r="G182" s="94" t="e" cm="1">
        <f t="array" ref="G18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2" s="94" t="e" cm="1">
        <f t="array" ref="H18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2" s="94" t="e" cm="1">
        <f t="array" ref="I18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2" s="96" t="e" cm="1">
        <f t="array" ref="J18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2" s="96" t="e" cm="1">
        <f t="array" ref="K18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2" s="96" t="e" cm="1">
        <f t="array" ref="L18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2" s="94" t="e">
        <f>AVERAGE(Table1191835[[#This Row],[*C*]:[*TD*]])</f>
        <v>#N/A</v>
      </c>
    </row>
    <row r="183" spans="2:13" hidden="1" x14ac:dyDescent="0.35">
      <c r="B183" s="6" t="s">
        <v>521</v>
      </c>
      <c r="C183" s="97" t="s">
        <v>45</v>
      </c>
      <c r="D183" s="97" t="s">
        <v>411</v>
      </c>
      <c r="E183" s="23" t="str" cm="1">
        <f t="array" ref="E183">_xlfn.XLOOKUP(Table1191835[[#This Row],[Team]],Table4334[Team],'2425'!$C$3:$C$34)</f>
        <v>n/a</v>
      </c>
      <c r="F183" s="97" t="str">
        <f>'2025'!$E$23</f>
        <v>n/a</v>
      </c>
      <c r="G183" s="94" t="e" cm="1">
        <f t="array" ref="G18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3" s="94" t="e" cm="1">
        <f t="array" ref="H18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3" s="94" t="e" cm="1">
        <f t="array" ref="I18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3" s="96" t="e" cm="1">
        <f t="array" ref="J18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3" s="96" t="e" cm="1">
        <f t="array" ref="K18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3" s="96" t="e" cm="1">
        <f t="array" ref="L18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3" s="94" t="e">
        <f>AVERAGE(Table1191835[[#This Row],[*C*]:[*TD*]])</f>
        <v>#N/A</v>
      </c>
    </row>
    <row r="184" spans="2:13" hidden="1" x14ac:dyDescent="0.35">
      <c r="B184" s="6" t="s">
        <v>410</v>
      </c>
      <c r="C184" s="97" t="s">
        <v>17</v>
      </c>
      <c r="D184" s="97" t="s">
        <v>411</v>
      </c>
      <c r="E184" s="23" t="str" cm="1">
        <f t="array" ref="E184">_xlfn.XLOOKUP(Table1191835[[#This Row],[Team]],Table4334[Team],'2425'!$C$3:$C$34)</f>
        <v>n/a</v>
      </c>
      <c r="F184" s="97" t="str">
        <f>'2025'!$E$6</f>
        <v>n/a</v>
      </c>
      <c r="G184" s="94" t="e" cm="1">
        <f t="array" ref="G18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4" s="94" t="e" cm="1">
        <f t="array" ref="H18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4" s="94" t="e" cm="1">
        <f t="array" ref="I18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4" s="96" t="e" cm="1">
        <f t="array" ref="J18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4" s="96" t="e" cm="1">
        <f t="array" ref="K18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4" s="96" t="e" cm="1">
        <f t="array" ref="L18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4" s="94" t="e">
        <f>AVERAGE(Table1191835[[#This Row],[*C*]:[*TD*]])</f>
        <v>#N/A</v>
      </c>
    </row>
    <row r="185" spans="2:13" hidden="1" x14ac:dyDescent="0.35">
      <c r="B185" s="6" t="s">
        <v>531</v>
      </c>
      <c r="C185" s="97" t="s">
        <v>52</v>
      </c>
      <c r="D185" s="97" t="s">
        <v>411</v>
      </c>
      <c r="E185" s="23" t="str" cm="1">
        <f t="array" ref="E185">_xlfn.XLOOKUP(Table1191835[[#This Row],[Team]],Table4334[Team],'2425'!$C$3:$C$34)</f>
        <v>SB LX</v>
      </c>
      <c r="F185" s="97" t="str">
        <f>'2025'!$E$30</f>
        <v>NE</v>
      </c>
      <c r="G185" s="94" cm="1">
        <f t="array" ref="G18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28</v>
      </c>
      <c r="H185" s="94" cm="1">
        <f t="array" ref="H18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30</v>
      </c>
      <c r="I185" s="94" cm="1">
        <f t="array" ref="I18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185" s="96" cm="1">
        <f t="array" ref="J18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0.64705882352941169</v>
      </c>
      <c r="K185" s="96" cm="1">
        <f t="array" ref="K18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6.1764705882352935</v>
      </c>
      <c r="L185" s="96" cm="1">
        <f t="array" ref="L18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185" s="94">
        <f>AVERAGE(Table1191835[[#This Row],[*C*]:[*TD*]])</f>
        <v>25</v>
      </c>
    </row>
    <row r="186" spans="2:13" hidden="1" x14ac:dyDescent="0.35">
      <c r="B186" s="6" t="s">
        <v>664</v>
      </c>
      <c r="C186" s="97" t="s">
        <v>43</v>
      </c>
      <c r="D186" s="97" t="s">
        <v>411</v>
      </c>
      <c r="E186" s="23" t="str" cm="1">
        <f t="array" ref="E186">_xlfn.XLOOKUP(Table1191835[[#This Row],[Team]],Table4334[Team],'2425'!$C$3:$C$34)</f>
        <v>n/a</v>
      </c>
      <c r="F186" s="97" t="str">
        <f>'2025'!$E$21</f>
        <v>n/a</v>
      </c>
      <c r="G186" s="94" t="e" cm="1">
        <f t="array" ref="G18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6" s="94" t="e" cm="1">
        <f t="array" ref="H18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6" s="94" t="e" cm="1">
        <f t="array" ref="I18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6" s="96" t="e" cm="1">
        <f t="array" ref="J18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6" s="96" t="e" cm="1">
        <f t="array" ref="K18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6" s="96" t="e" cm="1">
        <f t="array" ref="L18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6" s="94" t="e">
        <f>AVERAGE(Table1191835[[#This Row],[*C*]:[*TD*]])</f>
        <v>#N/A</v>
      </c>
    </row>
    <row r="187" spans="2:13" hidden="1" x14ac:dyDescent="0.35">
      <c r="B187" s="6" t="s">
        <v>522</v>
      </c>
      <c r="C187" s="97" t="s">
        <v>45</v>
      </c>
      <c r="D187" s="97" t="s">
        <v>441</v>
      </c>
      <c r="E187" s="23" t="str" cm="1">
        <f t="array" ref="E187">_xlfn.XLOOKUP(Table1191835[[#This Row],[Team]],Table4334[Team],'2425'!$C$3:$C$34)</f>
        <v>n/a</v>
      </c>
      <c r="F187" s="97" t="str">
        <f>'2025'!$E$23</f>
        <v>n/a</v>
      </c>
      <c r="G187" s="94" t="e" cm="1">
        <f t="array" ref="G18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7" s="94" t="e" cm="1">
        <f t="array" ref="H18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7" s="94" t="e" cm="1">
        <f t="array" ref="I18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7" s="96" t="e" cm="1">
        <f t="array" ref="J18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7" s="96" t="e" cm="1">
        <f t="array" ref="K18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7" s="96" t="e" cm="1">
        <f t="array" ref="L18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7" s="94" t="e">
        <f>AVERAGE(Table1191835[[#This Row],[*C*]:[*TD*]])</f>
        <v>#N/A</v>
      </c>
    </row>
    <row r="188" spans="2:13" hidden="1" x14ac:dyDescent="0.35">
      <c r="B188" s="6" t="s">
        <v>532</v>
      </c>
      <c r="C188" s="97" t="s">
        <v>52</v>
      </c>
      <c r="D188" s="97" t="s">
        <v>441</v>
      </c>
      <c r="E188" s="23" t="str" cm="1">
        <f t="array" ref="E188">_xlfn.XLOOKUP(Table1191835[[#This Row],[Team]],Table4334[Team],'2425'!$C$3:$C$34)</f>
        <v>SB LX</v>
      </c>
      <c r="F188" s="97" t="str">
        <f>'2025'!$E$30</f>
        <v>NE</v>
      </c>
      <c r="G188" s="94" cm="1">
        <f t="array" ref="G18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28</v>
      </c>
      <c r="H188" s="94" cm="1">
        <f t="array" ref="H18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30</v>
      </c>
      <c r="I188" s="94" cm="1">
        <f t="array" ref="I18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188" s="96" cm="1">
        <f t="array" ref="J18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0.64705882352941169</v>
      </c>
      <c r="K188" s="96" cm="1">
        <f t="array" ref="K18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6.1764705882352935</v>
      </c>
      <c r="L188" s="96" cm="1">
        <f t="array" ref="L18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188" s="94">
        <f>AVERAGE(Table1191835[[#This Row],[*C*]:[*TD*]])</f>
        <v>25</v>
      </c>
    </row>
    <row r="189" spans="2:13" hidden="1" x14ac:dyDescent="0.35">
      <c r="B189" s="6" t="s">
        <v>409</v>
      </c>
      <c r="C189" s="97" t="s">
        <v>44</v>
      </c>
      <c r="D189" s="97" t="s">
        <v>401</v>
      </c>
      <c r="E189" s="23" t="str" cm="1">
        <f t="array" ref="E189">_xlfn.XLOOKUP(Table1191835[[#This Row],[Team]],Table4334[Team],'2425'!$C$3:$C$34)</f>
        <v>n/a</v>
      </c>
      <c r="F189" s="97" t="str">
        <f>'2025'!$E$22</f>
        <v>n/a</v>
      </c>
      <c r="G189" s="94" t="e" cm="1">
        <f t="array" ref="G18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89" s="94" t="e" cm="1">
        <f t="array" ref="H18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89" s="94" t="e" cm="1">
        <f t="array" ref="I18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89" s="96" t="e" cm="1">
        <f t="array" ref="J18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89" s="96" t="e" cm="1">
        <f t="array" ref="K18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89" s="96" t="e" cm="1">
        <f t="array" ref="L18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89" s="94" t="e">
        <f>AVERAGE(Table1191835[[#This Row],[*C*]:[*TD*]])</f>
        <v>#N/A</v>
      </c>
    </row>
    <row r="190" spans="2:13" hidden="1" x14ac:dyDescent="0.35">
      <c r="B190" s="6" t="s">
        <v>700</v>
      </c>
      <c r="C190" s="97" t="s">
        <v>56</v>
      </c>
      <c r="D190" s="97" t="s">
        <v>401</v>
      </c>
      <c r="E190" s="23" t="str" cm="1">
        <f t="array" ref="E190">_xlfn.XLOOKUP(Table1191835[[#This Row],[Team]],Table4334[Team],'2425'!$C$3:$C$34)</f>
        <v>n/a</v>
      </c>
      <c r="F190" s="97" t="str">
        <f>'2025'!$E$34</f>
        <v>n/a</v>
      </c>
      <c r="G190" s="94" t="e" cm="1">
        <f t="array" ref="G19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0" s="94" t="e" cm="1">
        <f t="array" ref="H19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0" s="94" t="e" cm="1">
        <f t="array" ref="I19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0" s="96" t="e" cm="1">
        <f t="array" ref="J19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0" s="96" t="e" cm="1">
        <f t="array" ref="K19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0" s="96" t="e" cm="1">
        <f t="array" ref="L19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0" s="94" t="e">
        <f>AVERAGE(Table1191835[[#This Row],[*C*]:[*TD*]])</f>
        <v>#N/A</v>
      </c>
    </row>
    <row r="191" spans="2:13" x14ac:dyDescent="0.35">
      <c r="B191" s="6" t="s">
        <v>400</v>
      </c>
      <c r="C191" s="97" t="s">
        <v>17</v>
      </c>
      <c r="D191" s="97" t="s">
        <v>401</v>
      </c>
      <c r="E191" s="23" t="str" cm="1">
        <f t="array" ref="E191">_xlfn.XLOOKUP(Table1191835[[#This Row],[Team]],Table4334[Team],'2425'!$C$3:$C$34)</f>
        <v>n/a</v>
      </c>
      <c r="F191" s="97" t="str">
        <f>'2025'!$E$6</f>
        <v>n/a</v>
      </c>
      <c r="G191" s="94" t="e" cm="1">
        <f t="array" ref="G19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1" s="94" t="e" cm="1">
        <f t="array" ref="H19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1" s="94" t="e" cm="1">
        <f t="array" ref="I19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1" s="96" t="e" cm="1">
        <f t="array" ref="J19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1" s="96" t="e" cm="1">
        <f t="array" ref="K19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1" s="96" t="e" cm="1">
        <f t="array" ref="L19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1" s="94" t="e">
        <f>AVERAGE(Table1191835[[#This Row],[*C*]:[*TD*]])</f>
        <v>#N/A</v>
      </c>
    </row>
    <row r="192" spans="2:13" hidden="1" x14ac:dyDescent="0.35">
      <c r="B192" s="6" t="s">
        <v>513</v>
      </c>
      <c r="C192" s="97" t="s">
        <v>36</v>
      </c>
      <c r="D192" s="97" t="s">
        <v>401</v>
      </c>
      <c r="E192" s="23" t="str" cm="1">
        <f t="array" ref="E192">_xlfn.XLOOKUP(Table1191835[[#This Row],[Team]],Table4334[Team],'2425'!$C$3:$C$34)</f>
        <v>n/a</v>
      </c>
      <c r="F192" s="97" t="str">
        <f>'2025'!$E$14</f>
        <v>n/a</v>
      </c>
      <c r="G192" s="94" t="e" cm="1">
        <f t="array" ref="G19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2" s="94" t="e" cm="1">
        <f t="array" ref="H19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2" s="94" t="e" cm="1">
        <f t="array" ref="I19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2" s="96" t="e" cm="1">
        <f t="array" ref="J19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2" s="96" t="e" cm="1">
        <f t="array" ref="K19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2" s="96" t="e" cm="1">
        <f t="array" ref="L19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2" s="94" t="e">
        <f>AVERAGE(Table1191835[[#This Row],[*C*]:[*TD*]])</f>
        <v>#N/A</v>
      </c>
    </row>
    <row r="193" spans="2:13" x14ac:dyDescent="0.35">
      <c r="B193" s="6" t="s">
        <v>274</v>
      </c>
      <c r="C193" s="97" t="s">
        <v>42</v>
      </c>
      <c r="D193" s="97" t="s">
        <v>401</v>
      </c>
      <c r="E193" s="23" t="str" cm="1">
        <f t="array" ref="E193">_xlfn.XLOOKUP(Table1191835[[#This Row],[Team]],Table4334[Team],'2425'!$C$3:$C$34)</f>
        <v>n/a</v>
      </c>
      <c r="F193" s="97" t="str">
        <f>'2025'!$E$20</f>
        <v>n/a</v>
      </c>
      <c r="G193" s="94" t="e" cm="1">
        <f t="array" ref="G19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3" s="94" t="e" cm="1">
        <f t="array" ref="H19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3" s="94" t="e" cm="1">
        <f t="array" ref="I19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3" s="96" t="e" cm="1">
        <f t="array" ref="J19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3" s="96" t="e" cm="1">
        <f t="array" ref="K19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3" s="96" t="e" cm="1">
        <f t="array" ref="L19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3" s="94" t="e">
        <f>AVERAGE(Table1191835[[#This Row],[*C*]:[*TD*]])</f>
        <v>#N/A</v>
      </c>
    </row>
    <row r="194" spans="2:13" hidden="1" x14ac:dyDescent="0.35">
      <c r="B194" s="6" t="s">
        <v>570</v>
      </c>
      <c r="C194" s="97" t="s">
        <v>40</v>
      </c>
      <c r="D194" s="97" t="s">
        <v>401</v>
      </c>
      <c r="E194" s="23" t="str" cm="1">
        <f t="array" ref="E194">_xlfn.XLOOKUP(Table1191835[[#This Row],[Team]],Table4334[Team],'2425'!$C$3:$C$34)</f>
        <v>n/a</v>
      </c>
      <c r="F194" s="97" t="str">
        <f>'2025'!$E$18</f>
        <v>n/a</v>
      </c>
      <c r="G194" s="94" t="e" cm="1">
        <f t="array" ref="G19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4" s="94" t="e" cm="1">
        <f t="array" ref="H19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4" s="94" t="e" cm="1">
        <f t="array" ref="I19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4" s="96" t="e" cm="1">
        <f t="array" ref="J19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4" s="96" t="e" cm="1">
        <f t="array" ref="K19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4" s="96" t="e" cm="1">
        <f t="array" ref="L19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4" s="94" t="e">
        <f>AVERAGE(Table1191835[[#This Row],[*C*]:[*TD*]])</f>
        <v>#N/A</v>
      </c>
    </row>
    <row r="195" spans="2:13" hidden="1" x14ac:dyDescent="0.35">
      <c r="B195" s="6" t="s">
        <v>416</v>
      </c>
      <c r="C195" s="97" t="s">
        <v>49</v>
      </c>
      <c r="D195" s="97" t="s">
        <v>401</v>
      </c>
      <c r="E195" s="23" t="str" cm="1">
        <f t="array" ref="E195">_xlfn.XLOOKUP(Table1191835[[#This Row],[Team]],Table4334[Team],'2425'!$C$3:$C$34)</f>
        <v>n/a</v>
      </c>
      <c r="F195" s="97" t="str">
        <f>'2025'!$E$27</f>
        <v>n/a</v>
      </c>
      <c r="G195" s="94" t="e" cm="1">
        <f t="array" ref="G19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5" s="94" t="e" cm="1">
        <f t="array" ref="H19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5" s="94" t="e" cm="1">
        <f t="array" ref="I19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5" s="96" t="e" cm="1">
        <f t="array" ref="J19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5" s="96" t="e" cm="1">
        <f t="array" ref="K19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5" s="96" t="e" cm="1">
        <f t="array" ref="L19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5" s="94" t="e">
        <f>AVERAGE(Table1191835[[#This Row],[*C*]:[*TD*]])</f>
        <v>#N/A</v>
      </c>
    </row>
    <row r="196" spans="2:13" hidden="1" x14ac:dyDescent="0.35">
      <c r="B196" s="6" t="s">
        <v>263</v>
      </c>
      <c r="C196" s="97" t="s">
        <v>41</v>
      </c>
      <c r="D196" s="97" t="s">
        <v>401</v>
      </c>
      <c r="E196" s="23" t="str" cm="1">
        <f t="array" ref="E196">_xlfn.XLOOKUP(Table1191835[[#This Row],[Team]],Table4334[Team],'2425'!$C$3:$C$34)</f>
        <v>n/a</v>
      </c>
      <c r="F196" s="97" t="str">
        <f>'2025'!$E$19</f>
        <v>n/a</v>
      </c>
      <c r="G196" s="94" t="e" cm="1">
        <f t="array" ref="G19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6" s="94" t="e" cm="1">
        <f t="array" ref="H19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6" s="94" t="e" cm="1">
        <f t="array" ref="I19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6" s="96" t="e" cm="1">
        <f t="array" ref="J19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6" s="96" t="e" cm="1">
        <f t="array" ref="K19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6" s="96" t="e" cm="1">
        <f t="array" ref="L19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6" s="94" t="e">
        <f>AVERAGE(Table1191835[[#This Row],[*C*]:[*TD*]])</f>
        <v>#N/A</v>
      </c>
    </row>
    <row r="197" spans="2:13" hidden="1" x14ac:dyDescent="0.35">
      <c r="B197" s="6" t="s">
        <v>579</v>
      </c>
      <c r="C197" s="97" t="s">
        <v>34</v>
      </c>
      <c r="D197" s="97" t="s">
        <v>403</v>
      </c>
      <c r="E197" s="23" t="str" cm="1">
        <f t="array" ref="E197">_xlfn.XLOOKUP(Table1191835[[#This Row],[Team]],Table4334[Team],'2425'!$C$3:$C$34)</f>
        <v>n/a</v>
      </c>
      <c r="F197" s="97" t="str">
        <f>'2025'!$E$12</f>
        <v>n/a</v>
      </c>
      <c r="G197" s="94" t="e" cm="1">
        <f t="array" ref="G19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7" s="94" t="e" cm="1">
        <f t="array" ref="H19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7" s="94" t="e" cm="1">
        <f t="array" ref="I19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7" s="96" t="e" cm="1">
        <f t="array" ref="J19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7" s="96" t="e" cm="1">
        <f t="array" ref="K19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7" s="96" t="e" cm="1">
        <f t="array" ref="L19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7" s="94" t="e">
        <f>AVERAGE(Table1191835[[#This Row],[*C*]:[*TD*]])</f>
        <v>#N/A</v>
      </c>
    </row>
    <row r="198" spans="2:13" hidden="1" x14ac:dyDescent="0.35">
      <c r="B198" s="6" t="s">
        <v>390</v>
      </c>
      <c r="C198" s="97" t="s">
        <v>56</v>
      </c>
      <c r="D198" s="97" t="s">
        <v>403</v>
      </c>
      <c r="E198" s="23" t="str" cm="1">
        <f t="array" ref="E198">_xlfn.XLOOKUP(Table1191835[[#This Row],[Team]],Table4334[Team],'2425'!$C$3:$C$34)</f>
        <v>n/a</v>
      </c>
      <c r="F198" s="97" t="str">
        <f>'2025'!$E$34</f>
        <v>n/a</v>
      </c>
      <c r="G198" s="94" t="e" cm="1">
        <f t="array" ref="G19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8" s="94" t="e" cm="1">
        <f t="array" ref="H19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8" s="94" t="e" cm="1">
        <f t="array" ref="I19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8" s="96" t="e" cm="1">
        <f t="array" ref="J19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8" s="96" t="e" cm="1">
        <f t="array" ref="K19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8" s="96" t="e" cm="1">
        <f t="array" ref="L19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8" s="94" t="e">
        <f>AVERAGE(Table1191835[[#This Row],[*C*]:[*TD*]])</f>
        <v>#N/A</v>
      </c>
    </row>
    <row r="199" spans="2:13" hidden="1" x14ac:dyDescent="0.35">
      <c r="B199" s="6" t="s">
        <v>463</v>
      </c>
      <c r="C199" s="97" t="s">
        <v>56</v>
      </c>
      <c r="D199" s="97" t="s">
        <v>411</v>
      </c>
      <c r="E199" s="23" t="str" cm="1">
        <f t="array" ref="E199">_xlfn.XLOOKUP(Table1191835[[#This Row],[Team]],Table4334[Team],'2425'!$C$3:$C$34)</f>
        <v>n/a</v>
      </c>
      <c r="F199" s="97" t="str">
        <f>'2025'!$E$34</f>
        <v>n/a</v>
      </c>
      <c r="G199" s="94" t="e" cm="1">
        <f t="array" ref="G19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199" s="94" t="e" cm="1">
        <f t="array" ref="H19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199" s="94" t="e" cm="1">
        <f t="array" ref="I19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199" s="96" t="e" cm="1">
        <f t="array" ref="J19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199" s="96" t="e" cm="1">
        <f t="array" ref="K19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199" s="96" t="e" cm="1">
        <f t="array" ref="L19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199" s="94" t="e">
        <f>AVERAGE(Table1191835[[#This Row],[*C*]:[*TD*]])</f>
        <v>#N/A</v>
      </c>
    </row>
    <row r="200" spans="2:13" hidden="1" x14ac:dyDescent="0.35">
      <c r="B200" s="6" t="s">
        <v>492</v>
      </c>
      <c r="C200" s="97" t="s">
        <v>51</v>
      </c>
      <c r="D200" s="97" t="s">
        <v>401</v>
      </c>
      <c r="E200" s="23" t="str" cm="1">
        <f t="array" ref="E200">_xlfn.XLOOKUP(Table1191835[[#This Row],[Team]],Table4334[Team],'2425'!$C$3:$C$34)</f>
        <v>n/a</v>
      </c>
      <c r="F200" s="97" t="str">
        <f>'2025'!$E$29</f>
        <v>n/a</v>
      </c>
      <c r="G200" s="94" t="e" cm="1">
        <f t="array" ref="G20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0" s="94" t="e" cm="1">
        <f t="array" ref="H20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0" s="94" t="e" cm="1">
        <f t="array" ref="I20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0" s="96" t="e" cm="1">
        <f t="array" ref="J20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0" s="96" t="e" cm="1">
        <f t="array" ref="K20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0" s="96" t="e" cm="1">
        <f t="array" ref="L20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0" s="94" t="e">
        <f>AVERAGE(Table1191835[[#This Row],[*C*]:[*TD*]])</f>
        <v>#N/A</v>
      </c>
    </row>
    <row r="201" spans="2:13" hidden="1" x14ac:dyDescent="0.35">
      <c r="B201" s="6" t="s">
        <v>143</v>
      </c>
      <c r="C201" s="97" t="s">
        <v>16</v>
      </c>
      <c r="D201" s="97" t="s">
        <v>66</v>
      </c>
      <c r="E201" s="23" t="str" cm="1">
        <f t="array" ref="E201">_xlfn.XLOOKUP(Table1191835[[#This Row],[Team]],Table4334[Team],'2425'!$C$3:$C$34)</f>
        <v>n/a</v>
      </c>
      <c r="F201" s="97" t="str">
        <f>'2025'!$E$5</f>
        <v>n/a</v>
      </c>
      <c r="G201" s="94" t="e" cm="1">
        <f t="array" ref="G20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1" s="94" t="e" cm="1">
        <f t="array" ref="H20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1" s="94" t="e" cm="1">
        <f t="array" ref="I20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1" s="96" t="e" cm="1">
        <f t="array" ref="J20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1" s="96" t="e" cm="1">
        <f t="array" ref="K20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1" s="96" t="e" cm="1">
        <f t="array" ref="L20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1" s="94" t="e">
        <f>AVERAGE(Table1191835[[#This Row],[*C*]:[*TD*]])</f>
        <v>#N/A</v>
      </c>
    </row>
    <row r="202" spans="2:13" hidden="1" x14ac:dyDescent="0.35">
      <c r="B202" s="6" t="s">
        <v>139</v>
      </c>
      <c r="C202" s="97" t="s">
        <v>16</v>
      </c>
      <c r="D202" s="97" t="s">
        <v>67</v>
      </c>
      <c r="E202" s="23" t="str" cm="1">
        <f t="array" ref="E202">_xlfn.XLOOKUP(Table1191835[[#This Row],[Team]],Table4334[Team],'2425'!$C$3:$C$34)</f>
        <v>n/a</v>
      </c>
      <c r="F202" s="97" t="str">
        <f>'2025'!$E$5</f>
        <v>n/a</v>
      </c>
      <c r="G202" s="94" t="e" cm="1">
        <f t="array" ref="G20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2" s="94" t="e" cm="1">
        <f t="array" ref="H20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2" s="94" t="e" cm="1">
        <f t="array" ref="I20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2" s="96" t="e" cm="1">
        <f t="array" ref="J20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2" s="96" t="e" cm="1">
        <f t="array" ref="K20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2" s="96" t="e" cm="1">
        <f t="array" ref="L20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2" s="94" t="e">
        <f>AVERAGE(Table1191835[[#This Row],[*C*]:[*TD*]])</f>
        <v>#N/A</v>
      </c>
    </row>
    <row r="203" spans="2:13" hidden="1" x14ac:dyDescent="0.35">
      <c r="B203" s="6" t="s">
        <v>625</v>
      </c>
      <c r="C203" s="97" t="s">
        <v>39</v>
      </c>
      <c r="D203" s="97" t="s">
        <v>401</v>
      </c>
      <c r="E203" s="23" t="str" cm="1">
        <f t="array" ref="E203">_xlfn.XLOOKUP(Table1191835[[#This Row],[Team]],Table4334[Team],'2425'!$C$3:$C$34)</f>
        <v>n/a</v>
      </c>
      <c r="F203" s="97" t="str">
        <f>'2025'!$E$17</f>
        <v>n/a</v>
      </c>
      <c r="G203" s="94" t="e" cm="1">
        <f t="array" ref="G20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3" s="94" t="e" cm="1">
        <f t="array" ref="H20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3" s="94" t="e" cm="1">
        <f t="array" ref="I20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3" s="96" t="e" cm="1">
        <f t="array" ref="J20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3" s="96" t="e" cm="1">
        <f t="array" ref="K20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3" s="96" t="e" cm="1">
        <f t="array" ref="L20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3" s="94" t="e">
        <f>AVERAGE(Table1191835[[#This Row],[*C*]:[*TD*]])</f>
        <v>#N/A</v>
      </c>
    </row>
    <row r="204" spans="2:13" hidden="1" x14ac:dyDescent="0.35">
      <c r="B204" s="6" t="s">
        <v>147</v>
      </c>
      <c r="C204" s="97" t="s">
        <v>16</v>
      </c>
      <c r="D204" s="97" t="s">
        <v>68</v>
      </c>
      <c r="E204" s="23" t="str" cm="1">
        <f t="array" ref="E204">_xlfn.XLOOKUP(Table1191835[[#This Row],[Team]],Table4334[Team],'2425'!$C$3:$C$34)</f>
        <v>n/a</v>
      </c>
      <c r="F204" s="97" t="str">
        <f>'2025'!$E$5</f>
        <v>n/a</v>
      </c>
      <c r="G204" s="94" t="e" cm="1">
        <f t="array" ref="G20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4" s="94" t="e" cm="1">
        <f t="array" ref="H20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4" s="94" t="e" cm="1">
        <f t="array" ref="I20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4" s="96" t="e" cm="1">
        <f t="array" ref="J20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4" s="96" t="e" cm="1">
        <f t="array" ref="K20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4" s="96" t="e" cm="1">
        <f t="array" ref="L20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4" s="94" t="e">
        <f>AVERAGE(Table1191835[[#This Row],[*C*]:[*TD*]])</f>
        <v>#N/A</v>
      </c>
    </row>
    <row r="205" spans="2:13" x14ac:dyDescent="0.35">
      <c r="B205" s="6" t="s">
        <v>412</v>
      </c>
      <c r="C205" s="97" t="s">
        <v>46</v>
      </c>
      <c r="D205" s="97" t="s">
        <v>401</v>
      </c>
      <c r="E205" s="23" t="str" cm="1">
        <f t="array" ref="E205">_xlfn.XLOOKUP(Table1191835[[#This Row],[Team]],Table4334[Team],'2425'!$C$3:$C$34)</f>
        <v>SB LX</v>
      </c>
      <c r="F205" s="97" t="str">
        <f>'2025'!$E$24</f>
        <v>SEA</v>
      </c>
      <c r="G205" s="94" cm="1">
        <f t="array" ref="G205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23</v>
      </c>
      <c r="H205" s="94" cm="1">
        <f t="array" ref="H205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19</v>
      </c>
      <c r="I205" s="94" cm="1">
        <f t="array" ref="I205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205" s="96" cm="1">
        <f t="array" ref="J205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0.8529411764705882</v>
      </c>
      <c r="K205" s="96" cm="1">
        <f t="array" ref="K205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9.7941176470588225</v>
      </c>
      <c r="L205" s="96" cm="1">
        <f t="array" ref="L205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205" s="94">
        <f>AVERAGE(Table1191835[[#This Row],[*C*]:[*TD*]])</f>
        <v>19.666666666666668</v>
      </c>
    </row>
    <row r="206" spans="2:13" x14ac:dyDescent="0.35">
      <c r="B206" s="6" t="s">
        <v>578</v>
      </c>
      <c r="C206" s="97" t="s">
        <v>34</v>
      </c>
      <c r="D206" s="97" t="s">
        <v>401</v>
      </c>
      <c r="E206" s="23" t="str" cm="1">
        <f t="array" ref="E206">_xlfn.XLOOKUP(Table1191835[[#This Row],[Team]],Table4334[Team],'2425'!$C$3:$C$34)</f>
        <v>n/a</v>
      </c>
      <c r="F206" s="97" t="str">
        <f>'2025'!$E$12</f>
        <v>n/a</v>
      </c>
      <c r="G206" s="94" t="e" cm="1">
        <f t="array" ref="G206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6" s="94" t="e" cm="1">
        <f t="array" ref="H206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6" s="94" t="e" cm="1">
        <f t="array" ref="I206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6" s="96" t="e" cm="1">
        <f t="array" ref="J206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6" s="96" t="e" cm="1">
        <f t="array" ref="K206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6" s="96" t="e" cm="1">
        <f t="array" ref="L206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6" s="94" t="e">
        <f>AVERAGE(Table1191835[[#This Row],[*C*]:[*TD*]])</f>
        <v>#N/A</v>
      </c>
    </row>
    <row r="207" spans="2:13" hidden="1" x14ac:dyDescent="0.35">
      <c r="B207" s="6" t="s">
        <v>470</v>
      </c>
      <c r="C207" s="97" t="s">
        <v>16</v>
      </c>
      <c r="D207" s="97" t="s">
        <v>401</v>
      </c>
      <c r="E207" s="23" t="str" cm="1">
        <f t="array" ref="E207">_xlfn.XLOOKUP(Table1191835[[#This Row],[Team]],Table4334[Team],'2425'!$C$3:$C$34)</f>
        <v>n/a</v>
      </c>
      <c r="F207" s="97" t="str">
        <f>'2025'!$E$5</f>
        <v>n/a</v>
      </c>
      <c r="G207" s="94" t="e" cm="1">
        <f t="array" ref="G207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7" s="94" t="e" cm="1">
        <f t="array" ref="H207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7" s="94" t="e" cm="1">
        <f t="array" ref="I207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7" s="96" t="e" cm="1">
        <f t="array" ref="J207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7" s="96" t="e" cm="1">
        <f t="array" ref="K207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7" s="96" t="e" cm="1">
        <f t="array" ref="L207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7" s="94" t="e">
        <f>AVERAGE(Table1191835[[#This Row],[*C*]:[*TD*]])</f>
        <v>#N/A</v>
      </c>
    </row>
    <row r="208" spans="2:13" hidden="1" x14ac:dyDescent="0.35">
      <c r="B208" s="6" t="s">
        <v>266</v>
      </c>
      <c r="C208" s="97" t="s">
        <v>46</v>
      </c>
      <c r="D208" s="97" t="s">
        <v>403</v>
      </c>
      <c r="E208" s="23" t="str" cm="1">
        <f t="array" ref="E208">_xlfn.XLOOKUP(Table1191835[[#This Row],[Team]],Table4334[Team],'2425'!$C$3:$C$34)</f>
        <v>SB LX</v>
      </c>
      <c r="F208" s="97" t="str">
        <f>'2025'!$E$24</f>
        <v>SEA</v>
      </c>
      <c r="G208" s="94" cm="1">
        <f t="array" ref="G208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23</v>
      </c>
      <c r="H208" s="94" cm="1">
        <f t="array" ref="H208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19</v>
      </c>
      <c r="I208" s="94" cm="1">
        <f t="array" ref="I208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208" s="96" cm="1">
        <f t="array" ref="J208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0.8529411764705882</v>
      </c>
      <c r="K208" s="96" cm="1">
        <f t="array" ref="K208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9.7941176470588225</v>
      </c>
      <c r="L208" s="96" cm="1">
        <f t="array" ref="L208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208" s="94">
        <f>AVERAGE(Table1191835[[#This Row],[*C*]:[*TD*]])</f>
        <v>19.666666666666668</v>
      </c>
    </row>
    <row r="209" spans="2:13" hidden="1" x14ac:dyDescent="0.35">
      <c r="B209" s="6" t="s">
        <v>428</v>
      </c>
      <c r="C209" s="97" t="s">
        <v>48</v>
      </c>
      <c r="D209" s="97" t="s">
        <v>403</v>
      </c>
      <c r="E209" s="23" t="str" cm="1">
        <f t="array" ref="E209">_xlfn.XLOOKUP(Table1191835[[#This Row],[Team]],Table4334[Team],'2425'!$C$3:$C$34)</f>
        <v>n/a</v>
      </c>
      <c r="F209" s="97" t="str">
        <f>'2025'!$E$26</f>
        <v>n/a</v>
      </c>
      <c r="G209" s="94" t="e" cm="1">
        <f t="array" ref="G209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09" s="94" t="e" cm="1">
        <f t="array" ref="H209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09" s="94" t="e" cm="1">
        <f t="array" ref="I209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09" s="96" t="e" cm="1">
        <f t="array" ref="J209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09" s="96" t="e" cm="1">
        <f t="array" ref="K209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09" s="96" t="e" cm="1">
        <f t="array" ref="L209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09" s="94" t="e">
        <f>AVERAGE(Table1191835[[#This Row],[*C*]:[*TD*]])</f>
        <v>#N/A</v>
      </c>
    </row>
    <row r="210" spans="2:13" hidden="1" x14ac:dyDescent="0.35">
      <c r="B210" s="6" t="s">
        <v>450</v>
      </c>
      <c r="C210" s="97" t="s">
        <v>46</v>
      </c>
      <c r="D210" s="97" t="s">
        <v>411</v>
      </c>
      <c r="E210" s="23" t="str" cm="1">
        <f t="array" ref="E210">_xlfn.XLOOKUP(Table1191835[[#This Row],[Team]],Table4334[Team],'2425'!$C$3:$C$34)</f>
        <v>SB LX</v>
      </c>
      <c r="F210" s="97" t="str">
        <f>'2025'!$E$24</f>
        <v>SEA</v>
      </c>
      <c r="G210" s="94" cm="1">
        <f t="array" ref="G210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23</v>
      </c>
      <c r="H210" s="94" cm="1">
        <f t="array" ref="H210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19</v>
      </c>
      <c r="I210" s="94" cm="1">
        <f t="array" ref="I210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210" s="96" cm="1">
        <f t="array" ref="J210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0.8529411764705882</v>
      </c>
      <c r="K210" s="96" cm="1">
        <f t="array" ref="K210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9.7941176470588225</v>
      </c>
      <c r="L210" s="96" cm="1">
        <f t="array" ref="L210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210" s="94">
        <f>AVERAGE(Table1191835[[#This Row],[*C*]:[*TD*]])</f>
        <v>19.666666666666668</v>
      </c>
    </row>
    <row r="211" spans="2:13" hidden="1" x14ac:dyDescent="0.35">
      <c r="B211" s="6" t="s">
        <v>439</v>
      </c>
      <c r="C211" s="97" t="s">
        <v>48</v>
      </c>
      <c r="D211" s="97" t="s">
        <v>411</v>
      </c>
      <c r="E211" s="23" t="str" cm="1">
        <f t="array" ref="E211">_xlfn.XLOOKUP(Table1191835[[#This Row],[Team]],Table4334[Team],'2425'!$C$3:$C$34)</f>
        <v>n/a</v>
      </c>
      <c r="F211" s="97" t="str">
        <f>'2025'!$E$26</f>
        <v>n/a</v>
      </c>
      <c r="G211" s="94" t="e" cm="1">
        <f t="array" ref="G211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11" s="94" t="e" cm="1">
        <f t="array" ref="H211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11" s="94" t="e" cm="1">
        <f t="array" ref="I211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11" s="96" t="e" cm="1">
        <f t="array" ref="J211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11" s="96" t="e" cm="1">
        <f t="array" ref="K211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11" s="96" t="e" cm="1">
        <f t="array" ref="L211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11" s="94" t="e">
        <f>AVERAGE(Table1191835[[#This Row],[*C*]:[*TD*]])</f>
        <v>#N/A</v>
      </c>
    </row>
    <row r="212" spans="2:13" hidden="1" x14ac:dyDescent="0.35">
      <c r="B212" s="112" t="s">
        <v>413</v>
      </c>
      <c r="C212" s="113" t="s">
        <v>46</v>
      </c>
      <c r="D212" s="113" t="s">
        <v>441</v>
      </c>
      <c r="E212" s="23" t="str" cm="1">
        <f t="array" ref="E212">_xlfn.XLOOKUP(Table1191835[[#This Row],[Team]],Table4334[Team],'2425'!$C$3:$C$34)</f>
        <v>SB LX</v>
      </c>
      <c r="F212" s="97" t="str">
        <f>'2025'!$E$24</f>
        <v>SEA</v>
      </c>
      <c r="G212" s="94" cm="1">
        <f t="array" ref="G212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23</v>
      </c>
      <c r="H212" s="94" cm="1">
        <f t="array" ref="H212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19</v>
      </c>
      <c r="I212" s="94" cm="1">
        <f t="array" ref="I212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17</v>
      </c>
      <c r="J212" s="96" cm="1">
        <f t="array" ref="J212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0.8529411764705882</v>
      </c>
      <c r="K212" s="96" cm="1">
        <f t="array" ref="K212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9.7941176470588225</v>
      </c>
      <c r="L212" s="96" cm="1">
        <f t="array" ref="L212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5.8823529411764705E-2</v>
      </c>
      <c r="M212" s="94">
        <f>AVERAGE(Table1191835[[#This Row],[*C*]:[*TD*]])</f>
        <v>19.666666666666668</v>
      </c>
    </row>
    <row r="213" spans="2:13" hidden="1" x14ac:dyDescent="0.35">
      <c r="B213" s="112" t="s">
        <v>440</v>
      </c>
      <c r="C213" s="113" t="s">
        <v>48</v>
      </c>
      <c r="D213" s="113" t="s">
        <v>441</v>
      </c>
      <c r="E213" s="23" t="str" cm="1">
        <f t="array" ref="E213">_xlfn.XLOOKUP(Table1191835[[#This Row],[Team]],Table4334[Team],'2425'!$C$3:$C$34)</f>
        <v>n/a</v>
      </c>
      <c r="F213" s="97" t="str">
        <f>'2025'!$E$26</f>
        <v>n/a</v>
      </c>
      <c r="G213" s="94" t="e" cm="1">
        <f t="array" ref="G213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13" s="94" t="e" cm="1">
        <f t="array" ref="H213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13" s="94" t="e" cm="1">
        <f t="array" ref="I213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13" s="96" t="e" cm="1">
        <f t="array" ref="J213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13" s="96" t="e" cm="1">
        <f t="array" ref="K213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13" s="96" t="e" cm="1">
        <f t="array" ref="L213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13" s="94" t="e">
        <f>AVERAGE(Table1191835[[#This Row],[*C*]:[*TD*]])</f>
        <v>#N/A</v>
      </c>
    </row>
    <row r="214" spans="2:13" hidden="1" x14ac:dyDescent="0.35">
      <c r="B214" s="112" t="s">
        <v>327</v>
      </c>
      <c r="C214" s="113" t="s">
        <v>48</v>
      </c>
      <c r="D214" s="113" t="s">
        <v>443</v>
      </c>
      <c r="E214" s="23" t="str" cm="1">
        <f t="array" ref="E214">_xlfn.XLOOKUP(Table1191835[[#This Row],[Team]],Table4334[Team],'2425'!$C$3:$C$34)</f>
        <v>n/a</v>
      </c>
      <c r="F214" s="97" t="str">
        <f>'2025'!$E$26</f>
        <v>n/a</v>
      </c>
      <c r="G214" s="94" t="e" cm="1">
        <f t="array" ref="G214">_xlfn.IFS(Table1191835[[#This Row],[Pos.]]="WR1",_xlfn.XLOOKUP(Table1191835[[#This Row],[Opp]],Table731[DEF],'2425'!$U$3:$U$34),Table1191835[[#This Row],[Pos.]]="WR2",_xlfn.XLOOKUP(Table1191835[[#This Row],[Opp]],Table71236[DEF],'2425'!$AD$3:$AD$34),Table1191835[[#This Row],[Pos.]]="WR3",_xlfn.XLOOKUP(Table1191835[[#This Row],[Opp]],Table7121437[DEF],'2425'!$U$38:$U$69),OR(Table1191835[[#This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Row],[Opp]],Table712141538[DEF],'2425'!$AD$38:$AD$69))</f>
        <v>#N/A</v>
      </c>
      <c r="H214" s="94" t="e" cm="1">
        <f t="array" ref="H214">_xlfn.IFS(Table1191835[[#This Row],[Pos.]]="WR1",_xlfn.XLOOKUP(Table1191835[[#This Row],[Opp]],Table731[DEF],'2425'!$V$3:$V$34),Table1191835[[#This Row],[Pos.]]="WR2",_xlfn.XLOOKUP(Table1191835[[#This Row],[Opp]],Table71236[DEF],'2425'!$AE$3:$AE$34),Table1191835[[#This Row],[Pos.]]="WR3",_xlfn.XLOOKUP(Table1191835[[#This Row],[Opp]],Table7121437[DEF],'2425'!$V$38:$V$69),OR(Table1191835[[#This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Row],[Opp]],Table712141538[DEF],'2425'!$AE$38:$AE$69))</f>
        <v>#N/A</v>
      </c>
      <c r="I214" s="94" t="e" cm="1">
        <f t="array" ref="I214">_xlfn.IFS(Table1191835[[#This Row],[Pos.]]="WR1",_xlfn.XLOOKUP(Table1191835[[#This Row],[Opp]],Table731[DEF],'2425'!$W$3:$W$34),Table1191835[[#This Row],[Pos.]]="WR2",_xlfn.XLOOKUP(Table1191835[[#This Row],[Opp]],Table71236[DEF],'2425'!$AF$3:$AF$34),Table1191835[[#This Row],[Pos.]]="WR3",_xlfn.XLOOKUP(Table1191835[[#This Row],[Opp]],Table7121437[DEF],'2425'!$W$38:$W$69),OR(Table1191835[[#This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Row],[Opp]],Table712141538[DEF],'2425'!$AF$38:$AF$69))</f>
        <v>#N/A</v>
      </c>
      <c r="J214" s="96" t="e" cm="1">
        <f t="array" ref="J214">_xlfn.IFS(Table1191835[[#This Row],[Pos.]]="WR1",_xlfn.XLOOKUP(Table1191835[[#This Row],[Opp]],Table731[DEF],Table731[REC]),Table1191835[[#This Row],[Pos.]]="WR2",_xlfn.XLOOKUP(Table1191835[[#This Row],[Opp]],Table71236[DEF],Table71236[REC]),Table1191835[[#This Row],[Pos.]]="WR3",_xlfn.XLOOKUP(Table1191835[[#This Row],[Opp]],Table7121437[DEF],Table7121437[REC]),OR(Table1191835[[#This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Row],[Opp]],Table712141538[DEF],Table712141538[REC]))</f>
        <v>#N/A</v>
      </c>
      <c r="K214" s="96" t="e" cm="1">
        <f t="array" ref="K214">_xlfn.IFS(Table1191835[[#This Row],[Pos.]]="WR1",_xlfn.XLOOKUP(Table1191835[[#This Row],[Opp]],Table731[DEF],Table731[Y]),Table1191835[[#This Row],[Pos.]]="WR2",_xlfn.XLOOKUP(Table1191835[[#This Row],[Opp]],Table71236[DEF],Table71236[Y]),Table1191835[[#This Row],[Pos.]]="WR3",_xlfn.XLOOKUP(Table1191835[[#This Row],[Opp]],Table7121437[DEF],Table7121437[Y]),OR(Table1191835[[#This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Row],[Opp]],Table712141538[DEF],Table712141538[Y]))</f>
        <v>#N/A</v>
      </c>
      <c r="L214" s="96" t="e" cm="1">
        <f t="array" ref="L214">_xlfn.IFS(Table1191835[[#This Row],[Pos.]]="WR1",_xlfn.XLOOKUP(Table1191835[[#This Row],[Opp]],Table731[DEF],Table731[TD]),Table1191835[[#This Row],[Pos.]]="WR2",_xlfn.XLOOKUP(Table1191835[[#This Row],[Opp]],Table71236[DEF],Table71236[TD]),Table1191835[[#This Row],[Pos.]]="WR3",_xlfn.XLOOKUP(Table1191835[[#This Row],[Opp]],Table7121437[DEF],Table7121437[TD]),OR(Table1191835[[#This Row],[Pos.]]="WR4",Table1191835[[#This Row],[Pos.]]="WR5",Table1191835[[#This Row],[Pos.]]="WR6",Table1191835[[#This Row],[Pos.]]="WR7",Table1191835[[#This Row],[Pos.]]="WR8",Table1191835[[#This Row],[Pos.]]="WR9"),_xlfn.XLOOKUP(Table1191835[[#This Row],[Opp]],Table712141538[DEF],Table712141538[TD]))</f>
        <v>#N/A</v>
      </c>
      <c r="M214" s="94" t="e">
        <f>AVERAGE(Table1191835[[#This Row],[*C*]:[*TD*]])</f>
        <v>#N/A</v>
      </c>
    </row>
  </sheetData>
  <conditionalFormatting sqref="C2:C214 F2:F214 H2:H214">
    <cfRule type="cellIs" dxfId="2763" priority="23" operator="equal">
      <formula>"TB"</formula>
    </cfRule>
    <cfRule type="cellIs" dxfId="2762" priority="34" operator="equal">
      <formula>"SF"</formula>
    </cfRule>
    <cfRule type="cellIs" dxfId="2761" priority="35" operator="equal">
      <formula>"WAS"</formula>
    </cfRule>
    <cfRule type="cellIs" dxfId="2760" priority="36" operator="equal">
      <formula>"GB"</formula>
    </cfRule>
    <cfRule type="cellIs" dxfId="2759" priority="37" operator="equal">
      <formula>"DAL"</formula>
    </cfRule>
    <cfRule type="cellIs" dxfId="2758" priority="38" operator="equal">
      <formula>"CIN"</formula>
    </cfRule>
    <cfRule type="cellIs" dxfId="2757" priority="39" operator="equal">
      <formula>"ARI"</formula>
    </cfRule>
    <cfRule type="cellIs" dxfId="2756" priority="40" operator="equal">
      <formula>"HOU"</formula>
    </cfRule>
    <cfRule type="cellIs" dxfId="2755" priority="17" operator="equal">
      <formula>"PIT"</formula>
    </cfRule>
    <cfRule type="cellIs" dxfId="2754" priority="41" operator="equal">
      <formula>"IND"</formula>
    </cfRule>
    <cfRule type="cellIs" dxfId="2753" priority="42" operator="equal">
      <formula>"KC"</formula>
    </cfRule>
    <cfRule type="cellIs" dxfId="2752" priority="43" operator="equal">
      <formula>"BAL"</formula>
    </cfRule>
    <cfRule type="cellIs" dxfId="2751" priority="13" operator="equal">
      <formula>"BYE"</formula>
    </cfRule>
    <cfRule type="cellIs" dxfId="2750" priority="14" operator="equal">
      <formula>"LV"</formula>
    </cfRule>
    <cfRule type="cellIs" dxfId="2749" priority="15" operator="equal">
      <formula>"NE"</formula>
    </cfRule>
    <cfRule type="cellIs" dxfId="2748" priority="16" operator="equal">
      <formula>"MIN"</formula>
    </cfRule>
    <cfRule type="cellIs" dxfId="2747" priority="44" operator="equal">
      <formula>"PHI"</formula>
    </cfRule>
    <cfRule type="cellIs" dxfId="2746" priority="18" operator="equal">
      <formula>"DEN"</formula>
    </cfRule>
    <cfRule type="cellIs" dxfId="2745" priority="19" operator="equal">
      <formula>"CAR"</formula>
    </cfRule>
    <cfRule type="cellIs" dxfId="2744" priority="20" operator="equal">
      <formula>"NYG"</formula>
    </cfRule>
    <cfRule type="cellIs" dxfId="2743" priority="21" operator="equal">
      <formula>"NO"</formula>
    </cfRule>
    <cfRule type="cellIs" dxfId="2742" priority="22" operator="equal">
      <formula>"TEN"</formula>
    </cfRule>
    <cfRule type="cellIs" dxfId="2741" priority="45" operator="equal">
      <formula>"BUF"</formula>
    </cfRule>
    <cfRule type="cellIs" dxfId="2740" priority="24" operator="equal">
      <formula>"CLE"</formula>
    </cfRule>
    <cfRule type="cellIs" dxfId="2739" priority="25" operator="equal">
      <formula>"NYJ"</formula>
    </cfRule>
    <cfRule type="cellIs" dxfId="2738" priority="26" operator="equal">
      <formula>"SEA"</formula>
    </cfRule>
    <cfRule type="cellIs" dxfId="2737" priority="27" operator="equal">
      <formula>"LAC"</formula>
    </cfRule>
    <cfRule type="cellIs" dxfId="2736" priority="28" operator="equal">
      <formula>"LAR"</formula>
    </cfRule>
    <cfRule type="cellIs" dxfId="2735" priority="29" operator="equal">
      <formula>"ATL"</formula>
    </cfRule>
    <cfRule type="cellIs" dxfId="2734" priority="30" operator="equal">
      <formula>"JAX"</formula>
    </cfRule>
    <cfRule type="cellIs" dxfId="2733" priority="31" operator="equal">
      <formula>"CHI"</formula>
    </cfRule>
    <cfRule type="cellIs" dxfId="2732" priority="32" operator="equal">
      <formula>"MIA"</formula>
    </cfRule>
    <cfRule type="cellIs" dxfId="2731" priority="33" operator="equal">
      <formula>"DET"</formula>
    </cfRule>
  </conditionalFormatting>
  <conditionalFormatting sqref="D2:D214">
    <cfRule type="cellIs" dxfId="2730" priority="50" operator="equal">
      <formula>"TE5"</formula>
    </cfRule>
    <cfRule type="cellIs" dxfId="2729" priority="58" operator="equal">
      <formula>"TE3"</formula>
    </cfRule>
    <cfRule type="cellIs" dxfId="2728" priority="59" operator="equal">
      <formula>"WR3"</formula>
    </cfRule>
    <cfRule type="cellIs" dxfId="2727" priority="60" operator="equal">
      <formula>"RB3"</formula>
    </cfRule>
    <cfRule type="cellIs" dxfId="2726" priority="61" operator="equal">
      <formula>"QB3"</formula>
    </cfRule>
    <cfRule type="cellIs" dxfId="2725" priority="62" operator="equal">
      <formula>"TE2"</formula>
    </cfRule>
    <cfRule type="cellIs" dxfId="2724" priority="63" operator="equal">
      <formula>"WR2"</formula>
    </cfRule>
    <cfRule type="cellIs" dxfId="2723" priority="67" operator="equal">
      <formula>"WR1"</formula>
    </cfRule>
    <cfRule type="cellIs" dxfId="2722" priority="68" operator="equal">
      <formula>"RB1"</formula>
    </cfRule>
    <cfRule type="cellIs" dxfId="2721" priority="69" operator="equal">
      <formula>"QB1"</formula>
    </cfRule>
    <cfRule type="cellIs" dxfId="2720" priority="64" operator="equal">
      <formula>"RB2"</formula>
    </cfRule>
    <cfRule type="cellIs" dxfId="2719" priority="65" operator="equal">
      <formula>"QB2"</formula>
    </cfRule>
    <cfRule type="cellIs" dxfId="2718" priority="46" operator="equal">
      <formula>"WR9"</formula>
    </cfRule>
    <cfRule type="cellIs" dxfId="2717" priority="47" operator="equal">
      <formula>"WR8"</formula>
    </cfRule>
    <cfRule type="cellIs" dxfId="2716" priority="48" operator="equal">
      <formula>"WR7"</formula>
    </cfRule>
    <cfRule type="cellIs" dxfId="2715" priority="49" operator="equal">
      <formula>"WR6"</formula>
    </cfRule>
    <cfRule type="cellIs" dxfId="2714" priority="66" operator="equal">
      <formula>"TE1"</formula>
    </cfRule>
    <cfRule type="cellIs" dxfId="2713" priority="51" operator="equal">
      <formula>"WR5"</formula>
    </cfRule>
    <cfRule type="cellIs" dxfId="2712" priority="52" operator="equal">
      <formula>"RB5"</formula>
    </cfRule>
    <cfRule type="cellIs" dxfId="2711" priority="53" operator="equal">
      <formula>"QB5"</formula>
    </cfRule>
    <cfRule type="cellIs" dxfId="2710" priority="54" operator="equal">
      <formula>"TE4"</formula>
    </cfRule>
    <cfRule type="cellIs" dxfId="2709" priority="55" operator="equal">
      <formula>"WR4"</formula>
    </cfRule>
    <cfRule type="cellIs" dxfId="2708" priority="56" operator="equal">
      <formula>"RB4"</formula>
    </cfRule>
    <cfRule type="cellIs" dxfId="2707" priority="57" operator="equal">
      <formula>"QB4"</formula>
    </cfRule>
  </conditionalFormatting>
  <conditionalFormatting sqref="E2:E214">
    <cfRule type="cellIs" dxfId="2706" priority="3" operator="equal">
      <formula>"snf"</formula>
    </cfRule>
    <cfRule type="cellIs" dxfId="2705" priority="4" operator="equal">
      <formula>"mnf"</formula>
    </cfRule>
    <cfRule type="cellIs" dxfId="2704" priority="5" operator="equal">
      <formula>"pm"</formula>
    </cfRule>
    <cfRule type="cellIs" dxfId="2703" priority="6" operator="equal">
      <formula>"am"</formula>
    </cfRule>
    <cfRule type="cellIs" dxfId="2702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  <cfRule type="cellIs" dxfId="2701" priority="1" operator="equal">
      <formula>"FRI"</formula>
    </cfRule>
    <cfRule type="cellIs" dxfId="2700" priority="2" operator="equal">
      <formula>"bye"</formula>
    </cfRule>
  </conditionalFormatting>
  <conditionalFormatting sqref="G2:G214">
    <cfRule type="cellIs" dxfId="2699" priority="128" operator="equal">
      <formula>"BAL"</formula>
    </cfRule>
    <cfRule type="cellIs" dxfId="2698" priority="129" operator="equal">
      <formula>"PHI"</formula>
    </cfRule>
    <cfRule type="cellIs" dxfId="2697" priority="130" operator="equal">
      <formula>"BUF"</formula>
    </cfRule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696" priority="98" operator="equal">
      <formula>"BYE"</formula>
    </cfRule>
    <cfRule type="cellIs" dxfId="2695" priority="99" operator="equal">
      <formula>"LV"</formula>
    </cfRule>
    <cfRule type="cellIs" dxfId="2694" priority="100" operator="equal">
      <formula>"NE"</formula>
    </cfRule>
    <cfRule type="cellIs" dxfId="2693" priority="101" operator="equal">
      <formula>"MIN"</formula>
    </cfRule>
    <cfRule type="cellIs" dxfId="2692" priority="102" operator="equal">
      <formula>"PIT"</formula>
    </cfRule>
    <cfRule type="cellIs" dxfId="2691" priority="103" operator="equal">
      <formula>"DEN"</formula>
    </cfRule>
    <cfRule type="cellIs" dxfId="2690" priority="104" operator="equal">
      <formula>"CAR"</formula>
    </cfRule>
    <cfRule type="cellIs" dxfId="2689" priority="105" operator="equal">
      <formula>"NYG"</formula>
    </cfRule>
    <cfRule type="cellIs" dxfId="2688" priority="106" operator="equal">
      <formula>"NO"</formula>
    </cfRule>
    <cfRule type="cellIs" dxfId="2687" priority="107" operator="equal">
      <formula>"TEN"</formula>
    </cfRule>
    <cfRule type="cellIs" dxfId="2686" priority="108" operator="equal">
      <formula>"TB"</formula>
    </cfRule>
    <cfRule type="cellIs" dxfId="2685" priority="109" operator="equal">
      <formula>"CLE"</formula>
    </cfRule>
    <cfRule type="cellIs" dxfId="2684" priority="110" operator="equal">
      <formula>"NYJ"</formula>
    </cfRule>
    <cfRule type="cellIs" dxfId="2683" priority="111" operator="equal">
      <formula>"SEA"</formula>
    </cfRule>
    <cfRule type="cellIs" dxfId="2682" priority="112" operator="equal">
      <formula>"LAC"</formula>
    </cfRule>
    <cfRule type="cellIs" dxfId="2681" priority="113" operator="equal">
      <formula>"LAR"</formula>
    </cfRule>
    <cfRule type="cellIs" dxfId="2680" priority="114" operator="equal">
      <formula>"ATL"</formula>
    </cfRule>
    <cfRule type="cellIs" dxfId="2679" priority="115" operator="equal">
      <formula>"JAX"</formula>
    </cfRule>
    <cfRule type="cellIs" dxfId="2678" priority="116" operator="equal">
      <formula>"CHI"</formula>
    </cfRule>
    <cfRule type="cellIs" dxfId="2677" priority="117" operator="equal">
      <formula>"MIA"</formula>
    </cfRule>
    <cfRule type="cellIs" dxfId="2676" priority="118" operator="equal">
      <formula>"DET"</formula>
    </cfRule>
    <cfRule type="cellIs" dxfId="2675" priority="119" operator="equal">
      <formula>"SF"</formula>
    </cfRule>
    <cfRule type="cellIs" dxfId="2674" priority="120" operator="equal">
      <formula>"WAS"</formula>
    </cfRule>
    <cfRule type="cellIs" dxfId="2673" priority="121" operator="equal">
      <formula>"GB"</formula>
    </cfRule>
    <cfRule type="cellIs" dxfId="2672" priority="122" operator="equal">
      <formula>"DAL"</formula>
    </cfRule>
    <cfRule type="cellIs" dxfId="2671" priority="123" operator="equal">
      <formula>"CIN"</formula>
    </cfRule>
    <cfRule type="cellIs" dxfId="2670" priority="124" operator="equal">
      <formula>"ARI"</formula>
    </cfRule>
    <cfRule type="cellIs" dxfId="2669" priority="125" operator="equal">
      <formula>"HOU"</formula>
    </cfRule>
    <cfRule type="cellIs" dxfId="2668" priority="126" operator="equal">
      <formula>"IND"</formula>
    </cfRule>
    <cfRule type="cellIs" dxfId="2667" priority="127" operator="equal">
      <formula>"KC"</formula>
    </cfRule>
  </conditionalFormatting>
  <conditionalFormatting sqref="H2:H214">
    <cfRule type="colorScale" priority="1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214">
    <cfRule type="cellIs" dxfId="2666" priority="137" operator="equal">
      <formula>"NE"</formula>
    </cfRule>
    <cfRule type="cellIs" dxfId="2665" priority="165" operator="equal">
      <formula>"BAL"</formula>
    </cfRule>
    <cfRule type="cellIs" dxfId="2664" priority="166" operator="equal">
      <formula>"PHI"</formula>
    </cfRule>
    <cfRule type="colorScale" priority="134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663" priority="135" operator="equal">
      <formula>"BYE"</formula>
    </cfRule>
    <cfRule type="cellIs" dxfId="2662" priority="136" operator="equal">
      <formula>"LV"</formula>
    </cfRule>
    <cfRule type="cellIs" dxfId="2661" priority="146" operator="equal">
      <formula>"CLE"</formula>
    </cfRule>
    <cfRule type="cellIs" dxfId="2660" priority="138" operator="equal">
      <formula>"MIN"</formula>
    </cfRule>
    <cfRule type="cellIs" dxfId="2659" priority="139" operator="equal">
      <formula>"PIT"</formula>
    </cfRule>
    <cfRule type="cellIs" dxfId="2658" priority="140" operator="equal">
      <formula>"DEN"</formula>
    </cfRule>
    <cfRule type="cellIs" dxfId="2657" priority="141" operator="equal">
      <formula>"CAR"</formula>
    </cfRule>
    <cfRule type="cellIs" dxfId="2656" priority="142" operator="equal">
      <formula>"NYG"</formula>
    </cfRule>
    <cfRule type="cellIs" dxfId="2655" priority="143" operator="equal">
      <formula>"NO"</formula>
    </cfRule>
    <cfRule type="cellIs" dxfId="2654" priority="144" operator="equal">
      <formula>"TEN"</formula>
    </cfRule>
    <cfRule type="cellIs" dxfId="2653" priority="145" operator="equal">
      <formula>"TB"</formula>
    </cfRule>
    <cfRule type="cellIs" dxfId="2652" priority="167" operator="equal">
      <formula>"BUF"</formula>
    </cfRule>
    <cfRule type="cellIs" dxfId="2651" priority="147" operator="equal">
      <formula>"NYJ"</formula>
    </cfRule>
    <cfRule type="cellIs" dxfId="2650" priority="148" operator="equal">
      <formula>"SEA"</formula>
    </cfRule>
    <cfRule type="cellIs" dxfId="2649" priority="149" operator="equal">
      <formula>"LAC"</formula>
    </cfRule>
    <cfRule type="cellIs" dxfId="2648" priority="150" operator="equal">
      <formula>"LAR"</formula>
    </cfRule>
    <cfRule type="cellIs" dxfId="2647" priority="151" operator="equal">
      <formula>"ATL"</formula>
    </cfRule>
    <cfRule type="cellIs" dxfId="2646" priority="152" operator="equal">
      <formula>"JAX"</formula>
    </cfRule>
    <cfRule type="cellIs" dxfId="2645" priority="153" operator="equal">
      <formula>"CHI"</formula>
    </cfRule>
    <cfRule type="cellIs" dxfId="2644" priority="154" operator="equal">
      <formula>"MIA"</formula>
    </cfRule>
    <cfRule type="cellIs" dxfId="2643" priority="155" operator="equal">
      <formula>"DET"</formula>
    </cfRule>
    <cfRule type="cellIs" dxfId="2642" priority="156" operator="equal">
      <formula>"SF"</formula>
    </cfRule>
    <cfRule type="cellIs" dxfId="2641" priority="157" operator="equal">
      <formula>"WAS"</formula>
    </cfRule>
    <cfRule type="cellIs" dxfId="2640" priority="158" operator="equal">
      <formula>"GB"</formula>
    </cfRule>
    <cfRule type="cellIs" dxfId="2639" priority="159" operator="equal">
      <formula>"DAL"</formula>
    </cfRule>
    <cfRule type="cellIs" dxfId="2638" priority="160" operator="equal">
      <formula>"CIN"</formula>
    </cfRule>
    <cfRule type="cellIs" dxfId="2637" priority="161" operator="equal">
      <formula>"ARI"</formula>
    </cfRule>
    <cfRule type="cellIs" dxfId="2636" priority="162" operator="equal">
      <formula>"HOU"</formula>
    </cfRule>
    <cfRule type="cellIs" dxfId="2635" priority="163" operator="equal">
      <formula>"IND"</formula>
    </cfRule>
    <cfRule type="cellIs" dxfId="2634" priority="164" operator="equal">
      <formula>"KC"</formula>
    </cfRule>
  </conditionalFormatting>
  <conditionalFormatting sqref="J2:J2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14">
    <cfRule type="colorScale" priority="169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633" priority="170" operator="equal">
      <formula>"BYE"</formula>
    </cfRule>
    <cfRule type="cellIs" dxfId="2632" priority="171" operator="equal">
      <formula>"LV"</formula>
    </cfRule>
    <cfRule type="cellIs" dxfId="2631" priority="172" operator="equal">
      <formula>"NE"</formula>
    </cfRule>
    <cfRule type="cellIs" dxfId="2630" priority="173" operator="equal">
      <formula>"MIN"</formula>
    </cfRule>
    <cfRule type="cellIs" dxfId="2629" priority="174" operator="equal">
      <formula>"PIT"</formula>
    </cfRule>
    <cfRule type="cellIs" dxfId="2628" priority="175" operator="equal">
      <formula>"DEN"</formula>
    </cfRule>
    <cfRule type="cellIs" dxfId="2627" priority="176" operator="equal">
      <formula>"CAR"</formula>
    </cfRule>
    <cfRule type="cellIs" dxfId="2626" priority="177" operator="equal">
      <formula>"NYG"</formula>
    </cfRule>
    <cfRule type="cellIs" dxfId="2625" priority="178" operator="equal">
      <formula>"NO"</formula>
    </cfRule>
    <cfRule type="cellIs" dxfId="2624" priority="179" operator="equal">
      <formula>"TEN"</formula>
    </cfRule>
    <cfRule type="cellIs" dxfId="2623" priority="180" operator="equal">
      <formula>"TB"</formula>
    </cfRule>
    <cfRule type="cellIs" dxfId="2622" priority="181" operator="equal">
      <formula>"CLE"</formula>
    </cfRule>
    <cfRule type="cellIs" dxfId="2621" priority="182" operator="equal">
      <formula>"NYJ"</formula>
    </cfRule>
    <cfRule type="cellIs" dxfId="2620" priority="183" operator="equal">
      <formula>"SEA"</formula>
    </cfRule>
    <cfRule type="cellIs" dxfId="2619" priority="184" operator="equal">
      <formula>"LAC"</formula>
    </cfRule>
    <cfRule type="cellIs" dxfId="2618" priority="185" operator="equal">
      <formula>"LAR"</formula>
    </cfRule>
    <cfRule type="cellIs" dxfId="2617" priority="186" operator="equal">
      <formula>"ATL"</formula>
    </cfRule>
    <cfRule type="cellIs" dxfId="2616" priority="187" operator="equal">
      <formula>"JAX"</formula>
    </cfRule>
    <cfRule type="cellIs" dxfId="2615" priority="188" operator="equal">
      <formula>"CHI"</formula>
    </cfRule>
    <cfRule type="cellIs" dxfId="2614" priority="189" operator="equal">
      <formula>"MIA"</formula>
    </cfRule>
    <cfRule type="cellIs" dxfId="2613" priority="190" operator="equal">
      <formula>"DET"</formula>
    </cfRule>
    <cfRule type="cellIs" dxfId="2612" priority="191" operator="equal">
      <formula>"SF"</formula>
    </cfRule>
    <cfRule type="cellIs" dxfId="2611" priority="192" operator="equal">
      <formula>"WAS"</formula>
    </cfRule>
    <cfRule type="cellIs" dxfId="2610" priority="193" operator="equal">
      <formula>"GB"</formula>
    </cfRule>
    <cfRule type="cellIs" dxfId="2609" priority="194" operator="equal">
      <formula>"DAL"</formula>
    </cfRule>
    <cfRule type="cellIs" dxfId="2608" priority="195" operator="equal">
      <formula>"CIN"</formula>
    </cfRule>
    <cfRule type="cellIs" dxfId="2607" priority="196" operator="equal">
      <formula>"ARI"</formula>
    </cfRule>
    <cfRule type="cellIs" dxfId="2606" priority="197" operator="equal">
      <formula>"HOU"</formula>
    </cfRule>
    <cfRule type="cellIs" dxfId="2605" priority="198" operator="equal">
      <formula>"IND"</formula>
    </cfRule>
    <cfRule type="cellIs" dxfId="2604" priority="199" operator="equal">
      <formula>"KC"</formula>
    </cfRule>
    <cfRule type="cellIs" dxfId="2603" priority="200" operator="equal">
      <formula>"BAL"</formula>
    </cfRule>
    <cfRule type="cellIs" dxfId="2602" priority="201" operator="equal">
      <formula>"PHI"</formula>
    </cfRule>
    <cfRule type="cellIs" dxfId="2601" priority="202" operator="equal">
      <formula>"BUF"</formula>
    </cfRule>
  </conditionalFormatting>
  <pageMargins left="0.15" right="0.15" top="0.1" bottom="0.1" header="0" footer="0"/>
  <pageSetup paperSize="3" scale="36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0DA880BA-2A6D-49A7-B0A1-A4BF91529A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E2:E214</xm:sqref>
        </x14:conditionalFormatting>
        <x14:conditionalFormatting xmlns:xm="http://schemas.microsoft.com/office/excel/2006/main">
          <x14:cfRule type="iconSet" priority="96" id="{68C0C78E-E918-4BFD-A000-F756F2AD4C1D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G2:G214</xm:sqref>
        </x14:conditionalFormatting>
        <x14:conditionalFormatting xmlns:xm="http://schemas.microsoft.com/office/excel/2006/main">
          <x14:cfRule type="iconSet" priority="131" id="{6847BB8E-020A-4451-8A8A-2B532A3704A5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H2:H214</xm:sqref>
        </x14:conditionalFormatting>
        <x14:conditionalFormatting xmlns:xm="http://schemas.microsoft.com/office/excel/2006/main">
          <x14:cfRule type="iconSet" priority="133" id="{89EC1B2B-8C58-42B3-A4A6-DD810320B3C4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I2:I214</xm:sqref>
        </x14:conditionalFormatting>
        <x14:conditionalFormatting xmlns:xm="http://schemas.microsoft.com/office/excel/2006/main">
          <x14:cfRule type="iconSet" priority="168" id="{7A2D8561-B364-4ABD-A46C-C9C543203C8C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M2:M214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47A6-1C5E-4218-901E-0E0E9E1A3FE3}">
  <sheetPr>
    <tabColor theme="7" tint="0.79998168889431442"/>
    <pageSetUpPr fitToPage="1"/>
  </sheetPr>
  <dimension ref="B1:M117"/>
  <sheetViews>
    <sheetView zoomScale="115" zoomScaleNormal="115" workbookViewId="0">
      <selection activeCell="B2" sqref="B2"/>
    </sheetView>
  </sheetViews>
  <sheetFormatPr defaultRowHeight="14.5" x14ac:dyDescent="0.35"/>
  <cols>
    <col min="1" max="1" width="1.6328125" customWidth="1"/>
    <col min="2" max="2" width="14.9062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7" width="7.453125" bestFit="1" customWidth="1"/>
    <col min="8" max="8" width="7.36328125" bestFit="1" customWidth="1"/>
    <col min="9" max="9" width="8.1796875" bestFit="1" customWidth="1"/>
    <col min="10" max="10" width="6" bestFit="1" customWidth="1"/>
    <col min="11" max="11" width="5.90625" bestFit="1" customWidth="1"/>
    <col min="12" max="12" width="6.7265625" bestFit="1" customWidth="1"/>
    <col min="13" max="13" width="5.90625" bestFit="1" customWidth="1"/>
  </cols>
  <sheetData>
    <row r="1" spans="2:13" ht="15" thickBot="1" x14ac:dyDescent="0.4">
      <c r="B1" s="90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2" t="s">
        <v>657</v>
      </c>
      <c r="H1" s="92" t="s">
        <v>652</v>
      </c>
      <c r="I1" s="92" t="s">
        <v>653</v>
      </c>
      <c r="J1" s="107" t="s">
        <v>656</v>
      </c>
      <c r="K1" s="107" t="s">
        <v>104</v>
      </c>
      <c r="L1" s="107" t="s">
        <v>72</v>
      </c>
      <c r="M1" s="107" t="s">
        <v>649</v>
      </c>
    </row>
    <row r="2" spans="2:13" x14ac:dyDescent="0.35">
      <c r="B2" s="6" t="s">
        <v>307</v>
      </c>
      <c r="C2" s="97" t="s">
        <v>46</v>
      </c>
      <c r="D2" s="97" t="s">
        <v>397</v>
      </c>
      <c r="E2" s="23" t="str" cm="1">
        <f t="array" ref="E2">_xlfn.XLOOKUP(Table1209120[[#This Row],[Team]],Table4334[Team],'2425'!$C$3:$C$34)</f>
        <v>SB LX</v>
      </c>
      <c r="F2" s="97" t="str">
        <f>'2025'!$E$24</f>
        <v>SEA</v>
      </c>
      <c r="G2" s="94" cm="1">
        <f t="array" ref="G2">IF(Table1209120[[#This Row],[Pos.]]="TE1",_xlfn.XLOOKUP(Table1209120[[#This Row],[Opp]],Table8[DEF],'2025'!$AZ$3:$AZ$34),_xlfn.XLOOKUP(Table1209120[[#This Row],[Opp]],Table8[DEF],'2025'!$AZ$38:$AZ$69))</f>
        <v>2.5</v>
      </c>
      <c r="H2" s="94" cm="1">
        <f t="array" ref="H2">IF(Table1209120[[#This Row],[Pos.]]="TE1",_xlfn.XLOOKUP(Table1209120[[#This Row],[Opp]],Table8[DEF],'2025'!$BA$3:$BA$34),_xlfn.XLOOKUP(Table1209120[[#This Row],[Opp]],Table8[DEF],'2025'!$BA$38:$BA$69))</f>
        <v>5</v>
      </c>
      <c r="I2" s="94" cm="1">
        <f t="array" ref="I2">IF(Table1209120[[#This Row],[Pos.]]="TE1",_xlfn.XLOOKUP(Table1209120[[#This Row],[Opp]],Table8[DEF],'2025'!$BB$3:$BB$34),_xlfn.XLOOKUP(Table1209120[[#This Row],[Opp]],Table8[DEF],'2025'!$BB$38:$BB$69))</f>
        <v>30.5</v>
      </c>
      <c r="J2" s="95">
        <f>IF(Table1209120[[#This Row],[Pos.]]="TE1",_xlfn.XLOOKUP(Table1209120[[#This Row],[Opp]],Table8[DEF],Table8[REC]),_xlfn.XLOOKUP(Table1209120[[#This Row],[Opp]],Table816[DEF],Table816[REC]))</f>
        <v>4.4705882352941178</v>
      </c>
      <c r="K2" s="95">
        <f>IF(Table1209120[[#This Row],[Pos.]]="TE1",_xlfn.XLOOKUP(Table1209120[[#This Row],[Opp]],Table8[DEF],Table8[Y]),_xlfn.XLOOKUP(Table1209120[[#This Row],[Opp]],Table816[DEF],Table816[Y]))</f>
        <v>47.823529411764703</v>
      </c>
      <c r="L2" s="96">
        <f>IF(Table1209120[[#This Row],[Pos.]]="TE1",_xlfn.XLOOKUP(Table1209120[[#This Row],[Opp]],Table8[DEF],Table8[TD]),_xlfn.XLOOKUP(Table1209120[[#This Row],[Opp]],Table816[DEF],Table816[TD]))</f>
        <v>0.11764705882352941</v>
      </c>
      <c r="M2" s="94">
        <f>AVERAGE(Table1209120[[#This Row],[*C*]:[*TD*]])</f>
        <v>12.666666666666666</v>
      </c>
    </row>
    <row r="3" spans="2:13" x14ac:dyDescent="0.35">
      <c r="B3" s="6" t="s">
        <v>353</v>
      </c>
      <c r="C3" s="97" t="s">
        <v>52</v>
      </c>
      <c r="D3" s="97" t="s">
        <v>398</v>
      </c>
      <c r="E3" s="23" t="str" cm="1">
        <f t="array" ref="E3">_xlfn.XLOOKUP(Table1209120[[#This Row],[Team]],Table4334[Team],'2425'!$C$3:$C$34)</f>
        <v>SB LX</v>
      </c>
      <c r="F3" s="97" t="str">
        <f>'2025'!$E$30</f>
        <v>NE</v>
      </c>
      <c r="G3" s="94" cm="1">
        <f t="array" ref="G3">IF(Table1209120[[#This Row],[Pos.]]="TE1",_xlfn.XLOOKUP(Table1209120[[#This Row],[Opp]],Table8[DEF],'2025'!$AZ$3:$AZ$34),_xlfn.XLOOKUP(Table1209120[[#This Row],[Opp]],Table8[DEF],'2025'!$AZ$38:$AZ$69))</f>
        <v>6</v>
      </c>
      <c r="H3" s="94" cm="1">
        <f t="array" ref="H3">IF(Table1209120[[#This Row],[Pos.]]="TE1",_xlfn.XLOOKUP(Table1209120[[#This Row],[Opp]],Table8[DEF],'2025'!$BA$3:$BA$34),_xlfn.XLOOKUP(Table1209120[[#This Row],[Opp]],Table8[DEF],'2025'!$BA$38:$BA$69))</f>
        <v>11</v>
      </c>
      <c r="I3" s="94" cm="1">
        <f t="array" ref="I3">IF(Table1209120[[#This Row],[Pos.]]="TE1",_xlfn.XLOOKUP(Table1209120[[#This Row],[Opp]],Table8[DEF],'2025'!$BB$3:$BB$34),_xlfn.XLOOKUP(Table1209120[[#This Row],[Opp]],Table8[DEF],'2025'!$BB$38:$BB$69))</f>
        <v>10</v>
      </c>
      <c r="J3" s="95">
        <f>IF(Table1209120[[#This Row],[Pos.]]="TE1",_xlfn.XLOOKUP(Table1209120[[#This Row],[Opp]],Table8[DEF],Table8[REC]),_xlfn.XLOOKUP(Table1209120[[#This Row],[Opp]],Table816[DEF],Table816[REC]))</f>
        <v>2.0588235294117645</v>
      </c>
      <c r="K3" s="95">
        <f>IF(Table1209120[[#This Row],[Pos.]]="TE1",_xlfn.XLOOKUP(Table1209120[[#This Row],[Opp]],Table8[DEF],Table8[Y]),_xlfn.XLOOKUP(Table1209120[[#This Row],[Opp]],Table816[DEF],Table816[Y]))</f>
        <v>17.941176470588236</v>
      </c>
      <c r="L3" s="96">
        <f>IF(Table1209120[[#This Row],[Pos.]]="TE1",_xlfn.XLOOKUP(Table1209120[[#This Row],[Opp]],Table8[DEF],Table8[TD]),_xlfn.XLOOKUP(Table1209120[[#This Row],[Opp]],Table816[DEF],Table816[TD]))</f>
        <v>0.17647058823529413</v>
      </c>
      <c r="M3" s="94">
        <f>AVERAGE(Table1209120[[#This Row],[*C*]:[*TD*]])</f>
        <v>9</v>
      </c>
    </row>
    <row r="4" spans="2:13" hidden="1" x14ac:dyDescent="0.35">
      <c r="B4" s="6" t="s">
        <v>371</v>
      </c>
      <c r="C4" s="97" t="s">
        <v>54</v>
      </c>
      <c r="D4" s="97" t="s">
        <v>397</v>
      </c>
      <c r="E4" s="23" t="str" cm="1">
        <f t="array" ref="E4">_xlfn.XLOOKUP(Table1209120[[#This Row],[Team]],Table4334[Team],'2425'!$C$3:$C$34)</f>
        <v>n/a</v>
      </c>
      <c r="F4" s="97" t="str">
        <f>'2025'!$E$32</f>
        <v>n/a</v>
      </c>
      <c r="G4" s="94" t="e" cm="1">
        <f t="array" ref="G4">IF(Table1209120[[#This Row],[Pos.]]="TE1",_xlfn.XLOOKUP(Table1209120[[#This Row],[Opp]],Table8[DEF],'2025'!$AZ$3:$AZ$34),_xlfn.XLOOKUP(Table1209120[[#This Row],[Opp]],Table8[DEF],'2025'!$AZ$38:$AZ$69))</f>
        <v>#N/A</v>
      </c>
      <c r="H4" s="94" t="e" cm="1">
        <f t="array" ref="H4">IF(Table1209120[[#This Row],[Pos.]]="TE1",_xlfn.XLOOKUP(Table1209120[[#This Row],[Opp]],Table8[DEF],'2025'!$BA$3:$BA$34),_xlfn.XLOOKUP(Table1209120[[#This Row],[Opp]],Table8[DEF],'2025'!$BA$38:$BA$69))</f>
        <v>#N/A</v>
      </c>
      <c r="I4" s="94" t="e" cm="1">
        <f t="array" ref="I4">IF(Table1209120[[#This Row],[Pos.]]="TE1",_xlfn.XLOOKUP(Table1209120[[#This Row],[Opp]],Table8[DEF],'2025'!$BB$3:$BB$34),_xlfn.XLOOKUP(Table1209120[[#This Row],[Opp]],Table8[DEF],'2025'!$BB$38:$BB$69))</f>
        <v>#N/A</v>
      </c>
      <c r="J4" s="95" t="e">
        <f>IF(Table1209120[[#This Row],[Pos.]]="TE1",_xlfn.XLOOKUP(Table1209120[[#This Row],[Opp]],Table8[DEF],Table8[REC]),_xlfn.XLOOKUP(Table1209120[[#This Row],[Opp]],Table816[DEF],Table816[REC]))</f>
        <v>#N/A</v>
      </c>
      <c r="K4" s="95" t="e">
        <f>IF(Table1209120[[#This Row],[Pos.]]="TE1",_xlfn.XLOOKUP(Table1209120[[#This Row],[Opp]],Table8[DEF],Table8[Y]),_xlfn.XLOOKUP(Table1209120[[#This Row],[Opp]],Table816[DEF],Table816[Y]))</f>
        <v>#N/A</v>
      </c>
      <c r="L4" s="96" t="e">
        <f>IF(Table1209120[[#This Row],[Pos.]]="TE1",_xlfn.XLOOKUP(Table1209120[[#This Row],[Opp]],Table8[DEF],Table8[TD]),_xlfn.XLOOKUP(Table1209120[[#This Row],[Opp]],Table816[DEF],Table816[TD]))</f>
        <v>#N/A</v>
      </c>
      <c r="M4" s="94" t="e">
        <f>AVERAGE(Table1209120[[#This Row],[*C*]:[*TD*]])</f>
        <v>#N/A</v>
      </c>
    </row>
    <row r="5" spans="2:13" hidden="1" x14ac:dyDescent="0.35">
      <c r="B5" s="6" t="s">
        <v>346</v>
      </c>
      <c r="C5" s="97" t="s">
        <v>51</v>
      </c>
      <c r="D5" s="97" t="s">
        <v>397</v>
      </c>
      <c r="E5" s="23" t="str" cm="1">
        <f t="array" ref="E5">_xlfn.XLOOKUP(Table1209120[[#This Row],[Team]],Table4334[Team],'2425'!$C$3:$C$34)</f>
        <v>n/a</v>
      </c>
      <c r="F5" s="97" t="str">
        <f>'2025'!$E$29</f>
        <v>n/a</v>
      </c>
      <c r="G5" s="94" t="e" cm="1">
        <f t="array" ref="G5">IF(Table1209120[[#This Row],[Pos.]]="TE1",_xlfn.XLOOKUP(Table1209120[[#This Row],[Opp]],Table8[DEF],'2025'!$AZ$3:$AZ$34),_xlfn.XLOOKUP(Table1209120[[#This Row],[Opp]],Table8[DEF],'2025'!$AZ$38:$AZ$69))</f>
        <v>#N/A</v>
      </c>
      <c r="H5" s="94" t="e" cm="1">
        <f t="array" ref="H5">IF(Table1209120[[#This Row],[Pos.]]="TE1",_xlfn.XLOOKUP(Table1209120[[#This Row],[Opp]],Table8[DEF],'2025'!$BA$3:$BA$34),_xlfn.XLOOKUP(Table1209120[[#This Row],[Opp]],Table8[DEF],'2025'!$BA$38:$BA$69))</f>
        <v>#N/A</v>
      </c>
      <c r="I5" s="94" t="e" cm="1">
        <f t="array" ref="I5">IF(Table1209120[[#This Row],[Pos.]]="TE1",_xlfn.XLOOKUP(Table1209120[[#This Row],[Opp]],Table8[DEF],'2025'!$BB$3:$BB$34),_xlfn.XLOOKUP(Table1209120[[#This Row],[Opp]],Table8[DEF],'2025'!$BB$38:$BB$69))</f>
        <v>#N/A</v>
      </c>
      <c r="J5" s="95" t="e">
        <f>IF(Table1209120[[#This Row],[Pos.]]="TE1",_xlfn.XLOOKUP(Table1209120[[#This Row],[Opp]],Table8[DEF],Table8[REC]),_xlfn.XLOOKUP(Table1209120[[#This Row],[Opp]],Table816[DEF],Table816[REC]))</f>
        <v>#N/A</v>
      </c>
      <c r="K5" s="95" t="e">
        <f>IF(Table1209120[[#This Row],[Pos.]]="TE1",_xlfn.XLOOKUP(Table1209120[[#This Row],[Opp]],Table8[DEF],Table8[Y]),_xlfn.XLOOKUP(Table1209120[[#This Row],[Opp]],Table816[DEF],Table816[Y]))</f>
        <v>#N/A</v>
      </c>
      <c r="L5" s="96" t="e">
        <f>IF(Table1209120[[#This Row],[Pos.]]="TE1",_xlfn.XLOOKUP(Table1209120[[#This Row],[Opp]],Table8[DEF],Table8[TD]),_xlfn.XLOOKUP(Table1209120[[#This Row],[Opp]],Table816[DEF],Table816[TD]))</f>
        <v>#N/A</v>
      </c>
      <c r="M5" s="94" t="e">
        <f>AVERAGE(Table1209120[[#This Row],[*C*]:[*TD*]])</f>
        <v>#N/A</v>
      </c>
    </row>
    <row r="6" spans="2:13" x14ac:dyDescent="0.35">
      <c r="B6" s="6" t="s">
        <v>155</v>
      </c>
      <c r="C6" s="97" t="s">
        <v>30</v>
      </c>
      <c r="D6" s="97" t="s">
        <v>397</v>
      </c>
      <c r="E6" s="23" t="str" cm="1">
        <f t="array" ref="E6">_xlfn.XLOOKUP(Table1209120[[#This Row],[Team]],Table4334[Team],'2425'!$C$3:$C$34)</f>
        <v>n/a</v>
      </c>
      <c r="F6" s="97" t="str">
        <f>'2025'!$E$8</f>
        <v>n/a</v>
      </c>
      <c r="G6" s="94" t="e" cm="1">
        <f t="array" ref="G6">IF(Table1209120[[#This Row],[Pos.]]="TE1",_xlfn.XLOOKUP(Table1209120[[#This Row],[Opp]],Table8[DEF],'2025'!$AZ$3:$AZ$34),_xlfn.XLOOKUP(Table1209120[[#This Row],[Opp]],Table8[DEF],'2025'!$AZ$38:$AZ$69))</f>
        <v>#N/A</v>
      </c>
      <c r="H6" s="94" t="e" cm="1">
        <f t="array" ref="H6">IF(Table1209120[[#This Row],[Pos.]]="TE1",_xlfn.XLOOKUP(Table1209120[[#This Row],[Opp]],Table8[DEF],'2025'!$BA$3:$BA$34),_xlfn.XLOOKUP(Table1209120[[#This Row],[Opp]],Table8[DEF],'2025'!$BA$38:$BA$69))</f>
        <v>#N/A</v>
      </c>
      <c r="I6" s="94" t="e" cm="1">
        <f t="array" ref="I6">IF(Table1209120[[#This Row],[Pos.]]="TE1",_xlfn.XLOOKUP(Table1209120[[#This Row],[Opp]],Table8[DEF],'2025'!$BB$3:$BB$34),_xlfn.XLOOKUP(Table1209120[[#This Row],[Opp]],Table8[DEF],'2025'!$BB$38:$BB$69))</f>
        <v>#N/A</v>
      </c>
      <c r="J6" s="95" t="e">
        <f>IF(Table1209120[[#This Row],[Pos.]]="TE1",_xlfn.XLOOKUP(Table1209120[[#This Row],[Opp]],Table8[DEF],Table8[REC]),_xlfn.XLOOKUP(Table1209120[[#This Row],[Opp]],Table816[DEF],Table816[REC]))</f>
        <v>#N/A</v>
      </c>
      <c r="K6" s="95" t="e">
        <f>IF(Table1209120[[#This Row],[Pos.]]="TE1",_xlfn.XLOOKUP(Table1209120[[#This Row],[Opp]],Table8[DEF],Table8[Y]),_xlfn.XLOOKUP(Table1209120[[#This Row],[Opp]],Table816[DEF],Table816[Y]))</f>
        <v>#N/A</v>
      </c>
      <c r="L6" s="96" t="e">
        <f>IF(Table1209120[[#This Row],[Pos.]]="TE1",_xlfn.XLOOKUP(Table1209120[[#This Row],[Opp]],Table8[DEF],Table8[TD]),_xlfn.XLOOKUP(Table1209120[[#This Row],[Opp]],Table816[DEF],Table816[TD]))</f>
        <v>#N/A</v>
      </c>
      <c r="M6" s="94" t="e">
        <f>AVERAGE(Table1209120[[#This Row],[*C*]:[*TD*]])</f>
        <v>#N/A</v>
      </c>
    </row>
    <row r="7" spans="2:13" hidden="1" x14ac:dyDescent="0.35">
      <c r="B7" s="6" t="s">
        <v>131</v>
      </c>
      <c r="C7" s="97" t="s">
        <v>29</v>
      </c>
      <c r="D7" s="97" t="s">
        <v>397</v>
      </c>
      <c r="E7" s="23" t="str" cm="1">
        <f t="array" ref="E7">_xlfn.XLOOKUP(Table1209120[[#This Row],[Team]],Table4334[Team],'2425'!$C$3:$C$34)</f>
        <v>n/a</v>
      </c>
      <c r="F7" s="97" t="str">
        <f>'2025'!$E$7</f>
        <v>n/a</v>
      </c>
      <c r="G7" s="94" t="e" cm="1">
        <f t="array" ref="G7">IF(Table1209120[[#This Row],[Pos.]]="TE1",_xlfn.XLOOKUP(Table1209120[[#This Row],[Opp]],Table8[DEF],'2025'!$AZ$3:$AZ$34),_xlfn.XLOOKUP(Table1209120[[#This Row],[Opp]],Table8[DEF],'2025'!$AZ$38:$AZ$69))</f>
        <v>#N/A</v>
      </c>
      <c r="H7" s="94" t="e" cm="1">
        <f t="array" ref="H7">IF(Table1209120[[#This Row],[Pos.]]="TE1",_xlfn.XLOOKUP(Table1209120[[#This Row],[Opp]],Table8[DEF],'2025'!$BA$3:$BA$34),_xlfn.XLOOKUP(Table1209120[[#This Row],[Opp]],Table8[DEF],'2025'!$BA$38:$BA$69))</f>
        <v>#N/A</v>
      </c>
      <c r="I7" s="94" t="e" cm="1">
        <f t="array" ref="I7">IF(Table1209120[[#This Row],[Pos.]]="TE1",_xlfn.XLOOKUP(Table1209120[[#This Row],[Opp]],Table8[DEF],'2025'!$BB$3:$BB$34),_xlfn.XLOOKUP(Table1209120[[#This Row],[Opp]],Table8[DEF],'2025'!$BB$38:$BB$69))</f>
        <v>#N/A</v>
      </c>
      <c r="J7" s="95" t="e">
        <f>IF(Table1209120[[#This Row],[Pos.]]="TE1",_xlfn.XLOOKUP(Table1209120[[#This Row],[Opp]],Table8[DEF],Table8[REC]),_xlfn.XLOOKUP(Table1209120[[#This Row],[Opp]],Table816[DEF],Table816[REC]))</f>
        <v>#N/A</v>
      </c>
      <c r="K7" s="95" t="e">
        <f>IF(Table1209120[[#This Row],[Pos.]]="TE1",_xlfn.XLOOKUP(Table1209120[[#This Row],[Opp]],Table8[DEF],Table8[Y]),_xlfn.XLOOKUP(Table1209120[[#This Row],[Opp]],Table816[DEF],Table816[Y]))</f>
        <v>#N/A</v>
      </c>
      <c r="L7" s="96" t="e">
        <f>IF(Table1209120[[#This Row],[Pos.]]="TE1",_xlfn.XLOOKUP(Table1209120[[#This Row],[Opp]],Table8[DEF],Table8[TD]),_xlfn.XLOOKUP(Table1209120[[#This Row],[Opp]],Table816[DEF],Table816[TD]))</f>
        <v>#N/A</v>
      </c>
      <c r="M7" s="94" t="e">
        <f>AVERAGE(Table1209120[[#This Row],[*C*]:[*TD*]])</f>
        <v>#N/A</v>
      </c>
    </row>
    <row r="8" spans="2:13" hidden="1" x14ac:dyDescent="0.35">
      <c r="B8" s="6" t="s">
        <v>586</v>
      </c>
      <c r="C8" s="97" t="s">
        <v>54</v>
      </c>
      <c r="D8" s="97" t="s">
        <v>398</v>
      </c>
      <c r="E8" s="23" t="str" cm="1">
        <f t="array" ref="E8">_xlfn.XLOOKUP(Table1209120[[#This Row],[Team]],Table4334[Team],'2425'!$C$3:$C$34)</f>
        <v>n/a</v>
      </c>
      <c r="F8" s="97" t="str">
        <f>'2025'!$E$32</f>
        <v>n/a</v>
      </c>
      <c r="G8" s="94" t="e" cm="1">
        <f t="array" ref="G8">IF(Table1209120[[#This Row],[Pos.]]="TE1",_xlfn.XLOOKUP(Table1209120[[#This Row],[Opp]],Table8[DEF],'2025'!$AZ$3:$AZ$34),_xlfn.XLOOKUP(Table1209120[[#This Row],[Opp]],Table8[DEF],'2025'!$AZ$38:$AZ$69))</f>
        <v>#N/A</v>
      </c>
      <c r="H8" s="94" t="e" cm="1">
        <f t="array" ref="H8">IF(Table1209120[[#This Row],[Pos.]]="TE1",_xlfn.XLOOKUP(Table1209120[[#This Row],[Opp]],Table8[DEF],'2025'!$BA$3:$BA$34),_xlfn.XLOOKUP(Table1209120[[#This Row],[Opp]],Table8[DEF],'2025'!$BA$38:$BA$69))</f>
        <v>#N/A</v>
      </c>
      <c r="I8" s="94" t="e" cm="1">
        <f t="array" ref="I8">IF(Table1209120[[#This Row],[Pos.]]="TE1",_xlfn.XLOOKUP(Table1209120[[#This Row],[Opp]],Table8[DEF],'2025'!$BB$3:$BB$34),_xlfn.XLOOKUP(Table1209120[[#This Row],[Opp]],Table8[DEF],'2025'!$BB$38:$BB$69))</f>
        <v>#N/A</v>
      </c>
      <c r="J8" s="95" t="e">
        <f>IF(Table1209120[[#This Row],[Pos.]]="TE1",_xlfn.XLOOKUP(Table1209120[[#This Row],[Opp]],Table8[DEF],Table8[REC]),_xlfn.XLOOKUP(Table1209120[[#This Row],[Opp]],Table816[DEF],Table816[REC]))</f>
        <v>#N/A</v>
      </c>
      <c r="K8" s="95" t="e">
        <f>IF(Table1209120[[#This Row],[Pos.]]="TE1",_xlfn.XLOOKUP(Table1209120[[#This Row],[Opp]],Table8[DEF],Table8[Y]),_xlfn.XLOOKUP(Table1209120[[#This Row],[Opp]],Table816[DEF],Table816[Y]))</f>
        <v>#N/A</v>
      </c>
      <c r="L8" s="96" t="e">
        <f>IF(Table1209120[[#This Row],[Pos.]]="TE1",_xlfn.XLOOKUP(Table1209120[[#This Row],[Opp]],Table8[DEF],Table8[TD]),_xlfn.XLOOKUP(Table1209120[[#This Row],[Opp]],Table816[DEF],Table816[TD]))</f>
        <v>#N/A</v>
      </c>
      <c r="M8" s="94" t="e">
        <f>AVERAGE(Table1209120[[#This Row],[*C*]:[*TD*]])</f>
        <v>#N/A</v>
      </c>
    </row>
    <row r="9" spans="2:13" x14ac:dyDescent="0.35">
      <c r="B9" s="6" t="s">
        <v>354</v>
      </c>
      <c r="C9" s="97" t="s">
        <v>52</v>
      </c>
      <c r="D9" s="97" t="s">
        <v>397</v>
      </c>
      <c r="E9" s="23" t="str" cm="1">
        <f t="array" ref="E9">_xlfn.XLOOKUP(Table1209120[[#This Row],[Team]],Table4334[Team],'2425'!$C$3:$C$34)</f>
        <v>SB LX</v>
      </c>
      <c r="F9" s="97" t="str">
        <f>'2025'!$E$30</f>
        <v>NE</v>
      </c>
      <c r="G9" s="94" cm="1">
        <f t="array" ref="G9">IF(Table1209120[[#This Row],[Pos.]]="TE1",_xlfn.XLOOKUP(Table1209120[[#This Row],[Opp]],Table8[DEF],'2025'!$AZ$3:$AZ$34),_xlfn.XLOOKUP(Table1209120[[#This Row],[Opp]],Table8[DEF],'2025'!$AZ$38:$AZ$69))</f>
        <v>19.5</v>
      </c>
      <c r="H9" s="94" cm="1">
        <f t="array" ref="H9">IF(Table1209120[[#This Row],[Pos.]]="TE1",_xlfn.XLOOKUP(Table1209120[[#This Row],[Opp]],Table8[DEF],'2025'!$BA$3:$BA$34),_xlfn.XLOOKUP(Table1209120[[#This Row],[Opp]],Table8[DEF],'2025'!$BA$38:$BA$69))</f>
        <v>16</v>
      </c>
      <c r="I9" s="94" cm="1">
        <f t="array" ref="I9">IF(Table1209120[[#This Row],[Pos.]]="TE1",_xlfn.XLOOKUP(Table1209120[[#This Row],[Opp]],Table8[DEF],'2025'!$BB$3:$BB$34),_xlfn.XLOOKUP(Table1209120[[#This Row],[Opp]],Table8[DEF],'2025'!$BB$38:$BB$69))</f>
        <v>26.5</v>
      </c>
      <c r="J9" s="95">
        <f>IF(Table1209120[[#This Row],[Pos.]]="TE1",_xlfn.XLOOKUP(Table1209120[[#This Row],[Opp]],Table8[DEF],Table8[REC]),_xlfn.XLOOKUP(Table1209120[[#This Row],[Opp]],Table816[DEF],Table816[REC]))</f>
        <v>3.5882352941176472</v>
      </c>
      <c r="K9" s="95">
        <f>IF(Table1209120[[#This Row],[Pos.]]="TE1",_xlfn.XLOOKUP(Table1209120[[#This Row],[Opp]],Table8[DEF],Table8[Y]),_xlfn.XLOOKUP(Table1209120[[#This Row],[Opp]],Table816[DEF],Table816[Y]))</f>
        <v>39.176470588235297</v>
      </c>
      <c r="L9" s="96">
        <f>IF(Table1209120[[#This Row],[Pos.]]="TE1",_xlfn.XLOOKUP(Table1209120[[#This Row],[Opp]],Table8[DEF],Table8[TD]),_xlfn.XLOOKUP(Table1209120[[#This Row],[Opp]],Table816[DEF],Table816[TD]))</f>
        <v>0.17647058823529413</v>
      </c>
      <c r="M9" s="94">
        <f>AVERAGE(Table1209120[[#This Row],[*C*]:[*TD*]])</f>
        <v>20.666666666666668</v>
      </c>
    </row>
    <row r="10" spans="2:13" hidden="1" x14ac:dyDescent="0.35">
      <c r="B10" s="6" t="s">
        <v>177</v>
      </c>
      <c r="C10" s="97" t="s">
        <v>32</v>
      </c>
      <c r="D10" s="97" t="s">
        <v>397</v>
      </c>
      <c r="E10" s="23" t="str" cm="1">
        <f t="array" ref="E10">_xlfn.XLOOKUP(Table1209120[[#This Row],[Team]],Table4334[Team],'2425'!$C$3:$C$34)</f>
        <v>n/a</v>
      </c>
      <c r="F10" s="97" t="str">
        <f>'2025'!$E$10</f>
        <v>n/a</v>
      </c>
      <c r="G10" s="94" t="e" cm="1">
        <f t="array" ref="G10">IF(Table1209120[[#This Row],[Pos.]]="TE1",_xlfn.XLOOKUP(Table1209120[[#This Row],[Opp]],Table8[DEF],'2025'!$AZ$3:$AZ$34),_xlfn.XLOOKUP(Table1209120[[#This Row],[Opp]],Table8[DEF],'2025'!$AZ$38:$AZ$69))</f>
        <v>#N/A</v>
      </c>
      <c r="H10" s="94" t="e" cm="1">
        <f t="array" ref="H10">IF(Table1209120[[#This Row],[Pos.]]="TE1",_xlfn.XLOOKUP(Table1209120[[#This Row],[Opp]],Table8[DEF],'2025'!$BA$3:$BA$34),_xlfn.XLOOKUP(Table1209120[[#This Row],[Opp]],Table8[DEF],'2025'!$BA$38:$BA$69))</f>
        <v>#N/A</v>
      </c>
      <c r="I10" s="94" t="e" cm="1">
        <f t="array" ref="I10">IF(Table1209120[[#This Row],[Pos.]]="TE1",_xlfn.XLOOKUP(Table1209120[[#This Row],[Opp]],Table8[DEF],'2025'!$BB$3:$BB$34),_xlfn.XLOOKUP(Table1209120[[#This Row],[Opp]],Table8[DEF],'2025'!$BB$38:$BB$69))</f>
        <v>#N/A</v>
      </c>
      <c r="J10" s="95" t="e">
        <f>IF(Table1209120[[#This Row],[Pos.]]="TE1",_xlfn.XLOOKUP(Table1209120[[#This Row],[Opp]],Table8[DEF],Table8[REC]),_xlfn.XLOOKUP(Table1209120[[#This Row],[Opp]],Table816[DEF],Table816[REC]))</f>
        <v>#N/A</v>
      </c>
      <c r="K10" s="95" t="e">
        <f>IF(Table1209120[[#This Row],[Pos.]]="TE1",_xlfn.XLOOKUP(Table1209120[[#This Row],[Opp]],Table8[DEF],Table8[Y]),_xlfn.XLOOKUP(Table1209120[[#This Row],[Opp]],Table816[DEF],Table816[Y]))</f>
        <v>#N/A</v>
      </c>
      <c r="L10" s="96" t="e">
        <f>IF(Table1209120[[#This Row],[Pos.]]="TE1",_xlfn.XLOOKUP(Table1209120[[#This Row],[Opp]],Table8[DEF],Table8[TD]),_xlfn.XLOOKUP(Table1209120[[#This Row],[Opp]],Table816[DEF],Table816[TD]))</f>
        <v>#N/A</v>
      </c>
      <c r="M10" s="94" t="e">
        <f>AVERAGE(Table1209120[[#This Row],[*C*]:[*TD*]])</f>
        <v>#N/A</v>
      </c>
    </row>
    <row r="11" spans="2:13" hidden="1" x14ac:dyDescent="0.35">
      <c r="B11" s="6" t="s">
        <v>230</v>
      </c>
      <c r="C11" s="97" t="s">
        <v>38</v>
      </c>
      <c r="D11" s="97" t="s">
        <v>397</v>
      </c>
      <c r="E11" s="23" t="str" cm="1">
        <f t="array" ref="E11">_xlfn.XLOOKUP(Table1209120[[#This Row],[Team]],Table4334[Team],'2425'!$C$3:$C$34)</f>
        <v>n/a</v>
      </c>
      <c r="F11" s="97" t="str">
        <f>'2025'!$E$16</f>
        <v>n/a</v>
      </c>
      <c r="G11" s="94" t="e" cm="1">
        <f t="array" ref="G11">IF(Table1209120[[#This Row],[Pos.]]="TE1",_xlfn.XLOOKUP(Table1209120[[#This Row],[Opp]],Table8[DEF],'2025'!$AZ$3:$AZ$34),_xlfn.XLOOKUP(Table1209120[[#This Row],[Opp]],Table8[DEF],'2025'!$AZ$38:$AZ$69))</f>
        <v>#N/A</v>
      </c>
      <c r="H11" s="94" t="e" cm="1">
        <f t="array" ref="H11">IF(Table1209120[[#This Row],[Pos.]]="TE1",_xlfn.XLOOKUP(Table1209120[[#This Row],[Opp]],Table8[DEF],'2025'!$BA$3:$BA$34),_xlfn.XLOOKUP(Table1209120[[#This Row],[Opp]],Table8[DEF],'2025'!$BA$38:$BA$69))</f>
        <v>#N/A</v>
      </c>
      <c r="I11" s="94" t="e" cm="1">
        <f t="array" ref="I11">IF(Table1209120[[#This Row],[Pos.]]="TE1",_xlfn.XLOOKUP(Table1209120[[#This Row],[Opp]],Table8[DEF],'2025'!$BB$3:$BB$34),_xlfn.XLOOKUP(Table1209120[[#This Row],[Opp]],Table8[DEF],'2025'!$BB$38:$BB$69))</f>
        <v>#N/A</v>
      </c>
      <c r="J11" s="95" t="e">
        <f>IF(Table1209120[[#This Row],[Pos.]]="TE1",_xlfn.XLOOKUP(Table1209120[[#This Row],[Opp]],Table8[DEF],Table8[REC]),_xlfn.XLOOKUP(Table1209120[[#This Row],[Opp]],Table816[DEF],Table816[REC]))</f>
        <v>#N/A</v>
      </c>
      <c r="K11" s="95" t="e">
        <f>IF(Table1209120[[#This Row],[Pos.]]="TE1",_xlfn.XLOOKUP(Table1209120[[#This Row],[Opp]],Table8[DEF],Table8[Y]),_xlfn.XLOOKUP(Table1209120[[#This Row],[Opp]],Table816[DEF],Table816[Y]))</f>
        <v>#N/A</v>
      </c>
      <c r="L11" s="96" t="e">
        <f>IF(Table1209120[[#This Row],[Pos.]]="TE1",_xlfn.XLOOKUP(Table1209120[[#This Row],[Opp]],Table8[DEF],Table8[TD]),_xlfn.XLOOKUP(Table1209120[[#This Row],[Opp]],Table816[DEF],Table816[TD]))</f>
        <v>#N/A</v>
      </c>
      <c r="M11" s="94" t="e">
        <f>AVERAGE(Table1209120[[#This Row],[*C*]:[*TD*]])</f>
        <v>#N/A</v>
      </c>
    </row>
    <row r="12" spans="2:13" hidden="1" x14ac:dyDescent="0.35">
      <c r="B12" s="6" t="s">
        <v>381</v>
      </c>
      <c r="C12" s="97" t="s">
        <v>55</v>
      </c>
      <c r="D12" s="97" t="s">
        <v>397</v>
      </c>
      <c r="E12" s="23" t="str" cm="1">
        <f t="array" ref="E12">_xlfn.XLOOKUP(Table1209120[[#This Row],[Team]],Table4334[Team],'2425'!$C$3:$C$34)</f>
        <v>n/a</v>
      </c>
      <c r="F12" s="97" t="str">
        <f>'2025'!$E$33</f>
        <v>n/a</v>
      </c>
      <c r="G12" s="94" t="e" cm="1">
        <f t="array" ref="G12">IF(Table1209120[[#This Row],[Pos.]]="TE1",_xlfn.XLOOKUP(Table1209120[[#This Row],[Opp]],Table8[DEF],'2025'!$AZ$3:$AZ$34),_xlfn.XLOOKUP(Table1209120[[#This Row],[Opp]],Table8[DEF],'2025'!$AZ$38:$AZ$69))</f>
        <v>#N/A</v>
      </c>
      <c r="H12" s="94" t="e" cm="1">
        <f t="array" ref="H12">IF(Table1209120[[#This Row],[Pos.]]="TE1",_xlfn.XLOOKUP(Table1209120[[#This Row],[Opp]],Table8[DEF],'2025'!$BA$3:$BA$34),_xlfn.XLOOKUP(Table1209120[[#This Row],[Opp]],Table8[DEF],'2025'!$BA$38:$BA$69))</f>
        <v>#N/A</v>
      </c>
      <c r="I12" s="94" t="e" cm="1">
        <f t="array" ref="I12">IF(Table1209120[[#This Row],[Pos.]]="TE1",_xlfn.XLOOKUP(Table1209120[[#This Row],[Opp]],Table8[DEF],'2025'!$BB$3:$BB$34),_xlfn.XLOOKUP(Table1209120[[#This Row],[Opp]],Table8[DEF],'2025'!$BB$38:$BB$69))</f>
        <v>#N/A</v>
      </c>
      <c r="J12" s="95" t="e">
        <f>IF(Table1209120[[#This Row],[Pos.]]="TE1",_xlfn.XLOOKUP(Table1209120[[#This Row],[Opp]],Table8[DEF],Table8[REC]),_xlfn.XLOOKUP(Table1209120[[#This Row],[Opp]],Table816[DEF],Table816[REC]))</f>
        <v>#N/A</v>
      </c>
      <c r="K12" s="95" t="e">
        <f>IF(Table1209120[[#This Row],[Pos.]]="TE1",_xlfn.XLOOKUP(Table1209120[[#This Row],[Opp]],Table8[DEF],Table8[Y]),_xlfn.XLOOKUP(Table1209120[[#This Row],[Opp]],Table816[DEF],Table816[Y]))</f>
        <v>#N/A</v>
      </c>
      <c r="L12" s="96" t="e">
        <f>IF(Table1209120[[#This Row],[Pos.]]="TE1",_xlfn.XLOOKUP(Table1209120[[#This Row],[Opp]],Table8[DEF],Table8[TD]),_xlfn.XLOOKUP(Table1209120[[#This Row],[Opp]],Table816[DEF],Table816[TD]))</f>
        <v>#N/A</v>
      </c>
      <c r="M12" s="94" t="e">
        <f>AVERAGE(Table1209120[[#This Row],[*C*]:[*TD*]])</f>
        <v>#N/A</v>
      </c>
    </row>
    <row r="13" spans="2:13" hidden="1" x14ac:dyDescent="0.35">
      <c r="B13" s="6" t="s">
        <v>297</v>
      </c>
      <c r="C13" s="97" t="s">
        <v>45</v>
      </c>
      <c r="D13" s="97" t="s">
        <v>397</v>
      </c>
      <c r="E13" s="23" t="str" cm="1">
        <f t="array" ref="E13">_xlfn.XLOOKUP(Table1209120[[#This Row],[Team]],Table4334[Team],'2425'!$C$3:$C$34)</f>
        <v>n/a</v>
      </c>
      <c r="F13" s="97" t="str">
        <f>'2025'!$E$23</f>
        <v>n/a</v>
      </c>
      <c r="G13" s="94" t="e" cm="1">
        <f t="array" ref="G13">IF(Table1209120[[#This Row],[Pos.]]="TE1",_xlfn.XLOOKUP(Table1209120[[#This Row],[Opp]],Table8[DEF],'2025'!$AZ$3:$AZ$34),_xlfn.XLOOKUP(Table1209120[[#This Row],[Opp]],Table8[DEF],'2025'!$AZ$38:$AZ$69))</f>
        <v>#N/A</v>
      </c>
      <c r="H13" s="94" t="e" cm="1">
        <f t="array" ref="H13">IF(Table1209120[[#This Row],[Pos.]]="TE1",_xlfn.XLOOKUP(Table1209120[[#This Row],[Opp]],Table8[DEF],'2025'!$BA$3:$BA$34),_xlfn.XLOOKUP(Table1209120[[#This Row],[Opp]],Table8[DEF],'2025'!$BA$38:$BA$69))</f>
        <v>#N/A</v>
      </c>
      <c r="I13" s="94" t="e" cm="1">
        <f t="array" ref="I13">IF(Table1209120[[#This Row],[Pos.]]="TE1",_xlfn.XLOOKUP(Table1209120[[#This Row],[Opp]],Table8[DEF],'2025'!$BB$3:$BB$34),_xlfn.XLOOKUP(Table1209120[[#This Row],[Opp]],Table8[DEF],'2025'!$BB$38:$BB$69))</f>
        <v>#N/A</v>
      </c>
      <c r="J13" s="95" t="e">
        <f>IF(Table1209120[[#This Row],[Pos.]]="TE1",_xlfn.XLOOKUP(Table1209120[[#This Row],[Opp]],Table8[DEF],Table8[REC]),_xlfn.XLOOKUP(Table1209120[[#This Row],[Opp]],Table816[DEF],Table816[REC]))</f>
        <v>#N/A</v>
      </c>
      <c r="K13" s="95" t="e">
        <f>IF(Table1209120[[#This Row],[Pos.]]="TE1",_xlfn.XLOOKUP(Table1209120[[#This Row],[Opp]],Table8[DEF],Table8[Y]),_xlfn.XLOOKUP(Table1209120[[#This Row],[Opp]],Table816[DEF],Table816[Y]))</f>
        <v>#N/A</v>
      </c>
      <c r="L13" s="96" t="e">
        <f>IF(Table1209120[[#This Row],[Pos.]]="TE1",_xlfn.XLOOKUP(Table1209120[[#This Row],[Opp]],Table8[DEF],Table8[TD]),_xlfn.XLOOKUP(Table1209120[[#This Row],[Opp]],Table816[DEF],Table816[TD]))</f>
        <v>#N/A</v>
      </c>
      <c r="M13" s="94" t="e">
        <f>AVERAGE(Table1209120[[#This Row],[*C*]:[*TD*]])</f>
        <v>#N/A</v>
      </c>
    </row>
    <row r="14" spans="2:13" hidden="1" x14ac:dyDescent="0.35">
      <c r="B14" s="6" t="s">
        <v>474</v>
      </c>
      <c r="C14" s="97" t="s">
        <v>16</v>
      </c>
      <c r="D14" s="97" t="s">
        <v>430</v>
      </c>
      <c r="E14" s="23" t="str" cm="1">
        <f t="array" ref="E14">_xlfn.XLOOKUP(Table1209120[[#This Row],[Team]],Table4334[Team],'2425'!$C$3:$C$34)</f>
        <v>n/a</v>
      </c>
      <c r="F14" s="97" t="str">
        <f>'2025'!$E$5</f>
        <v>n/a</v>
      </c>
      <c r="G14" s="94" t="e" cm="1">
        <f t="array" ref="G14">IF(Table1209120[[#This Row],[Pos.]]="TE1",_xlfn.XLOOKUP(Table1209120[[#This Row],[Opp]],Table8[DEF],'2025'!$AZ$3:$AZ$34),_xlfn.XLOOKUP(Table1209120[[#This Row],[Opp]],Table8[DEF],'2025'!$AZ$38:$AZ$69))</f>
        <v>#N/A</v>
      </c>
      <c r="H14" s="94" t="e" cm="1">
        <f t="array" ref="H14">IF(Table1209120[[#This Row],[Pos.]]="TE1",_xlfn.XLOOKUP(Table1209120[[#This Row],[Opp]],Table8[DEF],'2025'!$BA$3:$BA$34),_xlfn.XLOOKUP(Table1209120[[#This Row],[Opp]],Table8[DEF],'2025'!$BA$38:$BA$69))</f>
        <v>#N/A</v>
      </c>
      <c r="I14" s="94" t="e" cm="1">
        <f t="array" ref="I14">IF(Table1209120[[#This Row],[Pos.]]="TE1",_xlfn.XLOOKUP(Table1209120[[#This Row],[Opp]],Table8[DEF],'2025'!$BB$3:$BB$34),_xlfn.XLOOKUP(Table1209120[[#This Row],[Opp]],Table8[DEF],'2025'!$BB$38:$BB$69))</f>
        <v>#N/A</v>
      </c>
      <c r="J14" s="95" t="e">
        <f>IF(Table1209120[[#This Row],[Pos.]]="TE1",_xlfn.XLOOKUP(Table1209120[[#This Row],[Opp]],Table8[DEF],Table8[REC]),_xlfn.XLOOKUP(Table1209120[[#This Row],[Opp]],Table816[DEF],Table816[REC]))</f>
        <v>#N/A</v>
      </c>
      <c r="K14" s="95" t="e">
        <f>IF(Table1209120[[#This Row],[Pos.]]="TE1",_xlfn.XLOOKUP(Table1209120[[#This Row],[Opp]],Table8[DEF],Table8[Y]),_xlfn.XLOOKUP(Table1209120[[#This Row],[Opp]],Table816[DEF],Table816[Y]))</f>
        <v>#N/A</v>
      </c>
      <c r="L14" s="96" t="e">
        <f>IF(Table1209120[[#This Row],[Pos.]]="TE1",_xlfn.XLOOKUP(Table1209120[[#This Row],[Opp]],Table8[DEF],Table8[TD]),_xlfn.XLOOKUP(Table1209120[[#This Row],[Opp]],Table816[DEF],Table816[TD]))</f>
        <v>#N/A</v>
      </c>
      <c r="M14" s="94" t="e">
        <f>AVERAGE(Table1209120[[#This Row],[*C*]:[*TD*]])</f>
        <v>#N/A</v>
      </c>
    </row>
    <row r="15" spans="2:13" hidden="1" x14ac:dyDescent="0.35">
      <c r="B15" s="6" t="s">
        <v>436</v>
      </c>
      <c r="C15" s="97" t="s">
        <v>33</v>
      </c>
      <c r="D15" s="97" t="s">
        <v>430</v>
      </c>
      <c r="E15" s="23" t="str" cm="1">
        <f t="array" ref="E15">_xlfn.XLOOKUP(Table1209120[[#This Row],[Team]],Table4334[Team],'2425'!$C$3:$C$34)</f>
        <v>n/a</v>
      </c>
      <c r="F15" s="97" t="str">
        <f>'2025'!$E$11</f>
        <v>n/a</v>
      </c>
      <c r="G15" s="94" t="e" cm="1">
        <f t="array" ref="G15">IF(Table1209120[[#This Row],[Pos.]]="TE1",_xlfn.XLOOKUP(Table1209120[[#This Row],[Opp]],Table8[DEF],'2025'!$AZ$3:$AZ$34),_xlfn.XLOOKUP(Table1209120[[#This Row],[Opp]],Table8[DEF],'2025'!$AZ$38:$AZ$69))</f>
        <v>#N/A</v>
      </c>
      <c r="H15" s="94" t="e" cm="1">
        <f t="array" ref="H15">IF(Table1209120[[#This Row],[Pos.]]="TE1",_xlfn.XLOOKUP(Table1209120[[#This Row],[Opp]],Table8[DEF],'2025'!$BA$3:$BA$34),_xlfn.XLOOKUP(Table1209120[[#This Row],[Opp]],Table8[DEF],'2025'!$BA$38:$BA$69))</f>
        <v>#N/A</v>
      </c>
      <c r="I15" s="94" t="e" cm="1">
        <f t="array" ref="I15">IF(Table1209120[[#This Row],[Pos.]]="TE1",_xlfn.XLOOKUP(Table1209120[[#This Row],[Opp]],Table8[DEF],'2025'!$BB$3:$BB$34),_xlfn.XLOOKUP(Table1209120[[#This Row],[Opp]],Table8[DEF],'2025'!$BB$38:$BB$69))</f>
        <v>#N/A</v>
      </c>
      <c r="J15" s="95" t="e">
        <f>IF(Table1209120[[#This Row],[Pos.]]="TE1",_xlfn.XLOOKUP(Table1209120[[#This Row],[Opp]],Table8[DEF],Table8[REC]),_xlfn.XLOOKUP(Table1209120[[#This Row],[Opp]],Table816[DEF],Table816[REC]))</f>
        <v>#N/A</v>
      </c>
      <c r="K15" s="95" t="e">
        <f>IF(Table1209120[[#This Row],[Pos.]]="TE1",_xlfn.XLOOKUP(Table1209120[[#This Row],[Opp]],Table8[DEF],Table8[Y]),_xlfn.XLOOKUP(Table1209120[[#This Row],[Opp]],Table816[DEF],Table816[Y]))</f>
        <v>#N/A</v>
      </c>
      <c r="L15" s="96" t="e">
        <f>IF(Table1209120[[#This Row],[Pos.]]="TE1",_xlfn.XLOOKUP(Table1209120[[#This Row],[Opp]],Table8[DEF],Table8[TD]),_xlfn.XLOOKUP(Table1209120[[#This Row],[Opp]],Table816[DEF],Table816[TD]))</f>
        <v>#N/A</v>
      </c>
      <c r="M15" s="94" t="e">
        <f>AVERAGE(Table1209120[[#This Row],[*C*]:[*TD*]])</f>
        <v>#N/A</v>
      </c>
    </row>
    <row r="16" spans="2:13" hidden="1" x14ac:dyDescent="0.35">
      <c r="B16" s="6" t="s">
        <v>574</v>
      </c>
      <c r="C16" s="97" t="s">
        <v>40</v>
      </c>
      <c r="D16" s="97" t="s">
        <v>430</v>
      </c>
      <c r="E16" s="23" t="str" cm="1">
        <f t="array" ref="E16">_xlfn.XLOOKUP(Table1209120[[#This Row],[Team]],Table4334[Team],'2425'!$C$3:$C$34)</f>
        <v>n/a</v>
      </c>
      <c r="F16" s="97" t="str">
        <f>'2025'!$E$18</f>
        <v>n/a</v>
      </c>
      <c r="G16" s="94" t="e" cm="1">
        <f t="array" ref="G16">IF(Table1209120[[#This Row],[Pos.]]="TE1",_xlfn.XLOOKUP(Table1209120[[#This Row],[Opp]],Table8[DEF],'2025'!$AZ$3:$AZ$34),_xlfn.XLOOKUP(Table1209120[[#This Row],[Opp]],Table8[DEF],'2025'!$AZ$38:$AZ$69))</f>
        <v>#N/A</v>
      </c>
      <c r="H16" s="94" t="e" cm="1">
        <f t="array" ref="H16">IF(Table1209120[[#This Row],[Pos.]]="TE1",_xlfn.XLOOKUP(Table1209120[[#This Row],[Opp]],Table8[DEF],'2025'!$BA$3:$BA$34),_xlfn.XLOOKUP(Table1209120[[#This Row],[Opp]],Table8[DEF],'2025'!$BA$38:$BA$69))</f>
        <v>#N/A</v>
      </c>
      <c r="I16" s="94" t="e" cm="1">
        <f t="array" ref="I16">IF(Table1209120[[#This Row],[Pos.]]="TE1",_xlfn.XLOOKUP(Table1209120[[#This Row],[Opp]],Table8[DEF],'2025'!$BB$3:$BB$34),_xlfn.XLOOKUP(Table1209120[[#This Row],[Opp]],Table8[DEF],'2025'!$BB$38:$BB$69))</f>
        <v>#N/A</v>
      </c>
      <c r="J16" s="95" t="e">
        <f>IF(Table1209120[[#This Row],[Pos.]]="TE1",_xlfn.XLOOKUP(Table1209120[[#This Row],[Opp]],Table8[DEF],Table8[REC]),_xlfn.XLOOKUP(Table1209120[[#This Row],[Opp]],Table816[DEF],Table816[REC]))</f>
        <v>#N/A</v>
      </c>
      <c r="K16" s="95" t="e">
        <f>IF(Table1209120[[#This Row],[Pos.]]="TE1",_xlfn.XLOOKUP(Table1209120[[#This Row],[Opp]],Table8[DEF],Table8[Y]),_xlfn.XLOOKUP(Table1209120[[#This Row],[Opp]],Table816[DEF],Table816[Y]))</f>
        <v>#N/A</v>
      </c>
      <c r="L16" s="96" t="e">
        <f>IF(Table1209120[[#This Row],[Pos.]]="TE1",_xlfn.XLOOKUP(Table1209120[[#This Row],[Opp]],Table8[DEF],Table8[TD]),_xlfn.XLOOKUP(Table1209120[[#This Row],[Opp]],Table816[DEF],Table816[TD]))</f>
        <v>#N/A</v>
      </c>
      <c r="M16" s="94" t="e">
        <f>AVERAGE(Table1209120[[#This Row],[*C*]:[*TD*]])</f>
        <v>#N/A</v>
      </c>
    </row>
    <row r="17" spans="2:13" hidden="1" x14ac:dyDescent="0.35">
      <c r="B17" s="6" t="s">
        <v>509</v>
      </c>
      <c r="C17" s="97" t="s">
        <v>35</v>
      </c>
      <c r="D17" s="97" t="s">
        <v>430</v>
      </c>
      <c r="E17" s="23" t="str" cm="1">
        <f t="array" ref="E17">_xlfn.XLOOKUP(Table1209120[[#This Row],[Team]],Table4334[Team],'2425'!$C$3:$C$34)</f>
        <v>n/a</v>
      </c>
      <c r="F17" s="97" t="str">
        <f>'2025'!$E$13</f>
        <v>n/a</v>
      </c>
      <c r="G17" s="94" t="e" cm="1">
        <f t="array" ref="G17">IF(Table1209120[[#This Row],[Pos.]]="TE1",_xlfn.XLOOKUP(Table1209120[[#This Row],[Opp]],Table8[DEF],'2025'!$AZ$3:$AZ$34),_xlfn.XLOOKUP(Table1209120[[#This Row],[Opp]],Table8[DEF],'2025'!$AZ$38:$AZ$69))</f>
        <v>#N/A</v>
      </c>
      <c r="H17" s="94" t="e" cm="1">
        <f t="array" ref="H17">IF(Table1209120[[#This Row],[Pos.]]="TE1",_xlfn.XLOOKUP(Table1209120[[#This Row],[Opp]],Table8[DEF],'2025'!$BA$3:$BA$34),_xlfn.XLOOKUP(Table1209120[[#This Row],[Opp]],Table8[DEF],'2025'!$BA$38:$BA$69))</f>
        <v>#N/A</v>
      </c>
      <c r="I17" s="94" t="e" cm="1">
        <f t="array" ref="I17">IF(Table1209120[[#This Row],[Pos.]]="TE1",_xlfn.XLOOKUP(Table1209120[[#This Row],[Opp]],Table8[DEF],'2025'!$BB$3:$BB$34),_xlfn.XLOOKUP(Table1209120[[#This Row],[Opp]],Table8[DEF],'2025'!$BB$38:$BB$69))</f>
        <v>#N/A</v>
      </c>
      <c r="J17" s="95" t="e">
        <f>IF(Table1209120[[#This Row],[Pos.]]="TE1",_xlfn.XLOOKUP(Table1209120[[#This Row],[Opp]],Table8[DEF],Table8[REC]),_xlfn.XLOOKUP(Table1209120[[#This Row],[Opp]],Table816[DEF],Table816[REC]))</f>
        <v>#N/A</v>
      </c>
      <c r="K17" s="95" t="e">
        <f>IF(Table1209120[[#This Row],[Pos.]]="TE1",_xlfn.XLOOKUP(Table1209120[[#This Row],[Opp]],Table8[DEF],Table8[Y]),_xlfn.XLOOKUP(Table1209120[[#This Row],[Opp]],Table816[DEF],Table816[Y]))</f>
        <v>#N/A</v>
      </c>
      <c r="L17" s="96" t="e">
        <f>IF(Table1209120[[#This Row],[Pos.]]="TE1",_xlfn.XLOOKUP(Table1209120[[#This Row],[Opp]],Table8[DEF],Table8[TD]),_xlfn.XLOOKUP(Table1209120[[#This Row],[Opp]],Table816[DEF],Table816[TD]))</f>
        <v>#N/A</v>
      </c>
      <c r="M17" s="94" t="e">
        <f>AVERAGE(Table1209120[[#This Row],[*C*]:[*TD*]])</f>
        <v>#N/A</v>
      </c>
    </row>
    <row r="18" spans="2:13" hidden="1" x14ac:dyDescent="0.35">
      <c r="B18" s="6" t="s">
        <v>475</v>
      </c>
      <c r="C18" s="97" t="s">
        <v>31</v>
      </c>
      <c r="D18" s="97" t="s">
        <v>430</v>
      </c>
      <c r="E18" s="23" t="str" cm="1">
        <f t="array" ref="E18">_xlfn.XLOOKUP(Table1209120[[#This Row],[Team]],Table4334[Team],'2425'!$C$3:$C$34)</f>
        <v>n/a</v>
      </c>
      <c r="F18" s="97" t="str">
        <f>'2025'!$E$9</f>
        <v>n/a</v>
      </c>
      <c r="G18" s="94" t="e" cm="1">
        <f t="array" ref="G18">IF(Table1209120[[#This Row],[Pos.]]="TE1",_xlfn.XLOOKUP(Table1209120[[#This Row],[Opp]],Table8[DEF],'2025'!$AZ$3:$AZ$34),_xlfn.XLOOKUP(Table1209120[[#This Row],[Opp]],Table8[DEF],'2025'!$AZ$38:$AZ$69))</f>
        <v>#N/A</v>
      </c>
      <c r="H18" s="94" t="e" cm="1">
        <f t="array" ref="H18">IF(Table1209120[[#This Row],[Pos.]]="TE1",_xlfn.XLOOKUP(Table1209120[[#This Row],[Opp]],Table8[DEF],'2025'!$BA$3:$BA$34),_xlfn.XLOOKUP(Table1209120[[#This Row],[Opp]],Table8[DEF],'2025'!$BA$38:$BA$69))</f>
        <v>#N/A</v>
      </c>
      <c r="I18" s="94" t="e" cm="1">
        <f t="array" ref="I18">IF(Table1209120[[#This Row],[Pos.]]="TE1",_xlfn.XLOOKUP(Table1209120[[#This Row],[Opp]],Table8[DEF],'2025'!$BB$3:$BB$34),_xlfn.XLOOKUP(Table1209120[[#This Row],[Opp]],Table8[DEF],'2025'!$BB$38:$BB$69))</f>
        <v>#N/A</v>
      </c>
      <c r="J18" s="95" t="e">
        <f>IF(Table1209120[[#This Row],[Pos.]]="TE1",_xlfn.XLOOKUP(Table1209120[[#This Row],[Opp]],Table8[DEF],Table8[REC]),_xlfn.XLOOKUP(Table1209120[[#This Row],[Opp]],Table816[DEF],Table816[REC]))</f>
        <v>#N/A</v>
      </c>
      <c r="K18" s="95" t="e">
        <f>IF(Table1209120[[#This Row],[Pos.]]="TE1",_xlfn.XLOOKUP(Table1209120[[#This Row],[Opp]],Table8[DEF],Table8[Y]),_xlfn.XLOOKUP(Table1209120[[#This Row],[Opp]],Table816[DEF],Table816[Y]))</f>
        <v>#N/A</v>
      </c>
      <c r="L18" s="96" t="e">
        <f>IF(Table1209120[[#This Row],[Pos.]]="TE1",_xlfn.XLOOKUP(Table1209120[[#This Row],[Opp]],Table8[DEF],Table8[TD]),_xlfn.XLOOKUP(Table1209120[[#This Row],[Opp]],Table816[DEF],Table816[TD]))</f>
        <v>#N/A</v>
      </c>
      <c r="M18" s="94" t="e">
        <f>AVERAGE(Table1209120[[#This Row],[*C*]:[*TD*]])</f>
        <v>#N/A</v>
      </c>
    </row>
    <row r="19" spans="2:13" hidden="1" x14ac:dyDescent="0.35">
      <c r="B19" s="6" t="s">
        <v>515</v>
      </c>
      <c r="C19" s="97" t="s">
        <v>36</v>
      </c>
      <c r="D19" s="97" t="s">
        <v>430</v>
      </c>
      <c r="E19" s="23" t="str" cm="1">
        <f t="array" ref="E19">_xlfn.XLOOKUP(Table1209120[[#This Row],[Team]],Table4334[Team],'2425'!$C$3:$C$34)</f>
        <v>n/a</v>
      </c>
      <c r="F19" s="97" t="str">
        <f>'2025'!$E$14</f>
        <v>n/a</v>
      </c>
      <c r="G19" s="94" t="e" cm="1">
        <f t="array" ref="G19">IF(Table1209120[[#This Row],[Pos.]]="TE1",_xlfn.XLOOKUP(Table1209120[[#This Row],[Opp]],Table8[DEF],'2025'!$AZ$3:$AZ$34),_xlfn.XLOOKUP(Table1209120[[#This Row],[Opp]],Table8[DEF],'2025'!$AZ$38:$AZ$69))</f>
        <v>#N/A</v>
      </c>
      <c r="H19" s="94" t="e" cm="1">
        <f t="array" ref="H19">IF(Table1209120[[#This Row],[Pos.]]="TE1",_xlfn.XLOOKUP(Table1209120[[#This Row],[Opp]],Table8[DEF],'2025'!$BA$3:$BA$34),_xlfn.XLOOKUP(Table1209120[[#This Row],[Opp]],Table8[DEF],'2025'!$BA$38:$BA$69))</f>
        <v>#N/A</v>
      </c>
      <c r="I19" s="94" t="e" cm="1">
        <f t="array" ref="I19">IF(Table1209120[[#This Row],[Pos.]]="TE1",_xlfn.XLOOKUP(Table1209120[[#This Row],[Opp]],Table8[DEF],'2025'!$BB$3:$BB$34),_xlfn.XLOOKUP(Table1209120[[#This Row],[Opp]],Table8[DEF],'2025'!$BB$38:$BB$69))</f>
        <v>#N/A</v>
      </c>
      <c r="J19" s="95" t="e">
        <f>IF(Table1209120[[#This Row],[Pos.]]="TE1",_xlfn.XLOOKUP(Table1209120[[#This Row],[Opp]],Table8[DEF],Table8[REC]),_xlfn.XLOOKUP(Table1209120[[#This Row],[Opp]],Table816[DEF],Table816[REC]))</f>
        <v>#N/A</v>
      </c>
      <c r="K19" s="95" t="e">
        <f>IF(Table1209120[[#This Row],[Pos.]]="TE1",_xlfn.XLOOKUP(Table1209120[[#This Row],[Opp]],Table8[DEF],Table8[Y]),_xlfn.XLOOKUP(Table1209120[[#This Row],[Opp]],Table816[DEF],Table816[Y]))</f>
        <v>#N/A</v>
      </c>
      <c r="L19" s="96" t="e">
        <f>IF(Table1209120[[#This Row],[Pos.]]="TE1",_xlfn.XLOOKUP(Table1209120[[#This Row],[Opp]],Table8[DEF],Table8[TD]),_xlfn.XLOOKUP(Table1209120[[#This Row],[Opp]],Table816[DEF],Table816[TD]))</f>
        <v>#N/A</v>
      </c>
      <c r="M19" s="94" t="e">
        <f>AVERAGE(Table1209120[[#This Row],[*C*]:[*TD*]])</f>
        <v>#N/A</v>
      </c>
    </row>
    <row r="20" spans="2:13" hidden="1" x14ac:dyDescent="0.35">
      <c r="B20" s="6" t="s">
        <v>437</v>
      </c>
      <c r="C20" s="97" t="s">
        <v>33</v>
      </c>
      <c r="D20" s="97" t="s">
        <v>435</v>
      </c>
      <c r="E20" s="23" t="str" cm="1">
        <f t="array" ref="E20">_xlfn.XLOOKUP(Table1209120[[#This Row],[Team]],Table4334[Team],'2425'!$C$3:$C$34)</f>
        <v>n/a</v>
      </c>
      <c r="F20" s="97" t="str">
        <f>'2025'!$E$11</f>
        <v>n/a</v>
      </c>
      <c r="G20" s="94" t="e" cm="1">
        <f t="array" ref="G20">IF(Table1209120[[#This Row],[Pos.]]="TE1",_xlfn.XLOOKUP(Table1209120[[#This Row],[Opp]],Table8[DEF],'2025'!$AZ$3:$AZ$34),_xlfn.XLOOKUP(Table1209120[[#This Row],[Opp]],Table8[DEF],'2025'!$AZ$38:$AZ$69))</f>
        <v>#N/A</v>
      </c>
      <c r="H20" s="94" t="e" cm="1">
        <f t="array" ref="H20">IF(Table1209120[[#This Row],[Pos.]]="TE1",_xlfn.XLOOKUP(Table1209120[[#This Row],[Opp]],Table8[DEF],'2025'!$BA$3:$BA$34),_xlfn.XLOOKUP(Table1209120[[#This Row],[Opp]],Table8[DEF],'2025'!$BA$38:$BA$69))</f>
        <v>#N/A</v>
      </c>
      <c r="I20" s="94" t="e" cm="1">
        <f t="array" ref="I20">IF(Table1209120[[#This Row],[Pos.]]="TE1",_xlfn.XLOOKUP(Table1209120[[#This Row],[Opp]],Table8[DEF],'2025'!$BB$3:$BB$34),_xlfn.XLOOKUP(Table1209120[[#This Row],[Opp]],Table8[DEF],'2025'!$BB$38:$BB$69))</f>
        <v>#N/A</v>
      </c>
      <c r="J20" s="95" t="e">
        <f>IF(Table1209120[[#This Row],[Pos.]]="TE1",_xlfn.XLOOKUP(Table1209120[[#This Row],[Opp]],Table8[DEF],Table8[REC]),_xlfn.XLOOKUP(Table1209120[[#This Row],[Opp]],Table816[DEF],Table816[REC]))</f>
        <v>#N/A</v>
      </c>
      <c r="K20" s="95" t="e">
        <f>IF(Table1209120[[#This Row],[Pos.]]="TE1",_xlfn.XLOOKUP(Table1209120[[#This Row],[Opp]],Table8[DEF],Table8[Y]),_xlfn.XLOOKUP(Table1209120[[#This Row],[Opp]],Table816[DEF],Table816[Y]))</f>
        <v>#N/A</v>
      </c>
      <c r="L20" s="96" t="e">
        <f>IF(Table1209120[[#This Row],[Pos.]]="TE1",_xlfn.XLOOKUP(Table1209120[[#This Row],[Opp]],Table8[DEF],Table8[TD]),_xlfn.XLOOKUP(Table1209120[[#This Row],[Opp]],Table816[DEF],Table816[TD]))</f>
        <v>#N/A</v>
      </c>
      <c r="M20" s="94" t="e">
        <f>AVERAGE(Table1209120[[#This Row],[*C*]:[*TD*]])</f>
        <v>#N/A</v>
      </c>
    </row>
    <row r="21" spans="2:13" hidden="1" x14ac:dyDescent="0.35">
      <c r="B21" s="6" t="s">
        <v>575</v>
      </c>
      <c r="C21" s="97" t="s">
        <v>40</v>
      </c>
      <c r="D21" s="97" t="s">
        <v>435</v>
      </c>
      <c r="E21" s="23" t="str" cm="1">
        <f t="array" ref="E21">_xlfn.XLOOKUP(Table1209120[[#This Row],[Team]],Table4334[Team],'2425'!$C$3:$C$34)</f>
        <v>n/a</v>
      </c>
      <c r="F21" s="97" t="str">
        <f>'2025'!$E$18</f>
        <v>n/a</v>
      </c>
      <c r="G21" s="94" t="e" cm="1">
        <f t="array" ref="G21">IF(Table1209120[[#This Row],[Pos.]]="TE1",_xlfn.XLOOKUP(Table1209120[[#This Row],[Opp]],Table8[DEF],'2025'!$AZ$3:$AZ$34),_xlfn.XLOOKUP(Table1209120[[#This Row],[Opp]],Table8[DEF],'2025'!$AZ$38:$AZ$69))</f>
        <v>#N/A</v>
      </c>
      <c r="H21" s="94" t="e" cm="1">
        <f t="array" ref="H21">IF(Table1209120[[#This Row],[Pos.]]="TE1",_xlfn.XLOOKUP(Table1209120[[#This Row],[Opp]],Table8[DEF],'2025'!$BA$3:$BA$34),_xlfn.XLOOKUP(Table1209120[[#This Row],[Opp]],Table8[DEF],'2025'!$BA$38:$BA$69))</f>
        <v>#N/A</v>
      </c>
      <c r="I21" s="94" t="e" cm="1">
        <f t="array" ref="I21">IF(Table1209120[[#This Row],[Pos.]]="TE1",_xlfn.XLOOKUP(Table1209120[[#This Row],[Opp]],Table8[DEF],'2025'!$BB$3:$BB$34),_xlfn.XLOOKUP(Table1209120[[#This Row],[Opp]],Table8[DEF],'2025'!$BB$38:$BB$69))</f>
        <v>#N/A</v>
      </c>
      <c r="J21" s="95" t="e">
        <f>IF(Table1209120[[#This Row],[Pos.]]="TE1",_xlfn.XLOOKUP(Table1209120[[#This Row],[Opp]],Table8[DEF],Table8[REC]),_xlfn.XLOOKUP(Table1209120[[#This Row],[Opp]],Table816[DEF],Table816[REC]))</f>
        <v>#N/A</v>
      </c>
      <c r="K21" s="95" t="e">
        <f>IF(Table1209120[[#This Row],[Pos.]]="TE1",_xlfn.XLOOKUP(Table1209120[[#This Row],[Opp]],Table8[DEF],Table8[Y]),_xlfn.XLOOKUP(Table1209120[[#This Row],[Opp]],Table816[DEF],Table816[Y]))</f>
        <v>#N/A</v>
      </c>
      <c r="L21" s="96" t="e">
        <f>IF(Table1209120[[#This Row],[Pos.]]="TE1",_xlfn.XLOOKUP(Table1209120[[#This Row],[Opp]],Table8[DEF],Table8[TD]),_xlfn.XLOOKUP(Table1209120[[#This Row],[Opp]],Table816[DEF],Table816[TD]))</f>
        <v>#N/A</v>
      </c>
      <c r="M21" s="94" t="e">
        <f>AVERAGE(Table1209120[[#This Row],[*C*]:[*TD*]])</f>
        <v>#N/A</v>
      </c>
    </row>
    <row r="22" spans="2:13" hidden="1" x14ac:dyDescent="0.35">
      <c r="B22" s="6" t="s">
        <v>510</v>
      </c>
      <c r="C22" s="97" t="s">
        <v>35</v>
      </c>
      <c r="D22" s="97" t="s">
        <v>435</v>
      </c>
      <c r="E22" s="23" t="str" cm="1">
        <f t="array" ref="E22">_xlfn.XLOOKUP(Table1209120[[#This Row],[Team]],Table4334[Team],'2425'!$C$3:$C$34)</f>
        <v>n/a</v>
      </c>
      <c r="F22" s="97" t="str">
        <f>'2025'!$E$13</f>
        <v>n/a</v>
      </c>
      <c r="G22" s="94" t="e" cm="1">
        <f t="array" ref="G22">IF(Table1209120[[#This Row],[Pos.]]="TE1",_xlfn.XLOOKUP(Table1209120[[#This Row],[Opp]],Table8[DEF],'2025'!$AZ$3:$AZ$34),_xlfn.XLOOKUP(Table1209120[[#This Row],[Opp]],Table8[DEF],'2025'!$AZ$38:$AZ$69))</f>
        <v>#N/A</v>
      </c>
      <c r="H22" s="94" t="e" cm="1">
        <f t="array" ref="H22">IF(Table1209120[[#This Row],[Pos.]]="TE1",_xlfn.XLOOKUP(Table1209120[[#This Row],[Opp]],Table8[DEF],'2025'!$BA$3:$BA$34),_xlfn.XLOOKUP(Table1209120[[#This Row],[Opp]],Table8[DEF],'2025'!$BA$38:$BA$69))</f>
        <v>#N/A</v>
      </c>
      <c r="I22" s="94" t="e" cm="1">
        <f t="array" ref="I22">IF(Table1209120[[#This Row],[Pos.]]="TE1",_xlfn.XLOOKUP(Table1209120[[#This Row],[Opp]],Table8[DEF],'2025'!$BB$3:$BB$34),_xlfn.XLOOKUP(Table1209120[[#This Row],[Opp]],Table8[DEF],'2025'!$BB$38:$BB$69))</f>
        <v>#N/A</v>
      </c>
      <c r="J22" s="95" t="e">
        <f>IF(Table1209120[[#This Row],[Pos.]]="TE1",_xlfn.XLOOKUP(Table1209120[[#This Row],[Opp]],Table8[DEF],Table8[REC]),_xlfn.XLOOKUP(Table1209120[[#This Row],[Opp]],Table816[DEF],Table816[REC]))</f>
        <v>#N/A</v>
      </c>
      <c r="K22" s="95" t="e">
        <f>IF(Table1209120[[#This Row],[Pos.]]="TE1",_xlfn.XLOOKUP(Table1209120[[#This Row],[Opp]],Table8[DEF],Table8[Y]),_xlfn.XLOOKUP(Table1209120[[#This Row],[Opp]],Table816[DEF],Table816[Y]))</f>
        <v>#N/A</v>
      </c>
      <c r="L22" s="96" t="e">
        <f>IF(Table1209120[[#This Row],[Pos.]]="TE1",_xlfn.XLOOKUP(Table1209120[[#This Row],[Opp]],Table8[DEF],Table8[TD]),_xlfn.XLOOKUP(Table1209120[[#This Row],[Opp]],Table816[DEF],Table816[TD]))</f>
        <v>#N/A</v>
      </c>
      <c r="M22" s="94" t="e">
        <f>AVERAGE(Table1209120[[#This Row],[*C*]:[*TD*]])</f>
        <v>#N/A</v>
      </c>
    </row>
    <row r="23" spans="2:13" hidden="1" x14ac:dyDescent="0.35">
      <c r="B23" s="6" t="s">
        <v>476</v>
      </c>
      <c r="C23" s="97" t="s">
        <v>31</v>
      </c>
      <c r="D23" s="97" t="s">
        <v>435</v>
      </c>
      <c r="E23" s="23" t="str" cm="1">
        <f t="array" ref="E23">_xlfn.XLOOKUP(Table1209120[[#This Row],[Team]],Table4334[Team],'2425'!$C$3:$C$34)</f>
        <v>n/a</v>
      </c>
      <c r="F23" s="97" t="str">
        <f>'2025'!$E$9</f>
        <v>n/a</v>
      </c>
      <c r="G23" s="94" t="e" cm="1">
        <f t="array" ref="G23">IF(Table1209120[[#This Row],[Pos.]]="TE1",_xlfn.XLOOKUP(Table1209120[[#This Row],[Opp]],Table8[DEF],'2025'!$AZ$3:$AZ$34),_xlfn.XLOOKUP(Table1209120[[#This Row],[Opp]],Table8[DEF],'2025'!$AZ$38:$AZ$69))</f>
        <v>#N/A</v>
      </c>
      <c r="H23" s="94" t="e" cm="1">
        <f t="array" ref="H23">IF(Table1209120[[#This Row],[Pos.]]="TE1",_xlfn.XLOOKUP(Table1209120[[#This Row],[Opp]],Table8[DEF],'2025'!$BA$3:$BA$34),_xlfn.XLOOKUP(Table1209120[[#This Row],[Opp]],Table8[DEF],'2025'!$BA$38:$BA$69))</f>
        <v>#N/A</v>
      </c>
      <c r="I23" s="94" t="e" cm="1">
        <f t="array" ref="I23">IF(Table1209120[[#This Row],[Pos.]]="TE1",_xlfn.XLOOKUP(Table1209120[[#This Row],[Opp]],Table8[DEF],'2025'!$BB$3:$BB$34),_xlfn.XLOOKUP(Table1209120[[#This Row],[Opp]],Table8[DEF],'2025'!$BB$38:$BB$69))</f>
        <v>#N/A</v>
      </c>
      <c r="J23" s="95" t="e">
        <f>IF(Table1209120[[#This Row],[Pos.]]="TE1",_xlfn.XLOOKUP(Table1209120[[#This Row],[Opp]],Table8[DEF],Table8[REC]),_xlfn.XLOOKUP(Table1209120[[#This Row],[Opp]],Table816[DEF],Table816[REC]))</f>
        <v>#N/A</v>
      </c>
      <c r="K23" s="95" t="e">
        <f>IF(Table1209120[[#This Row],[Pos.]]="TE1",_xlfn.XLOOKUP(Table1209120[[#This Row],[Opp]],Table8[DEF],Table8[Y]),_xlfn.XLOOKUP(Table1209120[[#This Row],[Opp]],Table816[DEF],Table816[Y]))</f>
        <v>#N/A</v>
      </c>
      <c r="L23" s="96" t="e">
        <f>IF(Table1209120[[#This Row],[Pos.]]="TE1",_xlfn.XLOOKUP(Table1209120[[#This Row],[Opp]],Table8[DEF],Table8[TD]),_xlfn.XLOOKUP(Table1209120[[#This Row],[Opp]],Table816[DEF],Table816[TD]))</f>
        <v>#N/A</v>
      </c>
      <c r="M23" s="94" t="e">
        <f>AVERAGE(Table1209120[[#This Row],[*C*]:[*TD*]])</f>
        <v>#N/A</v>
      </c>
    </row>
    <row r="24" spans="2:13" hidden="1" x14ac:dyDescent="0.35">
      <c r="B24" s="6" t="s">
        <v>516</v>
      </c>
      <c r="C24" s="97" t="s">
        <v>36</v>
      </c>
      <c r="D24" s="97" t="s">
        <v>435</v>
      </c>
      <c r="E24" s="23" t="str" cm="1">
        <f t="array" ref="E24">_xlfn.XLOOKUP(Table1209120[[#This Row],[Team]],Table4334[Team],'2425'!$C$3:$C$34)</f>
        <v>n/a</v>
      </c>
      <c r="F24" s="97" t="str">
        <f>'2025'!$E$14</f>
        <v>n/a</v>
      </c>
      <c r="G24" s="94" t="e" cm="1">
        <f t="array" ref="G24">IF(Table1209120[[#This Row],[Pos.]]="TE1",_xlfn.XLOOKUP(Table1209120[[#This Row],[Opp]],Table8[DEF],'2025'!$AZ$3:$AZ$34),_xlfn.XLOOKUP(Table1209120[[#This Row],[Opp]],Table8[DEF],'2025'!$AZ$38:$AZ$69))</f>
        <v>#N/A</v>
      </c>
      <c r="H24" s="94" t="e" cm="1">
        <f t="array" ref="H24">IF(Table1209120[[#This Row],[Pos.]]="TE1",_xlfn.XLOOKUP(Table1209120[[#This Row],[Opp]],Table8[DEF],'2025'!$BA$3:$BA$34),_xlfn.XLOOKUP(Table1209120[[#This Row],[Opp]],Table8[DEF],'2025'!$BA$38:$BA$69))</f>
        <v>#N/A</v>
      </c>
      <c r="I24" s="94" t="e" cm="1">
        <f t="array" ref="I24">IF(Table1209120[[#This Row],[Pos.]]="TE1",_xlfn.XLOOKUP(Table1209120[[#This Row],[Opp]],Table8[DEF],'2025'!$BB$3:$BB$34),_xlfn.XLOOKUP(Table1209120[[#This Row],[Opp]],Table8[DEF],'2025'!$BB$38:$BB$69))</f>
        <v>#N/A</v>
      </c>
      <c r="J24" s="95" t="e">
        <f>IF(Table1209120[[#This Row],[Pos.]]="TE1",_xlfn.XLOOKUP(Table1209120[[#This Row],[Opp]],Table8[DEF],Table8[REC]),_xlfn.XLOOKUP(Table1209120[[#This Row],[Opp]],Table816[DEF],Table816[REC]))</f>
        <v>#N/A</v>
      </c>
      <c r="K24" s="95" t="e">
        <f>IF(Table1209120[[#This Row],[Pos.]]="TE1",_xlfn.XLOOKUP(Table1209120[[#This Row],[Opp]],Table8[DEF],Table8[Y]),_xlfn.XLOOKUP(Table1209120[[#This Row],[Opp]],Table816[DEF],Table816[Y]))</f>
        <v>#N/A</v>
      </c>
      <c r="L24" s="96" t="e">
        <f>IF(Table1209120[[#This Row],[Pos.]]="TE1",_xlfn.XLOOKUP(Table1209120[[#This Row],[Opp]],Table8[DEF],Table8[TD]),_xlfn.XLOOKUP(Table1209120[[#This Row],[Opp]],Table816[DEF],Table816[TD]))</f>
        <v>#N/A</v>
      </c>
      <c r="M24" s="94" t="e">
        <f>AVERAGE(Table1209120[[#This Row],[*C*]:[*TD*]])</f>
        <v>#N/A</v>
      </c>
    </row>
    <row r="25" spans="2:13" hidden="1" x14ac:dyDescent="0.35">
      <c r="B25" s="6" t="s">
        <v>596</v>
      </c>
      <c r="C25" s="97" t="s">
        <v>15</v>
      </c>
      <c r="D25" s="97" t="s">
        <v>397</v>
      </c>
      <c r="E25" s="23" t="str" cm="1">
        <f t="array" ref="E25">_xlfn.XLOOKUP(Table1209120[[#This Row],[Team]],Table4334[Team],'2425'!$C$3:$C$34)</f>
        <v>n/a</v>
      </c>
      <c r="F25" s="97" t="str">
        <f>'2025'!$E$4</f>
        <v>n/a</v>
      </c>
      <c r="G25" s="94" t="e" cm="1">
        <f t="array" ref="G25">IF(Table1209120[[#This Row],[Pos.]]="TE1",_xlfn.XLOOKUP(Table1209120[[#This Row],[Opp]],Table8[DEF],'2025'!$AZ$3:$AZ$34),_xlfn.XLOOKUP(Table1209120[[#This Row],[Opp]],Table8[DEF],'2025'!$AZ$38:$AZ$69))</f>
        <v>#N/A</v>
      </c>
      <c r="H25" s="94" t="e" cm="1">
        <f t="array" ref="H25">IF(Table1209120[[#This Row],[Pos.]]="TE1",_xlfn.XLOOKUP(Table1209120[[#This Row],[Opp]],Table8[DEF],'2025'!$BA$3:$BA$34),_xlfn.XLOOKUP(Table1209120[[#This Row],[Opp]],Table8[DEF],'2025'!$BA$38:$BA$69))</f>
        <v>#N/A</v>
      </c>
      <c r="I25" s="94" t="e" cm="1">
        <f t="array" ref="I25">IF(Table1209120[[#This Row],[Pos.]]="TE1",_xlfn.XLOOKUP(Table1209120[[#This Row],[Opp]],Table8[DEF],'2025'!$BB$3:$BB$34),_xlfn.XLOOKUP(Table1209120[[#This Row],[Opp]],Table8[DEF],'2025'!$BB$38:$BB$69))</f>
        <v>#N/A</v>
      </c>
      <c r="J25" s="95" t="e">
        <f>IF(Table1209120[[#This Row],[Pos.]]="TE1",_xlfn.XLOOKUP(Table1209120[[#This Row],[Opp]],Table8[DEF],Table8[REC]),_xlfn.XLOOKUP(Table1209120[[#This Row],[Opp]],Table816[DEF],Table816[REC]))</f>
        <v>#N/A</v>
      </c>
      <c r="K25" s="95" t="e">
        <f>IF(Table1209120[[#This Row],[Pos.]]="TE1",_xlfn.XLOOKUP(Table1209120[[#This Row],[Opp]],Table8[DEF],Table8[Y]),_xlfn.XLOOKUP(Table1209120[[#This Row],[Opp]],Table816[DEF],Table816[Y]))</f>
        <v>#N/A</v>
      </c>
      <c r="L25" s="96" t="e">
        <f>IF(Table1209120[[#This Row],[Pos.]]="TE1",_xlfn.XLOOKUP(Table1209120[[#This Row],[Opp]],Table8[DEF],Table8[TD]),_xlfn.XLOOKUP(Table1209120[[#This Row],[Opp]],Table816[DEF],Table816[TD]))</f>
        <v>#N/A</v>
      </c>
      <c r="M25" s="94" t="e">
        <f>AVERAGE(Table1209120[[#This Row],[*C*]:[*TD*]])</f>
        <v>#N/A</v>
      </c>
    </row>
    <row r="26" spans="2:13" hidden="1" x14ac:dyDescent="0.35">
      <c r="B26" s="6" t="s">
        <v>186</v>
      </c>
      <c r="C26" s="97" t="s">
        <v>33</v>
      </c>
      <c r="D26" s="97" t="s">
        <v>397</v>
      </c>
      <c r="E26" s="23" t="str" cm="1">
        <f t="array" ref="E26">_xlfn.XLOOKUP(Table1209120[[#This Row],[Team]],Table4334[Team],'2425'!$C$3:$C$34)</f>
        <v>n/a</v>
      </c>
      <c r="F26" s="97" t="str">
        <f>'2025'!$E$11</f>
        <v>n/a</v>
      </c>
      <c r="G26" s="94" t="e" cm="1">
        <f t="array" ref="G26">IF(Table1209120[[#This Row],[Pos.]]="TE1",_xlfn.XLOOKUP(Table1209120[[#This Row],[Opp]],Table8[DEF],'2025'!$AZ$3:$AZ$34),_xlfn.XLOOKUP(Table1209120[[#This Row],[Opp]],Table8[DEF],'2025'!$AZ$38:$AZ$69))</f>
        <v>#N/A</v>
      </c>
      <c r="H26" s="94" t="e" cm="1">
        <f t="array" ref="H26">IF(Table1209120[[#This Row],[Pos.]]="TE1",_xlfn.XLOOKUP(Table1209120[[#This Row],[Opp]],Table8[DEF],'2025'!$BA$3:$BA$34),_xlfn.XLOOKUP(Table1209120[[#This Row],[Opp]],Table8[DEF],'2025'!$BA$38:$BA$69))</f>
        <v>#N/A</v>
      </c>
      <c r="I26" s="94" t="e" cm="1">
        <f t="array" ref="I26">IF(Table1209120[[#This Row],[Pos.]]="TE1",_xlfn.XLOOKUP(Table1209120[[#This Row],[Opp]],Table8[DEF],'2025'!$BB$3:$BB$34),_xlfn.XLOOKUP(Table1209120[[#This Row],[Opp]],Table8[DEF],'2025'!$BB$38:$BB$69))</f>
        <v>#N/A</v>
      </c>
      <c r="J26" s="95" t="e">
        <f>IF(Table1209120[[#This Row],[Pos.]]="TE1",_xlfn.XLOOKUP(Table1209120[[#This Row],[Opp]],Table8[DEF],Table8[REC]),_xlfn.XLOOKUP(Table1209120[[#This Row],[Opp]],Table816[DEF],Table816[REC]))</f>
        <v>#N/A</v>
      </c>
      <c r="K26" s="95" t="e">
        <f>IF(Table1209120[[#This Row],[Pos.]]="TE1",_xlfn.XLOOKUP(Table1209120[[#This Row],[Opp]],Table8[DEF],Table8[Y]),_xlfn.XLOOKUP(Table1209120[[#This Row],[Opp]],Table816[DEF],Table816[Y]))</f>
        <v>#N/A</v>
      </c>
      <c r="L26" s="96" t="e">
        <f>IF(Table1209120[[#This Row],[Pos.]]="TE1",_xlfn.XLOOKUP(Table1209120[[#This Row],[Opp]],Table8[DEF],Table8[TD]),_xlfn.XLOOKUP(Table1209120[[#This Row],[Opp]],Table816[DEF],Table816[TD]))</f>
        <v>#N/A</v>
      </c>
      <c r="M26" s="94" t="e">
        <f>AVERAGE(Table1209120[[#This Row],[*C*]:[*TD*]])</f>
        <v>#N/A</v>
      </c>
    </row>
    <row r="27" spans="2:13" x14ac:dyDescent="0.35">
      <c r="B27" s="6" t="s">
        <v>130</v>
      </c>
      <c r="C27" s="97" t="s">
        <v>17</v>
      </c>
      <c r="D27" s="97" t="s">
        <v>397</v>
      </c>
      <c r="E27" s="23" t="str" cm="1">
        <f t="array" ref="E27">_xlfn.XLOOKUP(Table1209120[[#This Row],[Team]],Table4334[Team],'2425'!$C$3:$C$34)</f>
        <v>n/a</v>
      </c>
      <c r="F27" s="97" t="str">
        <f>'2025'!$E$6</f>
        <v>n/a</v>
      </c>
      <c r="G27" s="94" t="e" cm="1">
        <f t="array" ref="G27">IF(Table1209120[[#This Row],[Pos.]]="TE1",_xlfn.XLOOKUP(Table1209120[[#This Row],[Opp]],Table8[DEF],'2025'!$AZ$3:$AZ$34),_xlfn.XLOOKUP(Table1209120[[#This Row],[Opp]],Table8[DEF],'2025'!$AZ$38:$AZ$69))</f>
        <v>#N/A</v>
      </c>
      <c r="H27" s="94" t="e" cm="1">
        <f t="array" ref="H27">IF(Table1209120[[#This Row],[Pos.]]="TE1",_xlfn.XLOOKUP(Table1209120[[#This Row],[Opp]],Table8[DEF],'2025'!$BA$3:$BA$34),_xlfn.XLOOKUP(Table1209120[[#This Row],[Opp]],Table8[DEF],'2025'!$BA$38:$BA$69))</f>
        <v>#N/A</v>
      </c>
      <c r="I27" s="94" t="e" cm="1">
        <f t="array" ref="I27">IF(Table1209120[[#This Row],[Pos.]]="TE1",_xlfn.XLOOKUP(Table1209120[[#This Row],[Opp]],Table8[DEF],'2025'!$BB$3:$BB$34),_xlfn.XLOOKUP(Table1209120[[#This Row],[Opp]],Table8[DEF],'2025'!$BB$38:$BB$69))</f>
        <v>#N/A</v>
      </c>
      <c r="J27" s="95" t="e">
        <f>IF(Table1209120[[#This Row],[Pos.]]="TE1",_xlfn.XLOOKUP(Table1209120[[#This Row],[Opp]],Table8[DEF],Table8[REC]),_xlfn.XLOOKUP(Table1209120[[#This Row],[Opp]],Table816[DEF],Table816[REC]))</f>
        <v>#N/A</v>
      </c>
      <c r="K27" s="95" t="e">
        <f>IF(Table1209120[[#This Row],[Pos.]]="TE1",_xlfn.XLOOKUP(Table1209120[[#This Row],[Opp]],Table8[DEF],Table8[Y]),_xlfn.XLOOKUP(Table1209120[[#This Row],[Opp]],Table816[DEF],Table816[Y]))</f>
        <v>#N/A</v>
      </c>
      <c r="L27" s="96" t="e">
        <f>IF(Table1209120[[#This Row],[Pos.]]="TE1",_xlfn.XLOOKUP(Table1209120[[#This Row],[Opp]],Table8[DEF],Table8[TD]),_xlfn.XLOOKUP(Table1209120[[#This Row],[Opp]],Table816[DEF],Table816[TD]))</f>
        <v>#N/A</v>
      </c>
      <c r="M27" s="94" t="e">
        <f>AVERAGE(Table1209120[[#This Row],[*C*]:[*TD*]])</f>
        <v>#N/A</v>
      </c>
    </row>
    <row r="28" spans="2:13" x14ac:dyDescent="0.35">
      <c r="B28" s="6" t="s">
        <v>195</v>
      </c>
      <c r="C28" s="97" t="s">
        <v>34</v>
      </c>
      <c r="D28" s="97" t="s">
        <v>397</v>
      </c>
      <c r="E28" s="23" t="str" cm="1">
        <f t="array" ref="E28">_xlfn.XLOOKUP(Table1209120[[#This Row],[Team]],Table4334[Team],'2425'!$C$3:$C$34)</f>
        <v>n/a</v>
      </c>
      <c r="F28" s="97" t="str">
        <f>'2025'!$E$12</f>
        <v>n/a</v>
      </c>
      <c r="G28" s="94" t="e" cm="1">
        <f t="array" ref="G28">IF(Table1209120[[#This Row],[Pos.]]="TE1",_xlfn.XLOOKUP(Table1209120[[#This Row],[Opp]],Table8[DEF],'2025'!$AZ$3:$AZ$34),_xlfn.XLOOKUP(Table1209120[[#This Row],[Opp]],Table8[DEF],'2025'!$AZ$38:$AZ$69))</f>
        <v>#N/A</v>
      </c>
      <c r="H28" s="94" t="e" cm="1">
        <f t="array" ref="H28">IF(Table1209120[[#This Row],[Pos.]]="TE1",_xlfn.XLOOKUP(Table1209120[[#This Row],[Opp]],Table8[DEF],'2025'!$BA$3:$BA$34),_xlfn.XLOOKUP(Table1209120[[#This Row],[Opp]],Table8[DEF],'2025'!$BA$38:$BA$69))</f>
        <v>#N/A</v>
      </c>
      <c r="I28" s="94" t="e" cm="1">
        <f t="array" ref="I28">IF(Table1209120[[#This Row],[Pos.]]="TE1",_xlfn.XLOOKUP(Table1209120[[#This Row],[Opp]],Table8[DEF],'2025'!$BB$3:$BB$34),_xlfn.XLOOKUP(Table1209120[[#This Row],[Opp]],Table8[DEF],'2025'!$BB$38:$BB$69))</f>
        <v>#N/A</v>
      </c>
      <c r="J28" s="95" t="e">
        <f>IF(Table1209120[[#This Row],[Pos.]]="TE1",_xlfn.XLOOKUP(Table1209120[[#This Row],[Opp]],Table8[DEF],Table8[REC]),_xlfn.XLOOKUP(Table1209120[[#This Row],[Opp]],Table816[DEF],Table816[REC]))</f>
        <v>#N/A</v>
      </c>
      <c r="K28" s="95" t="e">
        <f>IF(Table1209120[[#This Row],[Pos.]]="TE1",_xlfn.XLOOKUP(Table1209120[[#This Row],[Opp]],Table8[DEF],Table8[Y]),_xlfn.XLOOKUP(Table1209120[[#This Row],[Opp]],Table816[DEF],Table816[Y]))</f>
        <v>#N/A</v>
      </c>
      <c r="L28" s="96" t="e">
        <f>IF(Table1209120[[#This Row],[Pos.]]="TE1",_xlfn.XLOOKUP(Table1209120[[#This Row],[Opp]],Table8[DEF],Table8[TD]),_xlfn.XLOOKUP(Table1209120[[#This Row],[Opp]],Table816[DEF],Table816[TD]))</f>
        <v>#N/A</v>
      </c>
      <c r="M28" s="94" t="e">
        <f>AVERAGE(Table1209120[[#This Row],[*C*]:[*TD*]])</f>
        <v>#N/A</v>
      </c>
    </row>
    <row r="29" spans="2:13" hidden="1" x14ac:dyDescent="0.35">
      <c r="B29" s="6" t="s">
        <v>459</v>
      </c>
      <c r="C29" s="97" t="s">
        <v>50</v>
      </c>
      <c r="D29" s="97" t="s">
        <v>430</v>
      </c>
      <c r="E29" s="23" t="str" cm="1">
        <f t="array" ref="E29">_xlfn.XLOOKUP(Table1209120[[#This Row],[Team]],Table4334[Team],'2425'!$C$3:$C$34)</f>
        <v>n/a</v>
      </c>
      <c r="F29" s="97" t="str">
        <f>'2025'!$E$28</f>
        <v>n/a</v>
      </c>
      <c r="G29" s="94" t="e" cm="1">
        <f t="array" ref="G29">IF(Table1209120[[#This Row],[Pos.]]="TE1",_xlfn.XLOOKUP(Table1209120[[#This Row],[Opp]],Table8[DEF],'2025'!$AZ$3:$AZ$34),_xlfn.XLOOKUP(Table1209120[[#This Row],[Opp]],Table8[DEF],'2025'!$AZ$38:$AZ$69))</f>
        <v>#N/A</v>
      </c>
      <c r="H29" s="94" t="e" cm="1">
        <f t="array" ref="H29">IF(Table1209120[[#This Row],[Pos.]]="TE1",_xlfn.XLOOKUP(Table1209120[[#This Row],[Opp]],Table8[DEF],'2025'!$BA$3:$BA$34),_xlfn.XLOOKUP(Table1209120[[#This Row],[Opp]],Table8[DEF],'2025'!$BA$38:$BA$69))</f>
        <v>#N/A</v>
      </c>
      <c r="I29" s="94" t="e" cm="1">
        <f t="array" ref="I29">IF(Table1209120[[#This Row],[Pos.]]="TE1",_xlfn.XLOOKUP(Table1209120[[#This Row],[Opp]],Table8[DEF],'2025'!$BB$3:$BB$34),_xlfn.XLOOKUP(Table1209120[[#This Row],[Opp]],Table8[DEF],'2025'!$BB$38:$BB$69))</f>
        <v>#N/A</v>
      </c>
      <c r="J29" s="95" t="e">
        <f>IF(Table1209120[[#This Row],[Pos.]]="TE1",_xlfn.XLOOKUP(Table1209120[[#This Row],[Opp]],Table8[DEF],Table8[REC]),_xlfn.XLOOKUP(Table1209120[[#This Row],[Opp]],Table816[DEF],Table816[REC]))</f>
        <v>#N/A</v>
      </c>
      <c r="K29" s="95" t="e">
        <f>IF(Table1209120[[#This Row],[Pos.]]="TE1",_xlfn.XLOOKUP(Table1209120[[#This Row],[Opp]],Table8[DEF],Table8[Y]),_xlfn.XLOOKUP(Table1209120[[#This Row],[Opp]],Table816[DEF],Table816[Y]))</f>
        <v>#N/A</v>
      </c>
      <c r="L29" s="96" t="e">
        <f>IF(Table1209120[[#This Row],[Pos.]]="TE1",_xlfn.XLOOKUP(Table1209120[[#This Row],[Opp]],Table8[DEF],Table8[TD]),_xlfn.XLOOKUP(Table1209120[[#This Row],[Opp]],Table816[DEF],Table816[TD]))</f>
        <v>#N/A</v>
      </c>
      <c r="M29" s="94" t="e">
        <f>AVERAGE(Table1209120[[#This Row],[*C*]:[*TD*]])</f>
        <v>#N/A</v>
      </c>
    </row>
    <row r="30" spans="2:13" hidden="1" x14ac:dyDescent="0.35">
      <c r="B30" s="6" t="s">
        <v>502</v>
      </c>
      <c r="C30" s="97" t="s">
        <v>30</v>
      </c>
      <c r="D30" s="97" t="s">
        <v>430</v>
      </c>
      <c r="E30" s="23" t="str" cm="1">
        <f t="array" ref="E30">_xlfn.XLOOKUP(Table1209120[[#This Row],[Team]],Table4334[Team],'2425'!$C$3:$C$34)</f>
        <v>n/a</v>
      </c>
      <c r="F30" s="97" t="str">
        <f>'2025'!$E$8</f>
        <v>n/a</v>
      </c>
      <c r="G30" s="94" t="e" cm="1">
        <f t="array" ref="G30">IF(Table1209120[[#This Row],[Pos.]]="TE1",_xlfn.XLOOKUP(Table1209120[[#This Row],[Opp]],Table8[DEF],'2025'!$AZ$3:$AZ$34),_xlfn.XLOOKUP(Table1209120[[#This Row],[Opp]],Table8[DEF],'2025'!$AZ$38:$AZ$69))</f>
        <v>#N/A</v>
      </c>
      <c r="H30" s="94" t="e" cm="1">
        <f t="array" ref="H30">IF(Table1209120[[#This Row],[Pos.]]="TE1",_xlfn.XLOOKUP(Table1209120[[#This Row],[Opp]],Table8[DEF],'2025'!$BA$3:$BA$34),_xlfn.XLOOKUP(Table1209120[[#This Row],[Opp]],Table8[DEF],'2025'!$BA$38:$BA$69))</f>
        <v>#N/A</v>
      </c>
      <c r="I30" s="94" t="e" cm="1">
        <f t="array" ref="I30">IF(Table1209120[[#This Row],[Pos.]]="TE1",_xlfn.XLOOKUP(Table1209120[[#This Row],[Opp]],Table8[DEF],'2025'!$BB$3:$BB$34),_xlfn.XLOOKUP(Table1209120[[#This Row],[Opp]],Table8[DEF],'2025'!$BB$38:$BB$69))</f>
        <v>#N/A</v>
      </c>
      <c r="J30" s="95" t="e">
        <f>IF(Table1209120[[#This Row],[Pos.]]="TE1",_xlfn.XLOOKUP(Table1209120[[#This Row],[Opp]],Table8[DEF],Table8[REC]),_xlfn.XLOOKUP(Table1209120[[#This Row],[Opp]],Table816[DEF],Table816[REC]))</f>
        <v>#N/A</v>
      </c>
      <c r="K30" s="95" t="e">
        <f>IF(Table1209120[[#This Row],[Pos.]]="TE1",_xlfn.XLOOKUP(Table1209120[[#This Row],[Opp]],Table8[DEF],Table8[Y]),_xlfn.XLOOKUP(Table1209120[[#This Row],[Opp]],Table816[DEF],Table816[Y]))</f>
        <v>#N/A</v>
      </c>
      <c r="L30" s="96" t="e">
        <f>IF(Table1209120[[#This Row],[Pos.]]="TE1",_xlfn.XLOOKUP(Table1209120[[#This Row],[Opp]],Table8[DEF],Table8[TD]),_xlfn.XLOOKUP(Table1209120[[#This Row],[Opp]],Table816[DEF],Table816[TD]))</f>
        <v>#N/A</v>
      </c>
      <c r="M30" s="94" t="e">
        <f>AVERAGE(Table1209120[[#This Row],[*C*]:[*TD*]])</f>
        <v>#N/A</v>
      </c>
    </row>
    <row r="31" spans="2:13" hidden="1" x14ac:dyDescent="0.35">
      <c r="B31" s="6" t="s">
        <v>339</v>
      </c>
      <c r="C31" s="97" t="s">
        <v>50</v>
      </c>
      <c r="D31" s="97" t="s">
        <v>397</v>
      </c>
      <c r="E31" s="23" t="str" cm="1">
        <f t="array" ref="E31">_xlfn.XLOOKUP(Table1209120[[#This Row],[Team]],Table4334[Team],'2425'!$C$3:$C$34)</f>
        <v>n/a</v>
      </c>
      <c r="F31" s="97" t="str">
        <f>'2025'!$E$28</f>
        <v>n/a</v>
      </c>
      <c r="G31" s="94" t="e" cm="1">
        <f t="array" ref="G31">IF(Table1209120[[#This Row],[Pos.]]="TE1",_xlfn.XLOOKUP(Table1209120[[#This Row],[Opp]],Table8[DEF],'2025'!$AZ$3:$AZ$34),_xlfn.XLOOKUP(Table1209120[[#This Row],[Opp]],Table8[DEF],'2025'!$AZ$38:$AZ$69))</f>
        <v>#N/A</v>
      </c>
      <c r="H31" s="94" t="e" cm="1">
        <f t="array" ref="H31">IF(Table1209120[[#This Row],[Pos.]]="TE1",_xlfn.XLOOKUP(Table1209120[[#This Row],[Opp]],Table8[DEF],'2025'!$BA$3:$BA$34),_xlfn.XLOOKUP(Table1209120[[#This Row],[Opp]],Table8[DEF],'2025'!$BA$38:$BA$69))</f>
        <v>#N/A</v>
      </c>
      <c r="I31" s="94" t="e" cm="1">
        <f t="array" ref="I31">IF(Table1209120[[#This Row],[Pos.]]="TE1",_xlfn.XLOOKUP(Table1209120[[#This Row],[Opp]],Table8[DEF],'2025'!$BB$3:$BB$34),_xlfn.XLOOKUP(Table1209120[[#This Row],[Opp]],Table8[DEF],'2025'!$BB$38:$BB$69))</f>
        <v>#N/A</v>
      </c>
      <c r="J31" s="95" t="e">
        <f>IF(Table1209120[[#This Row],[Pos.]]="TE1",_xlfn.XLOOKUP(Table1209120[[#This Row],[Opp]],Table8[DEF],Table8[REC]),_xlfn.XLOOKUP(Table1209120[[#This Row],[Opp]],Table816[DEF],Table816[REC]))</f>
        <v>#N/A</v>
      </c>
      <c r="K31" s="95" t="e">
        <f>IF(Table1209120[[#This Row],[Pos.]]="TE1",_xlfn.XLOOKUP(Table1209120[[#This Row],[Opp]],Table8[DEF],Table8[Y]),_xlfn.XLOOKUP(Table1209120[[#This Row],[Opp]],Table816[DEF],Table816[Y]))</f>
        <v>#N/A</v>
      </c>
      <c r="L31" s="96" t="e">
        <f>IF(Table1209120[[#This Row],[Pos.]]="TE1",_xlfn.XLOOKUP(Table1209120[[#This Row],[Opp]],Table8[DEF],Table8[TD]),_xlfn.XLOOKUP(Table1209120[[#This Row],[Opp]],Table816[DEF],Table816[TD]))</f>
        <v>#N/A</v>
      </c>
      <c r="M31" s="94" t="e">
        <f>AVERAGE(Table1209120[[#This Row],[*C*]:[*TD*]])</f>
        <v>#N/A</v>
      </c>
    </row>
    <row r="32" spans="2:13" hidden="1" x14ac:dyDescent="0.35">
      <c r="B32" s="6" t="s">
        <v>165</v>
      </c>
      <c r="C32" s="97" t="s">
        <v>31</v>
      </c>
      <c r="D32" s="97" t="s">
        <v>397</v>
      </c>
      <c r="E32" s="23" t="str" cm="1">
        <f t="array" ref="E32">_xlfn.XLOOKUP(Table1209120[[#This Row],[Team]],Table4334[Team],'2425'!$C$3:$C$34)</f>
        <v>n/a</v>
      </c>
      <c r="F32" s="97" t="str">
        <f>'2025'!$E$9</f>
        <v>n/a</v>
      </c>
      <c r="G32" s="94" t="e" cm="1">
        <f t="array" ref="G32">IF(Table1209120[[#This Row],[Pos.]]="TE1",_xlfn.XLOOKUP(Table1209120[[#This Row],[Opp]],Table8[DEF],'2025'!$AZ$3:$AZ$34),_xlfn.XLOOKUP(Table1209120[[#This Row],[Opp]],Table8[DEF],'2025'!$AZ$38:$AZ$69))</f>
        <v>#N/A</v>
      </c>
      <c r="H32" s="94" t="e" cm="1">
        <f t="array" ref="H32">IF(Table1209120[[#This Row],[Pos.]]="TE1",_xlfn.XLOOKUP(Table1209120[[#This Row],[Opp]],Table8[DEF],'2025'!$BA$3:$BA$34),_xlfn.XLOOKUP(Table1209120[[#This Row],[Opp]],Table8[DEF],'2025'!$BA$38:$BA$69))</f>
        <v>#N/A</v>
      </c>
      <c r="I32" s="94" t="e" cm="1">
        <f t="array" ref="I32">IF(Table1209120[[#This Row],[Pos.]]="TE1",_xlfn.XLOOKUP(Table1209120[[#This Row],[Opp]],Table8[DEF],'2025'!$BB$3:$BB$34),_xlfn.XLOOKUP(Table1209120[[#This Row],[Opp]],Table8[DEF],'2025'!$BB$38:$BB$69))</f>
        <v>#N/A</v>
      </c>
      <c r="J32" s="95" t="e">
        <f>IF(Table1209120[[#This Row],[Pos.]]="TE1",_xlfn.XLOOKUP(Table1209120[[#This Row],[Opp]],Table8[DEF],Table8[REC]),_xlfn.XLOOKUP(Table1209120[[#This Row],[Opp]],Table816[DEF],Table816[REC]))</f>
        <v>#N/A</v>
      </c>
      <c r="K32" s="95" t="e">
        <f>IF(Table1209120[[#This Row],[Pos.]]="TE1",_xlfn.XLOOKUP(Table1209120[[#This Row],[Opp]],Table8[DEF],Table8[Y]),_xlfn.XLOOKUP(Table1209120[[#This Row],[Opp]],Table816[DEF],Table816[Y]))</f>
        <v>#N/A</v>
      </c>
      <c r="L32" s="96" t="e">
        <f>IF(Table1209120[[#This Row],[Pos.]]="TE1",_xlfn.XLOOKUP(Table1209120[[#This Row],[Opp]],Table8[DEF],Table8[TD]),_xlfn.XLOOKUP(Table1209120[[#This Row],[Opp]],Table816[DEF],Table816[TD]))</f>
        <v>#N/A</v>
      </c>
      <c r="M32" s="94" t="e">
        <f>AVERAGE(Table1209120[[#This Row],[*C*]:[*TD*]])</f>
        <v>#N/A</v>
      </c>
    </row>
    <row r="33" spans="2:13" hidden="1" x14ac:dyDescent="0.35">
      <c r="B33" s="6" t="s">
        <v>126</v>
      </c>
      <c r="C33" s="97" t="s">
        <v>48</v>
      </c>
      <c r="D33" s="97" t="s">
        <v>397</v>
      </c>
      <c r="E33" s="23" t="str" cm="1">
        <f t="array" ref="E33">_xlfn.XLOOKUP(Table1209120[[#This Row],[Team]],Table4334[Team],'2425'!$C$3:$C$34)</f>
        <v>n/a</v>
      </c>
      <c r="F33" s="97" t="str">
        <f>'2025'!$E$26</f>
        <v>n/a</v>
      </c>
      <c r="G33" s="94" t="e" cm="1">
        <f t="array" ref="G33">IF(Table1209120[[#This Row],[Pos.]]="TE1",_xlfn.XLOOKUP(Table1209120[[#This Row],[Opp]],Table8[DEF],'2025'!$AZ$3:$AZ$34),_xlfn.XLOOKUP(Table1209120[[#This Row],[Opp]],Table8[DEF],'2025'!$AZ$38:$AZ$69))</f>
        <v>#N/A</v>
      </c>
      <c r="H33" s="94" t="e" cm="1">
        <f t="array" ref="H33">IF(Table1209120[[#This Row],[Pos.]]="TE1",_xlfn.XLOOKUP(Table1209120[[#This Row],[Opp]],Table8[DEF],'2025'!$BA$3:$BA$34),_xlfn.XLOOKUP(Table1209120[[#This Row],[Opp]],Table8[DEF],'2025'!$BA$38:$BA$69))</f>
        <v>#N/A</v>
      </c>
      <c r="I33" s="94" t="e" cm="1">
        <f t="array" ref="I33">IF(Table1209120[[#This Row],[Pos.]]="TE1",_xlfn.XLOOKUP(Table1209120[[#This Row],[Opp]],Table8[DEF],'2025'!$BB$3:$BB$34),_xlfn.XLOOKUP(Table1209120[[#This Row],[Opp]],Table8[DEF],'2025'!$BB$38:$BB$69))</f>
        <v>#N/A</v>
      </c>
      <c r="J33" s="95" t="e">
        <f>IF(Table1209120[[#This Row],[Pos.]]="TE1",_xlfn.XLOOKUP(Table1209120[[#This Row],[Opp]],Table8[DEF],Table8[REC]),_xlfn.XLOOKUP(Table1209120[[#This Row],[Opp]],Table816[DEF],Table816[REC]))</f>
        <v>#N/A</v>
      </c>
      <c r="K33" s="95" t="e">
        <f>IF(Table1209120[[#This Row],[Pos.]]="TE1",_xlfn.XLOOKUP(Table1209120[[#This Row],[Opp]],Table8[DEF],Table8[Y]),_xlfn.XLOOKUP(Table1209120[[#This Row],[Opp]],Table816[DEF],Table816[Y]))</f>
        <v>#N/A</v>
      </c>
      <c r="L33" s="96" t="e">
        <f>IF(Table1209120[[#This Row],[Pos.]]="TE1",_xlfn.XLOOKUP(Table1209120[[#This Row],[Opp]],Table8[DEF],Table8[TD]),_xlfn.XLOOKUP(Table1209120[[#This Row],[Opp]],Table816[DEF],Table816[TD]))</f>
        <v>#N/A</v>
      </c>
      <c r="M33" s="94" t="e">
        <f>AVERAGE(Table1209120[[#This Row],[*C*]:[*TD*]])</f>
        <v>#N/A</v>
      </c>
    </row>
    <row r="34" spans="2:13" hidden="1" x14ac:dyDescent="0.35">
      <c r="B34" s="6" t="s">
        <v>317</v>
      </c>
      <c r="C34" s="97" t="s">
        <v>47</v>
      </c>
      <c r="D34" s="97" t="s">
        <v>397</v>
      </c>
      <c r="E34" s="23" t="str" cm="1">
        <f t="array" ref="E34">_xlfn.XLOOKUP(Table1209120[[#This Row],[Team]],Table4334[Team],'2425'!$C$3:$C$34)</f>
        <v>n/a</v>
      </c>
      <c r="F34" s="97" t="str">
        <f>'2025'!$E$25</f>
        <v>n/a</v>
      </c>
      <c r="G34" s="94" t="e" cm="1">
        <f t="array" ref="G34">IF(Table1209120[[#This Row],[Pos.]]="TE1",_xlfn.XLOOKUP(Table1209120[[#This Row],[Opp]],Table8[DEF],'2025'!$AZ$3:$AZ$34),_xlfn.XLOOKUP(Table1209120[[#This Row],[Opp]],Table8[DEF],'2025'!$AZ$38:$AZ$69))</f>
        <v>#N/A</v>
      </c>
      <c r="H34" s="94" t="e" cm="1">
        <f t="array" ref="H34">IF(Table1209120[[#This Row],[Pos.]]="TE1",_xlfn.XLOOKUP(Table1209120[[#This Row],[Opp]],Table8[DEF],'2025'!$BA$3:$BA$34),_xlfn.XLOOKUP(Table1209120[[#This Row],[Opp]],Table8[DEF],'2025'!$BA$38:$BA$69))</f>
        <v>#N/A</v>
      </c>
      <c r="I34" s="94" t="e" cm="1">
        <f t="array" ref="I34">IF(Table1209120[[#This Row],[Pos.]]="TE1",_xlfn.XLOOKUP(Table1209120[[#This Row],[Opp]],Table8[DEF],'2025'!$BB$3:$BB$34),_xlfn.XLOOKUP(Table1209120[[#This Row],[Opp]],Table8[DEF],'2025'!$BB$38:$BB$69))</f>
        <v>#N/A</v>
      </c>
      <c r="J34" s="95" t="e">
        <f>IF(Table1209120[[#This Row],[Pos.]]="TE1",_xlfn.XLOOKUP(Table1209120[[#This Row],[Opp]],Table8[DEF],Table8[REC]),_xlfn.XLOOKUP(Table1209120[[#This Row],[Opp]],Table816[DEF],Table816[REC]))</f>
        <v>#N/A</v>
      </c>
      <c r="K34" s="95" t="e">
        <f>IF(Table1209120[[#This Row],[Pos.]]="TE1",_xlfn.XLOOKUP(Table1209120[[#This Row],[Opp]],Table8[DEF],Table8[Y]),_xlfn.XLOOKUP(Table1209120[[#This Row],[Opp]],Table816[DEF],Table816[Y]))</f>
        <v>#N/A</v>
      </c>
      <c r="L34" s="96" t="e">
        <f>IF(Table1209120[[#This Row],[Pos.]]="TE1",_xlfn.XLOOKUP(Table1209120[[#This Row],[Opp]],Table8[DEF],Table8[TD]),_xlfn.XLOOKUP(Table1209120[[#This Row],[Opp]],Table816[DEF],Table816[TD]))</f>
        <v>#N/A</v>
      </c>
      <c r="M34" s="94" t="e">
        <f>AVERAGE(Table1209120[[#This Row],[*C*]:[*TD*]])</f>
        <v>#N/A</v>
      </c>
    </row>
    <row r="35" spans="2:13" hidden="1" x14ac:dyDescent="0.35">
      <c r="B35" s="6" t="s">
        <v>178</v>
      </c>
      <c r="C35" s="97" t="s">
        <v>32</v>
      </c>
      <c r="D35" s="97" t="s">
        <v>398</v>
      </c>
      <c r="E35" s="23" t="str" cm="1">
        <f t="array" ref="E35">_xlfn.XLOOKUP(Table1209120[[#This Row],[Team]],Table4334[Team],'2425'!$C$3:$C$34)</f>
        <v>n/a</v>
      </c>
      <c r="F35" s="97" t="str">
        <f>'2025'!$E$10</f>
        <v>n/a</v>
      </c>
      <c r="G35" s="94" t="e" cm="1">
        <f t="array" ref="G35">IF(Table1209120[[#This Row],[Pos.]]="TE1",_xlfn.XLOOKUP(Table1209120[[#This Row],[Opp]],Table8[DEF],'2025'!$AZ$3:$AZ$34),_xlfn.XLOOKUP(Table1209120[[#This Row],[Opp]],Table8[DEF],'2025'!$AZ$38:$AZ$69))</f>
        <v>#N/A</v>
      </c>
      <c r="H35" s="94" t="e" cm="1">
        <f t="array" ref="H35">IF(Table1209120[[#This Row],[Pos.]]="TE1",_xlfn.XLOOKUP(Table1209120[[#This Row],[Opp]],Table8[DEF],'2025'!$BA$3:$BA$34),_xlfn.XLOOKUP(Table1209120[[#This Row],[Opp]],Table8[DEF],'2025'!$BA$38:$BA$69))</f>
        <v>#N/A</v>
      </c>
      <c r="I35" s="94" t="e" cm="1">
        <f t="array" ref="I35">IF(Table1209120[[#This Row],[Pos.]]="TE1",_xlfn.XLOOKUP(Table1209120[[#This Row],[Opp]],Table8[DEF],'2025'!$BB$3:$BB$34),_xlfn.XLOOKUP(Table1209120[[#This Row],[Opp]],Table8[DEF],'2025'!$BB$38:$BB$69))</f>
        <v>#N/A</v>
      </c>
      <c r="J35" s="95" t="e">
        <f>IF(Table1209120[[#This Row],[Pos.]]="TE1",_xlfn.XLOOKUP(Table1209120[[#This Row],[Opp]],Table8[DEF],Table8[REC]),_xlfn.XLOOKUP(Table1209120[[#This Row],[Opp]],Table816[DEF],Table816[REC]))</f>
        <v>#N/A</v>
      </c>
      <c r="K35" s="95" t="e">
        <f>IF(Table1209120[[#This Row],[Pos.]]="TE1",_xlfn.XLOOKUP(Table1209120[[#This Row],[Opp]],Table8[DEF],Table8[Y]),_xlfn.XLOOKUP(Table1209120[[#This Row],[Opp]],Table816[DEF],Table816[Y]))</f>
        <v>#N/A</v>
      </c>
      <c r="L35" s="96" t="e">
        <f>IF(Table1209120[[#This Row],[Pos.]]="TE1",_xlfn.XLOOKUP(Table1209120[[#This Row],[Opp]],Table8[DEF],Table8[TD]),_xlfn.XLOOKUP(Table1209120[[#This Row],[Opp]],Table816[DEF],Table816[TD]))</f>
        <v>#N/A</v>
      </c>
      <c r="M35" s="94" t="e">
        <f>AVERAGE(Table1209120[[#This Row],[*C*]:[*TD*]])</f>
        <v>#N/A</v>
      </c>
    </row>
    <row r="36" spans="2:13" x14ac:dyDescent="0.35">
      <c r="B36" s="6" t="s">
        <v>693</v>
      </c>
      <c r="C36" s="97" t="s">
        <v>53</v>
      </c>
      <c r="D36" s="97" t="s">
        <v>398</v>
      </c>
      <c r="E36" s="23" t="str" cm="1">
        <f t="array" ref="E36">_xlfn.XLOOKUP(Table1209120[[#This Row],[Team]],Table4334[Team],'2425'!$C$3:$C$34)</f>
        <v>n/a</v>
      </c>
      <c r="F36" s="97" t="str">
        <f>'2025'!$E$31</f>
        <v>n/a</v>
      </c>
      <c r="G36" s="94" t="e" cm="1">
        <f t="array" ref="G36">IF(Table1209120[[#This Row],[Pos.]]="TE1",_xlfn.XLOOKUP(Table1209120[[#This Row],[Opp]],Table8[DEF],'2025'!$AZ$3:$AZ$34),_xlfn.XLOOKUP(Table1209120[[#This Row],[Opp]],Table8[DEF],'2025'!$AZ$38:$AZ$69))</f>
        <v>#N/A</v>
      </c>
      <c r="H36" s="94" t="e" cm="1">
        <f t="array" ref="H36">IF(Table1209120[[#This Row],[Pos.]]="TE1",_xlfn.XLOOKUP(Table1209120[[#This Row],[Opp]],Table8[DEF],'2025'!$BA$3:$BA$34),_xlfn.XLOOKUP(Table1209120[[#This Row],[Opp]],Table8[DEF],'2025'!$BA$38:$BA$69))</f>
        <v>#N/A</v>
      </c>
      <c r="I36" s="94" t="e" cm="1">
        <f t="array" ref="I36">IF(Table1209120[[#This Row],[Pos.]]="TE1",_xlfn.XLOOKUP(Table1209120[[#This Row],[Opp]],Table8[DEF],'2025'!$BB$3:$BB$34),_xlfn.XLOOKUP(Table1209120[[#This Row],[Opp]],Table8[DEF],'2025'!$BB$38:$BB$69))</f>
        <v>#N/A</v>
      </c>
      <c r="J36" s="95" t="e">
        <f>IF(Table1209120[[#This Row],[Pos.]]="TE1",_xlfn.XLOOKUP(Table1209120[[#This Row],[Opp]],Table8[DEF],Table8[REC]),_xlfn.XLOOKUP(Table1209120[[#This Row],[Opp]],Table816[DEF],Table816[REC]))</f>
        <v>#N/A</v>
      </c>
      <c r="K36" s="95" t="e">
        <f>IF(Table1209120[[#This Row],[Pos.]]="TE1",_xlfn.XLOOKUP(Table1209120[[#This Row],[Opp]],Table8[DEF],Table8[Y]),_xlfn.XLOOKUP(Table1209120[[#This Row],[Opp]],Table816[DEF],Table816[Y]))</f>
        <v>#N/A</v>
      </c>
      <c r="L36" s="96" t="e">
        <f>IF(Table1209120[[#This Row],[Pos.]]="TE1",_xlfn.XLOOKUP(Table1209120[[#This Row],[Opp]],Table8[DEF],Table8[TD]),_xlfn.XLOOKUP(Table1209120[[#This Row],[Opp]],Table816[DEF],Table816[TD]))</f>
        <v>#N/A</v>
      </c>
      <c r="M36" s="94" t="e">
        <f>AVERAGE(Table1209120[[#This Row],[*C*]:[*TD*]])</f>
        <v>#N/A</v>
      </c>
    </row>
    <row r="37" spans="2:13" hidden="1" x14ac:dyDescent="0.35">
      <c r="B37" s="6" t="s">
        <v>239</v>
      </c>
      <c r="C37" s="97" t="s">
        <v>39</v>
      </c>
      <c r="D37" s="97" t="s">
        <v>397</v>
      </c>
      <c r="E37" s="23" t="str" cm="1">
        <f t="array" ref="E37">_xlfn.XLOOKUP(Table1209120[[#This Row],[Team]],Table4334[Team],'2425'!$C$3:$C$34)</f>
        <v>n/a</v>
      </c>
      <c r="F37" s="97" t="str">
        <f>'2025'!$E$17</f>
        <v>n/a</v>
      </c>
      <c r="G37" s="94" t="e" cm="1">
        <f t="array" ref="G37">IF(Table1209120[[#This Row],[Pos.]]="TE1",_xlfn.XLOOKUP(Table1209120[[#This Row],[Opp]],Table8[DEF],'2025'!$AZ$3:$AZ$34),_xlfn.XLOOKUP(Table1209120[[#This Row],[Opp]],Table8[DEF],'2025'!$AZ$38:$AZ$69))</f>
        <v>#N/A</v>
      </c>
      <c r="H37" s="94" t="e" cm="1">
        <f t="array" ref="H37">IF(Table1209120[[#This Row],[Pos.]]="TE1",_xlfn.XLOOKUP(Table1209120[[#This Row],[Opp]],Table8[DEF],'2025'!$BA$3:$BA$34),_xlfn.XLOOKUP(Table1209120[[#This Row],[Opp]],Table8[DEF],'2025'!$BA$38:$BA$69))</f>
        <v>#N/A</v>
      </c>
      <c r="I37" s="94" t="e" cm="1">
        <f t="array" ref="I37">IF(Table1209120[[#This Row],[Pos.]]="TE1",_xlfn.XLOOKUP(Table1209120[[#This Row],[Opp]],Table8[DEF],'2025'!$BB$3:$BB$34),_xlfn.XLOOKUP(Table1209120[[#This Row],[Opp]],Table8[DEF],'2025'!$BB$38:$BB$69))</f>
        <v>#N/A</v>
      </c>
      <c r="J37" s="95" t="e">
        <f>IF(Table1209120[[#This Row],[Pos.]]="TE1",_xlfn.XLOOKUP(Table1209120[[#This Row],[Opp]],Table8[DEF],Table8[REC]),_xlfn.XLOOKUP(Table1209120[[#This Row],[Opp]],Table816[DEF],Table816[REC]))</f>
        <v>#N/A</v>
      </c>
      <c r="K37" s="95" t="e">
        <f>IF(Table1209120[[#This Row],[Pos.]]="TE1",_xlfn.XLOOKUP(Table1209120[[#This Row],[Opp]],Table8[DEF],Table8[Y]),_xlfn.XLOOKUP(Table1209120[[#This Row],[Opp]],Table816[DEF],Table816[Y]))</f>
        <v>#N/A</v>
      </c>
      <c r="L37" s="96" t="e">
        <f>IF(Table1209120[[#This Row],[Pos.]]="TE1",_xlfn.XLOOKUP(Table1209120[[#This Row],[Opp]],Table8[DEF],Table8[TD]),_xlfn.XLOOKUP(Table1209120[[#This Row],[Opp]],Table816[DEF],Table816[TD]))</f>
        <v>#N/A</v>
      </c>
      <c r="M37" s="94" t="e">
        <f>AVERAGE(Table1209120[[#This Row],[*C*]:[*TD*]])</f>
        <v>#N/A</v>
      </c>
    </row>
    <row r="38" spans="2:13" hidden="1" x14ac:dyDescent="0.35">
      <c r="B38" s="6" t="s">
        <v>164</v>
      </c>
      <c r="C38" s="97" t="s">
        <v>31</v>
      </c>
      <c r="D38" s="97" t="s">
        <v>398</v>
      </c>
      <c r="E38" s="23" t="str" cm="1">
        <f t="array" ref="E38">_xlfn.XLOOKUP(Table1209120[[#This Row],[Team]],Table4334[Team],'2425'!$C$3:$C$34)</f>
        <v>n/a</v>
      </c>
      <c r="F38" s="97" t="str">
        <f>'2025'!$E$9</f>
        <v>n/a</v>
      </c>
      <c r="G38" s="94" t="e" cm="1">
        <f t="array" ref="G38">IF(Table1209120[[#This Row],[Pos.]]="TE1",_xlfn.XLOOKUP(Table1209120[[#This Row],[Opp]],Table8[DEF],'2025'!$AZ$3:$AZ$34),_xlfn.XLOOKUP(Table1209120[[#This Row],[Opp]],Table8[DEF],'2025'!$AZ$38:$AZ$69))</f>
        <v>#N/A</v>
      </c>
      <c r="H38" s="94" t="e" cm="1">
        <f t="array" ref="H38">IF(Table1209120[[#This Row],[Pos.]]="TE1",_xlfn.XLOOKUP(Table1209120[[#This Row],[Opp]],Table8[DEF],'2025'!$BA$3:$BA$34),_xlfn.XLOOKUP(Table1209120[[#This Row],[Opp]],Table8[DEF],'2025'!$BA$38:$BA$69))</f>
        <v>#N/A</v>
      </c>
      <c r="I38" s="94" t="e" cm="1">
        <f t="array" ref="I38">IF(Table1209120[[#This Row],[Pos.]]="TE1",_xlfn.XLOOKUP(Table1209120[[#This Row],[Opp]],Table8[DEF],'2025'!$BB$3:$BB$34),_xlfn.XLOOKUP(Table1209120[[#This Row],[Opp]],Table8[DEF],'2025'!$BB$38:$BB$69))</f>
        <v>#N/A</v>
      </c>
      <c r="J38" s="95" t="e">
        <f>IF(Table1209120[[#This Row],[Pos.]]="TE1",_xlfn.XLOOKUP(Table1209120[[#This Row],[Opp]],Table8[DEF],Table8[REC]),_xlfn.XLOOKUP(Table1209120[[#This Row],[Opp]],Table816[DEF],Table816[REC]))</f>
        <v>#N/A</v>
      </c>
      <c r="K38" s="95" t="e">
        <f>IF(Table1209120[[#This Row],[Pos.]]="TE1",_xlfn.XLOOKUP(Table1209120[[#This Row],[Opp]],Table8[DEF],Table8[Y]),_xlfn.XLOOKUP(Table1209120[[#This Row],[Opp]],Table816[DEF],Table816[Y]))</f>
        <v>#N/A</v>
      </c>
      <c r="L38" s="96" t="e">
        <f>IF(Table1209120[[#This Row],[Pos.]]="TE1",_xlfn.XLOOKUP(Table1209120[[#This Row],[Opp]],Table8[DEF],Table8[TD]),_xlfn.XLOOKUP(Table1209120[[#This Row],[Opp]],Table816[DEF],Table816[TD]))</f>
        <v>#N/A</v>
      </c>
      <c r="M38" s="94" t="e">
        <f>AVERAGE(Table1209120[[#This Row],[*C*]:[*TD*]])</f>
        <v>#N/A</v>
      </c>
    </row>
    <row r="39" spans="2:13" hidden="1" x14ac:dyDescent="0.35">
      <c r="B39" s="6" t="s">
        <v>209</v>
      </c>
      <c r="C39" s="97" t="s">
        <v>36</v>
      </c>
      <c r="D39" s="97" t="s">
        <v>397</v>
      </c>
      <c r="E39" s="23" t="str" cm="1">
        <f t="array" ref="E39">_xlfn.XLOOKUP(Table1209120[[#This Row],[Team]],Table4334[Team],'2425'!$C$3:$C$34)</f>
        <v>n/a</v>
      </c>
      <c r="F39" s="97" t="str">
        <f>'2025'!$E$14</f>
        <v>n/a</v>
      </c>
      <c r="G39" s="94" t="e" cm="1">
        <f t="array" ref="G39">IF(Table1209120[[#This Row],[Pos.]]="TE1",_xlfn.XLOOKUP(Table1209120[[#This Row],[Opp]],Table8[DEF],'2025'!$AZ$3:$AZ$34),_xlfn.XLOOKUP(Table1209120[[#This Row],[Opp]],Table8[DEF],'2025'!$AZ$38:$AZ$69))</f>
        <v>#N/A</v>
      </c>
      <c r="H39" s="94" t="e" cm="1">
        <f t="array" ref="H39">IF(Table1209120[[#This Row],[Pos.]]="TE1",_xlfn.XLOOKUP(Table1209120[[#This Row],[Opp]],Table8[DEF],'2025'!$BA$3:$BA$34),_xlfn.XLOOKUP(Table1209120[[#This Row],[Opp]],Table8[DEF],'2025'!$BA$38:$BA$69))</f>
        <v>#N/A</v>
      </c>
      <c r="I39" s="94" t="e" cm="1">
        <f t="array" ref="I39">IF(Table1209120[[#This Row],[Pos.]]="TE1",_xlfn.XLOOKUP(Table1209120[[#This Row],[Opp]],Table8[DEF],'2025'!$BB$3:$BB$34),_xlfn.XLOOKUP(Table1209120[[#This Row],[Opp]],Table8[DEF],'2025'!$BB$38:$BB$69))</f>
        <v>#N/A</v>
      </c>
      <c r="J39" s="95" t="e">
        <f>IF(Table1209120[[#This Row],[Pos.]]="TE1",_xlfn.XLOOKUP(Table1209120[[#This Row],[Opp]],Table8[DEF],Table8[REC]),_xlfn.XLOOKUP(Table1209120[[#This Row],[Opp]],Table816[DEF],Table816[REC]))</f>
        <v>#N/A</v>
      </c>
      <c r="K39" s="95" t="e">
        <f>IF(Table1209120[[#This Row],[Pos.]]="TE1",_xlfn.XLOOKUP(Table1209120[[#This Row],[Opp]],Table8[DEF],Table8[Y]),_xlfn.XLOOKUP(Table1209120[[#This Row],[Opp]],Table816[DEF],Table816[Y]))</f>
        <v>#N/A</v>
      </c>
      <c r="L39" s="96" t="e">
        <f>IF(Table1209120[[#This Row],[Pos.]]="TE1",_xlfn.XLOOKUP(Table1209120[[#This Row],[Opp]],Table8[DEF],Table8[TD]),_xlfn.XLOOKUP(Table1209120[[#This Row],[Opp]],Table816[DEF],Table816[TD]))</f>
        <v>#N/A</v>
      </c>
      <c r="M39" s="94" t="e">
        <f>AVERAGE(Table1209120[[#This Row],[*C*]:[*TD*]])</f>
        <v>#N/A</v>
      </c>
    </row>
    <row r="40" spans="2:13" hidden="1" x14ac:dyDescent="0.35">
      <c r="B40" s="6" t="s">
        <v>594</v>
      </c>
      <c r="C40" s="97" t="s">
        <v>55</v>
      </c>
      <c r="D40" s="97" t="s">
        <v>398</v>
      </c>
      <c r="E40" s="23" t="str" cm="1">
        <f t="array" ref="E40">_xlfn.XLOOKUP(Table1209120[[#This Row],[Team]],Table4334[Team],'2425'!$C$3:$C$34)</f>
        <v>n/a</v>
      </c>
      <c r="F40" s="97" t="str">
        <f>'2025'!$E$33</f>
        <v>n/a</v>
      </c>
      <c r="G40" s="94" t="e" cm="1">
        <f t="array" ref="G40">IF(Table1209120[[#This Row],[Pos.]]="TE1",_xlfn.XLOOKUP(Table1209120[[#This Row],[Opp]],Table8[DEF],'2025'!$AZ$3:$AZ$34),_xlfn.XLOOKUP(Table1209120[[#This Row],[Opp]],Table8[DEF],'2025'!$AZ$38:$AZ$69))</f>
        <v>#N/A</v>
      </c>
      <c r="H40" s="94" t="e" cm="1">
        <f t="array" ref="H40">IF(Table1209120[[#This Row],[Pos.]]="TE1",_xlfn.XLOOKUP(Table1209120[[#This Row],[Opp]],Table8[DEF],'2025'!$BA$3:$BA$34),_xlfn.XLOOKUP(Table1209120[[#This Row],[Opp]],Table8[DEF],'2025'!$BA$38:$BA$69))</f>
        <v>#N/A</v>
      </c>
      <c r="I40" s="94" t="e" cm="1">
        <f t="array" ref="I40">IF(Table1209120[[#This Row],[Pos.]]="TE1",_xlfn.XLOOKUP(Table1209120[[#This Row],[Opp]],Table8[DEF],'2025'!$BB$3:$BB$34),_xlfn.XLOOKUP(Table1209120[[#This Row],[Opp]],Table8[DEF],'2025'!$BB$38:$BB$69))</f>
        <v>#N/A</v>
      </c>
      <c r="J40" s="95" t="e">
        <f>IF(Table1209120[[#This Row],[Pos.]]="TE1",_xlfn.XLOOKUP(Table1209120[[#This Row],[Opp]],Table8[DEF],Table8[REC]),_xlfn.XLOOKUP(Table1209120[[#This Row],[Opp]],Table816[DEF],Table816[REC]))</f>
        <v>#N/A</v>
      </c>
      <c r="K40" s="95" t="e">
        <f>IF(Table1209120[[#This Row],[Pos.]]="TE1",_xlfn.XLOOKUP(Table1209120[[#This Row],[Opp]],Table8[DEF],Table8[Y]),_xlfn.XLOOKUP(Table1209120[[#This Row],[Opp]],Table816[DEF],Table816[Y]))</f>
        <v>#N/A</v>
      </c>
      <c r="L40" s="96" t="e">
        <f>IF(Table1209120[[#This Row],[Pos.]]="TE1",_xlfn.XLOOKUP(Table1209120[[#This Row],[Opp]],Table8[DEF],Table8[TD]),_xlfn.XLOOKUP(Table1209120[[#This Row],[Opp]],Table816[DEF],Table816[TD]))</f>
        <v>#N/A</v>
      </c>
      <c r="M40" s="94" t="e">
        <f>AVERAGE(Table1209120[[#This Row],[*C*]:[*TD*]])</f>
        <v>#N/A</v>
      </c>
    </row>
    <row r="41" spans="2:13" hidden="1" x14ac:dyDescent="0.35">
      <c r="B41" s="6" t="s">
        <v>424</v>
      </c>
      <c r="C41" s="97" t="s">
        <v>33</v>
      </c>
      <c r="D41" s="97" t="s">
        <v>398</v>
      </c>
      <c r="E41" s="23" t="str" cm="1">
        <f t="array" ref="E41">_xlfn.XLOOKUP(Table1209120[[#This Row],[Team]],Table4334[Team],'2425'!$C$3:$C$34)</f>
        <v>n/a</v>
      </c>
      <c r="F41" s="97" t="str">
        <f>'2025'!$E$11</f>
        <v>n/a</v>
      </c>
      <c r="G41" s="94" t="e" cm="1">
        <f t="array" ref="G41">IF(Table1209120[[#This Row],[Pos.]]="TE1",_xlfn.XLOOKUP(Table1209120[[#This Row],[Opp]],Table8[DEF],'2025'!$AZ$3:$AZ$34),_xlfn.XLOOKUP(Table1209120[[#This Row],[Opp]],Table8[DEF],'2025'!$AZ$38:$AZ$69))</f>
        <v>#N/A</v>
      </c>
      <c r="H41" s="94" t="e" cm="1">
        <f t="array" ref="H41">IF(Table1209120[[#This Row],[Pos.]]="TE1",_xlfn.XLOOKUP(Table1209120[[#This Row],[Opp]],Table8[DEF],'2025'!$BA$3:$BA$34),_xlfn.XLOOKUP(Table1209120[[#This Row],[Opp]],Table8[DEF],'2025'!$BA$38:$BA$69))</f>
        <v>#N/A</v>
      </c>
      <c r="I41" s="94" t="e" cm="1">
        <f t="array" ref="I41">IF(Table1209120[[#This Row],[Pos.]]="TE1",_xlfn.XLOOKUP(Table1209120[[#This Row],[Opp]],Table8[DEF],'2025'!$BB$3:$BB$34),_xlfn.XLOOKUP(Table1209120[[#This Row],[Opp]],Table8[DEF],'2025'!$BB$38:$BB$69))</f>
        <v>#N/A</v>
      </c>
      <c r="J41" s="95" t="e">
        <f>IF(Table1209120[[#This Row],[Pos.]]="TE1",_xlfn.XLOOKUP(Table1209120[[#This Row],[Opp]],Table8[DEF],Table8[REC]),_xlfn.XLOOKUP(Table1209120[[#This Row],[Opp]],Table816[DEF],Table816[REC]))</f>
        <v>#N/A</v>
      </c>
      <c r="K41" s="95" t="e">
        <f>IF(Table1209120[[#This Row],[Pos.]]="TE1",_xlfn.XLOOKUP(Table1209120[[#This Row],[Opp]],Table8[DEF],Table8[Y]),_xlfn.XLOOKUP(Table1209120[[#This Row],[Opp]],Table816[DEF],Table816[Y]))</f>
        <v>#N/A</v>
      </c>
      <c r="L41" s="96" t="e">
        <f>IF(Table1209120[[#This Row],[Pos.]]="TE1",_xlfn.XLOOKUP(Table1209120[[#This Row],[Opp]],Table8[DEF],Table8[TD]),_xlfn.XLOOKUP(Table1209120[[#This Row],[Opp]],Table816[DEF],Table816[TD]))</f>
        <v>#N/A</v>
      </c>
      <c r="M41" s="94" t="e">
        <f>AVERAGE(Table1209120[[#This Row],[*C*]:[*TD*]])</f>
        <v>#N/A</v>
      </c>
    </row>
    <row r="42" spans="2:13" hidden="1" x14ac:dyDescent="0.35">
      <c r="B42" s="6" t="s">
        <v>298</v>
      </c>
      <c r="C42" s="97" t="s">
        <v>45</v>
      </c>
      <c r="D42" s="97" t="s">
        <v>398</v>
      </c>
      <c r="E42" s="23" t="str" cm="1">
        <f t="array" ref="E42">_xlfn.XLOOKUP(Table1209120[[#This Row],[Team]],Table4334[Team],'2425'!$C$3:$C$34)</f>
        <v>n/a</v>
      </c>
      <c r="F42" s="97" t="str">
        <f>'2025'!$E$23</f>
        <v>n/a</v>
      </c>
      <c r="G42" s="94" t="e" cm="1">
        <f t="array" ref="G42">IF(Table1209120[[#This Row],[Pos.]]="TE1",_xlfn.XLOOKUP(Table1209120[[#This Row],[Opp]],Table8[DEF],'2025'!$AZ$3:$AZ$34),_xlfn.XLOOKUP(Table1209120[[#This Row],[Opp]],Table8[DEF],'2025'!$AZ$38:$AZ$69))</f>
        <v>#N/A</v>
      </c>
      <c r="H42" s="94" t="e" cm="1">
        <f t="array" ref="H42">IF(Table1209120[[#This Row],[Pos.]]="TE1",_xlfn.XLOOKUP(Table1209120[[#This Row],[Opp]],Table8[DEF],'2025'!$BA$3:$BA$34),_xlfn.XLOOKUP(Table1209120[[#This Row],[Opp]],Table8[DEF],'2025'!$BA$38:$BA$69))</f>
        <v>#N/A</v>
      </c>
      <c r="I42" s="94" t="e" cm="1">
        <f t="array" ref="I42">IF(Table1209120[[#This Row],[Pos.]]="TE1",_xlfn.XLOOKUP(Table1209120[[#This Row],[Opp]],Table8[DEF],'2025'!$BB$3:$BB$34),_xlfn.XLOOKUP(Table1209120[[#This Row],[Opp]],Table8[DEF],'2025'!$BB$38:$BB$69))</f>
        <v>#N/A</v>
      </c>
      <c r="J42" s="95" t="e">
        <f>IF(Table1209120[[#This Row],[Pos.]]="TE1",_xlfn.XLOOKUP(Table1209120[[#This Row],[Opp]],Table8[DEF],Table8[REC]),_xlfn.XLOOKUP(Table1209120[[#This Row],[Opp]],Table816[DEF],Table816[REC]))</f>
        <v>#N/A</v>
      </c>
      <c r="K42" s="95" t="e">
        <f>IF(Table1209120[[#This Row],[Pos.]]="TE1",_xlfn.XLOOKUP(Table1209120[[#This Row],[Opp]],Table8[DEF],Table8[Y]),_xlfn.XLOOKUP(Table1209120[[#This Row],[Opp]],Table816[DEF],Table816[Y]))</f>
        <v>#N/A</v>
      </c>
      <c r="L42" s="96" t="e">
        <f>IF(Table1209120[[#This Row],[Pos.]]="TE1",_xlfn.XLOOKUP(Table1209120[[#This Row],[Opp]],Table8[DEF],Table8[TD]),_xlfn.XLOOKUP(Table1209120[[#This Row],[Opp]],Table816[DEF],Table816[TD]))</f>
        <v>#N/A</v>
      </c>
      <c r="M42" s="94" t="e">
        <f>AVERAGE(Table1209120[[#This Row],[*C*]:[*TD*]])</f>
        <v>#N/A</v>
      </c>
    </row>
    <row r="43" spans="2:13" hidden="1" x14ac:dyDescent="0.35">
      <c r="B43" s="6" t="s">
        <v>622</v>
      </c>
      <c r="C43" s="97" t="s">
        <v>47</v>
      </c>
      <c r="D43" s="97" t="s">
        <v>398</v>
      </c>
      <c r="E43" s="23" t="str" cm="1">
        <f t="array" ref="E43">_xlfn.XLOOKUP(Table1209120[[#This Row],[Team]],Table4334[Team],'2425'!$C$3:$C$34)</f>
        <v>n/a</v>
      </c>
      <c r="F43" s="97" t="str">
        <f>'2025'!$E$25</f>
        <v>n/a</v>
      </c>
      <c r="G43" s="94" t="e" cm="1">
        <f t="array" ref="G43">IF(Table1209120[[#This Row],[Pos.]]="TE1",_xlfn.XLOOKUP(Table1209120[[#This Row],[Opp]],Table8[DEF],'2025'!$AZ$3:$AZ$34),_xlfn.XLOOKUP(Table1209120[[#This Row],[Opp]],Table8[DEF],'2025'!$AZ$38:$AZ$69))</f>
        <v>#N/A</v>
      </c>
      <c r="H43" s="94" t="e" cm="1">
        <f t="array" ref="H43">IF(Table1209120[[#This Row],[Pos.]]="TE1",_xlfn.XLOOKUP(Table1209120[[#This Row],[Opp]],Table8[DEF],'2025'!$BA$3:$BA$34),_xlfn.XLOOKUP(Table1209120[[#This Row],[Opp]],Table8[DEF],'2025'!$BA$38:$BA$69))</f>
        <v>#N/A</v>
      </c>
      <c r="I43" s="94" t="e" cm="1">
        <f t="array" ref="I43">IF(Table1209120[[#This Row],[Pos.]]="TE1",_xlfn.XLOOKUP(Table1209120[[#This Row],[Opp]],Table8[DEF],'2025'!$BB$3:$BB$34),_xlfn.XLOOKUP(Table1209120[[#This Row],[Opp]],Table8[DEF],'2025'!$BB$38:$BB$69))</f>
        <v>#N/A</v>
      </c>
      <c r="J43" s="95" t="e">
        <f>IF(Table1209120[[#This Row],[Pos.]]="TE1",_xlfn.XLOOKUP(Table1209120[[#This Row],[Opp]],Table8[DEF],Table8[REC]),_xlfn.XLOOKUP(Table1209120[[#This Row],[Opp]],Table816[DEF],Table816[REC]))</f>
        <v>#N/A</v>
      </c>
      <c r="K43" s="95" t="e">
        <f>IF(Table1209120[[#This Row],[Pos.]]="TE1",_xlfn.XLOOKUP(Table1209120[[#This Row],[Opp]],Table8[DEF],Table8[Y]),_xlfn.XLOOKUP(Table1209120[[#This Row],[Opp]],Table816[DEF],Table816[Y]))</f>
        <v>#N/A</v>
      </c>
      <c r="L43" s="96" t="e">
        <f>IF(Table1209120[[#This Row],[Pos.]]="TE1",_xlfn.XLOOKUP(Table1209120[[#This Row],[Opp]],Table8[DEF],Table8[TD]),_xlfn.XLOOKUP(Table1209120[[#This Row],[Opp]],Table816[DEF],Table816[TD]))</f>
        <v>#N/A</v>
      </c>
      <c r="M43" s="94" t="e">
        <f>AVERAGE(Table1209120[[#This Row],[*C*]:[*TD*]])</f>
        <v>#N/A</v>
      </c>
    </row>
    <row r="44" spans="2:13" hidden="1" x14ac:dyDescent="0.35">
      <c r="B44" s="6" t="s">
        <v>646</v>
      </c>
      <c r="C44" s="97" t="s">
        <v>38</v>
      </c>
      <c r="D44" s="97" t="s">
        <v>398</v>
      </c>
      <c r="E44" s="23" t="str" cm="1">
        <f t="array" ref="E44">_xlfn.XLOOKUP(Table1209120[[#This Row],[Team]],Table4334[Team],'2425'!$C$3:$C$34)</f>
        <v>n/a</v>
      </c>
      <c r="F44" s="97" t="str">
        <f>'2025'!$E$16</f>
        <v>n/a</v>
      </c>
      <c r="G44" s="94" t="e" cm="1">
        <f t="array" ref="G44">IF(Table1209120[[#This Row],[Pos.]]="TE1",_xlfn.XLOOKUP(Table1209120[[#This Row],[Opp]],Table8[DEF],'2025'!$AZ$3:$AZ$34),_xlfn.XLOOKUP(Table1209120[[#This Row],[Opp]],Table8[DEF],'2025'!$AZ$38:$AZ$69))</f>
        <v>#N/A</v>
      </c>
      <c r="H44" s="94" t="e" cm="1">
        <f t="array" ref="H44">IF(Table1209120[[#This Row],[Pos.]]="TE1",_xlfn.XLOOKUP(Table1209120[[#This Row],[Opp]],Table8[DEF],'2025'!$BA$3:$BA$34),_xlfn.XLOOKUP(Table1209120[[#This Row],[Opp]],Table8[DEF],'2025'!$BA$38:$BA$69))</f>
        <v>#N/A</v>
      </c>
      <c r="I44" s="94" t="e" cm="1">
        <f t="array" ref="I44">IF(Table1209120[[#This Row],[Pos.]]="TE1",_xlfn.XLOOKUP(Table1209120[[#This Row],[Opp]],Table8[DEF],'2025'!$BB$3:$BB$34),_xlfn.XLOOKUP(Table1209120[[#This Row],[Opp]],Table8[DEF],'2025'!$BB$38:$BB$69))</f>
        <v>#N/A</v>
      </c>
      <c r="J44" s="95" t="e">
        <f>IF(Table1209120[[#This Row],[Pos.]]="TE1",_xlfn.XLOOKUP(Table1209120[[#This Row],[Opp]],Table8[DEF],Table8[REC]),_xlfn.XLOOKUP(Table1209120[[#This Row],[Opp]],Table816[DEF],Table816[REC]))</f>
        <v>#N/A</v>
      </c>
      <c r="K44" s="95" t="e">
        <f>IF(Table1209120[[#This Row],[Pos.]]="TE1",_xlfn.XLOOKUP(Table1209120[[#This Row],[Opp]],Table8[DEF],Table8[Y]),_xlfn.XLOOKUP(Table1209120[[#This Row],[Opp]],Table816[DEF],Table816[Y]))</f>
        <v>#N/A</v>
      </c>
      <c r="L44" s="96" t="e">
        <f>IF(Table1209120[[#This Row],[Pos.]]="TE1",_xlfn.XLOOKUP(Table1209120[[#This Row],[Opp]],Table8[DEF],Table8[TD]),_xlfn.XLOOKUP(Table1209120[[#This Row],[Opp]],Table816[DEF],Table816[TD]))</f>
        <v>#N/A</v>
      </c>
      <c r="M44" s="94" t="e">
        <f>AVERAGE(Table1209120[[#This Row],[*C*]:[*TD*]])</f>
        <v>#N/A</v>
      </c>
    </row>
    <row r="45" spans="2:13" hidden="1" x14ac:dyDescent="0.35">
      <c r="B45" s="6" t="s">
        <v>427</v>
      </c>
      <c r="C45" s="97" t="s">
        <v>48</v>
      </c>
      <c r="D45" s="97" t="s">
        <v>398</v>
      </c>
      <c r="E45" s="23" t="str" cm="1">
        <f t="array" ref="E45">_xlfn.XLOOKUP(Table1209120[[#This Row],[Team]],Table4334[Team],'2425'!$C$3:$C$34)</f>
        <v>n/a</v>
      </c>
      <c r="F45" s="97" t="str">
        <f>'2025'!$E$26</f>
        <v>n/a</v>
      </c>
      <c r="G45" s="94" t="e" cm="1">
        <f t="array" ref="G45">IF(Table1209120[[#This Row],[Pos.]]="TE1",_xlfn.XLOOKUP(Table1209120[[#This Row],[Opp]],Table8[DEF],'2025'!$AZ$3:$AZ$34),_xlfn.XLOOKUP(Table1209120[[#This Row],[Opp]],Table8[DEF],'2025'!$AZ$38:$AZ$69))</f>
        <v>#N/A</v>
      </c>
      <c r="H45" s="94" t="e" cm="1">
        <f t="array" ref="H45">IF(Table1209120[[#This Row],[Pos.]]="TE1",_xlfn.XLOOKUP(Table1209120[[#This Row],[Opp]],Table8[DEF],'2025'!$BA$3:$BA$34),_xlfn.XLOOKUP(Table1209120[[#This Row],[Opp]],Table8[DEF],'2025'!$BA$38:$BA$69))</f>
        <v>#N/A</v>
      </c>
      <c r="I45" s="94" t="e" cm="1">
        <f t="array" ref="I45">IF(Table1209120[[#This Row],[Pos.]]="TE1",_xlfn.XLOOKUP(Table1209120[[#This Row],[Opp]],Table8[DEF],'2025'!$BB$3:$BB$34),_xlfn.XLOOKUP(Table1209120[[#This Row],[Opp]],Table8[DEF],'2025'!$BB$38:$BB$69))</f>
        <v>#N/A</v>
      </c>
      <c r="J45" s="95" t="e">
        <f>IF(Table1209120[[#This Row],[Pos.]]="TE1",_xlfn.XLOOKUP(Table1209120[[#This Row],[Opp]],Table8[DEF],Table8[REC]),_xlfn.XLOOKUP(Table1209120[[#This Row],[Opp]],Table816[DEF],Table816[REC]))</f>
        <v>#N/A</v>
      </c>
      <c r="K45" s="95" t="e">
        <f>IF(Table1209120[[#This Row],[Pos.]]="TE1",_xlfn.XLOOKUP(Table1209120[[#This Row],[Opp]],Table8[DEF],Table8[Y]),_xlfn.XLOOKUP(Table1209120[[#This Row],[Opp]],Table816[DEF],Table816[Y]))</f>
        <v>#N/A</v>
      </c>
      <c r="L45" s="96" t="e">
        <f>IF(Table1209120[[#This Row],[Pos.]]="TE1",_xlfn.XLOOKUP(Table1209120[[#This Row],[Opp]],Table8[DEF],Table8[TD]),_xlfn.XLOOKUP(Table1209120[[#This Row],[Opp]],Table816[DEF],Table816[TD]))</f>
        <v>#N/A</v>
      </c>
      <c r="M45" s="94" t="e">
        <f>AVERAGE(Table1209120[[#This Row],[*C*]:[*TD*]])</f>
        <v>#N/A</v>
      </c>
    </row>
    <row r="46" spans="2:13" hidden="1" x14ac:dyDescent="0.35">
      <c r="B46" s="6" t="s">
        <v>604</v>
      </c>
      <c r="C46" s="97" t="s">
        <v>15</v>
      </c>
      <c r="D46" s="97" t="s">
        <v>398</v>
      </c>
      <c r="E46" s="23" t="str" cm="1">
        <f t="array" ref="E46">_xlfn.XLOOKUP(Table1209120[[#This Row],[Team]],Table4334[Team],'2425'!$C$3:$C$34)</f>
        <v>n/a</v>
      </c>
      <c r="F46" s="97" t="str">
        <f>'2025'!$E$4</f>
        <v>n/a</v>
      </c>
      <c r="G46" s="94" t="e" cm="1">
        <f t="array" ref="G46">IF(Table1209120[[#This Row],[Pos.]]="TE1",_xlfn.XLOOKUP(Table1209120[[#This Row],[Opp]],Table8[DEF],'2025'!$AZ$3:$AZ$34),_xlfn.XLOOKUP(Table1209120[[#This Row],[Opp]],Table8[DEF],'2025'!$AZ$38:$AZ$69))</f>
        <v>#N/A</v>
      </c>
      <c r="H46" s="94" t="e" cm="1">
        <f t="array" ref="H46">IF(Table1209120[[#This Row],[Pos.]]="TE1",_xlfn.XLOOKUP(Table1209120[[#This Row],[Opp]],Table8[DEF],'2025'!$BA$3:$BA$34),_xlfn.XLOOKUP(Table1209120[[#This Row],[Opp]],Table8[DEF],'2025'!$BA$38:$BA$69))</f>
        <v>#N/A</v>
      </c>
      <c r="I46" s="94" t="e" cm="1">
        <f t="array" ref="I46">IF(Table1209120[[#This Row],[Pos.]]="TE1",_xlfn.XLOOKUP(Table1209120[[#This Row],[Opp]],Table8[DEF],'2025'!$BB$3:$BB$34),_xlfn.XLOOKUP(Table1209120[[#This Row],[Opp]],Table8[DEF],'2025'!$BB$38:$BB$69))</f>
        <v>#N/A</v>
      </c>
      <c r="J46" s="95" t="e">
        <f>IF(Table1209120[[#This Row],[Pos.]]="TE1",_xlfn.XLOOKUP(Table1209120[[#This Row],[Opp]],Table8[DEF],Table8[REC]),_xlfn.XLOOKUP(Table1209120[[#This Row],[Opp]],Table816[DEF],Table816[REC]))</f>
        <v>#N/A</v>
      </c>
      <c r="K46" s="95" t="e">
        <f>IF(Table1209120[[#This Row],[Pos.]]="TE1",_xlfn.XLOOKUP(Table1209120[[#This Row],[Opp]],Table8[DEF],Table8[Y]),_xlfn.XLOOKUP(Table1209120[[#This Row],[Opp]],Table816[DEF],Table816[Y]))</f>
        <v>#N/A</v>
      </c>
      <c r="L46" s="96" t="e">
        <f>IF(Table1209120[[#This Row],[Pos.]]="TE1",_xlfn.XLOOKUP(Table1209120[[#This Row],[Opp]],Table8[DEF],Table8[TD]),_xlfn.XLOOKUP(Table1209120[[#This Row],[Opp]],Table816[DEF],Table816[TD]))</f>
        <v>#N/A</v>
      </c>
      <c r="M46" s="94" t="e">
        <f>AVERAGE(Table1209120[[#This Row],[*C*]:[*TD*]])</f>
        <v>#N/A</v>
      </c>
    </row>
    <row r="47" spans="2:13" hidden="1" x14ac:dyDescent="0.35">
      <c r="B47" s="6" t="s">
        <v>260</v>
      </c>
      <c r="C47" s="97" t="s">
        <v>41</v>
      </c>
      <c r="D47" s="97" t="s">
        <v>397</v>
      </c>
      <c r="E47" s="23" t="str" cm="1">
        <f t="array" ref="E47">_xlfn.XLOOKUP(Table1209120[[#This Row],[Team]],Table4334[Team],'2425'!$C$3:$C$34)</f>
        <v>n/a</v>
      </c>
      <c r="F47" s="97" t="str">
        <f>'2025'!$E$19</f>
        <v>n/a</v>
      </c>
      <c r="G47" s="94" t="e" cm="1">
        <f t="array" ref="G47">IF(Table1209120[[#This Row],[Pos.]]="TE1",_xlfn.XLOOKUP(Table1209120[[#This Row],[Opp]],Table8[DEF],'2025'!$AZ$3:$AZ$34),_xlfn.XLOOKUP(Table1209120[[#This Row],[Opp]],Table8[DEF],'2025'!$AZ$38:$AZ$69))</f>
        <v>#N/A</v>
      </c>
      <c r="H47" s="94" t="e" cm="1">
        <f t="array" ref="H47">IF(Table1209120[[#This Row],[Pos.]]="TE1",_xlfn.XLOOKUP(Table1209120[[#This Row],[Opp]],Table8[DEF],'2025'!$BA$3:$BA$34),_xlfn.XLOOKUP(Table1209120[[#This Row],[Opp]],Table8[DEF],'2025'!$BA$38:$BA$69))</f>
        <v>#N/A</v>
      </c>
      <c r="I47" s="94" t="e" cm="1">
        <f t="array" ref="I47">IF(Table1209120[[#This Row],[Pos.]]="TE1",_xlfn.XLOOKUP(Table1209120[[#This Row],[Opp]],Table8[DEF],'2025'!$BB$3:$BB$34),_xlfn.XLOOKUP(Table1209120[[#This Row],[Opp]],Table8[DEF],'2025'!$BB$38:$BB$69))</f>
        <v>#N/A</v>
      </c>
      <c r="J47" s="95" t="e">
        <f>IF(Table1209120[[#This Row],[Pos.]]="TE1",_xlfn.XLOOKUP(Table1209120[[#This Row],[Opp]],Table8[DEF],Table8[REC]),_xlfn.XLOOKUP(Table1209120[[#This Row],[Opp]],Table816[DEF],Table816[REC]))</f>
        <v>#N/A</v>
      </c>
      <c r="K47" s="95" t="e">
        <f>IF(Table1209120[[#This Row],[Pos.]]="TE1",_xlfn.XLOOKUP(Table1209120[[#This Row],[Opp]],Table8[DEF],Table8[Y]),_xlfn.XLOOKUP(Table1209120[[#This Row],[Opp]],Table816[DEF],Table816[Y]))</f>
        <v>#N/A</v>
      </c>
      <c r="L47" s="96" t="e">
        <f>IF(Table1209120[[#This Row],[Pos.]]="TE1",_xlfn.XLOOKUP(Table1209120[[#This Row],[Opp]],Table8[DEF],Table8[TD]),_xlfn.XLOOKUP(Table1209120[[#This Row],[Opp]],Table816[DEF],Table816[TD]))</f>
        <v>#N/A</v>
      </c>
      <c r="M47" s="94" t="e">
        <f>AVERAGE(Table1209120[[#This Row],[*C*]:[*TD*]])</f>
        <v>#N/A</v>
      </c>
    </row>
    <row r="48" spans="2:13" x14ac:dyDescent="0.35">
      <c r="B48" s="6" t="s">
        <v>221</v>
      </c>
      <c r="C48" s="97" t="s">
        <v>37</v>
      </c>
      <c r="D48" s="97" t="s">
        <v>397</v>
      </c>
      <c r="E48" s="23" t="str" cm="1">
        <f t="array" ref="E48">_xlfn.XLOOKUP(Table1209120[[#This Row],[Team]],Table4334[Team],'2425'!$C$3:$C$34)</f>
        <v>n/a</v>
      </c>
      <c r="F48" s="97" t="str">
        <f>'2025'!$E$15</f>
        <v>n/a</v>
      </c>
      <c r="G48" s="94" t="e" cm="1">
        <f t="array" ref="G48">IF(Table1209120[[#This Row],[Pos.]]="TE1",_xlfn.XLOOKUP(Table1209120[[#This Row],[Opp]],Table8[DEF],'2025'!$AZ$3:$AZ$34),_xlfn.XLOOKUP(Table1209120[[#This Row],[Opp]],Table8[DEF],'2025'!$AZ$38:$AZ$69))</f>
        <v>#N/A</v>
      </c>
      <c r="H48" s="94" t="e" cm="1">
        <f t="array" ref="H48">IF(Table1209120[[#This Row],[Pos.]]="TE1",_xlfn.XLOOKUP(Table1209120[[#This Row],[Opp]],Table8[DEF],'2025'!$BA$3:$BA$34),_xlfn.XLOOKUP(Table1209120[[#This Row],[Opp]],Table8[DEF],'2025'!$BA$38:$BA$69))</f>
        <v>#N/A</v>
      </c>
      <c r="I48" s="94" t="e" cm="1">
        <f t="array" ref="I48">IF(Table1209120[[#This Row],[Pos.]]="TE1",_xlfn.XLOOKUP(Table1209120[[#This Row],[Opp]],Table8[DEF],'2025'!$BB$3:$BB$34),_xlfn.XLOOKUP(Table1209120[[#This Row],[Opp]],Table8[DEF],'2025'!$BB$38:$BB$69))</f>
        <v>#N/A</v>
      </c>
      <c r="J48" s="95" t="e">
        <f>IF(Table1209120[[#This Row],[Pos.]]="TE1",_xlfn.XLOOKUP(Table1209120[[#This Row],[Opp]],Table8[DEF],Table8[REC]),_xlfn.XLOOKUP(Table1209120[[#This Row],[Opp]],Table816[DEF],Table816[REC]))</f>
        <v>#N/A</v>
      </c>
      <c r="K48" s="95" t="e">
        <f>IF(Table1209120[[#This Row],[Pos.]]="TE1",_xlfn.XLOOKUP(Table1209120[[#This Row],[Opp]],Table8[DEF],Table8[Y]),_xlfn.XLOOKUP(Table1209120[[#This Row],[Opp]],Table816[DEF],Table816[Y]))</f>
        <v>#N/A</v>
      </c>
      <c r="L48" s="96" t="e">
        <f>IF(Table1209120[[#This Row],[Pos.]]="TE1",_xlfn.XLOOKUP(Table1209120[[#This Row],[Opp]],Table8[DEF],Table8[TD]),_xlfn.XLOOKUP(Table1209120[[#This Row],[Opp]],Table816[DEF],Table816[TD]))</f>
        <v>#N/A</v>
      </c>
      <c r="M48" s="94" t="e">
        <f>AVERAGE(Table1209120[[#This Row],[*C*]:[*TD*]])</f>
        <v>#N/A</v>
      </c>
    </row>
    <row r="49" spans="2:13" hidden="1" x14ac:dyDescent="0.35">
      <c r="B49" s="6" t="s">
        <v>128</v>
      </c>
      <c r="C49" s="97" t="s">
        <v>0</v>
      </c>
      <c r="D49" s="97" t="s">
        <v>397</v>
      </c>
      <c r="E49" s="23" t="str" cm="1">
        <f t="array" ref="E49">_xlfn.XLOOKUP(Table1209120[[#This Row],[Team]],Table4334[Team],'2425'!$C$3:$C$34)</f>
        <v>n/a</v>
      </c>
      <c r="F49" s="97" t="str">
        <f>'2025'!$E$3</f>
        <v>n/a</v>
      </c>
      <c r="G49" s="94" t="e" cm="1">
        <f t="array" ref="G49">IF(Table1209120[[#This Row],[Pos.]]="TE1",_xlfn.XLOOKUP(Table1209120[[#This Row],[Opp]],Table8[DEF],'2025'!$AZ$3:$AZ$34),_xlfn.XLOOKUP(Table1209120[[#This Row],[Opp]],Table8[DEF],'2025'!$AZ$38:$AZ$69))</f>
        <v>#N/A</v>
      </c>
      <c r="H49" s="94" t="e" cm="1">
        <f t="array" ref="H49">IF(Table1209120[[#This Row],[Pos.]]="TE1",_xlfn.XLOOKUP(Table1209120[[#This Row],[Opp]],Table8[DEF],'2025'!$BA$3:$BA$34),_xlfn.XLOOKUP(Table1209120[[#This Row],[Opp]],Table8[DEF],'2025'!$BA$38:$BA$69))</f>
        <v>#N/A</v>
      </c>
      <c r="I49" s="94" t="e" cm="1">
        <f t="array" ref="I49">IF(Table1209120[[#This Row],[Pos.]]="TE1",_xlfn.XLOOKUP(Table1209120[[#This Row],[Opp]],Table8[DEF],'2025'!$BB$3:$BB$34),_xlfn.XLOOKUP(Table1209120[[#This Row],[Opp]],Table8[DEF],'2025'!$BB$38:$BB$69))</f>
        <v>#N/A</v>
      </c>
      <c r="J49" s="95" t="e">
        <f>IF(Table1209120[[#This Row],[Pos.]]="TE1",_xlfn.XLOOKUP(Table1209120[[#This Row],[Opp]],Table8[DEF],Table8[REC]),_xlfn.XLOOKUP(Table1209120[[#This Row],[Opp]],Table816[DEF],Table816[REC]))</f>
        <v>#N/A</v>
      </c>
      <c r="K49" s="95" t="e">
        <f>IF(Table1209120[[#This Row],[Pos.]]="TE1",_xlfn.XLOOKUP(Table1209120[[#This Row],[Opp]],Table8[DEF],Table8[Y]),_xlfn.XLOOKUP(Table1209120[[#This Row],[Opp]],Table816[DEF],Table816[Y]))</f>
        <v>#N/A</v>
      </c>
      <c r="L49" s="96" t="e">
        <f>IF(Table1209120[[#This Row],[Pos.]]="TE1",_xlfn.XLOOKUP(Table1209120[[#This Row],[Opp]],Table8[DEF],Table8[TD]),_xlfn.XLOOKUP(Table1209120[[#This Row],[Opp]],Table816[DEF],Table816[TD]))</f>
        <v>#N/A</v>
      </c>
      <c r="M49" s="94" t="e">
        <f>AVERAGE(Table1209120[[#This Row],[*C*]:[*TD*]])</f>
        <v>#N/A</v>
      </c>
    </row>
    <row r="50" spans="2:13" x14ac:dyDescent="0.35">
      <c r="B50" s="6" t="s">
        <v>269</v>
      </c>
      <c r="C50" s="97" t="s">
        <v>42</v>
      </c>
      <c r="D50" s="97" t="s">
        <v>397</v>
      </c>
      <c r="E50" s="23" t="str" cm="1">
        <f t="array" ref="E50">_xlfn.XLOOKUP(Table1209120[[#This Row],[Team]],Table4334[Team],'2425'!$C$3:$C$34)</f>
        <v>n/a</v>
      </c>
      <c r="F50" s="97" t="str">
        <f>'2025'!$E$20</f>
        <v>n/a</v>
      </c>
      <c r="G50" s="94" t="e" cm="1">
        <f t="array" ref="G50">IF(Table1209120[[#This Row],[Pos.]]="TE1",_xlfn.XLOOKUP(Table1209120[[#This Row],[Opp]],Table8[DEF],'2025'!$AZ$3:$AZ$34),_xlfn.XLOOKUP(Table1209120[[#This Row],[Opp]],Table8[DEF],'2025'!$AZ$38:$AZ$69))</f>
        <v>#N/A</v>
      </c>
      <c r="H50" s="94" t="e" cm="1">
        <f t="array" ref="H50">IF(Table1209120[[#This Row],[Pos.]]="TE1",_xlfn.XLOOKUP(Table1209120[[#This Row],[Opp]],Table8[DEF],'2025'!$BA$3:$BA$34),_xlfn.XLOOKUP(Table1209120[[#This Row],[Opp]],Table8[DEF],'2025'!$BA$38:$BA$69))</f>
        <v>#N/A</v>
      </c>
      <c r="I50" s="94" t="e" cm="1">
        <f t="array" ref="I50">IF(Table1209120[[#This Row],[Pos.]]="TE1",_xlfn.XLOOKUP(Table1209120[[#This Row],[Opp]],Table8[DEF],'2025'!$BB$3:$BB$34),_xlfn.XLOOKUP(Table1209120[[#This Row],[Opp]],Table8[DEF],'2025'!$BB$38:$BB$69))</f>
        <v>#N/A</v>
      </c>
      <c r="J50" s="95" t="e">
        <f>IF(Table1209120[[#This Row],[Pos.]]="TE1",_xlfn.XLOOKUP(Table1209120[[#This Row],[Opp]],Table8[DEF],Table8[REC]),_xlfn.XLOOKUP(Table1209120[[#This Row],[Opp]],Table816[DEF],Table816[REC]))</f>
        <v>#N/A</v>
      </c>
      <c r="K50" s="95" t="e">
        <f>IF(Table1209120[[#This Row],[Pos.]]="TE1",_xlfn.XLOOKUP(Table1209120[[#This Row],[Opp]],Table8[DEF],Table8[Y]),_xlfn.XLOOKUP(Table1209120[[#This Row],[Opp]],Table816[DEF],Table816[Y]))</f>
        <v>#N/A</v>
      </c>
      <c r="L50" s="96" t="e">
        <f>IF(Table1209120[[#This Row],[Pos.]]="TE1",_xlfn.XLOOKUP(Table1209120[[#This Row],[Opp]],Table8[DEF],Table8[TD]),_xlfn.XLOOKUP(Table1209120[[#This Row],[Opp]],Table816[DEF],Table816[TD]))</f>
        <v>#N/A</v>
      </c>
      <c r="M50" s="94" t="e">
        <f>AVERAGE(Table1209120[[#This Row],[*C*]:[*TD*]])</f>
        <v>#N/A</v>
      </c>
    </row>
    <row r="51" spans="2:13" hidden="1" x14ac:dyDescent="0.35">
      <c r="B51" s="6" t="s">
        <v>458</v>
      </c>
      <c r="C51" s="97" t="s">
        <v>50</v>
      </c>
      <c r="D51" s="97" t="s">
        <v>398</v>
      </c>
      <c r="E51" s="23" t="str" cm="1">
        <f t="array" ref="E51">_xlfn.XLOOKUP(Table1209120[[#This Row],[Team]],Table4334[Team],'2425'!$C$3:$C$34)</f>
        <v>n/a</v>
      </c>
      <c r="F51" s="97" t="str">
        <f>'2025'!$E$28</f>
        <v>n/a</v>
      </c>
      <c r="G51" s="94" t="e" cm="1">
        <f t="array" ref="G51">IF(Table1209120[[#This Row],[Pos.]]="TE1",_xlfn.XLOOKUP(Table1209120[[#This Row],[Opp]],Table8[DEF],'2025'!$AZ$3:$AZ$34),_xlfn.XLOOKUP(Table1209120[[#This Row],[Opp]],Table8[DEF],'2025'!$AZ$38:$AZ$69))</f>
        <v>#N/A</v>
      </c>
      <c r="H51" s="94" t="e" cm="1">
        <f t="array" ref="H51">IF(Table1209120[[#This Row],[Pos.]]="TE1",_xlfn.XLOOKUP(Table1209120[[#This Row],[Opp]],Table8[DEF],'2025'!$BA$3:$BA$34),_xlfn.XLOOKUP(Table1209120[[#This Row],[Opp]],Table8[DEF],'2025'!$BA$38:$BA$69))</f>
        <v>#N/A</v>
      </c>
      <c r="I51" s="94" t="e" cm="1">
        <f t="array" ref="I51">IF(Table1209120[[#This Row],[Pos.]]="TE1",_xlfn.XLOOKUP(Table1209120[[#This Row],[Opp]],Table8[DEF],'2025'!$BB$3:$BB$34),_xlfn.XLOOKUP(Table1209120[[#This Row],[Opp]],Table8[DEF],'2025'!$BB$38:$BB$69))</f>
        <v>#N/A</v>
      </c>
      <c r="J51" s="95" t="e">
        <f>IF(Table1209120[[#This Row],[Pos.]]="TE1",_xlfn.XLOOKUP(Table1209120[[#This Row],[Opp]],Table8[DEF],Table8[REC]),_xlfn.XLOOKUP(Table1209120[[#This Row],[Opp]],Table816[DEF],Table816[REC]))</f>
        <v>#N/A</v>
      </c>
      <c r="K51" s="95" t="e">
        <f>IF(Table1209120[[#This Row],[Pos.]]="TE1",_xlfn.XLOOKUP(Table1209120[[#This Row],[Opp]],Table8[DEF],Table8[Y]),_xlfn.XLOOKUP(Table1209120[[#This Row],[Opp]],Table816[DEF],Table816[Y]))</f>
        <v>#N/A</v>
      </c>
      <c r="L51" s="96" t="e">
        <f>IF(Table1209120[[#This Row],[Pos.]]="TE1",_xlfn.XLOOKUP(Table1209120[[#This Row],[Opp]],Table8[DEF],Table8[TD]),_xlfn.XLOOKUP(Table1209120[[#This Row],[Opp]],Table816[DEF],Table816[TD]))</f>
        <v>#N/A</v>
      </c>
      <c r="M51" s="94" t="e">
        <f>AVERAGE(Table1209120[[#This Row],[*C*]:[*TD*]])</f>
        <v>#N/A</v>
      </c>
    </row>
    <row r="52" spans="2:13" x14ac:dyDescent="0.35">
      <c r="B52" s="6" t="s">
        <v>636</v>
      </c>
      <c r="C52" s="97" t="s">
        <v>37</v>
      </c>
      <c r="D52" s="97" t="s">
        <v>398</v>
      </c>
      <c r="E52" s="23" t="str" cm="1">
        <f t="array" ref="E52">_xlfn.XLOOKUP(Table1209120[[#This Row],[Team]],Table4334[Team],'2425'!$C$3:$C$34)</f>
        <v>n/a</v>
      </c>
      <c r="F52" s="97" t="str">
        <f>'2025'!$E$15</f>
        <v>n/a</v>
      </c>
      <c r="G52" s="94" t="e" cm="1">
        <f t="array" ref="G52">IF(Table1209120[[#This Row],[Pos.]]="TE1",_xlfn.XLOOKUP(Table1209120[[#This Row],[Opp]],Table8[DEF],'2025'!$AZ$3:$AZ$34),_xlfn.XLOOKUP(Table1209120[[#This Row],[Opp]],Table8[DEF],'2025'!$AZ$38:$AZ$69))</f>
        <v>#N/A</v>
      </c>
      <c r="H52" s="94" t="e" cm="1">
        <f t="array" ref="H52">IF(Table1209120[[#This Row],[Pos.]]="TE1",_xlfn.XLOOKUP(Table1209120[[#This Row],[Opp]],Table8[DEF],'2025'!$BA$3:$BA$34),_xlfn.XLOOKUP(Table1209120[[#This Row],[Opp]],Table8[DEF],'2025'!$BA$38:$BA$69))</f>
        <v>#N/A</v>
      </c>
      <c r="I52" s="94" t="e" cm="1">
        <f t="array" ref="I52">IF(Table1209120[[#This Row],[Pos.]]="TE1",_xlfn.XLOOKUP(Table1209120[[#This Row],[Opp]],Table8[DEF],'2025'!$BB$3:$BB$34),_xlfn.XLOOKUP(Table1209120[[#This Row],[Opp]],Table8[DEF],'2025'!$BB$38:$BB$69))</f>
        <v>#N/A</v>
      </c>
      <c r="J52" s="95" t="e">
        <f>IF(Table1209120[[#This Row],[Pos.]]="TE1",_xlfn.XLOOKUP(Table1209120[[#This Row],[Opp]],Table8[DEF],Table8[REC]),_xlfn.XLOOKUP(Table1209120[[#This Row],[Opp]],Table816[DEF],Table816[REC]))</f>
        <v>#N/A</v>
      </c>
      <c r="K52" s="95" t="e">
        <f>IF(Table1209120[[#This Row],[Pos.]]="TE1",_xlfn.XLOOKUP(Table1209120[[#This Row],[Opp]],Table8[DEF],Table8[Y]),_xlfn.XLOOKUP(Table1209120[[#This Row],[Opp]],Table816[DEF],Table816[Y]))</f>
        <v>#N/A</v>
      </c>
      <c r="L52" s="96" t="e">
        <f>IF(Table1209120[[#This Row],[Pos.]]="TE1",_xlfn.XLOOKUP(Table1209120[[#This Row],[Opp]],Table8[DEF],Table8[TD]),_xlfn.XLOOKUP(Table1209120[[#This Row],[Opp]],Table816[DEF],Table816[TD]))</f>
        <v>#N/A</v>
      </c>
      <c r="M52" s="94" t="e">
        <f>AVERAGE(Table1209120[[#This Row],[*C*]:[*TD*]])</f>
        <v>#N/A</v>
      </c>
    </row>
    <row r="53" spans="2:13" hidden="1" x14ac:dyDescent="0.35">
      <c r="B53" s="6" t="s">
        <v>249</v>
      </c>
      <c r="C53" s="97" t="s">
        <v>40</v>
      </c>
      <c r="D53" s="97" t="s">
        <v>397</v>
      </c>
      <c r="E53" s="23" t="str" cm="1">
        <f t="array" ref="E53">_xlfn.XLOOKUP(Table1209120[[#This Row],[Team]],Table4334[Team],'2425'!$C$3:$C$34)</f>
        <v>n/a</v>
      </c>
      <c r="F53" s="97" t="str">
        <f>'2025'!$E$18</f>
        <v>n/a</v>
      </c>
      <c r="G53" s="94" t="e" cm="1">
        <f t="array" ref="G53">IF(Table1209120[[#This Row],[Pos.]]="TE1",_xlfn.XLOOKUP(Table1209120[[#This Row],[Opp]],Table8[DEF],'2025'!$AZ$3:$AZ$34),_xlfn.XLOOKUP(Table1209120[[#This Row],[Opp]],Table8[DEF],'2025'!$AZ$38:$AZ$69))</f>
        <v>#N/A</v>
      </c>
      <c r="H53" s="94" t="e" cm="1">
        <f t="array" ref="H53">IF(Table1209120[[#This Row],[Pos.]]="TE1",_xlfn.XLOOKUP(Table1209120[[#This Row],[Opp]],Table8[DEF],'2025'!$BA$3:$BA$34),_xlfn.XLOOKUP(Table1209120[[#This Row],[Opp]],Table8[DEF],'2025'!$BA$38:$BA$69))</f>
        <v>#N/A</v>
      </c>
      <c r="I53" s="94" t="e" cm="1">
        <f t="array" ref="I53">IF(Table1209120[[#This Row],[Pos.]]="TE1",_xlfn.XLOOKUP(Table1209120[[#This Row],[Opp]],Table8[DEF],'2025'!$BB$3:$BB$34),_xlfn.XLOOKUP(Table1209120[[#This Row],[Opp]],Table8[DEF],'2025'!$BB$38:$BB$69))</f>
        <v>#N/A</v>
      </c>
      <c r="J53" s="95" t="e">
        <f>IF(Table1209120[[#This Row],[Pos.]]="TE1",_xlfn.XLOOKUP(Table1209120[[#This Row],[Opp]],Table8[DEF],Table8[REC]),_xlfn.XLOOKUP(Table1209120[[#This Row],[Opp]],Table816[DEF],Table816[REC]))</f>
        <v>#N/A</v>
      </c>
      <c r="K53" s="95" t="e">
        <f>IF(Table1209120[[#This Row],[Pos.]]="TE1",_xlfn.XLOOKUP(Table1209120[[#This Row],[Opp]],Table8[DEF],Table8[Y]),_xlfn.XLOOKUP(Table1209120[[#This Row],[Opp]],Table816[DEF],Table816[Y]))</f>
        <v>#N/A</v>
      </c>
      <c r="L53" s="96" t="e">
        <f>IF(Table1209120[[#This Row],[Pos.]]="TE1",_xlfn.XLOOKUP(Table1209120[[#This Row],[Opp]],Table8[DEF],Table8[TD]),_xlfn.XLOOKUP(Table1209120[[#This Row],[Opp]],Table816[DEF],Table816[TD]))</f>
        <v>#N/A</v>
      </c>
      <c r="M53" s="94" t="e">
        <f>AVERAGE(Table1209120[[#This Row],[*C*]:[*TD*]])</f>
        <v>#N/A</v>
      </c>
    </row>
    <row r="54" spans="2:13" hidden="1" x14ac:dyDescent="0.35">
      <c r="B54" s="6" t="s">
        <v>210</v>
      </c>
      <c r="C54" s="97" t="s">
        <v>36</v>
      </c>
      <c r="D54" s="97" t="s">
        <v>398</v>
      </c>
      <c r="E54" s="23" t="str" cm="1">
        <f t="array" ref="E54">_xlfn.XLOOKUP(Table1209120[[#This Row],[Team]],Table4334[Team],'2425'!$C$3:$C$34)</f>
        <v>n/a</v>
      </c>
      <c r="F54" s="97" t="str">
        <f>'2025'!$E$14</f>
        <v>n/a</v>
      </c>
      <c r="G54" s="94" t="e" cm="1">
        <f t="array" ref="G54">IF(Table1209120[[#This Row],[Pos.]]="TE1",_xlfn.XLOOKUP(Table1209120[[#This Row],[Opp]],Table8[DEF],'2025'!$AZ$3:$AZ$34),_xlfn.XLOOKUP(Table1209120[[#This Row],[Opp]],Table8[DEF],'2025'!$AZ$38:$AZ$69))</f>
        <v>#N/A</v>
      </c>
      <c r="H54" s="94" t="e" cm="1">
        <f t="array" ref="H54">IF(Table1209120[[#This Row],[Pos.]]="TE1",_xlfn.XLOOKUP(Table1209120[[#This Row],[Opp]],Table8[DEF],'2025'!$BA$3:$BA$34),_xlfn.XLOOKUP(Table1209120[[#This Row],[Opp]],Table8[DEF],'2025'!$BA$38:$BA$69))</f>
        <v>#N/A</v>
      </c>
      <c r="I54" s="94" t="e" cm="1">
        <f t="array" ref="I54">IF(Table1209120[[#This Row],[Pos.]]="TE1",_xlfn.XLOOKUP(Table1209120[[#This Row],[Opp]],Table8[DEF],'2025'!$BB$3:$BB$34),_xlfn.XLOOKUP(Table1209120[[#This Row],[Opp]],Table8[DEF],'2025'!$BB$38:$BB$69))</f>
        <v>#N/A</v>
      </c>
      <c r="J54" s="95" t="e">
        <f>IF(Table1209120[[#This Row],[Pos.]]="TE1",_xlfn.XLOOKUP(Table1209120[[#This Row],[Opp]],Table8[DEF],Table8[REC]),_xlfn.XLOOKUP(Table1209120[[#This Row],[Opp]],Table816[DEF],Table816[REC]))</f>
        <v>#N/A</v>
      </c>
      <c r="K54" s="95" t="e">
        <f>IF(Table1209120[[#This Row],[Pos.]]="TE1",_xlfn.XLOOKUP(Table1209120[[#This Row],[Opp]],Table8[DEF],Table8[Y]),_xlfn.XLOOKUP(Table1209120[[#This Row],[Opp]],Table816[DEF],Table816[Y]))</f>
        <v>#N/A</v>
      </c>
      <c r="L54" s="96" t="e">
        <f>IF(Table1209120[[#This Row],[Pos.]]="TE1",_xlfn.XLOOKUP(Table1209120[[#This Row],[Opp]],Table8[DEF],Table8[TD]),_xlfn.XLOOKUP(Table1209120[[#This Row],[Opp]],Table816[DEF],Table816[TD]))</f>
        <v>#N/A</v>
      </c>
      <c r="M54" s="94" t="e">
        <f>AVERAGE(Table1209120[[#This Row],[*C*]:[*TD*]])</f>
        <v>#N/A</v>
      </c>
    </row>
    <row r="55" spans="2:13" hidden="1" x14ac:dyDescent="0.35">
      <c r="B55" s="6" t="s">
        <v>259</v>
      </c>
      <c r="C55" s="97" t="s">
        <v>41</v>
      </c>
      <c r="D55" s="97" t="s">
        <v>398</v>
      </c>
      <c r="E55" s="23" t="str" cm="1">
        <f t="array" ref="E55">_xlfn.XLOOKUP(Table1209120[[#This Row],[Team]],Table4334[Team],'2425'!$C$3:$C$34)</f>
        <v>n/a</v>
      </c>
      <c r="F55" s="97" t="str">
        <f>'2025'!$E$19</f>
        <v>n/a</v>
      </c>
      <c r="G55" s="94" t="e" cm="1">
        <f t="array" ref="G55">IF(Table1209120[[#This Row],[Pos.]]="TE1",_xlfn.XLOOKUP(Table1209120[[#This Row],[Opp]],Table8[DEF],'2025'!$AZ$3:$AZ$34),_xlfn.XLOOKUP(Table1209120[[#This Row],[Opp]],Table8[DEF],'2025'!$AZ$38:$AZ$69))</f>
        <v>#N/A</v>
      </c>
      <c r="H55" s="94" t="e" cm="1">
        <f t="array" ref="H55">IF(Table1209120[[#This Row],[Pos.]]="TE1",_xlfn.XLOOKUP(Table1209120[[#This Row],[Opp]],Table8[DEF],'2025'!$BA$3:$BA$34),_xlfn.XLOOKUP(Table1209120[[#This Row],[Opp]],Table8[DEF],'2025'!$BA$38:$BA$69))</f>
        <v>#N/A</v>
      </c>
      <c r="I55" s="94" t="e" cm="1">
        <f t="array" ref="I55">IF(Table1209120[[#This Row],[Pos.]]="TE1",_xlfn.XLOOKUP(Table1209120[[#This Row],[Opp]],Table8[DEF],'2025'!$BB$3:$BB$34),_xlfn.XLOOKUP(Table1209120[[#This Row],[Opp]],Table8[DEF],'2025'!$BB$38:$BB$69))</f>
        <v>#N/A</v>
      </c>
      <c r="J55" s="95" t="e">
        <f>IF(Table1209120[[#This Row],[Pos.]]="TE1",_xlfn.XLOOKUP(Table1209120[[#This Row],[Opp]],Table8[DEF],Table8[REC]),_xlfn.XLOOKUP(Table1209120[[#This Row],[Opp]],Table816[DEF],Table816[REC]))</f>
        <v>#N/A</v>
      </c>
      <c r="K55" s="95" t="e">
        <f>IF(Table1209120[[#This Row],[Pos.]]="TE1",_xlfn.XLOOKUP(Table1209120[[#This Row],[Opp]],Table8[DEF],Table8[Y]),_xlfn.XLOOKUP(Table1209120[[#This Row],[Opp]],Table816[DEF],Table816[Y]))</f>
        <v>#N/A</v>
      </c>
      <c r="L55" s="96" t="e">
        <f>IF(Table1209120[[#This Row],[Pos.]]="TE1",_xlfn.XLOOKUP(Table1209120[[#This Row],[Opp]],Table8[DEF],Table8[TD]),_xlfn.XLOOKUP(Table1209120[[#This Row],[Opp]],Table816[DEF],Table816[TD]))</f>
        <v>#N/A</v>
      </c>
      <c r="M55" s="94" t="e">
        <f>AVERAGE(Table1209120[[#This Row],[*C*]:[*TD*]])</f>
        <v>#N/A</v>
      </c>
    </row>
    <row r="56" spans="2:13" hidden="1" x14ac:dyDescent="0.35">
      <c r="B56" s="6" t="s">
        <v>334</v>
      </c>
      <c r="C56" s="97" t="s">
        <v>49</v>
      </c>
      <c r="D56" s="97" t="s">
        <v>397</v>
      </c>
      <c r="E56" s="23" t="str" cm="1">
        <f t="array" ref="E56">_xlfn.XLOOKUP(Table1209120[[#This Row],[Team]],Table4334[Team],'2425'!$C$3:$C$34)</f>
        <v>n/a</v>
      </c>
      <c r="F56" s="97" t="str">
        <f>'2025'!$E$27</f>
        <v>n/a</v>
      </c>
      <c r="G56" s="94" t="e" cm="1">
        <f t="array" ref="G56">IF(Table1209120[[#This Row],[Pos.]]="TE1",_xlfn.XLOOKUP(Table1209120[[#This Row],[Opp]],Table8[DEF],'2025'!$AZ$3:$AZ$34),_xlfn.XLOOKUP(Table1209120[[#This Row],[Opp]],Table8[DEF],'2025'!$AZ$38:$AZ$69))</f>
        <v>#N/A</v>
      </c>
      <c r="H56" s="94" t="e" cm="1">
        <f t="array" ref="H56">IF(Table1209120[[#This Row],[Pos.]]="TE1",_xlfn.XLOOKUP(Table1209120[[#This Row],[Opp]],Table8[DEF],'2025'!$BA$3:$BA$34),_xlfn.XLOOKUP(Table1209120[[#This Row],[Opp]],Table8[DEF],'2025'!$BA$38:$BA$69))</f>
        <v>#N/A</v>
      </c>
      <c r="I56" s="94" t="e" cm="1">
        <f t="array" ref="I56">IF(Table1209120[[#This Row],[Pos.]]="TE1",_xlfn.XLOOKUP(Table1209120[[#This Row],[Opp]],Table8[DEF],'2025'!$BB$3:$BB$34),_xlfn.XLOOKUP(Table1209120[[#This Row],[Opp]],Table8[DEF],'2025'!$BB$38:$BB$69))</f>
        <v>#N/A</v>
      </c>
      <c r="J56" s="95" t="e">
        <f>IF(Table1209120[[#This Row],[Pos.]]="TE1",_xlfn.XLOOKUP(Table1209120[[#This Row],[Opp]],Table8[DEF],Table8[REC]),_xlfn.XLOOKUP(Table1209120[[#This Row],[Opp]],Table816[DEF],Table816[REC]))</f>
        <v>#N/A</v>
      </c>
      <c r="K56" s="95" t="e">
        <f>IF(Table1209120[[#This Row],[Pos.]]="TE1",_xlfn.XLOOKUP(Table1209120[[#This Row],[Opp]],Table8[DEF],Table8[Y]),_xlfn.XLOOKUP(Table1209120[[#This Row],[Opp]],Table816[DEF],Table816[Y]))</f>
        <v>#N/A</v>
      </c>
      <c r="L56" s="96" t="e">
        <f>IF(Table1209120[[#This Row],[Pos.]]="TE1",_xlfn.XLOOKUP(Table1209120[[#This Row],[Opp]],Table8[DEF],Table8[TD]),_xlfn.XLOOKUP(Table1209120[[#This Row],[Opp]],Table816[DEF],Table816[TD]))</f>
        <v>#N/A</v>
      </c>
      <c r="M56" s="94" t="e">
        <f>AVERAGE(Table1209120[[#This Row],[*C*]:[*TD*]])</f>
        <v>#N/A</v>
      </c>
    </row>
    <row r="57" spans="2:13" hidden="1" x14ac:dyDescent="0.35">
      <c r="B57" s="6" t="s">
        <v>289</v>
      </c>
      <c r="C57" s="97" t="s">
        <v>44</v>
      </c>
      <c r="D57" s="97" t="s">
        <v>397</v>
      </c>
      <c r="E57" s="23" t="str" cm="1">
        <f t="array" ref="E57">_xlfn.XLOOKUP(Table1209120[[#This Row],[Team]],Table4334[Team],'2425'!$C$3:$C$34)</f>
        <v>n/a</v>
      </c>
      <c r="F57" s="97" t="str">
        <f>'2025'!$E$22</f>
        <v>n/a</v>
      </c>
      <c r="G57" s="94" t="e" cm="1">
        <f t="array" ref="G57">IF(Table1209120[[#This Row],[Pos.]]="TE1",_xlfn.XLOOKUP(Table1209120[[#This Row],[Opp]],Table8[DEF],'2025'!$AZ$3:$AZ$34),_xlfn.XLOOKUP(Table1209120[[#This Row],[Opp]],Table8[DEF],'2025'!$AZ$38:$AZ$69))</f>
        <v>#N/A</v>
      </c>
      <c r="H57" s="94" t="e" cm="1">
        <f t="array" ref="H57">IF(Table1209120[[#This Row],[Pos.]]="TE1",_xlfn.XLOOKUP(Table1209120[[#This Row],[Opp]],Table8[DEF],'2025'!$BA$3:$BA$34),_xlfn.XLOOKUP(Table1209120[[#This Row],[Opp]],Table8[DEF],'2025'!$BA$38:$BA$69))</f>
        <v>#N/A</v>
      </c>
      <c r="I57" s="94" t="e" cm="1">
        <f t="array" ref="I57">IF(Table1209120[[#This Row],[Pos.]]="TE1",_xlfn.XLOOKUP(Table1209120[[#This Row],[Opp]],Table8[DEF],'2025'!$BB$3:$BB$34),_xlfn.XLOOKUP(Table1209120[[#This Row],[Opp]],Table8[DEF],'2025'!$BB$38:$BB$69))</f>
        <v>#N/A</v>
      </c>
      <c r="J57" s="95" t="e">
        <f>IF(Table1209120[[#This Row],[Pos.]]="TE1",_xlfn.XLOOKUP(Table1209120[[#This Row],[Opp]],Table8[DEF],Table8[REC]),_xlfn.XLOOKUP(Table1209120[[#This Row],[Opp]],Table816[DEF],Table816[REC]))</f>
        <v>#N/A</v>
      </c>
      <c r="K57" s="95" t="e">
        <f>IF(Table1209120[[#This Row],[Pos.]]="TE1",_xlfn.XLOOKUP(Table1209120[[#This Row],[Opp]],Table8[DEF],Table8[Y]),_xlfn.XLOOKUP(Table1209120[[#This Row],[Opp]],Table816[DEF],Table816[Y]))</f>
        <v>#N/A</v>
      </c>
      <c r="L57" s="96" t="e">
        <f>IF(Table1209120[[#This Row],[Pos.]]="TE1",_xlfn.XLOOKUP(Table1209120[[#This Row],[Opp]],Table8[DEF],Table8[TD]),_xlfn.XLOOKUP(Table1209120[[#This Row],[Opp]],Table816[DEF],Table816[TD]))</f>
        <v>#N/A</v>
      </c>
      <c r="M57" s="94" t="e">
        <f>AVERAGE(Table1209120[[#This Row],[*C*]:[*TD*]])</f>
        <v>#N/A</v>
      </c>
    </row>
    <row r="58" spans="2:13" hidden="1" x14ac:dyDescent="0.35">
      <c r="B58" s="6" t="s">
        <v>278</v>
      </c>
      <c r="C58" s="97" t="s">
        <v>43</v>
      </c>
      <c r="D58" s="97" t="s">
        <v>397</v>
      </c>
      <c r="E58" s="23" t="str" cm="1">
        <f t="array" ref="E58">_xlfn.XLOOKUP(Table1209120[[#This Row],[Team]],Table4334[Team],'2425'!$C$3:$C$34)</f>
        <v>n/a</v>
      </c>
      <c r="F58" s="97" t="str">
        <f>'2025'!$E$21</f>
        <v>n/a</v>
      </c>
      <c r="G58" s="94" t="e" cm="1">
        <f t="array" ref="G58">IF(Table1209120[[#This Row],[Pos.]]="TE1",_xlfn.XLOOKUP(Table1209120[[#This Row],[Opp]],Table8[DEF],'2025'!$AZ$3:$AZ$34),_xlfn.XLOOKUP(Table1209120[[#This Row],[Opp]],Table8[DEF],'2025'!$AZ$38:$AZ$69))</f>
        <v>#N/A</v>
      </c>
      <c r="H58" s="94" t="e" cm="1">
        <f t="array" ref="H58">IF(Table1209120[[#This Row],[Pos.]]="TE1",_xlfn.XLOOKUP(Table1209120[[#This Row],[Opp]],Table8[DEF],'2025'!$BA$3:$BA$34),_xlfn.XLOOKUP(Table1209120[[#This Row],[Opp]],Table8[DEF],'2025'!$BA$38:$BA$69))</f>
        <v>#N/A</v>
      </c>
      <c r="I58" s="94" t="e" cm="1">
        <f t="array" ref="I58">IF(Table1209120[[#This Row],[Pos.]]="TE1",_xlfn.XLOOKUP(Table1209120[[#This Row],[Opp]],Table8[DEF],'2025'!$BB$3:$BB$34),_xlfn.XLOOKUP(Table1209120[[#This Row],[Opp]],Table8[DEF],'2025'!$BB$38:$BB$69))</f>
        <v>#N/A</v>
      </c>
      <c r="J58" s="95" t="e">
        <f>IF(Table1209120[[#This Row],[Pos.]]="TE1",_xlfn.XLOOKUP(Table1209120[[#This Row],[Opp]],Table8[DEF],Table8[REC]),_xlfn.XLOOKUP(Table1209120[[#This Row],[Opp]],Table816[DEF],Table816[REC]))</f>
        <v>#N/A</v>
      </c>
      <c r="K58" s="95" t="e">
        <f>IF(Table1209120[[#This Row],[Pos.]]="TE1",_xlfn.XLOOKUP(Table1209120[[#This Row],[Opp]],Table8[DEF],Table8[Y]),_xlfn.XLOOKUP(Table1209120[[#This Row],[Opp]],Table816[DEF],Table816[Y]))</f>
        <v>#N/A</v>
      </c>
      <c r="L58" s="96" t="e">
        <f>IF(Table1209120[[#This Row],[Pos.]]="TE1",_xlfn.XLOOKUP(Table1209120[[#This Row],[Opp]],Table8[DEF],Table8[TD]),_xlfn.XLOOKUP(Table1209120[[#This Row],[Opp]],Table816[DEF],Table816[TD]))</f>
        <v>#N/A</v>
      </c>
      <c r="M58" s="94" t="e">
        <f>AVERAGE(Table1209120[[#This Row],[*C*]:[*TD*]])</f>
        <v>#N/A</v>
      </c>
    </row>
    <row r="59" spans="2:13" hidden="1" x14ac:dyDescent="0.35">
      <c r="B59" s="6" t="s">
        <v>637</v>
      </c>
      <c r="C59" s="97" t="s">
        <v>37</v>
      </c>
      <c r="D59" s="97" t="s">
        <v>430</v>
      </c>
      <c r="E59" s="23" t="str" cm="1">
        <f t="array" ref="E59">_xlfn.XLOOKUP(Table1209120[[#This Row],[Team]],Table4334[Team],'2425'!$C$3:$C$34)</f>
        <v>n/a</v>
      </c>
      <c r="F59" s="97" t="str">
        <f>'2025'!$E$15</f>
        <v>n/a</v>
      </c>
      <c r="G59" s="94" t="e" cm="1">
        <f t="array" ref="G59">IF(Table1209120[[#This Row],[Pos.]]="TE1",_xlfn.XLOOKUP(Table1209120[[#This Row],[Opp]],Table8[DEF],'2025'!$AZ$3:$AZ$34),_xlfn.XLOOKUP(Table1209120[[#This Row],[Opp]],Table8[DEF],'2025'!$AZ$38:$AZ$69))</f>
        <v>#N/A</v>
      </c>
      <c r="H59" s="94" t="e" cm="1">
        <f t="array" ref="H59">IF(Table1209120[[#This Row],[Pos.]]="TE1",_xlfn.XLOOKUP(Table1209120[[#This Row],[Opp]],Table8[DEF],'2025'!$BA$3:$BA$34),_xlfn.XLOOKUP(Table1209120[[#This Row],[Opp]],Table8[DEF],'2025'!$BA$38:$BA$69))</f>
        <v>#N/A</v>
      </c>
      <c r="I59" s="94" t="e" cm="1">
        <f t="array" ref="I59">IF(Table1209120[[#This Row],[Pos.]]="TE1",_xlfn.XLOOKUP(Table1209120[[#This Row],[Opp]],Table8[DEF],'2025'!$BB$3:$BB$34),_xlfn.XLOOKUP(Table1209120[[#This Row],[Opp]],Table8[DEF],'2025'!$BB$38:$BB$69))</f>
        <v>#N/A</v>
      </c>
      <c r="J59" s="95" t="e">
        <f>IF(Table1209120[[#This Row],[Pos.]]="TE1",_xlfn.XLOOKUP(Table1209120[[#This Row],[Opp]],Table8[DEF],Table8[REC]),_xlfn.XLOOKUP(Table1209120[[#This Row],[Opp]],Table816[DEF],Table816[REC]))</f>
        <v>#N/A</v>
      </c>
      <c r="K59" s="95" t="e">
        <f>IF(Table1209120[[#This Row],[Pos.]]="TE1",_xlfn.XLOOKUP(Table1209120[[#This Row],[Opp]],Table8[DEF],Table8[Y]),_xlfn.XLOOKUP(Table1209120[[#This Row],[Opp]],Table816[DEF],Table816[Y]))</f>
        <v>#N/A</v>
      </c>
      <c r="L59" s="96" t="e">
        <f>IF(Table1209120[[#This Row],[Pos.]]="TE1",_xlfn.XLOOKUP(Table1209120[[#This Row],[Opp]],Table8[DEF],Table8[TD]),_xlfn.XLOOKUP(Table1209120[[#This Row],[Opp]],Table816[DEF],Table816[TD]))</f>
        <v>#N/A</v>
      </c>
      <c r="M59" s="94" t="e">
        <f>AVERAGE(Table1209120[[#This Row],[*C*]:[*TD*]])</f>
        <v>#N/A</v>
      </c>
    </row>
    <row r="60" spans="2:13" hidden="1" x14ac:dyDescent="0.35">
      <c r="B60" s="6" t="s">
        <v>290</v>
      </c>
      <c r="C60" s="97" t="s">
        <v>47</v>
      </c>
      <c r="D60" s="97" t="s">
        <v>430</v>
      </c>
      <c r="E60" s="23" t="str" cm="1">
        <f t="array" ref="E60">_xlfn.XLOOKUP(Table1209120[[#This Row],[Team]],Table4334[Team],'2425'!$C$3:$C$34)</f>
        <v>n/a</v>
      </c>
      <c r="F60" s="97" t="str">
        <f>'2025'!$E$25</f>
        <v>n/a</v>
      </c>
      <c r="G60" s="94" t="e" cm="1">
        <f t="array" ref="G60">IF(Table1209120[[#This Row],[Pos.]]="TE1",_xlfn.XLOOKUP(Table1209120[[#This Row],[Opp]],Table8[DEF],'2025'!$AZ$3:$AZ$34),_xlfn.XLOOKUP(Table1209120[[#This Row],[Opp]],Table8[DEF],'2025'!$AZ$38:$AZ$69))</f>
        <v>#N/A</v>
      </c>
      <c r="H60" s="94" t="e" cm="1">
        <f t="array" ref="H60">IF(Table1209120[[#This Row],[Pos.]]="TE1",_xlfn.XLOOKUP(Table1209120[[#This Row],[Opp]],Table8[DEF],'2025'!$BA$3:$BA$34),_xlfn.XLOOKUP(Table1209120[[#This Row],[Opp]],Table8[DEF],'2025'!$BA$38:$BA$69))</f>
        <v>#N/A</v>
      </c>
      <c r="I60" s="94" t="e" cm="1">
        <f t="array" ref="I60">IF(Table1209120[[#This Row],[Pos.]]="TE1",_xlfn.XLOOKUP(Table1209120[[#This Row],[Opp]],Table8[DEF],'2025'!$BB$3:$BB$34),_xlfn.XLOOKUP(Table1209120[[#This Row],[Opp]],Table8[DEF],'2025'!$BB$38:$BB$69))</f>
        <v>#N/A</v>
      </c>
      <c r="J60" s="95" t="e">
        <f>IF(Table1209120[[#This Row],[Pos.]]="TE1",_xlfn.XLOOKUP(Table1209120[[#This Row],[Opp]],Table8[DEF],Table8[REC]),_xlfn.XLOOKUP(Table1209120[[#This Row],[Opp]],Table816[DEF],Table816[REC]))</f>
        <v>#N/A</v>
      </c>
      <c r="K60" s="95" t="e">
        <f>IF(Table1209120[[#This Row],[Pos.]]="TE1",_xlfn.XLOOKUP(Table1209120[[#This Row],[Opp]],Table8[DEF],Table8[Y]),_xlfn.XLOOKUP(Table1209120[[#This Row],[Opp]],Table816[DEF],Table816[Y]))</f>
        <v>#N/A</v>
      </c>
      <c r="L60" s="96" t="e">
        <f>IF(Table1209120[[#This Row],[Pos.]]="TE1",_xlfn.XLOOKUP(Table1209120[[#This Row],[Opp]],Table8[DEF],Table8[TD]),_xlfn.XLOOKUP(Table1209120[[#This Row],[Opp]],Table816[DEF],Table816[TD]))</f>
        <v>#N/A</v>
      </c>
      <c r="M60" s="94" t="e">
        <f>AVERAGE(Table1209120[[#This Row],[*C*]:[*TD*]])</f>
        <v>#N/A</v>
      </c>
    </row>
    <row r="61" spans="2:13" hidden="1" x14ac:dyDescent="0.35">
      <c r="B61" s="6" t="s">
        <v>363</v>
      </c>
      <c r="C61" s="97" t="s">
        <v>53</v>
      </c>
      <c r="D61" s="97" t="s">
        <v>430</v>
      </c>
      <c r="E61" s="23" t="str" cm="1">
        <f t="array" ref="E61">_xlfn.XLOOKUP(Table1209120[[#This Row],[Team]],Table4334[Team],'2425'!$C$3:$C$34)</f>
        <v>n/a</v>
      </c>
      <c r="F61" s="97" t="str">
        <f>'2025'!$E$31</f>
        <v>n/a</v>
      </c>
      <c r="G61" s="94" t="e" cm="1">
        <f t="array" ref="G61">IF(Table1209120[[#This Row],[Pos.]]="TE1",_xlfn.XLOOKUP(Table1209120[[#This Row],[Opp]],Table8[DEF],'2025'!$AZ$3:$AZ$34),_xlfn.XLOOKUP(Table1209120[[#This Row],[Opp]],Table8[DEF],'2025'!$AZ$38:$AZ$69))</f>
        <v>#N/A</v>
      </c>
      <c r="H61" s="94" t="e" cm="1">
        <f t="array" ref="H61">IF(Table1209120[[#This Row],[Pos.]]="TE1",_xlfn.XLOOKUP(Table1209120[[#This Row],[Opp]],Table8[DEF],'2025'!$BA$3:$BA$34),_xlfn.XLOOKUP(Table1209120[[#This Row],[Opp]],Table8[DEF],'2025'!$BA$38:$BA$69))</f>
        <v>#N/A</v>
      </c>
      <c r="I61" s="94" t="e" cm="1">
        <f t="array" ref="I61">IF(Table1209120[[#This Row],[Pos.]]="TE1",_xlfn.XLOOKUP(Table1209120[[#This Row],[Opp]],Table8[DEF],'2025'!$BB$3:$BB$34),_xlfn.XLOOKUP(Table1209120[[#This Row],[Opp]],Table8[DEF],'2025'!$BB$38:$BB$69))</f>
        <v>#N/A</v>
      </c>
      <c r="J61" s="95" t="e">
        <f>IF(Table1209120[[#This Row],[Pos.]]="TE1",_xlfn.XLOOKUP(Table1209120[[#This Row],[Opp]],Table8[DEF],Table8[REC]),_xlfn.XLOOKUP(Table1209120[[#This Row],[Opp]],Table816[DEF],Table816[REC]))</f>
        <v>#N/A</v>
      </c>
      <c r="K61" s="95" t="e">
        <f>IF(Table1209120[[#This Row],[Pos.]]="TE1",_xlfn.XLOOKUP(Table1209120[[#This Row],[Opp]],Table8[DEF],Table8[Y]),_xlfn.XLOOKUP(Table1209120[[#This Row],[Opp]],Table816[DEF],Table816[Y]))</f>
        <v>#N/A</v>
      </c>
      <c r="L61" s="96" t="e">
        <f>IF(Table1209120[[#This Row],[Pos.]]="TE1",_xlfn.XLOOKUP(Table1209120[[#This Row],[Opp]],Table8[DEF],Table8[TD]),_xlfn.XLOOKUP(Table1209120[[#This Row],[Opp]],Table816[DEF],Table816[TD]))</f>
        <v>#N/A</v>
      </c>
      <c r="M61" s="94" t="e">
        <f>AVERAGE(Table1209120[[#This Row],[*C*]:[*TD*]])</f>
        <v>#N/A</v>
      </c>
    </row>
    <row r="62" spans="2:13" hidden="1" x14ac:dyDescent="0.35">
      <c r="B62" s="6" t="s">
        <v>432</v>
      </c>
      <c r="C62" s="97" t="s">
        <v>44</v>
      </c>
      <c r="D62" s="97" t="s">
        <v>430</v>
      </c>
      <c r="E62" s="23" t="str" cm="1">
        <f t="array" ref="E62">_xlfn.XLOOKUP(Table1209120[[#This Row],[Team]],Table4334[Team],'2425'!$C$3:$C$34)</f>
        <v>n/a</v>
      </c>
      <c r="F62" s="97" t="str">
        <f>'2025'!$E$22</f>
        <v>n/a</v>
      </c>
      <c r="G62" s="94" t="e" cm="1">
        <f t="array" ref="G62">IF(Table1209120[[#This Row],[Pos.]]="TE1",_xlfn.XLOOKUP(Table1209120[[#This Row],[Opp]],Table8[DEF],'2025'!$AZ$3:$AZ$34),_xlfn.XLOOKUP(Table1209120[[#This Row],[Opp]],Table8[DEF],'2025'!$AZ$38:$AZ$69))</f>
        <v>#N/A</v>
      </c>
      <c r="H62" s="94" t="e" cm="1">
        <f t="array" ref="H62">IF(Table1209120[[#This Row],[Pos.]]="TE1",_xlfn.XLOOKUP(Table1209120[[#This Row],[Opp]],Table8[DEF],'2025'!$BA$3:$BA$34),_xlfn.XLOOKUP(Table1209120[[#This Row],[Opp]],Table8[DEF],'2025'!$BA$38:$BA$69))</f>
        <v>#N/A</v>
      </c>
      <c r="I62" s="94" t="e" cm="1">
        <f t="array" ref="I62">IF(Table1209120[[#This Row],[Pos.]]="TE1",_xlfn.XLOOKUP(Table1209120[[#This Row],[Opp]],Table8[DEF],'2025'!$BB$3:$BB$34),_xlfn.XLOOKUP(Table1209120[[#This Row],[Opp]],Table8[DEF],'2025'!$BB$38:$BB$69))</f>
        <v>#N/A</v>
      </c>
      <c r="J62" s="95" t="e">
        <f>IF(Table1209120[[#This Row],[Pos.]]="TE1",_xlfn.XLOOKUP(Table1209120[[#This Row],[Opp]],Table8[DEF],Table8[REC]),_xlfn.XLOOKUP(Table1209120[[#This Row],[Opp]],Table816[DEF],Table816[REC]))</f>
        <v>#N/A</v>
      </c>
      <c r="K62" s="95" t="e">
        <f>IF(Table1209120[[#This Row],[Pos.]]="TE1",_xlfn.XLOOKUP(Table1209120[[#This Row],[Opp]],Table8[DEF],Table8[Y]),_xlfn.XLOOKUP(Table1209120[[#This Row],[Opp]],Table816[DEF],Table816[Y]))</f>
        <v>#N/A</v>
      </c>
      <c r="L62" s="96" t="e">
        <f>IF(Table1209120[[#This Row],[Pos.]]="TE1",_xlfn.XLOOKUP(Table1209120[[#This Row],[Opp]],Table8[DEF],Table8[TD]),_xlfn.XLOOKUP(Table1209120[[#This Row],[Opp]],Table816[DEF],Table816[TD]))</f>
        <v>#N/A</v>
      </c>
      <c r="M62" s="94" t="e">
        <f>AVERAGE(Table1209120[[#This Row],[*C*]:[*TD*]])</f>
        <v>#N/A</v>
      </c>
    </row>
    <row r="63" spans="2:13" hidden="1" x14ac:dyDescent="0.35">
      <c r="B63" s="6" t="s">
        <v>605</v>
      </c>
      <c r="C63" s="97" t="s">
        <v>15</v>
      </c>
      <c r="D63" s="97" t="s">
        <v>430</v>
      </c>
      <c r="E63" s="23" t="str" cm="1">
        <f t="array" ref="E63">_xlfn.XLOOKUP(Table1209120[[#This Row],[Team]],Table4334[Team],'2425'!$C$3:$C$34)</f>
        <v>n/a</v>
      </c>
      <c r="F63" s="97" t="str">
        <f>'2025'!$E$4</f>
        <v>n/a</v>
      </c>
      <c r="G63" s="94" t="e" cm="1">
        <f t="array" ref="G63">IF(Table1209120[[#This Row],[Pos.]]="TE1",_xlfn.XLOOKUP(Table1209120[[#This Row],[Opp]],Table8[DEF],'2025'!$AZ$3:$AZ$34),_xlfn.XLOOKUP(Table1209120[[#This Row],[Opp]],Table8[DEF],'2025'!$AZ$38:$AZ$69))</f>
        <v>#N/A</v>
      </c>
      <c r="H63" s="94" t="e" cm="1">
        <f t="array" ref="H63">IF(Table1209120[[#This Row],[Pos.]]="TE1",_xlfn.XLOOKUP(Table1209120[[#This Row],[Opp]],Table8[DEF],'2025'!$BA$3:$BA$34),_xlfn.XLOOKUP(Table1209120[[#This Row],[Opp]],Table8[DEF],'2025'!$BA$38:$BA$69))</f>
        <v>#N/A</v>
      </c>
      <c r="I63" s="94" t="e" cm="1">
        <f t="array" ref="I63">IF(Table1209120[[#This Row],[Pos.]]="TE1",_xlfn.XLOOKUP(Table1209120[[#This Row],[Opp]],Table8[DEF],'2025'!$BB$3:$BB$34),_xlfn.XLOOKUP(Table1209120[[#This Row],[Opp]],Table8[DEF],'2025'!$BB$38:$BB$69))</f>
        <v>#N/A</v>
      </c>
      <c r="J63" s="95" t="e">
        <f>IF(Table1209120[[#This Row],[Pos.]]="TE1",_xlfn.XLOOKUP(Table1209120[[#This Row],[Opp]],Table8[DEF],Table8[REC]),_xlfn.XLOOKUP(Table1209120[[#This Row],[Opp]],Table816[DEF],Table816[REC]))</f>
        <v>#N/A</v>
      </c>
      <c r="K63" s="95" t="e">
        <f>IF(Table1209120[[#This Row],[Pos.]]="TE1",_xlfn.XLOOKUP(Table1209120[[#This Row],[Opp]],Table8[DEF],Table8[Y]),_xlfn.XLOOKUP(Table1209120[[#This Row],[Opp]],Table816[DEF],Table816[Y]))</f>
        <v>#N/A</v>
      </c>
      <c r="L63" s="96" t="e">
        <f>IF(Table1209120[[#This Row],[Pos.]]="TE1",_xlfn.XLOOKUP(Table1209120[[#This Row],[Opp]],Table8[DEF],Table8[TD]),_xlfn.XLOOKUP(Table1209120[[#This Row],[Opp]],Table816[DEF],Table816[TD]))</f>
        <v>#N/A</v>
      </c>
      <c r="M63" s="94" t="e">
        <f>AVERAGE(Table1209120[[#This Row],[*C*]:[*TD*]])</f>
        <v>#N/A</v>
      </c>
    </row>
    <row r="64" spans="2:13" hidden="1" x14ac:dyDescent="0.35">
      <c r="B64" s="6" t="s">
        <v>551</v>
      </c>
      <c r="C64" s="97" t="s">
        <v>42</v>
      </c>
      <c r="D64" s="97" t="s">
        <v>430</v>
      </c>
      <c r="E64" s="23" t="str" cm="1">
        <f t="array" ref="E64">_xlfn.XLOOKUP(Table1209120[[#This Row],[Team]],Table4334[Team],'2425'!$C$3:$C$34)</f>
        <v>n/a</v>
      </c>
      <c r="F64" s="97" t="str">
        <f>'2025'!$E$20</f>
        <v>n/a</v>
      </c>
      <c r="G64" s="94" t="e" cm="1">
        <f t="array" ref="G64">IF(Table1209120[[#This Row],[Pos.]]="TE1",_xlfn.XLOOKUP(Table1209120[[#This Row],[Opp]],Table8[DEF],'2025'!$AZ$3:$AZ$34),_xlfn.XLOOKUP(Table1209120[[#This Row],[Opp]],Table8[DEF],'2025'!$AZ$38:$AZ$69))</f>
        <v>#N/A</v>
      </c>
      <c r="H64" s="94" t="e" cm="1">
        <f t="array" ref="H64">IF(Table1209120[[#This Row],[Pos.]]="TE1",_xlfn.XLOOKUP(Table1209120[[#This Row],[Opp]],Table8[DEF],'2025'!$BA$3:$BA$34),_xlfn.XLOOKUP(Table1209120[[#This Row],[Opp]],Table8[DEF],'2025'!$BA$38:$BA$69))</f>
        <v>#N/A</v>
      </c>
      <c r="I64" s="94" t="e" cm="1">
        <f t="array" ref="I64">IF(Table1209120[[#This Row],[Pos.]]="TE1",_xlfn.XLOOKUP(Table1209120[[#This Row],[Opp]],Table8[DEF],'2025'!$BB$3:$BB$34),_xlfn.XLOOKUP(Table1209120[[#This Row],[Opp]],Table8[DEF],'2025'!$BB$38:$BB$69))</f>
        <v>#N/A</v>
      </c>
      <c r="J64" s="95" t="e">
        <f>IF(Table1209120[[#This Row],[Pos.]]="TE1",_xlfn.XLOOKUP(Table1209120[[#This Row],[Opp]],Table8[DEF],Table8[REC]),_xlfn.XLOOKUP(Table1209120[[#This Row],[Opp]],Table816[DEF],Table816[REC]))</f>
        <v>#N/A</v>
      </c>
      <c r="K64" s="95" t="e">
        <f>IF(Table1209120[[#This Row],[Pos.]]="TE1",_xlfn.XLOOKUP(Table1209120[[#This Row],[Opp]],Table8[DEF],Table8[Y]),_xlfn.XLOOKUP(Table1209120[[#This Row],[Opp]],Table816[DEF],Table816[Y]))</f>
        <v>#N/A</v>
      </c>
      <c r="L64" s="96" t="e">
        <f>IF(Table1209120[[#This Row],[Pos.]]="TE1",_xlfn.XLOOKUP(Table1209120[[#This Row],[Opp]],Table8[DEF],Table8[TD]),_xlfn.XLOOKUP(Table1209120[[#This Row],[Opp]],Table816[DEF],Table816[TD]))</f>
        <v>#N/A</v>
      </c>
      <c r="M64" s="94" t="e">
        <f>AVERAGE(Table1209120[[#This Row],[*C*]:[*TD*]])</f>
        <v>#N/A</v>
      </c>
    </row>
    <row r="65" spans="2:13" hidden="1" x14ac:dyDescent="0.35">
      <c r="B65" s="6" t="s">
        <v>488</v>
      </c>
      <c r="C65" s="97" t="s">
        <v>32</v>
      </c>
      <c r="D65" s="97" t="s">
        <v>430</v>
      </c>
      <c r="E65" s="23" t="str" cm="1">
        <f t="array" ref="E65">_xlfn.XLOOKUP(Table1209120[[#This Row],[Team]],Table4334[Team],'2425'!$C$3:$C$34)</f>
        <v>n/a</v>
      </c>
      <c r="F65" s="97" t="str">
        <f>'2025'!$E$10</f>
        <v>n/a</v>
      </c>
      <c r="G65" s="94" t="e" cm="1">
        <f t="array" ref="G65">IF(Table1209120[[#This Row],[Pos.]]="TE1",_xlfn.XLOOKUP(Table1209120[[#This Row],[Opp]],Table8[DEF],'2025'!$AZ$3:$AZ$34),_xlfn.XLOOKUP(Table1209120[[#This Row],[Opp]],Table8[DEF],'2025'!$AZ$38:$AZ$69))</f>
        <v>#N/A</v>
      </c>
      <c r="H65" s="94" t="e" cm="1">
        <f t="array" ref="H65">IF(Table1209120[[#This Row],[Pos.]]="TE1",_xlfn.XLOOKUP(Table1209120[[#This Row],[Opp]],Table8[DEF],'2025'!$BA$3:$BA$34),_xlfn.XLOOKUP(Table1209120[[#This Row],[Opp]],Table8[DEF],'2025'!$BA$38:$BA$69))</f>
        <v>#N/A</v>
      </c>
      <c r="I65" s="94" t="e" cm="1">
        <f t="array" ref="I65">IF(Table1209120[[#This Row],[Pos.]]="TE1",_xlfn.XLOOKUP(Table1209120[[#This Row],[Opp]],Table8[DEF],'2025'!$BB$3:$BB$34),_xlfn.XLOOKUP(Table1209120[[#This Row],[Opp]],Table8[DEF],'2025'!$BB$38:$BB$69))</f>
        <v>#N/A</v>
      </c>
      <c r="J65" s="95" t="e">
        <f>IF(Table1209120[[#This Row],[Pos.]]="TE1",_xlfn.XLOOKUP(Table1209120[[#This Row],[Opp]],Table8[DEF],Table8[REC]),_xlfn.XLOOKUP(Table1209120[[#This Row],[Opp]],Table816[DEF],Table816[REC]))</f>
        <v>#N/A</v>
      </c>
      <c r="K65" s="95" t="e">
        <f>IF(Table1209120[[#This Row],[Pos.]]="TE1",_xlfn.XLOOKUP(Table1209120[[#This Row],[Opp]],Table8[DEF],Table8[Y]),_xlfn.XLOOKUP(Table1209120[[#This Row],[Opp]],Table816[DEF],Table816[Y]))</f>
        <v>#N/A</v>
      </c>
      <c r="L65" s="96" t="e">
        <f>IF(Table1209120[[#This Row],[Pos.]]="TE1",_xlfn.XLOOKUP(Table1209120[[#This Row],[Opp]],Table8[DEF],Table8[TD]),_xlfn.XLOOKUP(Table1209120[[#This Row],[Opp]],Table816[DEF],Table816[TD]))</f>
        <v>#N/A</v>
      </c>
      <c r="M65" s="94" t="e">
        <f>AVERAGE(Table1209120[[#This Row],[*C*]:[*TD*]])</f>
        <v>#N/A</v>
      </c>
    </row>
    <row r="66" spans="2:13" hidden="1" x14ac:dyDescent="0.35">
      <c r="B66" s="6" t="s">
        <v>595</v>
      </c>
      <c r="C66" s="97" t="s">
        <v>55</v>
      </c>
      <c r="D66" s="97" t="s">
        <v>430</v>
      </c>
      <c r="E66" s="23" t="str" cm="1">
        <f t="array" ref="E66">_xlfn.XLOOKUP(Table1209120[[#This Row],[Team]],Table4334[Team],'2425'!$C$3:$C$34)</f>
        <v>n/a</v>
      </c>
      <c r="F66" s="97" t="str">
        <f>'2025'!$E$33</f>
        <v>n/a</v>
      </c>
      <c r="G66" s="94" t="e" cm="1">
        <f t="array" ref="G66">IF(Table1209120[[#This Row],[Pos.]]="TE1",_xlfn.XLOOKUP(Table1209120[[#This Row],[Opp]],Table8[DEF],'2025'!$AZ$3:$AZ$34),_xlfn.XLOOKUP(Table1209120[[#This Row],[Opp]],Table8[DEF],'2025'!$AZ$38:$AZ$69))</f>
        <v>#N/A</v>
      </c>
      <c r="H66" s="94" t="e" cm="1">
        <f t="array" ref="H66">IF(Table1209120[[#This Row],[Pos.]]="TE1",_xlfn.XLOOKUP(Table1209120[[#This Row],[Opp]],Table8[DEF],'2025'!$BA$3:$BA$34),_xlfn.XLOOKUP(Table1209120[[#This Row],[Opp]],Table8[DEF],'2025'!$BA$38:$BA$69))</f>
        <v>#N/A</v>
      </c>
      <c r="I66" s="94" t="e" cm="1">
        <f t="array" ref="I66">IF(Table1209120[[#This Row],[Pos.]]="TE1",_xlfn.XLOOKUP(Table1209120[[#This Row],[Opp]],Table8[DEF],'2025'!$BB$3:$BB$34),_xlfn.XLOOKUP(Table1209120[[#This Row],[Opp]],Table8[DEF],'2025'!$BB$38:$BB$69))</f>
        <v>#N/A</v>
      </c>
      <c r="J66" s="95" t="e">
        <f>IF(Table1209120[[#This Row],[Pos.]]="TE1",_xlfn.XLOOKUP(Table1209120[[#This Row],[Opp]],Table8[DEF],Table8[REC]),_xlfn.XLOOKUP(Table1209120[[#This Row],[Opp]],Table816[DEF],Table816[REC]))</f>
        <v>#N/A</v>
      </c>
      <c r="K66" s="95" t="e">
        <f>IF(Table1209120[[#This Row],[Pos.]]="TE1",_xlfn.XLOOKUP(Table1209120[[#This Row],[Opp]],Table8[DEF],Table8[Y]),_xlfn.XLOOKUP(Table1209120[[#This Row],[Opp]],Table816[DEF],Table816[Y]))</f>
        <v>#N/A</v>
      </c>
      <c r="L66" s="96" t="e">
        <f>IF(Table1209120[[#This Row],[Pos.]]="TE1",_xlfn.XLOOKUP(Table1209120[[#This Row],[Opp]],Table8[DEF],Table8[TD]),_xlfn.XLOOKUP(Table1209120[[#This Row],[Opp]],Table816[DEF],Table816[TD]))</f>
        <v>#N/A</v>
      </c>
      <c r="M66" s="94" t="e">
        <f>AVERAGE(Table1209120[[#This Row],[*C*]:[*TD*]])</f>
        <v>#N/A</v>
      </c>
    </row>
    <row r="67" spans="2:13" hidden="1" x14ac:dyDescent="0.35">
      <c r="B67" s="6" t="s">
        <v>647</v>
      </c>
      <c r="C67" s="97" t="s">
        <v>38</v>
      </c>
      <c r="D67" s="97" t="s">
        <v>430</v>
      </c>
      <c r="E67" s="23" t="str" cm="1">
        <f t="array" ref="E67">_xlfn.XLOOKUP(Table1209120[[#This Row],[Team]],Table4334[Team],'2425'!$C$3:$C$34)</f>
        <v>n/a</v>
      </c>
      <c r="F67" s="97" t="str">
        <f>'2025'!$E$16</f>
        <v>n/a</v>
      </c>
      <c r="G67" s="94" t="e" cm="1">
        <f t="array" ref="G67">IF(Table1209120[[#This Row],[Pos.]]="TE1",_xlfn.XLOOKUP(Table1209120[[#This Row],[Opp]],Table8[DEF],'2025'!$AZ$3:$AZ$34),_xlfn.XLOOKUP(Table1209120[[#This Row],[Opp]],Table8[DEF],'2025'!$AZ$38:$AZ$69))</f>
        <v>#N/A</v>
      </c>
      <c r="H67" s="94" t="e" cm="1">
        <f t="array" ref="H67">IF(Table1209120[[#This Row],[Pos.]]="TE1",_xlfn.XLOOKUP(Table1209120[[#This Row],[Opp]],Table8[DEF],'2025'!$BA$3:$BA$34),_xlfn.XLOOKUP(Table1209120[[#This Row],[Opp]],Table8[DEF],'2025'!$BA$38:$BA$69))</f>
        <v>#N/A</v>
      </c>
      <c r="I67" s="94" t="e" cm="1">
        <f t="array" ref="I67">IF(Table1209120[[#This Row],[Pos.]]="TE1",_xlfn.XLOOKUP(Table1209120[[#This Row],[Opp]],Table8[DEF],'2025'!$BB$3:$BB$34),_xlfn.XLOOKUP(Table1209120[[#This Row],[Opp]],Table8[DEF],'2025'!$BB$38:$BB$69))</f>
        <v>#N/A</v>
      </c>
      <c r="J67" s="95" t="e">
        <f>IF(Table1209120[[#This Row],[Pos.]]="TE1",_xlfn.XLOOKUP(Table1209120[[#This Row],[Opp]],Table8[DEF],Table8[REC]),_xlfn.XLOOKUP(Table1209120[[#This Row],[Opp]],Table816[DEF],Table816[REC]))</f>
        <v>#N/A</v>
      </c>
      <c r="K67" s="95" t="e">
        <f>IF(Table1209120[[#This Row],[Pos.]]="TE1",_xlfn.XLOOKUP(Table1209120[[#This Row],[Opp]],Table8[DEF],Table8[Y]),_xlfn.XLOOKUP(Table1209120[[#This Row],[Opp]],Table816[DEF],Table816[Y]))</f>
        <v>#N/A</v>
      </c>
      <c r="L67" s="96" t="e">
        <f>IF(Table1209120[[#This Row],[Pos.]]="TE1",_xlfn.XLOOKUP(Table1209120[[#This Row],[Opp]],Table8[DEF],Table8[TD]),_xlfn.XLOOKUP(Table1209120[[#This Row],[Opp]],Table816[DEF],Table816[TD]))</f>
        <v>#N/A</v>
      </c>
      <c r="M67" s="94" t="e">
        <f>AVERAGE(Table1209120[[#This Row],[*C*]:[*TD*]])</f>
        <v>#N/A</v>
      </c>
    </row>
    <row r="68" spans="2:13" hidden="1" x14ac:dyDescent="0.35">
      <c r="B68" s="6" t="s">
        <v>587</v>
      </c>
      <c r="C68" s="97" t="s">
        <v>54</v>
      </c>
      <c r="D68" s="97" t="s">
        <v>430</v>
      </c>
      <c r="E68" s="23" t="str" cm="1">
        <f t="array" ref="E68">_xlfn.XLOOKUP(Table1209120[[#This Row],[Team]],Table4334[Team],'2425'!$C$3:$C$34)</f>
        <v>n/a</v>
      </c>
      <c r="F68" s="97" t="str">
        <f>'2025'!$E$32</f>
        <v>n/a</v>
      </c>
      <c r="G68" s="94" t="e" cm="1">
        <f t="array" ref="G68">IF(Table1209120[[#This Row],[Pos.]]="TE1",_xlfn.XLOOKUP(Table1209120[[#This Row],[Opp]],Table8[DEF],'2025'!$AZ$3:$AZ$34),_xlfn.XLOOKUP(Table1209120[[#This Row],[Opp]],Table8[DEF],'2025'!$AZ$38:$AZ$69))</f>
        <v>#N/A</v>
      </c>
      <c r="H68" s="94" t="e" cm="1">
        <f t="array" ref="H68">IF(Table1209120[[#This Row],[Pos.]]="TE1",_xlfn.XLOOKUP(Table1209120[[#This Row],[Opp]],Table8[DEF],'2025'!$BA$3:$BA$34),_xlfn.XLOOKUP(Table1209120[[#This Row],[Opp]],Table8[DEF],'2025'!$BA$38:$BA$69))</f>
        <v>#N/A</v>
      </c>
      <c r="I68" s="94" t="e" cm="1">
        <f t="array" ref="I68">IF(Table1209120[[#This Row],[Pos.]]="TE1",_xlfn.XLOOKUP(Table1209120[[#This Row],[Opp]],Table8[DEF],'2025'!$BB$3:$BB$34),_xlfn.XLOOKUP(Table1209120[[#This Row],[Opp]],Table8[DEF],'2025'!$BB$38:$BB$69))</f>
        <v>#N/A</v>
      </c>
      <c r="J68" s="95" t="e">
        <f>IF(Table1209120[[#This Row],[Pos.]]="TE1",_xlfn.XLOOKUP(Table1209120[[#This Row],[Opp]],Table8[DEF],Table8[REC]),_xlfn.XLOOKUP(Table1209120[[#This Row],[Opp]],Table816[DEF],Table816[REC]))</f>
        <v>#N/A</v>
      </c>
      <c r="K68" s="95" t="e">
        <f>IF(Table1209120[[#This Row],[Pos.]]="TE1",_xlfn.XLOOKUP(Table1209120[[#This Row],[Opp]],Table8[DEF],Table8[Y]),_xlfn.XLOOKUP(Table1209120[[#This Row],[Opp]],Table816[DEF],Table816[Y]))</f>
        <v>#N/A</v>
      </c>
      <c r="L68" s="96" t="e">
        <f>IF(Table1209120[[#This Row],[Pos.]]="TE1",_xlfn.XLOOKUP(Table1209120[[#This Row],[Opp]],Table8[DEF],Table8[TD]),_xlfn.XLOOKUP(Table1209120[[#This Row],[Opp]],Table816[DEF],Table816[TD]))</f>
        <v>#N/A</v>
      </c>
      <c r="M68" s="94" t="e">
        <f>AVERAGE(Table1209120[[#This Row],[*C*]:[*TD*]])</f>
        <v>#N/A</v>
      </c>
    </row>
    <row r="69" spans="2:13" hidden="1" x14ac:dyDescent="0.35">
      <c r="B69" s="6" t="s">
        <v>629</v>
      </c>
      <c r="C69" s="97" t="s">
        <v>39</v>
      </c>
      <c r="D69" s="97" t="s">
        <v>430</v>
      </c>
      <c r="E69" s="23" t="str" cm="1">
        <f t="array" ref="E69">_xlfn.XLOOKUP(Table1209120[[#This Row],[Team]],Table4334[Team],'2425'!$C$3:$C$34)</f>
        <v>n/a</v>
      </c>
      <c r="F69" s="97" t="str">
        <f>'2025'!$E$17</f>
        <v>n/a</v>
      </c>
      <c r="G69" s="94" t="e" cm="1">
        <f t="array" ref="G69">IF(Table1209120[[#This Row],[Pos.]]="TE1",_xlfn.XLOOKUP(Table1209120[[#This Row],[Opp]],Table8[DEF],'2025'!$AZ$3:$AZ$34),_xlfn.XLOOKUP(Table1209120[[#This Row],[Opp]],Table8[DEF],'2025'!$AZ$38:$AZ$69))</f>
        <v>#N/A</v>
      </c>
      <c r="H69" s="94" t="e" cm="1">
        <f t="array" ref="H69">IF(Table1209120[[#This Row],[Pos.]]="TE1",_xlfn.XLOOKUP(Table1209120[[#This Row],[Opp]],Table8[DEF],'2025'!$BA$3:$BA$34),_xlfn.XLOOKUP(Table1209120[[#This Row],[Opp]],Table8[DEF],'2025'!$BA$38:$BA$69))</f>
        <v>#N/A</v>
      </c>
      <c r="I69" s="94" t="e" cm="1">
        <f t="array" ref="I69">IF(Table1209120[[#This Row],[Pos.]]="TE1",_xlfn.XLOOKUP(Table1209120[[#This Row],[Opp]],Table8[DEF],'2025'!$BB$3:$BB$34),_xlfn.XLOOKUP(Table1209120[[#This Row],[Opp]],Table8[DEF],'2025'!$BB$38:$BB$69))</f>
        <v>#N/A</v>
      </c>
      <c r="J69" s="95" t="e">
        <f>IF(Table1209120[[#This Row],[Pos.]]="TE1",_xlfn.XLOOKUP(Table1209120[[#This Row],[Opp]],Table8[DEF],Table8[REC]),_xlfn.XLOOKUP(Table1209120[[#This Row],[Opp]],Table816[DEF],Table816[REC]))</f>
        <v>#N/A</v>
      </c>
      <c r="K69" s="95" t="e">
        <f>IF(Table1209120[[#This Row],[Pos.]]="TE1",_xlfn.XLOOKUP(Table1209120[[#This Row],[Opp]],Table8[DEF],Table8[Y]),_xlfn.XLOOKUP(Table1209120[[#This Row],[Opp]],Table816[DEF],Table816[Y]))</f>
        <v>#N/A</v>
      </c>
      <c r="L69" s="96" t="e">
        <f>IF(Table1209120[[#This Row],[Pos.]]="TE1",_xlfn.XLOOKUP(Table1209120[[#This Row],[Opp]],Table8[DEF],Table8[TD]),_xlfn.XLOOKUP(Table1209120[[#This Row],[Opp]],Table816[DEF],Table816[TD]))</f>
        <v>#N/A</v>
      </c>
      <c r="M69" s="94" t="e">
        <f>AVERAGE(Table1209120[[#This Row],[*C*]:[*TD*]])</f>
        <v>#N/A</v>
      </c>
    </row>
    <row r="70" spans="2:13" hidden="1" x14ac:dyDescent="0.35">
      <c r="B70" s="108" t="s">
        <v>372</v>
      </c>
      <c r="C70" s="97" t="s">
        <v>29</v>
      </c>
      <c r="D70" s="97" t="s">
        <v>430</v>
      </c>
      <c r="E70" s="23" t="str" cm="1">
        <f t="array" ref="E70">_xlfn.XLOOKUP(Table1209120[[#This Row],[Team]],Table4334[Team],'2425'!$C$3:$C$34)</f>
        <v>n/a</v>
      </c>
      <c r="F70" s="97" t="str">
        <f>'2025'!$E$7</f>
        <v>n/a</v>
      </c>
      <c r="G70" s="94" t="e" cm="1">
        <f t="array" ref="G70">IF(Table1209120[[#This Row],[Pos.]]="TE1",_xlfn.XLOOKUP(Table1209120[[#This Row],[Opp]],Table8[DEF],'2025'!$AZ$3:$AZ$34),_xlfn.XLOOKUP(Table1209120[[#This Row],[Opp]],Table8[DEF],'2025'!$AZ$38:$AZ$69))</f>
        <v>#N/A</v>
      </c>
      <c r="H70" s="94" t="e" cm="1">
        <f t="array" ref="H70">IF(Table1209120[[#This Row],[Pos.]]="TE1",_xlfn.XLOOKUP(Table1209120[[#This Row],[Opp]],Table8[DEF],'2025'!$BA$3:$BA$34),_xlfn.XLOOKUP(Table1209120[[#This Row],[Opp]],Table8[DEF],'2025'!$BA$38:$BA$69))</f>
        <v>#N/A</v>
      </c>
      <c r="I70" s="94" t="e" cm="1">
        <f t="array" ref="I70">IF(Table1209120[[#This Row],[Pos.]]="TE1",_xlfn.XLOOKUP(Table1209120[[#This Row],[Opp]],Table8[DEF],'2025'!$BB$3:$BB$34),_xlfn.XLOOKUP(Table1209120[[#This Row],[Opp]],Table8[DEF],'2025'!$BB$38:$BB$69))</f>
        <v>#N/A</v>
      </c>
      <c r="J70" s="95" t="e">
        <f>IF(Table1209120[[#This Row],[Pos.]]="TE1",_xlfn.XLOOKUP(Table1209120[[#This Row],[Opp]],Table8[DEF],Table8[REC]),_xlfn.XLOOKUP(Table1209120[[#This Row],[Opp]],Table816[DEF],Table816[REC]))</f>
        <v>#N/A</v>
      </c>
      <c r="K70" s="95" t="e">
        <f>IF(Table1209120[[#This Row],[Pos.]]="TE1",_xlfn.XLOOKUP(Table1209120[[#This Row],[Opp]],Table8[DEF],Table8[Y]),_xlfn.XLOOKUP(Table1209120[[#This Row],[Opp]],Table816[DEF],Table816[Y]))</f>
        <v>#N/A</v>
      </c>
      <c r="L70" s="96" t="e">
        <f>IF(Table1209120[[#This Row],[Pos.]]="TE1",_xlfn.XLOOKUP(Table1209120[[#This Row],[Opp]],Table8[DEF],Table8[TD]),_xlfn.XLOOKUP(Table1209120[[#This Row],[Opp]],Table816[DEF],Table816[TD]))</f>
        <v>#N/A</v>
      </c>
      <c r="M70" s="94" t="e">
        <f>AVERAGE(Table1209120[[#This Row],[*C*]:[*TD*]])</f>
        <v>#N/A</v>
      </c>
    </row>
    <row r="71" spans="2:13" hidden="1" x14ac:dyDescent="0.35">
      <c r="B71" s="6" t="s">
        <v>446</v>
      </c>
      <c r="C71" s="97" t="s">
        <v>49</v>
      </c>
      <c r="D71" s="97" t="s">
        <v>430</v>
      </c>
      <c r="E71" s="23" t="str" cm="1">
        <f t="array" ref="E71">_xlfn.XLOOKUP(Table1209120[[#This Row],[Team]],Table4334[Team],'2425'!$C$3:$C$34)</f>
        <v>n/a</v>
      </c>
      <c r="F71" s="97" t="str">
        <f>'2025'!$E$27</f>
        <v>n/a</v>
      </c>
      <c r="G71" s="94" t="e" cm="1">
        <f t="array" ref="G71">IF(Table1209120[[#This Row],[Pos.]]="TE1",_xlfn.XLOOKUP(Table1209120[[#This Row],[Opp]],Table8[DEF],'2025'!$AZ$3:$AZ$34),_xlfn.XLOOKUP(Table1209120[[#This Row],[Opp]],Table8[DEF],'2025'!$AZ$38:$AZ$69))</f>
        <v>#N/A</v>
      </c>
      <c r="H71" s="94" t="e" cm="1">
        <f t="array" ref="H71">IF(Table1209120[[#This Row],[Pos.]]="TE1",_xlfn.XLOOKUP(Table1209120[[#This Row],[Opp]],Table8[DEF],'2025'!$BA$3:$BA$34),_xlfn.XLOOKUP(Table1209120[[#This Row],[Opp]],Table8[DEF],'2025'!$BA$38:$BA$69))</f>
        <v>#N/A</v>
      </c>
      <c r="I71" s="94" t="e" cm="1">
        <f t="array" ref="I71">IF(Table1209120[[#This Row],[Pos.]]="TE1",_xlfn.XLOOKUP(Table1209120[[#This Row],[Opp]],Table8[DEF],'2025'!$BB$3:$BB$34),_xlfn.XLOOKUP(Table1209120[[#This Row],[Opp]],Table8[DEF],'2025'!$BB$38:$BB$69))</f>
        <v>#N/A</v>
      </c>
      <c r="J71" s="95" t="e">
        <f>IF(Table1209120[[#This Row],[Pos.]]="TE1",_xlfn.XLOOKUP(Table1209120[[#This Row],[Opp]],Table8[DEF],Table8[REC]),_xlfn.XLOOKUP(Table1209120[[#This Row],[Opp]],Table816[DEF],Table816[REC]))</f>
        <v>#N/A</v>
      </c>
      <c r="K71" s="95" t="e">
        <f>IF(Table1209120[[#This Row],[Pos.]]="TE1",_xlfn.XLOOKUP(Table1209120[[#This Row],[Opp]],Table8[DEF],Table8[Y]),_xlfn.XLOOKUP(Table1209120[[#This Row],[Opp]],Table816[DEF],Table816[Y]))</f>
        <v>#N/A</v>
      </c>
      <c r="L71" s="96" t="e">
        <f>IF(Table1209120[[#This Row],[Pos.]]="TE1",_xlfn.XLOOKUP(Table1209120[[#This Row],[Opp]],Table8[DEF],Table8[TD]),_xlfn.XLOOKUP(Table1209120[[#This Row],[Opp]],Table816[DEF],Table816[TD]))</f>
        <v>#N/A</v>
      </c>
      <c r="M71" s="94" t="e">
        <f>AVERAGE(Table1209120[[#This Row],[*C*]:[*TD*]])</f>
        <v>#N/A</v>
      </c>
    </row>
    <row r="72" spans="2:13" hidden="1" x14ac:dyDescent="0.35">
      <c r="B72" s="6" t="s">
        <v>558</v>
      </c>
      <c r="C72" s="97" t="s">
        <v>0</v>
      </c>
      <c r="D72" s="97" t="s">
        <v>430</v>
      </c>
      <c r="E72" s="23" t="str" cm="1">
        <f t="array" ref="E72">_xlfn.XLOOKUP(Table1209120[[#This Row],[Team]],Table4334[Team],'2425'!$C$3:$C$34)</f>
        <v>n/a</v>
      </c>
      <c r="F72" s="97" t="str">
        <f>'2025'!$E$3</f>
        <v>n/a</v>
      </c>
      <c r="G72" s="94" t="e" cm="1">
        <f t="array" ref="G72">IF(Table1209120[[#This Row],[Pos.]]="TE1",_xlfn.XLOOKUP(Table1209120[[#This Row],[Opp]],Table8[DEF],'2025'!$AZ$3:$AZ$34),_xlfn.XLOOKUP(Table1209120[[#This Row],[Opp]],Table8[DEF],'2025'!$AZ$38:$AZ$69))</f>
        <v>#N/A</v>
      </c>
      <c r="H72" s="94" t="e" cm="1">
        <f t="array" ref="H72">IF(Table1209120[[#This Row],[Pos.]]="TE1",_xlfn.XLOOKUP(Table1209120[[#This Row],[Opp]],Table8[DEF],'2025'!$BA$3:$BA$34),_xlfn.XLOOKUP(Table1209120[[#This Row],[Opp]],Table8[DEF],'2025'!$BA$38:$BA$69))</f>
        <v>#N/A</v>
      </c>
      <c r="I72" s="94" t="e" cm="1">
        <f t="array" ref="I72">IF(Table1209120[[#This Row],[Pos.]]="TE1",_xlfn.XLOOKUP(Table1209120[[#This Row],[Opp]],Table8[DEF],'2025'!$BB$3:$BB$34),_xlfn.XLOOKUP(Table1209120[[#This Row],[Opp]],Table8[DEF],'2025'!$BB$38:$BB$69))</f>
        <v>#N/A</v>
      </c>
      <c r="J72" s="95" t="e">
        <f>IF(Table1209120[[#This Row],[Pos.]]="TE1",_xlfn.XLOOKUP(Table1209120[[#This Row],[Opp]],Table8[DEF],Table8[REC]),_xlfn.XLOOKUP(Table1209120[[#This Row],[Opp]],Table816[DEF],Table816[REC]))</f>
        <v>#N/A</v>
      </c>
      <c r="K72" s="95" t="e">
        <f>IF(Table1209120[[#This Row],[Pos.]]="TE1",_xlfn.XLOOKUP(Table1209120[[#This Row],[Opp]],Table8[DEF],Table8[Y]),_xlfn.XLOOKUP(Table1209120[[#This Row],[Opp]],Table816[DEF],Table816[Y]))</f>
        <v>#N/A</v>
      </c>
      <c r="L72" s="96" t="e">
        <f>IF(Table1209120[[#This Row],[Pos.]]="TE1",_xlfn.XLOOKUP(Table1209120[[#This Row],[Opp]],Table8[DEF],Table8[TD]),_xlfn.XLOOKUP(Table1209120[[#This Row],[Opp]],Table816[DEF],Table816[TD]))</f>
        <v>#N/A</v>
      </c>
      <c r="M72" s="94" t="e">
        <f>AVERAGE(Table1209120[[#This Row],[*C*]:[*TD*]])</f>
        <v>#N/A</v>
      </c>
    </row>
    <row r="73" spans="2:13" hidden="1" x14ac:dyDescent="0.35">
      <c r="B73" s="6" t="s">
        <v>638</v>
      </c>
      <c r="C73" s="97" t="s">
        <v>37</v>
      </c>
      <c r="D73" s="97" t="s">
        <v>435</v>
      </c>
      <c r="E73" s="23" t="str" cm="1">
        <f t="array" ref="E73">_xlfn.XLOOKUP(Table1209120[[#This Row],[Team]],Table4334[Team],'2425'!$C$3:$C$34)</f>
        <v>n/a</v>
      </c>
      <c r="F73" s="97" t="str">
        <f>'2025'!$E$15</f>
        <v>n/a</v>
      </c>
      <c r="G73" s="94" t="e" cm="1">
        <f t="array" ref="G73">IF(Table1209120[[#This Row],[Pos.]]="TE1",_xlfn.XLOOKUP(Table1209120[[#This Row],[Opp]],Table8[DEF],'2025'!$AZ$3:$AZ$34),_xlfn.XLOOKUP(Table1209120[[#This Row],[Opp]],Table8[DEF],'2025'!$AZ$38:$AZ$69))</f>
        <v>#N/A</v>
      </c>
      <c r="H73" s="94" t="e" cm="1">
        <f t="array" ref="H73">IF(Table1209120[[#This Row],[Pos.]]="TE1",_xlfn.XLOOKUP(Table1209120[[#This Row],[Opp]],Table8[DEF],'2025'!$BA$3:$BA$34),_xlfn.XLOOKUP(Table1209120[[#This Row],[Opp]],Table8[DEF],'2025'!$BA$38:$BA$69))</f>
        <v>#N/A</v>
      </c>
      <c r="I73" s="94" t="e" cm="1">
        <f t="array" ref="I73">IF(Table1209120[[#This Row],[Pos.]]="TE1",_xlfn.XLOOKUP(Table1209120[[#This Row],[Opp]],Table8[DEF],'2025'!$BB$3:$BB$34),_xlfn.XLOOKUP(Table1209120[[#This Row],[Opp]],Table8[DEF],'2025'!$BB$38:$BB$69))</f>
        <v>#N/A</v>
      </c>
      <c r="J73" s="95" t="e">
        <f>IF(Table1209120[[#This Row],[Pos.]]="TE1",_xlfn.XLOOKUP(Table1209120[[#This Row],[Opp]],Table8[DEF],Table8[REC]),_xlfn.XLOOKUP(Table1209120[[#This Row],[Opp]],Table816[DEF],Table816[REC]))</f>
        <v>#N/A</v>
      </c>
      <c r="K73" s="95" t="e">
        <f>IF(Table1209120[[#This Row],[Pos.]]="TE1",_xlfn.XLOOKUP(Table1209120[[#This Row],[Opp]],Table8[DEF],Table8[Y]),_xlfn.XLOOKUP(Table1209120[[#This Row],[Opp]],Table816[DEF],Table816[Y]))</f>
        <v>#N/A</v>
      </c>
      <c r="L73" s="96" t="e">
        <f>IF(Table1209120[[#This Row],[Pos.]]="TE1",_xlfn.XLOOKUP(Table1209120[[#This Row],[Opp]],Table8[DEF],Table8[TD]),_xlfn.XLOOKUP(Table1209120[[#This Row],[Opp]],Table816[DEF],Table816[TD]))</f>
        <v>#N/A</v>
      </c>
      <c r="M73" s="94" t="e">
        <f>AVERAGE(Table1209120[[#This Row],[*C*]:[*TD*]])</f>
        <v>#N/A</v>
      </c>
    </row>
    <row r="74" spans="2:13" hidden="1" x14ac:dyDescent="0.35">
      <c r="B74" s="6" t="s">
        <v>623</v>
      </c>
      <c r="C74" s="97" t="s">
        <v>47</v>
      </c>
      <c r="D74" s="97" t="s">
        <v>435</v>
      </c>
      <c r="E74" s="23" t="str" cm="1">
        <f t="array" ref="E74">_xlfn.XLOOKUP(Table1209120[[#This Row],[Team]],Table4334[Team],'2425'!$C$3:$C$34)</f>
        <v>n/a</v>
      </c>
      <c r="F74" s="97" t="str">
        <f>'2025'!$E$25</f>
        <v>n/a</v>
      </c>
      <c r="G74" s="94" t="e" cm="1">
        <f t="array" ref="G74">IF(Table1209120[[#This Row],[Pos.]]="TE1",_xlfn.XLOOKUP(Table1209120[[#This Row],[Opp]],Table8[DEF],'2025'!$AZ$3:$AZ$34),_xlfn.XLOOKUP(Table1209120[[#This Row],[Opp]],Table8[DEF],'2025'!$AZ$38:$AZ$69))</f>
        <v>#N/A</v>
      </c>
      <c r="H74" s="94" t="e" cm="1">
        <f t="array" ref="H74">IF(Table1209120[[#This Row],[Pos.]]="TE1",_xlfn.XLOOKUP(Table1209120[[#This Row],[Opp]],Table8[DEF],'2025'!$BA$3:$BA$34),_xlfn.XLOOKUP(Table1209120[[#This Row],[Opp]],Table8[DEF],'2025'!$BA$38:$BA$69))</f>
        <v>#N/A</v>
      </c>
      <c r="I74" s="94" t="e" cm="1">
        <f t="array" ref="I74">IF(Table1209120[[#This Row],[Pos.]]="TE1",_xlfn.XLOOKUP(Table1209120[[#This Row],[Opp]],Table8[DEF],'2025'!$BB$3:$BB$34),_xlfn.XLOOKUP(Table1209120[[#This Row],[Opp]],Table8[DEF],'2025'!$BB$38:$BB$69))</f>
        <v>#N/A</v>
      </c>
      <c r="J74" s="95" t="e">
        <f>IF(Table1209120[[#This Row],[Pos.]]="TE1",_xlfn.XLOOKUP(Table1209120[[#This Row],[Opp]],Table8[DEF],Table8[REC]),_xlfn.XLOOKUP(Table1209120[[#This Row],[Opp]],Table816[DEF],Table816[REC]))</f>
        <v>#N/A</v>
      </c>
      <c r="K74" s="95" t="e">
        <f>IF(Table1209120[[#This Row],[Pos.]]="TE1",_xlfn.XLOOKUP(Table1209120[[#This Row],[Opp]],Table8[DEF],Table8[Y]),_xlfn.XLOOKUP(Table1209120[[#This Row],[Opp]],Table816[DEF],Table816[Y]))</f>
        <v>#N/A</v>
      </c>
      <c r="L74" s="96" t="e">
        <f>IF(Table1209120[[#This Row],[Pos.]]="TE1",_xlfn.XLOOKUP(Table1209120[[#This Row],[Opp]],Table8[DEF],Table8[TD]),_xlfn.XLOOKUP(Table1209120[[#This Row],[Opp]],Table816[DEF],Table816[TD]))</f>
        <v>#N/A</v>
      </c>
      <c r="M74" s="94" t="e">
        <f>AVERAGE(Table1209120[[#This Row],[*C*]:[*TD*]])</f>
        <v>#N/A</v>
      </c>
    </row>
    <row r="75" spans="2:13" hidden="1" x14ac:dyDescent="0.35">
      <c r="B75" s="6" t="s">
        <v>434</v>
      </c>
      <c r="C75" s="97" t="s">
        <v>44</v>
      </c>
      <c r="D75" s="97" t="s">
        <v>435</v>
      </c>
      <c r="E75" s="23" t="str" cm="1">
        <f t="array" ref="E75">_xlfn.XLOOKUP(Table1209120[[#This Row],[Team]],Table4334[Team],'2425'!$C$3:$C$34)</f>
        <v>n/a</v>
      </c>
      <c r="F75" s="97" t="str">
        <f>'2025'!$E$22</f>
        <v>n/a</v>
      </c>
      <c r="G75" s="94" t="e" cm="1">
        <f t="array" ref="G75">IF(Table1209120[[#This Row],[Pos.]]="TE1",_xlfn.XLOOKUP(Table1209120[[#This Row],[Opp]],Table8[DEF],'2025'!$AZ$3:$AZ$34),_xlfn.XLOOKUP(Table1209120[[#This Row],[Opp]],Table8[DEF],'2025'!$AZ$38:$AZ$69))</f>
        <v>#N/A</v>
      </c>
      <c r="H75" s="94" t="e" cm="1">
        <f t="array" ref="H75">IF(Table1209120[[#This Row],[Pos.]]="TE1",_xlfn.XLOOKUP(Table1209120[[#This Row],[Opp]],Table8[DEF],'2025'!$BA$3:$BA$34),_xlfn.XLOOKUP(Table1209120[[#This Row],[Opp]],Table8[DEF],'2025'!$BA$38:$BA$69))</f>
        <v>#N/A</v>
      </c>
      <c r="I75" s="94" t="e" cm="1">
        <f t="array" ref="I75">IF(Table1209120[[#This Row],[Pos.]]="TE1",_xlfn.XLOOKUP(Table1209120[[#This Row],[Opp]],Table8[DEF],'2025'!$BB$3:$BB$34),_xlfn.XLOOKUP(Table1209120[[#This Row],[Opp]],Table8[DEF],'2025'!$BB$38:$BB$69))</f>
        <v>#N/A</v>
      </c>
      <c r="J75" s="95" t="e">
        <f>IF(Table1209120[[#This Row],[Pos.]]="TE1",_xlfn.XLOOKUP(Table1209120[[#This Row],[Opp]],Table8[DEF],Table8[REC]),_xlfn.XLOOKUP(Table1209120[[#This Row],[Opp]],Table816[DEF],Table816[REC]))</f>
        <v>#N/A</v>
      </c>
      <c r="K75" s="95" t="e">
        <f>IF(Table1209120[[#This Row],[Pos.]]="TE1",_xlfn.XLOOKUP(Table1209120[[#This Row],[Opp]],Table8[DEF],Table8[Y]),_xlfn.XLOOKUP(Table1209120[[#This Row],[Opp]],Table816[DEF],Table816[Y]))</f>
        <v>#N/A</v>
      </c>
      <c r="L75" s="96" t="e">
        <f>IF(Table1209120[[#This Row],[Pos.]]="TE1",_xlfn.XLOOKUP(Table1209120[[#This Row],[Opp]],Table8[DEF],Table8[TD]),_xlfn.XLOOKUP(Table1209120[[#This Row],[Opp]],Table816[DEF],Table816[TD]))</f>
        <v>#N/A</v>
      </c>
      <c r="M75" s="94" t="e">
        <f>AVERAGE(Table1209120[[#This Row],[*C*]:[*TD*]])</f>
        <v>#N/A</v>
      </c>
    </row>
    <row r="76" spans="2:13" hidden="1" x14ac:dyDescent="0.35">
      <c r="B76" s="6" t="s">
        <v>606</v>
      </c>
      <c r="C76" s="97" t="s">
        <v>15</v>
      </c>
      <c r="D76" s="97" t="s">
        <v>435</v>
      </c>
      <c r="E76" s="23" t="str" cm="1">
        <f t="array" ref="E76">_xlfn.XLOOKUP(Table1209120[[#This Row],[Team]],Table4334[Team],'2425'!$C$3:$C$34)</f>
        <v>n/a</v>
      </c>
      <c r="F76" s="97" t="str">
        <f>'2025'!$E$4</f>
        <v>n/a</v>
      </c>
      <c r="G76" s="94" t="e" cm="1">
        <f t="array" ref="G76">IF(Table1209120[[#This Row],[Pos.]]="TE1",_xlfn.XLOOKUP(Table1209120[[#This Row],[Opp]],Table8[DEF],'2025'!$AZ$3:$AZ$34),_xlfn.XLOOKUP(Table1209120[[#This Row],[Opp]],Table8[DEF],'2025'!$AZ$38:$AZ$69))</f>
        <v>#N/A</v>
      </c>
      <c r="H76" s="94" t="e" cm="1">
        <f t="array" ref="H76">IF(Table1209120[[#This Row],[Pos.]]="TE1",_xlfn.XLOOKUP(Table1209120[[#This Row],[Opp]],Table8[DEF],'2025'!$BA$3:$BA$34),_xlfn.XLOOKUP(Table1209120[[#This Row],[Opp]],Table8[DEF],'2025'!$BA$38:$BA$69))</f>
        <v>#N/A</v>
      </c>
      <c r="I76" s="94" t="e" cm="1">
        <f t="array" ref="I76">IF(Table1209120[[#This Row],[Pos.]]="TE1",_xlfn.XLOOKUP(Table1209120[[#This Row],[Opp]],Table8[DEF],'2025'!$BB$3:$BB$34),_xlfn.XLOOKUP(Table1209120[[#This Row],[Opp]],Table8[DEF],'2025'!$BB$38:$BB$69))</f>
        <v>#N/A</v>
      </c>
      <c r="J76" s="95" t="e">
        <f>IF(Table1209120[[#This Row],[Pos.]]="TE1",_xlfn.XLOOKUP(Table1209120[[#This Row],[Opp]],Table8[DEF],Table8[REC]),_xlfn.XLOOKUP(Table1209120[[#This Row],[Opp]],Table816[DEF],Table816[REC]))</f>
        <v>#N/A</v>
      </c>
      <c r="K76" s="95" t="e">
        <f>IF(Table1209120[[#This Row],[Pos.]]="TE1",_xlfn.XLOOKUP(Table1209120[[#This Row],[Opp]],Table8[DEF],Table8[Y]),_xlfn.XLOOKUP(Table1209120[[#This Row],[Opp]],Table816[DEF],Table816[Y]))</f>
        <v>#N/A</v>
      </c>
      <c r="L76" s="96" t="e">
        <f>IF(Table1209120[[#This Row],[Pos.]]="TE1",_xlfn.XLOOKUP(Table1209120[[#This Row],[Opp]],Table8[DEF],Table8[TD]),_xlfn.XLOOKUP(Table1209120[[#This Row],[Opp]],Table816[DEF],Table816[TD]))</f>
        <v>#N/A</v>
      </c>
      <c r="M76" s="94" t="e">
        <f>AVERAGE(Table1209120[[#This Row],[*C*]:[*TD*]])</f>
        <v>#N/A</v>
      </c>
    </row>
    <row r="77" spans="2:13" hidden="1" x14ac:dyDescent="0.35">
      <c r="B77" s="6" t="s">
        <v>552</v>
      </c>
      <c r="C77" s="97" t="s">
        <v>42</v>
      </c>
      <c r="D77" s="97" t="s">
        <v>435</v>
      </c>
      <c r="E77" s="23" t="str" cm="1">
        <f t="array" ref="E77">_xlfn.XLOOKUP(Table1209120[[#This Row],[Team]],Table4334[Team],'2425'!$C$3:$C$34)</f>
        <v>n/a</v>
      </c>
      <c r="F77" s="97" t="str">
        <f>'2025'!$E$20</f>
        <v>n/a</v>
      </c>
      <c r="G77" s="94" t="e" cm="1">
        <f t="array" ref="G77">IF(Table1209120[[#This Row],[Pos.]]="TE1",_xlfn.XLOOKUP(Table1209120[[#This Row],[Opp]],Table8[DEF],'2025'!$AZ$3:$AZ$34),_xlfn.XLOOKUP(Table1209120[[#This Row],[Opp]],Table8[DEF],'2025'!$AZ$38:$AZ$69))</f>
        <v>#N/A</v>
      </c>
      <c r="H77" s="94" t="e" cm="1">
        <f t="array" ref="H77">IF(Table1209120[[#This Row],[Pos.]]="TE1",_xlfn.XLOOKUP(Table1209120[[#This Row],[Opp]],Table8[DEF],'2025'!$BA$3:$BA$34),_xlfn.XLOOKUP(Table1209120[[#This Row],[Opp]],Table8[DEF],'2025'!$BA$38:$BA$69))</f>
        <v>#N/A</v>
      </c>
      <c r="I77" s="94" t="e" cm="1">
        <f t="array" ref="I77">IF(Table1209120[[#This Row],[Pos.]]="TE1",_xlfn.XLOOKUP(Table1209120[[#This Row],[Opp]],Table8[DEF],'2025'!$BB$3:$BB$34),_xlfn.XLOOKUP(Table1209120[[#This Row],[Opp]],Table8[DEF],'2025'!$BB$38:$BB$69))</f>
        <v>#N/A</v>
      </c>
      <c r="J77" s="95" t="e">
        <f>IF(Table1209120[[#This Row],[Pos.]]="TE1",_xlfn.XLOOKUP(Table1209120[[#This Row],[Opp]],Table8[DEF],Table8[REC]),_xlfn.XLOOKUP(Table1209120[[#This Row],[Opp]],Table816[DEF],Table816[REC]))</f>
        <v>#N/A</v>
      </c>
      <c r="K77" s="95" t="e">
        <f>IF(Table1209120[[#This Row],[Pos.]]="TE1",_xlfn.XLOOKUP(Table1209120[[#This Row],[Opp]],Table8[DEF],Table8[Y]),_xlfn.XLOOKUP(Table1209120[[#This Row],[Opp]],Table816[DEF],Table816[Y]))</f>
        <v>#N/A</v>
      </c>
      <c r="L77" s="96" t="e">
        <f>IF(Table1209120[[#This Row],[Pos.]]="TE1",_xlfn.XLOOKUP(Table1209120[[#This Row],[Opp]],Table8[DEF],Table8[TD]),_xlfn.XLOOKUP(Table1209120[[#This Row],[Opp]],Table816[DEF],Table816[TD]))</f>
        <v>#N/A</v>
      </c>
      <c r="M77" s="94" t="e">
        <f>AVERAGE(Table1209120[[#This Row],[*C*]:[*TD*]])</f>
        <v>#N/A</v>
      </c>
    </row>
    <row r="78" spans="2:13" hidden="1" x14ac:dyDescent="0.35">
      <c r="B78" s="6" t="s">
        <v>648</v>
      </c>
      <c r="C78" s="97" t="s">
        <v>38</v>
      </c>
      <c r="D78" s="97" t="s">
        <v>435</v>
      </c>
      <c r="E78" s="23" t="str" cm="1">
        <f t="array" ref="E78">_xlfn.XLOOKUP(Table1209120[[#This Row],[Team]],Table4334[Team],'2425'!$C$3:$C$34)</f>
        <v>n/a</v>
      </c>
      <c r="F78" s="97" t="str">
        <f>'2025'!$E$16</f>
        <v>n/a</v>
      </c>
      <c r="G78" s="94" t="e" cm="1">
        <f t="array" ref="G78">IF(Table1209120[[#This Row],[Pos.]]="TE1",_xlfn.XLOOKUP(Table1209120[[#This Row],[Opp]],Table8[DEF],'2025'!$AZ$3:$AZ$34),_xlfn.XLOOKUP(Table1209120[[#This Row],[Opp]],Table8[DEF],'2025'!$AZ$38:$AZ$69))</f>
        <v>#N/A</v>
      </c>
      <c r="H78" s="94" t="e" cm="1">
        <f t="array" ref="H78">IF(Table1209120[[#This Row],[Pos.]]="TE1",_xlfn.XLOOKUP(Table1209120[[#This Row],[Opp]],Table8[DEF],'2025'!$BA$3:$BA$34),_xlfn.XLOOKUP(Table1209120[[#This Row],[Opp]],Table8[DEF],'2025'!$BA$38:$BA$69))</f>
        <v>#N/A</v>
      </c>
      <c r="I78" s="94" t="e" cm="1">
        <f t="array" ref="I78">IF(Table1209120[[#This Row],[Pos.]]="TE1",_xlfn.XLOOKUP(Table1209120[[#This Row],[Opp]],Table8[DEF],'2025'!$BB$3:$BB$34),_xlfn.XLOOKUP(Table1209120[[#This Row],[Opp]],Table8[DEF],'2025'!$BB$38:$BB$69))</f>
        <v>#N/A</v>
      </c>
      <c r="J78" s="95" t="e">
        <f>IF(Table1209120[[#This Row],[Pos.]]="TE1",_xlfn.XLOOKUP(Table1209120[[#This Row],[Opp]],Table8[DEF],Table8[REC]),_xlfn.XLOOKUP(Table1209120[[#This Row],[Opp]],Table816[DEF],Table816[REC]))</f>
        <v>#N/A</v>
      </c>
      <c r="K78" s="95" t="e">
        <f>IF(Table1209120[[#This Row],[Pos.]]="TE1",_xlfn.XLOOKUP(Table1209120[[#This Row],[Opp]],Table8[DEF],Table8[Y]),_xlfn.XLOOKUP(Table1209120[[#This Row],[Opp]],Table816[DEF],Table816[Y]))</f>
        <v>#N/A</v>
      </c>
      <c r="L78" s="96" t="e">
        <f>IF(Table1209120[[#This Row],[Pos.]]="TE1",_xlfn.XLOOKUP(Table1209120[[#This Row],[Opp]],Table8[DEF],Table8[TD]),_xlfn.XLOOKUP(Table1209120[[#This Row],[Opp]],Table816[DEF],Table816[TD]))</f>
        <v>#N/A</v>
      </c>
      <c r="M78" s="94" t="e">
        <f>AVERAGE(Table1209120[[#This Row],[*C*]:[*TD*]])</f>
        <v>#N/A</v>
      </c>
    </row>
    <row r="79" spans="2:13" hidden="1" x14ac:dyDescent="0.35">
      <c r="B79" s="6" t="s">
        <v>588</v>
      </c>
      <c r="C79" s="97" t="s">
        <v>54</v>
      </c>
      <c r="D79" s="97" t="s">
        <v>435</v>
      </c>
      <c r="E79" s="23" t="str" cm="1">
        <f t="array" ref="E79">_xlfn.XLOOKUP(Table1209120[[#This Row],[Team]],Table4334[Team],'2425'!$C$3:$C$34)</f>
        <v>n/a</v>
      </c>
      <c r="F79" s="97" t="str">
        <f>'2025'!$E$32</f>
        <v>n/a</v>
      </c>
      <c r="G79" s="94" t="e" cm="1">
        <f t="array" ref="G79">IF(Table1209120[[#This Row],[Pos.]]="TE1",_xlfn.XLOOKUP(Table1209120[[#This Row],[Opp]],Table8[DEF],'2025'!$AZ$3:$AZ$34),_xlfn.XLOOKUP(Table1209120[[#This Row],[Opp]],Table8[DEF],'2025'!$AZ$38:$AZ$69))</f>
        <v>#N/A</v>
      </c>
      <c r="H79" s="94" t="e" cm="1">
        <f t="array" ref="H79">IF(Table1209120[[#This Row],[Pos.]]="TE1",_xlfn.XLOOKUP(Table1209120[[#This Row],[Opp]],Table8[DEF],'2025'!$BA$3:$BA$34),_xlfn.XLOOKUP(Table1209120[[#This Row],[Opp]],Table8[DEF],'2025'!$BA$38:$BA$69))</f>
        <v>#N/A</v>
      </c>
      <c r="I79" s="94" t="e" cm="1">
        <f t="array" ref="I79">IF(Table1209120[[#This Row],[Pos.]]="TE1",_xlfn.XLOOKUP(Table1209120[[#This Row],[Opp]],Table8[DEF],'2025'!$BB$3:$BB$34),_xlfn.XLOOKUP(Table1209120[[#This Row],[Opp]],Table8[DEF],'2025'!$BB$38:$BB$69))</f>
        <v>#N/A</v>
      </c>
      <c r="J79" s="95" t="e">
        <f>IF(Table1209120[[#This Row],[Pos.]]="TE1",_xlfn.XLOOKUP(Table1209120[[#This Row],[Opp]],Table8[DEF],Table8[REC]),_xlfn.XLOOKUP(Table1209120[[#This Row],[Opp]],Table816[DEF],Table816[REC]))</f>
        <v>#N/A</v>
      </c>
      <c r="K79" s="95" t="e">
        <f>IF(Table1209120[[#This Row],[Pos.]]="TE1",_xlfn.XLOOKUP(Table1209120[[#This Row],[Opp]],Table8[DEF],Table8[Y]),_xlfn.XLOOKUP(Table1209120[[#This Row],[Opp]],Table816[DEF],Table816[Y]))</f>
        <v>#N/A</v>
      </c>
      <c r="L79" s="96" t="e">
        <f>IF(Table1209120[[#This Row],[Pos.]]="TE1",_xlfn.XLOOKUP(Table1209120[[#This Row],[Opp]],Table8[DEF],Table8[TD]),_xlfn.XLOOKUP(Table1209120[[#This Row],[Opp]],Table816[DEF],Table816[TD]))</f>
        <v>#N/A</v>
      </c>
      <c r="M79" s="94" t="e">
        <f>AVERAGE(Table1209120[[#This Row],[*C*]:[*TD*]])</f>
        <v>#N/A</v>
      </c>
    </row>
    <row r="80" spans="2:13" hidden="1" x14ac:dyDescent="0.35">
      <c r="B80" s="6" t="s">
        <v>615</v>
      </c>
      <c r="C80" s="97" t="s">
        <v>29</v>
      </c>
      <c r="D80" s="97" t="s">
        <v>435</v>
      </c>
      <c r="E80" s="23" t="str" cm="1">
        <f t="array" ref="E80">_xlfn.XLOOKUP(Table1209120[[#This Row],[Team]],Table4334[Team],'2425'!$C$3:$C$34)</f>
        <v>n/a</v>
      </c>
      <c r="F80" s="97" t="str">
        <f>'2025'!$E$7</f>
        <v>n/a</v>
      </c>
      <c r="G80" s="94" t="e" cm="1">
        <f t="array" ref="G80">IF(Table1209120[[#This Row],[Pos.]]="TE1",_xlfn.XLOOKUP(Table1209120[[#This Row],[Opp]],Table8[DEF],'2025'!$AZ$3:$AZ$34),_xlfn.XLOOKUP(Table1209120[[#This Row],[Opp]],Table8[DEF],'2025'!$AZ$38:$AZ$69))</f>
        <v>#N/A</v>
      </c>
      <c r="H80" s="94" t="e" cm="1">
        <f t="array" ref="H80">IF(Table1209120[[#This Row],[Pos.]]="TE1",_xlfn.XLOOKUP(Table1209120[[#This Row],[Opp]],Table8[DEF],'2025'!$BA$3:$BA$34),_xlfn.XLOOKUP(Table1209120[[#This Row],[Opp]],Table8[DEF],'2025'!$BA$38:$BA$69))</f>
        <v>#N/A</v>
      </c>
      <c r="I80" s="94" t="e" cm="1">
        <f t="array" ref="I80">IF(Table1209120[[#This Row],[Pos.]]="TE1",_xlfn.XLOOKUP(Table1209120[[#This Row],[Opp]],Table8[DEF],'2025'!$BB$3:$BB$34),_xlfn.XLOOKUP(Table1209120[[#This Row],[Opp]],Table8[DEF],'2025'!$BB$38:$BB$69))</f>
        <v>#N/A</v>
      </c>
      <c r="J80" s="95" t="e">
        <f>IF(Table1209120[[#This Row],[Pos.]]="TE1",_xlfn.XLOOKUP(Table1209120[[#This Row],[Opp]],Table8[DEF],Table8[REC]),_xlfn.XLOOKUP(Table1209120[[#This Row],[Opp]],Table816[DEF],Table816[REC]))</f>
        <v>#N/A</v>
      </c>
      <c r="K80" s="95" t="e">
        <f>IF(Table1209120[[#This Row],[Pos.]]="TE1",_xlfn.XLOOKUP(Table1209120[[#This Row],[Opp]],Table8[DEF],Table8[Y]),_xlfn.XLOOKUP(Table1209120[[#This Row],[Opp]],Table816[DEF],Table816[Y]))</f>
        <v>#N/A</v>
      </c>
      <c r="L80" s="96" t="e">
        <f>IF(Table1209120[[#This Row],[Pos.]]="TE1",_xlfn.XLOOKUP(Table1209120[[#This Row],[Opp]],Table8[DEF],Table8[TD]),_xlfn.XLOOKUP(Table1209120[[#This Row],[Opp]],Table816[DEF],Table816[TD]))</f>
        <v>#N/A</v>
      </c>
      <c r="M80" s="94" t="e">
        <f>AVERAGE(Table1209120[[#This Row],[*C*]:[*TD*]])</f>
        <v>#N/A</v>
      </c>
    </row>
    <row r="81" spans="2:13" hidden="1" x14ac:dyDescent="0.35">
      <c r="B81" s="6" t="s">
        <v>447</v>
      </c>
      <c r="C81" s="97" t="s">
        <v>49</v>
      </c>
      <c r="D81" s="97" t="s">
        <v>435</v>
      </c>
      <c r="E81" s="23" t="str" cm="1">
        <f t="array" ref="E81">_xlfn.XLOOKUP(Table1209120[[#This Row],[Team]],Table4334[Team],'2425'!$C$3:$C$34)</f>
        <v>n/a</v>
      </c>
      <c r="F81" s="97" t="str">
        <f>'2025'!$E$27</f>
        <v>n/a</v>
      </c>
      <c r="G81" s="94" t="e" cm="1">
        <f t="array" ref="G81">IF(Table1209120[[#This Row],[Pos.]]="TE1",_xlfn.XLOOKUP(Table1209120[[#This Row],[Opp]],Table8[DEF],'2025'!$AZ$3:$AZ$34),_xlfn.XLOOKUP(Table1209120[[#This Row],[Opp]],Table8[DEF],'2025'!$AZ$38:$AZ$69))</f>
        <v>#N/A</v>
      </c>
      <c r="H81" s="94" t="e" cm="1">
        <f t="array" ref="H81">IF(Table1209120[[#This Row],[Pos.]]="TE1",_xlfn.XLOOKUP(Table1209120[[#This Row],[Opp]],Table8[DEF],'2025'!$BA$3:$BA$34),_xlfn.XLOOKUP(Table1209120[[#This Row],[Opp]],Table8[DEF],'2025'!$BA$38:$BA$69))</f>
        <v>#N/A</v>
      </c>
      <c r="I81" s="94" t="e" cm="1">
        <f t="array" ref="I81">IF(Table1209120[[#This Row],[Pos.]]="TE1",_xlfn.XLOOKUP(Table1209120[[#This Row],[Opp]],Table8[DEF],'2025'!$BB$3:$BB$34),_xlfn.XLOOKUP(Table1209120[[#This Row],[Opp]],Table8[DEF],'2025'!$BB$38:$BB$69))</f>
        <v>#N/A</v>
      </c>
      <c r="J81" s="95" t="e">
        <f>IF(Table1209120[[#This Row],[Pos.]]="TE1",_xlfn.XLOOKUP(Table1209120[[#This Row],[Opp]],Table8[DEF],Table8[REC]),_xlfn.XLOOKUP(Table1209120[[#This Row],[Opp]],Table816[DEF],Table816[REC]))</f>
        <v>#N/A</v>
      </c>
      <c r="K81" s="95" t="e">
        <f>IF(Table1209120[[#This Row],[Pos.]]="TE1",_xlfn.XLOOKUP(Table1209120[[#This Row],[Opp]],Table8[DEF],Table8[Y]),_xlfn.XLOOKUP(Table1209120[[#This Row],[Opp]],Table816[DEF],Table816[Y]))</f>
        <v>#N/A</v>
      </c>
      <c r="L81" s="96" t="e">
        <f>IF(Table1209120[[#This Row],[Pos.]]="TE1",_xlfn.XLOOKUP(Table1209120[[#This Row],[Opp]],Table8[DEF],Table8[TD]),_xlfn.XLOOKUP(Table1209120[[#This Row],[Opp]],Table816[DEF],Table816[TD]))</f>
        <v>#N/A</v>
      </c>
      <c r="M81" s="94" t="e">
        <f>AVERAGE(Table1209120[[#This Row],[*C*]:[*TD*]])</f>
        <v>#N/A</v>
      </c>
    </row>
    <row r="82" spans="2:13" hidden="1" x14ac:dyDescent="0.35">
      <c r="B82" s="6" t="s">
        <v>559</v>
      </c>
      <c r="C82" s="97" t="s">
        <v>0</v>
      </c>
      <c r="D82" s="97" t="s">
        <v>435</v>
      </c>
      <c r="E82" s="23" t="str" cm="1">
        <f t="array" ref="E82">_xlfn.XLOOKUP(Table1209120[[#This Row],[Team]],Table4334[Team],'2425'!$C$3:$C$34)</f>
        <v>n/a</v>
      </c>
      <c r="F82" s="97" t="str">
        <f>'2025'!$E$3</f>
        <v>n/a</v>
      </c>
      <c r="G82" s="94" t="e" cm="1">
        <f t="array" ref="G82">IF(Table1209120[[#This Row],[Pos.]]="TE1",_xlfn.XLOOKUP(Table1209120[[#This Row],[Opp]],Table8[DEF],'2025'!$AZ$3:$AZ$34),_xlfn.XLOOKUP(Table1209120[[#This Row],[Opp]],Table8[DEF],'2025'!$AZ$38:$AZ$69))</f>
        <v>#N/A</v>
      </c>
      <c r="H82" s="94" t="e" cm="1">
        <f t="array" ref="H82">IF(Table1209120[[#This Row],[Pos.]]="TE1",_xlfn.XLOOKUP(Table1209120[[#This Row],[Opp]],Table8[DEF],'2025'!$BA$3:$BA$34),_xlfn.XLOOKUP(Table1209120[[#This Row],[Opp]],Table8[DEF],'2025'!$BA$38:$BA$69))</f>
        <v>#N/A</v>
      </c>
      <c r="I82" s="94" t="e" cm="1">
        <f t="array" ref="I82">IF(Table1209120[[#This Row],[Pos.]]="TE1",_xlfn.XLOOKUP(Table1209120[[#This Row],[Opp]],Table8[DEF],'2025'!$BB$3:$BB$34),_xlfn.XLOOKUP(Table1209120[[#This Row],[Opp]],Table8[DEF],'2025'!$BB$38:$BB$69))</f>
        <v>#N/A</v>
      </c>
      <c r="J82" s="95" t="e">
        <f>IF(Table1209120[[#This Row],[Pos.]]="TE1",_xlfn.XLOOKUP(Table1209120[[#This Row],[Opp]],Table8[DEF],Table8[REC]),_xlfn.XLOOKUP(Table1209120[[#This Row],[Opp]],Table816[DEF],Table816[REC]))</f>
        <v>#N/A</v>
      </c>
      <c r="K82" s="95" t="e">
        <f>IF(Table1209120[[#This Row],[Pos.]]="TE1",_xlfn.XLOOKUP(Table1209120[[#This Row],[Opp]],Table8[DEF],Table8[Y]),_xlfn.XLOOKUP(Table1209120[[#This Row],[Opp]],Table816[DEF],Table816[Y]))</f>
        <v>#N/A</v>
      </c>
      <c r="L82" s="96" t="e">
        <f>IF(Table1209120[[#This Row],[Pos.]]="TE1",_xlfn.XLOOKUP(Table1209120[[#This Row],[Opp]],Table8[DEF],Table8[TD]),_xlfn.XLOOKUP(Table1209120[[#This Row],[Opp]],Table816[DEF],Table816[TD]))</f>
        <v>#N/A</v>
      </c>
      <c r="M82" s="94" t="e">
        <f>AVERAGE(Table1209120[[#This Row],[*C*]:[*TD*]])</f>
        <v>#N/A</v>
      </c>
    </row>
    <row r="83" spans="2:13" hidden="1" x14ac:dyDescent="0.35">
      <c r="B83" s="6" t="s">
        <v>202</v>
      </c>
      <c r="C83" s="97" t="s">
        <v>35</v>
      </c>
      <c r="D83" s="97" t="s">
        <v>397</v>
      </c>
      <c r="E83" s="23" t="str" cm="1">
        <f t="array" ref="E83">_xlfn.XLOOKUP(Table1209120[[#This Row],[Team]],Table4334[Team],'2425'!$C$3:$C$34)</f>
        <v>n/a</v>
      </c>
      <c r="F83" s="97" t="str">
        <f>'2025'!$E$13</f>
        <v>n/a</v>
      </c>
      <c r="G83" s="94" t="e" cm="1">
        <f t="array" ref="G83">IF(Table1209120[[#This Row],[Pos.]]="TE1",_xlfn.XLOOKUP(Table1209120[[#This Row],[Opp]],Table8[DEF],'2025'!$AZ$3:$AZ$34),_xlfn.XLOOKUP(Table1209120[[#This Row],[Opp]],Table8[DEF],'2025'!$AZ$38:$AZ$69))</f>
        <v>#N/A</v>
      </c>
      <c r="H83" s="94" t="e" cm="1">
        <f t="array" ref="H83">IF(Table1209120[[#This Row],[Pos.]]="TE1",_xlfn.XLOOKUP(Table1209120[[#This Row],[Opp]],Table8[DEF],'2025'!$BA$3:$BA$34),_xlfn.XLOOKUP(Table1209120[[#This Row],[Opp]],Table8[DEF],'2025'!$BA$38:$BA$69))</f>
        <v>#N/A</v>
      </c>
      <c r="I83" s="94" t="e" cm="1">
        <f t="array" ref="I83">IF(Table1209120[[#This Row],[Pos.]]="TE1",_xlfn.XLOOKUP(Table1209120[[#This Row],[Opp]],Table8[DEF],'2025'!$BB$3:$BB$34),_xlfn.XLOOKUP(Table1209120[[#This Row],[Opp]],Table8[DEF],'2025'!$BB$38:$BB$69))</f>
        <v>#N/A</v>
      </c>
      <c r="J83" s="95" t="e">
        <f>IF(Table1209120[[#This Row],[Pos.]]="TE1",_xlfn.XLOOKUP(Table1209120[[#This Row],[Opp]],Table8[DEF],Table8[REC]),_xlfn.XLOOKUP(Table1209120[[#This Row],[Opp]],Table816[DEF],Table816[REC]))</f>
        <v>#N/A</v>
      </c>
      <c r="K83" s="95" t="e">
        <f>IF(Table1209120[[#This Row],[Pos.]]="TE1",_xlfn.XLOOKUP(Table1209120[[#This Row],[Opp]],Table8[DEF],Table8[Y]),_xlfn.XLOOKUP(Table1209120[[#This Row],[Opp]],Table816[DEF],Table816[Y]))</f>
        <v>#N/A</v>
      </c>
      <c r="L83" s="96" t="e">
        <f>IF(Table1209120[[#This Row],[Pos.]]="TE1",_xlfn.XLOOKUP(Table1209120[[#This Row],[Opp]],Table8[DEF],Table8[TD]),_xlfn.XLOOKUP(Table1209120[[#This Row],[Opp]],Table816[DEF],Table816[TD]))</f>
        <v>#N/A</v>
      </c>
      <c r="M83" s="94" t="e">
        <f>AVERAGE(Table1209120[[#This Row],[*C*]:[*TD*]])</f>
        <v>#N/A</v>
      </c>
    </row>
    <row r="84" spans="2:13" hidden="1" x14ac:dyDescent="0.35">
      <c r="B84" s="6" t="s">
        <v>388</v>
      </c>
      <c r="C84" s="97" t="s">
        <v>56</v>
      </c>
      <c r="D84" s="97" t="s">
        <v>397</v>
      </c>
      <c r="E84" s="23" t="str" cm="1">
        <f t="array" ref="E84">_xlfn.XLOOKUP(Table1209120[[#This Row],[Team]],Table4334[Team],'2425'!$C$3:$C$34)</f>
        <v>n/a</v>
      </c>
      <c r="F84" s="97" t="str">
        <f>'2025'!$E$34</f>
        <v>n/a</v>
      </c>
      <c r="G84" s="94" t="e" cm="1">
        <f t="array" ref="G84">IF(Table1209120[[#This Row],[Pos.]]="TE1",_xlfn.XLOOKUP(Table1209120[[#This Row],[Opp]],Table8[DEF],'2025'!$AZ$3:$AZ$34),_xlfn.XLOOKUP(Table1209120[[#This Row],[Opp]],Table8[DEF],'2025'!$AZ$38:$AZ$69))</f>
        <v>#N/A</v>
      </c>
      <c r="H84" s="94" t="e" cm="1">
        <f t="array" ref="H84">IF(Table1209120[[#This Row],[Pos.]]="TE1",_xlfn.XLOOKUP(Table1209120[[#This Row],[Opp]],Table8[DEF],'2025'!$BA$3:$BA$34),_xlfn.XLOOKUP(Table1209120[[#This Row],[Opp]],Table8[DEF],'2025'!$BA$38:$BA$69))</f>
        <v>#N/A</v>
      </c>
      <c r="I84" s="94" t="e" cm="1">
        <f t="array" ref="I84">IF(Table1209120[[#This Row],[Pos.]]="TE1",_xlfn.XLOOKUP(Table1209120[[#This Row],[Opp]],Table8[DEF],'2025'!$BB$3:$BB$34),_xlfn.XLOOKUP(Table1209120[[#This Row],[Opp]],Table8[DEF],'2025'!$BB$38:$BB$69))</f>
        <v>#N/A</v>
      </c>
      <c r="J84" s="95" t="e">
        <f>IF(Table1209120[[#This Row],[Pos.]]="TE1",_xlfn.XLOOKUP(Table1209120[[#This Row],[Opp]],Table8[DEF],Table8[REC]),_xlfn.XLOOKUP(Table1209120[[#This Row],[Opp]],Table816[DEF],Table816[REC]))</f>
        <v>#N/A</v>
      </c>
      <c r="K84" s="95" t="e">
        <f>IF(Table1209120[[#This Row],[Pos.]]="TE1",_xlfn.XLOOKUP(Table1209120[[#This Row],[Opp]],Table8[DEF],Table8[Y]),_xlfn.XLOOKUP(Table1209120[[#This Row],[Opp]],Table816[DEF],Table816[Y]))</f>
        <v>#N/A</v>
      </c>
      <c r="L84" s="96" t="e">
        <f>IF(Table1209120[[#This Row],[Pos.]]="TE1",_xlfn.XLOOKUP(Table1209120[[#This Row],[Opp]],Table8[DEF],Table8[TD]),_xlfn.XLOOKUP(Table1209120[[#This Row],[Opp]],Table816[DEF],Table816[TD]))</f>
        <v>#N/A</v>
      </c>
      <c r="M84" s="94" t="e">
        <f>AVERAGE(Table1209120[[#This Row],[*C*]:[*TD*]])</f>
        <v>#N/A</v>
      </c>
    </row>
    <row r="85" spans="2:13" hidden="1" x14ac:dyDescent="0.35">
      <c r="B85" s="6" t="s">
        <v>614</v>
      </c>
      <c r="C85" s="97" t="s">
        <v>29</v>
      </c>
      <c r="D85" s="97" t="s">
        <v>398</v>
      </c>
      <c r="E85" s="23" t="str" cm="1">
        <f t="array" ref="E85">_xlfn.XLOOKUP(Table1209120[[#This Row],[Team]],Table4334[Team],'2425'!$C$3:$C$34)</f>
        <v>n/a</v>
      </c>
      <c r="F85" s="97" t="str">
        <f>'2025'!$E$7</f>
        <v>n/a</v>
      </c>
      <c r="G85" s="94" t="e" cm="1">
        <f t="array" ref="G85">IF(Table1209120[[#This Row],[Pos.]]="TE1",_xlfn.XLOOKUP(Table1209120[[#This Row],[Opp]],Table8[DEF],'2025'!$AZ$3:$AZ$34),_xlfn.XLOOKUP(Table1209120[[#This Row],[Opp]],Table8[DEF],'2025'!$AZ$38:$AZ$69))</f>
        <v>#N/A</v>
      </c>
      <c r="H85" s="94" t="e" cm="1">
        <f t="array" ref="H85">IF(Table1209120[[#This Row],[Pos.]]="TE1",_xlfn.XLOOKUP(Table1209120[[#This Row],[Opp]],Table8[DEF],'2025'!$BA$3:$BA$34),_xlfn.XLOOKUP(Table1209120[[#This Row],[Opp]],Table8[DEF],'2025'!$BA$38:$BA$69))</f>
        <v>#N/A</v>
      </c>
      <c r="I85" s="94" t="e" cm="1">
        <f t="array" ref="I85">IF(Table1209120[[#This Row],[Pos.]]="TE1",_xlfn.XLOOKUP(Table1209120[[#This Row],[Opp]],Table8[DEF],'2025'!$BB$3:$BB$34),_xlfn.XLOOKUP(Table1209120[[#This Row],[Opp]],Table8[DEF],'2025'!$BB$38:$BB$69))</f>
        <v>#N/A</v>
      </c>
      <c r="J85" s="95" t="e">
        <f>IF(Table1209120[[#This Row],[Pos.]]="TE1",_xlfn.XLOOKUP(Table1209120[[#This Row],[Opp]],Table8[DEF],Table8[REC]),_xlfn.XLOOKUP(Table1209120[[#This Row],[Opp]],Table816[DEF],Table816[REC]))</f>
        <v>#N/A</v>
      </c>
      <c r="K85" s="95" t="e">
        <f>IF(Table1209120[[#This Row],[Pos.]]="TE1",_xlfn.XLOOKUP(Table1209120[[#This Row],[Opp]],Table8[DEF],Table8[Y]),_xlfn.XLOOKUP(Table1209120[[#This Row],[Opp]],Table816[DEF],Table816[Y]))</f>
        <v>#N/A</v>
      </c>
      <c r="L85" s="96" t="e">
        <f>IF(Table1209120[[#This Row],[Pos.]]="TE1",_xlfn.XLOOKUP(Table1209120[[#This Row],[Opp]],Table8[DEF],Table8[TD]),_xlfn.XLOOKUP(Table1209120[[#This Row],[Opp]],Table816[DEF],Table816[TD]))</f>
        <v>#N/A</v>
      </c>
      <c r="M85" s="94" t="e">
        <f>AVERAGE(Table1209120[[#This Row],[*C*]:[*TD*]])</f>
        <v>#N/A</v>
      </c>
    </row>
    <row r="86" spans="2:13" hidden="1" x14ac:dyDescent="0.35">
      <c r="B86" s="6" t="s">
        <v>508</v>
      </c>
      <c r="C86" s="97" t="s">
        <v>35</v>
      </c>
      <c r="D86" s="97" t="s">
        <v>398</v>
      </c>
      <c r="E86" s="23" t="str" cm="1">
        <f t="array" ref="E86">_xlfn.XLOOKUP(Table1209120[[#This Row],[Team]],Table4334[Team],'2425'!$C$3:$C$34)</f>
        <v>n/a</v>
      </c>
      <c r="F86" s="97" t="str">
        <f>'2025'!$E$13</f>
        <v>n/a</v>
      </c>
      <c r="G86" s="94" t="e" cm="1">
        <f t="array" ref="G86">IF(Table1209120[[#This Row],[Pos.]]="TE1",_xlfn.XLOOKUP(Table1209120[[#This Row],[Opp]],Table8[DEF],'2025'!$AZ$3:$AZ$34),_xlfn.XLOOKUP(Table1209120[[#This Row],[Opp]],Table8[DEF],'2025'!$AZ$38:$AZ$69))</f>
        <v>#N/A</v>
      </c>
      <c r="H86" s="94" t="e" cm="1">
        <f t="array" ref="H86">IF(Table1209120[[#This Row],[Pos.]]="TE1",_xlfn.XLOOKUP(Table1209120[[#This Row],[Opp]],Table8[DEF],'2025'!$BA$3:$BA$34),_xlfn.XLOOKUP(Table1209120[[#This Row],[Opp]],Table8[DEF],'2025'!$BA$38:$BA$69))</f>
        <v>#N/A</v>
      </c>
      <c r="I86" s="94" t="e" cm="1">
        <f t="array" ref="I86">IF(Table1209120[[#This Row],[Pos.]]="TE1",_xlfn.XLOOKUP(Table1209120[[#This Row],[Opp]],Table8[DEF],'2025'!$BB$3:$BB$34),_xlfn.XLOOKUP(Table1209120[[#This Row],[Opp]],Table8[DEF],'2025'!$BB$38:$BB$69))</f>
        <v>#N/A</v>
      </c>
      <c r="J86" s="95" t="e">
        <f>IF(Table1209120[[#This Row],[Pos.]]="TE1",_xlfn.XLOOKUP(Table1209120[[#This Row],[Opp]],Table8[DEF],Table8[REC]),_xlfn.XLOOKUP(Table1209120[[#This Row],[Opp]],Table816[DEF],Table816[REC]))</f>
        <v>#N/A</v>
      </c>
      <c r="K86" s="95" t="e">
        <f>IF(Table1209120[[#This Row],[Pos.]]="TE1",_xlfn.XLOOKUP(Table1209120[[#This Row],[Opp]],Table8[DEF],Table8[Y]),_xlfn.XLOOKUP(Table1209120[[#This Row],[Opp]],Table816[DEF],Table816[Y]))</f>
        <v>#N/A</v>
      </c>
      <c r="L86" s="96" t="e">
        <f>IF(Table1209120[[#This Row],[Pos.]]="TE1",_xlfn.XLOOKUP(Table1209120[[#This Row],[Opp]],Table8[DEF],Table8[TD]),_xlfn.XLOOKUP(Table1209120[[#This Row],[Opp]],Table816[DEF],Table816[TD]))</f>
        <v>#N/A</v>
      </c>
      <c r="M86" s="94" t="e">
        <f>AVERAGE(Table1209120[[#This Row],[*C*]:[*TD*]])</f>
        <v>#N/A</v>
      </c>
    </row>
    <row r="87" spans="2:13" hidden="1" x14ac:dyDescent="0.35">
      <c r="B87" s="6" t="s">
        <v>120</v>
      </c>
      <c r="C87" s="97" t="s">
        <v>44</v>
      </c>
      <c r="D87" s="97" t="s">
        <v>398</v>
      </c>
      <c r="E87" s="23" t="str" cm="1">
        <f t="array" ref="E87">_xlfn.XLOOKUP(Table1209120[[#This Row],[Team]],Table4334[Team],'2425'!$C$3:$C$34)</f>
        <v>n/a</v>
      </c>
      <c r="F87" s="97" t="str">
        <f>'2025'!$E$22</f>
        <v>n/a</v>
      </c>
      <c r="G87" s="94" t="e" cm="1">
        <f t="array" ref="G87">IF(Table1209120[[#This Row],[Pos.]]="TE1",_xlfn.XLOOKUP(Table1209120[[#This Row],[Opp]],Table8[DEF],'2025'!$AZ$3:$AZ$34),_xlfn.XLOOKUP(Table1209120[[#This Row],[Opp]],Table8[DEF],'2025'!$AZ$38:$AZ$69))</f>
        <v>#N/A</v>
      </c>
      <c r="H87" s="94" t="e" cm="1">
        <f t="array" ref="H87">IF(Table1209120[[#This Row],[Pos.]]="TE1",_xlfn.XLOOKUP(Table1209120[[#This Row],[Opp]],Table8[DEF],'2025'!$BA$3:$BA$34),_xlfn.XLOOKUP(Table1209120[[#This Row],[Opp]],Table8[DEF],'2025'!$BA$38:$BA$69))</f>
        <v>#N/A</v>
      </c>
      <c r="I87" s="94" t="e" cm="1">
        <f t="array" ref="I87">IF(Table1209120[[#This Row],[Pos.]]="TE1",_xlfn.XLOOKUP(Table1209120[[#This Row],[Opp]],Table8[DEF],'2025'!$BB$3:$BB$34),_xlfn.XLOOKUP(Table1209120[[#This Row],[Opp]],Table8[DEF],'2025'!$BB$38:$BB$69))</f>
        <v>#N/A</v>
      </c>
      <c r="J87" s="95" t="e">
        <f>IF(Table1209120[[#This Row],[Pos.]]="TE1",_xlfn.XLOOKUP(Table1209120[[#This Row],[Opp]],Table8[DEF],Table8[REC]),_xlfn.XLOOKUP(Table1209120[[#This Row],[Opp]],Table816[DEF],Table816[REC]))</f>
        <v>#N/A</v>
      </c>
      <c r="K87" s="95" t="e">
        <f>IF(Table1209120[[#This Row],[Pos.]]="TE1",_xlfn.XLOOKUP(Table1209120[[#This Row],[Opp]],Table8[DEF],Table8[Y]),_xlfn.XLOOKUP(Table1209120[[#This Row],[Opp]],Table816[DEF],Table816[Y]))</f>
        <v>#N/A</v>
      </c>
      <c r="L87" s="96" t="e">
        <f>IF(Table1209120[[#This Row],[Pos.]]="TE1",_xlfn.XLOOKUP(Table1209120[[#This Row],[Opp]],Table8[DEF],Table8[TD]),_xlfn.XLOOKUP(Table1209120[[#This Row],[Opp]],Table816[DEF],Table816[TD]))</f>
        <v>#N/A</v>
      </c>
      <c r="M87" s="94" t="e">
        <f>AVERAGE(Table1209120[[#This Row],[*C*]:[*TD*]])</f>
        <v>#N/A</v>
      </c>
    </row>
    <row r="88" spans="2:13" x14ac:dyDescent="0.35">
      <c r="B88" s="6" t="s">
        <v>270</v>
      </c>
      <c r="C88" s="97" t="s">
        <v>42</v>
      </c>
      <c r="D88" s="97" t="s">
        <v>398</v>
      </c>
      <c r="E88" s="23" t="str" cm="1">
        <f t="array" ref="E88">_xlfn.XLOOKUP(Table1209120[[#This Row],[Team]],Table4334[Team],'2425'!$C$3:$C$34)</f>
        <v>n/a</v>
      </c>
      <c r="F88" s="97" t="str">
        <f>'2025'!$E$20</f>
        <v>n/a</v>
      </c>
      <c r="G88" s="94" t="e" cm="1">
        <f t="array" ref="G88">IF(Table1209120[[#This Row],[Pos.]]="TE1",_xlfn.XLOOKUP(Table1209120[[#This Row],[Opp]],Table8[DEF],'2025'!$AZ$3:$AZ$34),_xlfn.XLOOKUP(Table1209120[[#This Row],[Opp]],Table8[DEF],'2025'!$AZ$38:$AZ$69))</f>
        <v>#N/A</v>
      </c>
      <c r="H88" s="94" t="e" cm="1">
        <f t="array" ref="H88">IF(Table1209120[[#This Row],[Pos.]]="TE1",_xlfn.XLOOKUP(Table1209120[[#This Row],[Opp]],Table8[DEF],'2025'!$BA$3:$BA$34),_xlfn.XLOOKUP(Table1209120[[#This Row],[Opp]],Table8[DEF],'2025'!$BA$38:$BA$69))</f>
        <v>#N/A</v>
      </c>
      <c r="I88" s="94" t="e" cm="1">
        <f t="array" ref="I88">IF(Table1209120[[#This Row],[Pos.]]="TE1",_xlfn.XLOOKUP(Table1209120[[#This Row],[Opp]],Table8[DEF],'2025'!$BB$3:$BB$34),_xlfn.XLOOKUP(Table1209120[[#This Row],[Opp]],Table8[DEF],'2025'!$BB$38:$BB$69))</f>
        <v>#N/A</v>
      </c>
      <c r="J88" s="95" t="e">
        <f>IF(Table1209120[[#This Row],[Pos.]]="TE1",_xlfn.XLOOKUP(Table1209120[[#This Row],[Opp]],Table8[DEF],Table8[REC]),_xlfn.XLOOKUP(Table1209120[[#This Row],[Opp]],Table816[DEF],Table816[REC]))</f>
        <v>#N/A</v>
      </c>
      <c r="K88" s="95" t="e">
        <f>IF(Table1209120[[#This Row],[Pos.]]="TE1",_xlfn.XLOOKUP(Table1209120[[#This Row],[Opp]],Table8[DEF],Table8[Y]),_xlfn.XLOOKUP(Table1209120[[#This Row],[Opp]],Table816[DEF],Table816[Y]))</f>
        <v>#N/A</v>
      </c>
      <c r="L88" s="96" t="e">
        <f>IF(Table1209120[[#This Row],[Pos.]]="TE1",_xlfn.XLOOKUP(Table1209120[[#This Row],[Opp]],Table8[DEF],Table8[TD]),_xlfn.XLOOKUP(Table1209120[[#This Row],[Opp]],Table816[DEF],Table816[TD]))</f>
        <v>#N/A</v>
      </c>
      <c r="M88" s="94" t="e">
        <f>AVERAGE(Table1209120[[#This Row],[*C*]:[*TD*]])</f>
        <v>#N/A</v>
      </c>
    </row>
    <row r="89" spans="2:13" x14ac:dyDescent="0.35">
      <c r="B89" s="6" t="s">
        <v>692</v>
      </c>
      <c r="C89" s="97" t="s">
        <v>53</v>
      </c>
      <c r="D89" s="97" t="s">
        <v>397</v>
      </c>
      <c r="E89" s="23" t="str" cm="1">
        <f t="array" ref="E89">_xlfn.XLOOKUP(Table1209120[[#This Row],[Team]],Table4334[Team],'2425'!$C$3:$C$34)</f>
        <v>n/a</v>
      </c>
      <c r="F89" s="97" t="str">
        <f>'2025'!$E$31</f>
        <v>n/a</v>
      </c>
      <c r="G89" s="94" t="e" cm="1">
        <f t="array" ref="G89">IF(Table1209120[[#This Row],[Pos.]]="TE1",_xlfn.XLOOKUP(Table1209120[[#This Row],[Opp]],Table8[DEF],'2025'!$AZ$3:$AZ$34),_xlfn.XLOOKUP(Table1209120[[#This Row],[Opp]],Table8[DEF],'2025'!$AZ$38:$AZ$69))</f>
        <v>#N/A</v>
      </c>
      <c r="H89" s="94" t="e" cm="1">
        <f t="array" ref="H89">IF(Table1209120[[#This Row],[Pos.]]="TE1",_xlfn.XLOOKUP(Table1209120[[#This Row],[Opp]],Table8[DEF],'2025'!$BA$3:$BA$34),_xlfn.XLOOKUP(Table1209120[[#This Row],[Opp]],Table8[DEF],'2025'!$BA$38:$BA$69))</f>
        <v>#N/A</v>
      </c>
      <c r="I89" s="94" t="e" cm="1">
        <f t="array" ref="I89">IF(Table1209120[[#This Row],[Pos.]]="TE1",_xlfn.XLOOKUP(Table1209120[[#This Row],[Opp]],Table8[DEF],'2025'!$BB$3:$BB$34),_xlfn.XLOOKUP(Table1209120[[#This Row],[Opp]],Table8[DEF],'2025'!$BB$38:$BB$69))</f>
        <v>#N/A</v>
      </c>
      <c r="J89" s="95" t="e">
        <f>IF(Table1209120[[#This Row],[Pos.]]="TE1",_xlfn.XLOOKUP(Table1209120[[#This Row],[Opp]],Table8[DEF],Table8[REC]),_xlfn.XLOOKUP(Table1209120[[#This Row],[Opp]],Table816[DEF],Table816[REC]))</f>
        <v>#N/A</v>
      </c>
      <c r="K89" s="95" t="e">
        <f>IF(Table1209120[[#This Row],[Pos.]]="TE1",_xlfn.XLOOKUP(Table1209120[[#This Row],[Opp]],Table8[DEF],Table8[Y]),_xlfn.XLOOKUP(Table1209120[[#This Row],[Opp]],Table816[DEF],Table816[Y]))</f>
        <v>#N/A</v>
      </c>
      <c r="L89" s="96" t="e">
        <f>IF(Table1209120[[#This Row],[Pos.]]="TE1",_xlfn.XLOOKUP(Table1209120[[#This Row],[Opp]],Table8[DEF],Table8[TD]),_xlfn.XLOOKUP(Table1209120[[#This Row],[Opp]],Table816[DEF],Table816[TD]))</f>
        <v>#N/A</v>
      </c>
      <c r="M89" s="94" t="e">
        <f>AVERAGE(Table1209120[[#This Row],[*C*]:[*TD*]])</f>
        <v>#N/A</v>
      </c>
    </row>
    <row r="90" spans="2:13" hidden="1" x14ac:dyDescent="0.35">
      <c r="B90" s="6" t="s">
        <v>466</v>
      </c>
      <c r="C90" s="97" t="s">
        <v>56</v>
      </c>
      <c r="D90" s="97" t="s">
        <v>398</v>
      </c>
      <c r="E90" s="23" t="str" cm="1">
        <f t="array" ref="E90">_xlfn.XLOOKUP(Table1209120[[#This Row],[Team]],Table4334[Team],'2425'!$C$3:$C$34)</f>
        <v>n/a</v>
      </c>
      <c r="F90" s="97" t="str">
        <f>'2025'!$E$34</f>
        <v>n/a</v>
      </c>
      <c r="G90" s="94" t="e" cm="1">
        <f t="array" ref="G90">IF(Table1209120[[#This Row],[Pos.]]="TE1",_xlfn.XLOOKUP(Table1209120[[#This Row],[Opp]],Table8[DEF],'2025'!$AZ$3:$AZ$34),_xlfn.XLOOKUP(Table1209120[[#This Row],[Opp]],Table8[DEF],'2025'!$AZ$38:$AZ$69))</f>
        <v>#N/A</v>
      </c>
      <c r="H90" s="94" t="e" cm="1">
        <f t="array" ref="H90">IF(Table1209120[[#This Row],[Pos.]]="TE1",_xlfn.XLOOKUP(Table1209120[[#This Row],[Opp]],Table8[DEF],'2025'!$BA$3:$BA$34),_xlfn.XLOOKUP(Table1209120[[#This Row],[Opp]],Table8[DEF],'2025'!$BA$38:$BA$69))</f>
        <v>#N/A</v>
      </c>
      <c r="I90" s="94" t="e" cm="1">
        <f t="array" ref="I90">IF(Table1209120[[#This Row],[Pos.]]="TE1",_xlfn.XLOOKUP(Table1209120[[#This Row],[Opp]],Table8[DEF],'2025'!$BB$3:$BB$34),_xlfn.XLOOKUP(Table1209120[[#This Row],[Opp]],Table8[DEF],'2025'!$BB$38:$BB$69))</f>
        <v>#N/A</v>
      </c>
      <c r="J90" s="95" t="e">
        <f>IF(Table1209120[[#This Row],[Pos.]]="TE1",_xlfn.XLOOKUP(Table1209120[[#This Row],[Opp]],Table8[DEF],Table8[REC]),_xlfn.XLOOKUP(Table1209120[[#This Row],[Opp]],Table816[DEF],Table816[REC]))</f>
        <v>#N/A</v>
      </c>
      <c r="K90" s="95" t="e">
        <f>IF(Table1209120[[#This Row],[Pos.]]="TE1",_xlfn.XLOOKUP(Table1209120[[#This Row],[Opp]],Table8[DEF],Table8[Y]),_xlfn.XLOOKUP(Table1209120[[#This Row],[Opp]],Table816[DEF],Table816[Y]))</f>
        <v>#N/A</v>
      </c>
      <c r="L90" s="96" t="e">
        <f>IF(Table1209120[[#This Row],[Pos.]]="TE1",_xlfn.XLOOKUP(Table1209120[[#This Row],[Opp]],Table8[DEF],Table8[TD]),_xlfn.XLOOKUP(Table1209120[[#This Row],[Opp]],Table816[DEF],Table816[TD]))</f>
        <v>#N/A</v>
      </c>
      <c r="M90" s="94" t="e">
        <f>AVERAGE(Table1209120[[#This Row],[*C*]:[*TD*]])</f>
        <v>#N/A</v>
      </c>
    </row>
    <row r="91" spans="2:13" hidden="1" x14ac:dyDescent="0.35">
      <c r="B91" s="6" t="s">
        <v>250</v>
      </c>
      <c r="C91" s="97" t="s">
        <v>40</v>
      </c>
      <c r="D91" s="97" t="s">
        <v>398</v>
      </c>
      <c r="E91" s="23" t="str" cm="1">
        <f t="array" ref="E91">_xlfn.XLOOKUP(Table1209120[[#This Row],[Team]],Table4334[Team],'2425'!$C$3:$C$34)</f>
        <v>n/a</v>
      </c>
      <c r="F91" s="97" t="str">
        <f>'2025'!$E$18</f>
        <v>n/a</v>
      </c>
      <c r="G91" s="94" t="e" cm="1">
        <f t="array" ref="G91">IF(Table1209120[[#This Row],[Pos.]]="TE1",_xlfn.XLOOKUP(Table1209120[[#This Row],[Opp]],Table8[DEF],'2025'!$AZ$3:$AZ$34),_xlfn.XLOOKUP(Table1209120[[#This Row],[Opp]],Table8[DEF],'2025'!$AZ$38:$AZ$69))</f>
        <v>#N/A</v>
      </c>
      <c r="H91" s="94" t="e" cm="1">
        <f t="array" ref="H91">IF(Table1209120[[#This Row],[Pos.]]="TE1",_xlfn.XLOOKUP(Table1209120[[#This Row],[Opp]],Table8[DEF],'2025'!$BA$3:$BA$34),_xlfn.XLOOKUP(Table1209120[[#This Row],[Opp]],Table8[DEF],'2025'!$BA$38:$BA$69))</f>
        <v>#N/A</v>
      </c>
      <c r="I91" s="94" t="e" cm="1">
        <f t="array" ref="I91">IF(Table1209120[[#This Row],[Pos.]]="TE1",_xlfn.XLOOKUP(Table1209120[[#This Row],[Opp]],Table8[DEF],'2025'!$BB$3:$BB$34),_xlfn.XLOOKUP(Table1209120[[#This Row],[Opp]],Table8[DEF],'2025'!$BB$38:$BB$69))</f>
        <v>#N/A</v>
      </c>
      <c r="J91" s="95" t="e">
        <f>IF(Table1209120[[#This Row],[Pos.]]="TE1",_xlfn.XLOOKUP(Table1209120[[#This Row],[Opp]],Table8[DEF],Table8[REC]),_xlfn.XLOOKUP(Table1209120[[#This Row],[Opp]],Table816[DEF],Table816[REC]))</f>
        <v>#N/A</v>
      </c>
      <c r="K91" s="95" t="e">
        <f>IF(Table1209120[[#This Row],[Pos.]]="TE1",_xlfn.XLOOKUP(Table1209120[[#This Row],[Opp]],Table8[DEF],Table8[Y]),_xlfn.XLOOKUP(Table1209120[[#This Row],[Opp]],Table816[DEF],Table816[Y]))</f>
        <v>#N/A</v>
      </c>
      <c r="L91" s="96" t="e">
        <f>IF(Table1209120[[#This Row],[Pos.]]="TE1",_xlfn.XLOOKUP(Table1209120[[#This Row],[Opp]],Table8[DEF],Table8[TD]),_xlfn.XLOOKUP(Table1209120[[#This Row],[Opp]],Table816[DEF],Table816[TD]))</f>
        <v>#N/A</v>
      </c>
      <c r="M91" s="94" t="e">
        <f>AVERAGE(Table1209120[[#This Row],[*C*]:[*TD*]])</f>
        <v>#N/A</v>
      </c>
    </row>
    <row r="92" spans="2:13" hidden="1" x14ac:dyDescent="0.35">
      <c r="B92" s="6" t="s">
        <v>628</v>
      </c>
      <c r="C92" s="97" t="s">
        <v>39</v>
      </c>
      <c r="D92" s="97" t="s">
        <v>398</v>
      </c>
      <c r="E92" s="23" t="str" cm="1">
        <f t="array" ref="E92">_xlfn.XLOOKUP(Table1209120[[#This Row],[Team]],Table4334[Team],'2425'!$C$3:$C$34)</f>
        <v>n/a</v>
      </c>
      <c r="F92" s="97" t="str">
        <f>'2025'!$E$17</f>
        <v>n/a</v>
      </c>
      <c r="G92" s="94" t="e" cm="1">
        <f t="array" ref="G92">IF(Table1209120[[#This Row],[Pos.]]="TE1",_xlfn.XLOOKUP(Table1209120[[#This Row],[Opp]],Table8[DEF],'2025'!$AZ$3:$AZ$34),_xlfn.XLOOKUP(Table1209120[[#This Row],[Opp]],Table8[DEF],'2025'!$AZ$38:$AZ$69))</f>
        <v>#N/A</v>
      </c>
      <c r="H92" s="94" t="e" cm="1">
        <f t="array" ref="H92">IF(Table1209120[[#This Row],[Pos.]]="TE1",_xlfn.XLOOKUP(Table1209120[[#This Row],[Opp]],Table8[DEF],'2025'!$BA$3:$BA$34),_xlfn.XLOOKUP(Table1209120[[#This Row],[Opp]],Table8[DEF],'2025'!$BA$38:$BA$69))</f>
        <v>#N/A</v>
      </c>
      <c r="I92" s="94" t="e" cm="1">
        <f t="array" ref="I92">IF(Table1209120[[#This Row],[Pos.]]="TE1",_xlfn.XLOOKUP(Table1209120[[#This Row],[Opp]],Table8[DEF],'2025'!$BB$3:$BB$34),_xlfn.XLOOKUP(Table1209120[[#This Row],[Opp]],Table8[DEF],'2025'!$BB$38:$BB$69))</f>
        <v>#N/A</v>
      </c>
      <c r="J92" s="95" t="e">
        <f>IF(Table1209120[[#This Row],[Pos.]]="TE1",_xlfn.XLOOKUP(Table1209120[[#This Row],[Opp]],Table8[DEF],Table8[REC]),_xlfn.XLOOKUP(Table1209120[[#This Row],[Opp]],Table816[DEF],Table816[REC]))</f>
        <v>#N/A</v>
      </c>
      <c r="K92" s="95" t="e">
        <f>IF(Table1209120[[#This Row],[Pos.]]="TE1",_xlfn.XLOOKUP(Table1209120[[#This Row],[Opp]],Table8[DEF],Table8[Y]),_xlfn.XLOOKUP(Table1209120[[#This Row],[Opp]],Table816[DEF],Table816[Y]))</f>
        <v>#N/A</v>
      </c>
      <c r="L92" s="96" t="e">
        <f>IF(Table1209120[[#This Row],[Pos.]]="TE1",_xlfn.XLOOKUP(Table1209120[[#This Row],[Opp]],Table8[DEF],Table8[TD]),_xlfn.XLOOKUP(Table1209120[[#This Row],[Opp]],Table816[DEF],Table816[TD]))</f>
        <v>#N/A</v>
      </c>
      <c r="M92" s="94" t="e">
        <f>AVERAGE(Table1209120[[#This Row],[*C*]:[*TD*]])</f>
        <v>#N/A</v>
      </c>
    </row>
    <row r="93" spans="2:13" hidden="1" x14ac:dyDescent="0.35">
      <c r="B93" s="6" t="s">
        <v>132</v>
      </c>
      <c r="C93" s="97" t="s">
        <v>0</v>
      </c>
      <c r="D93" s="97" t="s">
        <v>398</v>
      </c>
      <c r="E93" s="23" t="str" cm="1">
        <f t="array" ref="E93">_xlfn.XLOOKUP(Table1209120[[#This Row],[Team]],Table4334[Team],'2425'!$C$3:$C$34)</f>
        <v>n/a</v>
      </c>
      <c r="F93" s="97" t="str">
        <f>'2025'!$E$3</f>
        <v>n/a</v>
      </c>
      <c r="G93" s="94" t="e" cm="1">
        <f t="array" ref="G93">IF(Table1209120[[#This Row],[Pos.]]="TE1",_xlfn.XLOOKUP(Table1209120[[#This Row],[Opp]],Table8[DEF],'2025'!$AZ$3:$AZ$34),_xlfn.XLOOKUP(Table1209120[[#This Row],[Opp]],Table8[DEF],'2025'!$AZ$38:$AZ$69))</f>
        <v>#N/A</v>
      </c>
      <c r="H93" s="94" t="e" cm="1">
        <f t="array" ref="H93">IF(Table1209120[[#This Row],[Pos.]]="TE1",_xlfn.XLOOKUP(Table1209120[[#This Row],[Opp]],Table8[DEF],'2025'!$BA$3:$BA$34),_xlfn.XLOOKUP(Table1209120[[#This Row],[Opp]],Table8[DEF],'2025'!$BA$38:$BA$69))</f>
        <v>#N/A</v>
      </c>
      <c r="I93" s="94" t="e" cm="1">
        <f t="array" ref="I93">IF(Table1209120[[#This Row],[Pos.]]="TE1",_xlfn.XLOOKUP(Table1209120[[#This Row],[Opp]],Table8[DEF],'2025'!$BB$3:$BB$34),_xlfn.XLOOKUP(Table1209120[[#This Row],[Opp]],Table8[DEF],'2025'!$BB$38:$BB$69))</f>
        <v>#N/A</v>
      </c>
      <c r="J93" s="95" t="e">
        <f>IF(Table1209120[[#This Row],[Pos.]]="TE1",_xlfn.XLOOKUP(Table1209120[[#This Row],[Opp]],Table8[DEF],Table8[REC]),_xlfn.XLOOKUP(Table1209120[[#This Row],[Opp]],Table816[DEF],Table816[REC]))</f>
        <v>#N/A</v>
      </c>
      <c r="K93" s="95" t="e">
        <f>IF(Table1209120[[#This Row],[Pos.]]="TE1",_xlfn.XLOOKUP(Table1209120[[#This Row],[Opp]],Table8[DEF],Table8[Y]),_xlfn.XLOOKUP(Table1209120[[#This Row],[Opp]],Table816[DEF],Table816[Y]))</f>
        <v>#N/A</v>
      </c>
      <c r="L93" s="96" t="e">
        <f>IF(Table1209120[[#This Row],[Pos.]]="TE1",_xlfn.XLOOKUP(Table1209120[[#This Row],[Opp]],Table8[DEF],Table8[TD]),_xlfn.XLOOKUP(Table1209120[[#This Row],[Opp]],Table816[DEF],Table816[TD]))</f>
        <v>#N/A</v>
      </c>
      <c r="M93" s="94" t="e">
        <f>AVERAGE(Table1209120[[#This Row],[*C*]:[*TD*]])</f>
        <v>#N/A</v>
      </c>
    </row>
    <row r="94" spans="2:13" hidden="1" x14ac:dyDescent="0.35">
      <c r="B94" s="6" t="s">
        <v>418</v>
      </c>
      <c r="C94" s="97" t="s">
        <v>49</v>
      </c>
      <c r="D94" s="97" t="s">
        <v>398</v>
      </c>
      <c r="E94" s="23" t="str" cm="1">
        <f t="array" ref="E94">_xlfn.XLOOKUP(Table1209120[[#This Row],[Team]],Table4334[Team],'2425'!$C$3:$C$34)</f>
        <v>n/a</v>
      </c>
      <c r="F94" s="97" t="str">
        <f>'2025'!$E$27</f>
        <v>n/a</v>
      </c>
      <c r="G94" s="94" t="e" cm="1">
        <f t="array" ref="G94">IF(Table1209120[[#This Row],[Pos.]]="TE1",_xlfn.XLOOKUP(Table1209120[[#This Row],[Opp]],Table8[DEF],'2025'!$AZ$3:$AZ$34),_xlfn.XLOOKUP(Table1209120[[#This Row],[Opp]],Table8[DEF],'2025'!$AZ$38:$AZ$69))</f>
        <v>#N/A</v>
      </c>
      <c r="H94" s="94" t="e" cm="1">
        <f t="array" ref="H94">IF(Table1209120[[#This Row],[Pos.]]="TE1",_xlfn.XLOOKUP(Table1209120[[#This Row],[Opp]],Table8[DEF],'2025'!$BA$3:$BA$34),_xlfn.XLOOKUP(Table1209120[[#This Row],[Opp]],Table8[DEF],'2025'!$BA$38:$BA$69))</f>
        <v>#N/A</v>
      </c>
      <c r="I94" s="94" t="e" cm="1">
        <f t="array" ref="I94">IF(Table1209120[[#This Row],[Pos.]]="TE1",_xlfn.XLOOKUP(Table1209120[[#This Row],[Opp]],Table8[DEF],'2025'!$BB$3:$BB$34),_xlfn.XLOOKUP(Table1209120[[#This Row],[Opp]],Table8[DEF],'2025'!$BB$38:$BB$69))</f>
        <v>#N/A</v>
      </c>
      <c r="J94" s="95" t="e">
        <f>IF(Table1209120[[#This Row],[Pos.]]="TE1",_xlfn.XLOOKUP(Table1209120[[#This Row],[Opp]],Table8[DEF],Table8[REC]),_xlfn.XLOOKUP(Table1209120[[#This Row],[Opp]],Table816[DEF],Table816[REC]))</f>
        <v>#N/A</v>
      </c>
      <c r="K94" s="95" t="e">
        <f>IF(Table1209120[[#This Row],[Pos.]]="TE1",_xlfn.XLOOKUP(Table1209120[[#This Row],[Opp]],Table8[DEF],Table8[Y]),_xlfn.XLOOKUP(Table1209120[[#This Row],[Opp]],Table816[DEF],Table816[Y]))</f>
        <v>#N/A</v>
      </c>
      <c r="L94" s="96" t="e">
        <f>IF(Table1209120[[#This Row],[Pos.]]="TE1",_xlfn.XLOOKUP(Table1209120[[#This Row],[Opp]],Table8[DEF],Table8[TD]),_xlfn.XLOOKUP(Table1209120[[#This Row],[Opp]],Table816[DEF],Table816[TD]))</f>
        <v>#N/A</v>
      </c>
      <c r="M94" s="94" t="e">
        <f>AVERAGE(Table1209120[[#This Row],[*C*]:[*TD*]])</f>
        <v>#N/A</v>
      </c>
    </row>
    <row r="95" spans="2:13" hidden="1" x14ac:dyDescent="0.35">
      <c r="B95" s="6" t="s">
        <v>523</v>
      </c>
      <c r="C95" s="97" t="s">
        <v>45</v>
      </c>
      <c r="D95" s="98" t="s">
        <v>430</v>
      </c>
      <c r="E95" s="23" t="str" cm="1">
        <f t="array" ref="E95">_xlfn.XLOOKUP(Table1209120[[#This Row],[Team]],Table4334[Team],'2425'!$C$3:$C$34)</f>
        <v>n/a</v>
      </c>
      <c r="F95" s="97" t="str">
        <f>'2025'!$E$23</f>
        <v>n/a</v>
      </c>
      <c r="G95" s="94" t="e" cm="1">
        <f t="array" ref="G95">IF(Table1209120[[#This Row],[Pos.]]="TE1",_xlfn.XLOOKUP(Table1209120[[#This Row],[Opp]],Table8[DEF],'2025'!$AZ$3:$AZ$34),_xlfn.XLOOKUP(Table1209120[[#This Row],[Opp]],Table8[DEF],'2025'!$AZ$38:$AZ$69))</f>
        <v>#N/A</v>
      </c>
      <c r="H95" s="94" t="e" cm="1">
        <f t="array" ref="H95">IF(Table1209120[[#This Row],[Pos.]]="TE1",_xlfn.XLOOKUP(Table1209120[[#This Row],[Opp]],Table8[DEF],'2025'!$BA$3:$BA$34),_xlfn.XLOOKUP(Table1209120[[#This Row],[Opp]],Table8[DEF],'2025'!$BA$38:$BA$69))</f>
        <v>#N/A</v>
      </c>
      <c r="I95" s="94" t="e" cm="1">
        <f t="array" ref="I95">IF(Table1209120[[#This Row],[Pos.]]="TE1",_xlfn.XLOOKUP(Table1209120[[#This Row],[Opp]],Table8[DEF],'2025'!$BB$3:$BB$34),_xlfn.XLOOKUP(Table1209120[[#This Row],[Opp]],Table8[DEF],'2025'!$BB$38:$BB$69))</f>
        <v>#N/A</v>
      </c>
      <c r="J95" s="95" t="e">
        <f>IF(Table1209120[[#This Row],[Pos.]]="TE1",_xlfn.XLOOKUP(Table1209120[[#This Row],[Opp]],Table8[DEF],Table8[REC]),_xlfn.XLOOKUP(Table1209120[[#This Row],[Opp]],Table816[DEF],Table816[REC]))</f>
        <v>#N/A</v>
      </c>
      <c r="K95" s="95" t="e">
        <f>IF(Table1209120[[#This Row],[Pos.]]="TE1",_xlfn.XLOOKUP(Table1209120[[#This Row],[Opp]],Table8[DEF],Table8[Y]),_xlfn.XLOOKUP(Table1209120[[#This Row],[Opp]],Table816[DEF],Table816[Y]))</f>
        <v>#N/A</v>
      </c>
      <c r="L95" s="96" t="e">
        <f>IF(Table1209120[[#This Row],[Pos.]]="TE1",_xlfn.XLOOKUP(Table1209120[[#This Row],[Opp]],Table8[DEF],Table8[TD]),_xlfn.XLOOKUP(Table1209120[[#This Row],[Opp]],Table816[DEF],Table816[TD]))</f>
        <v>#N/A</v>
      </c>
      <c r="M95" s="94" t="e">
        <f>AVERAGE(Table1209120[[#This Row],[*C*]:[*TD*]])</f>
        <v>#N/A</v>
      </c>
    </row>
    <row r="96" spans="2:13" hidden="1" x14ac:dyDescent="0.35">
      <c r="B96" s="6" t="s">
        <v>533</v>
      </c>
      <c r="C96" s="97" t="s">
        <v>52</v>
      </c>
      <c r="D96" s="97" t="s">
        <v>430</v>
      </c>
      <c r="E96" s="23" t="str" cm="1">
        <f t="array" ref="E96">_xlfn.XLOOKUP(Table1209120[[#This Row],[Team]],Table4334[Team],'2425'!$C$3:$C$34)</f>
        <v>SB LX</v>
      </c>
      <c r="F96" s="97" t="str">
        <f>'2025'!$E$30</f>
        <v>NE</v>
      </c>
      <c r="G96" s="94" cm="1">
        <f t="array" ref="G96">IF(Table1209120[[#This Row],[Pos.]]="TE1",_xlfn.XLOOKUP(Table1209120[[#This Row],[Opp]],Table8[DEF],'2025'!$AZ$3:$AZ$34),_xlfn.XLOOKUP(Table1209120[[#This Row],[Opp]],Table8[DEF],'2025'!$AZ$38:$AZ$69))</f>
        <v>6</v>
      </c>
      <c r="H96" s="94" cm="1">
        <f t="array" ref="H96">IF(Table1209120[[#This Row],[Pos.]]="TE1",_xlfn.XLOOKUP(Table1209120[[#This Row],[Opp]],Table8[DEF],'2025'!$BA$3:$BA$34),_xlfn.XLOOKUP(Table1209120[[#This Row],[Opp]],Table8[DEF],'2025'!$BA$38:$BA$69))</f>
        <v>11</v>
      </c>
      <c r="I96" s="94" cm="1">
        <f t="array" ref="I96">IF(Table1209120[[#This Row],[Pos.]]="TE1",_xlfn.XLOOKUP(Table1209120[[#This Row],[Opp]],Table8[DEF],'2025'!$BB$3:$BB$34),_xlfn.XLOOKUP(Table1209120[[#This Row],[Opp]],Table8[DEF],'2025'!$BB$38:$BB$69))</f>
        <v>10</v>
      </c>
      <c r="J96" s="95">
        <f>IF(Table1209120[[#This Row],[Pos.]]="TE1",_xlfn.XLOOKUP(Table1209120[[#This Row],[Opp]],Table8[DEF],Table8[REC]),_xlfn.XLOOKUP(Table1209120[[#This Row],[Opp]],Table816[DEF],Table816[REC]))</f>
        <v>2.0588235294117645</v>
      </c>
      <c r="K96" s="95">
        <f>IF(Table1209120[[#This Row],[Pos.]]="TE1",_xlfn.XLOOKUP(Table1209120[[#This Row],[Opp]],Table8[DEF],Table8[Y]),_xlfn.XLOOKUP(Table1209120[[#This Row],[Opp]],Table816[DEF],Table816[Y]))</f>
        <v>17.941176470588236</v>
      </c>
      <c r="L96" s="96">
        <f>IF(Table1209120[[#This Row],[Pos.]]="TE1",_xlfn.XLOOKUP(Table1209120[[#This Row],[Opp]],Table8[DEF],Table8[TD]),_xlfn.XLOOKUP(Table1209120[[#This Row],[Opp]],Table816[DEF],Table816[TD]))</f>
        <v>0.17647058823529413</v>
      </c>
      <c r="M96" s="94">
        <f>AVERAGE(Table1209120[[#This Row],[*C*]:[*TD*]])</f>
        <v>9</v>
      </c>
    </row>
    <row r="97" spans="2:13" hidden="1" x14ac:dyDescent="0.35">
      <c r="B97" s="6" t="s">
        <v>429</v>
      </c>
      <c r="C97" s="97" t="s">
        <v>17</v>
      </c>
      <c r="D97" s="97" t="s">
        <v>430</v>
      </c>
      <c r="E97" s="23" t="str" cm="1">
        <f t="array" ref="E97">_xlfn.XLOOKUP(Table1209120[[#This Row],[Team]],Table4334[Team],'2425'!$C$3:$C$34)</f>
        <v>n/a</v>
      </c>
      <c r="F97" s="97" t="str">
        <f>'2025'!$E$6</f>
        <v>n/a</v>
      </c>
      <c r="G97" s="94" t="e" cm="1">
        <f t="array" ref="G97">IF(Table1209120[[#This Row],[Pos.]]="TE1",_xlfn.XLOOKUP(Table1209120[[#This Row],[Opp]],Table8[DEF],'2025'!$AZ$3:$AZ$34),_xlfn.XLOOKUP(Table1209120[[#This Row],[Opp]],Table8[DEF],'2025'!$AZ$38:$AZ$69))</f>
        <v>#N/A</v>
      </c>
      <c r="H97" s="94" t="e" cm="1">
        <f t="array" ref="H97">IF(Table1209120[[#This Row],[Pos.]]="TE1",_xlfn.XLOOKUP(Table1209120[[#This Row],[Opp]],Table8[DEF],'2025'!$BA$3:$BA$34),_xlfn.XLOOKUP(Table1209120[[#This Row],[Opp]],Table8[DEF],'2025'!$BA$38:$BA$69))</f>
        <v>#N/A</v>
      </c>
      <c r="I97" s="94" t="e" cm="1">
        <f t="array" ref="I97">IF(Table1209120[[#This Row],[Pos.]]="TE1",_xlfn.XLOOKUP(Table1209120[[#This Row],[Opp]],Table8[DEF],'2025'!$BB$3:$BB$34),_xlfn.XLOOKUP(Table1209120[[#This Row],[Opp]],Table8[DEF],'2025'!$BB$38:$BB$69))</f>
        <v>#N/A</v>
      </c>
      <c r="J97" s="95" t="e">
        <f>IF(Table1209120[[#This Row],[Pos.]]="TE1",_xlfn.XLOOKUP(Table1209120[[#This Row],[Opp]],Table8[DEF],Table8[REC]),_xlfn.XLOOKUP(Table1209120[[#This Row],[Opp]],Table816[DEF],Table816[REC]))</f>
        <v>#N/A</v>
      </c>
      <c r="K97" s="95" t="e">
        <f>IF(Table1209120[[#This Row],[Pos.]]="TE1",_xlfn.XLOOKUP(Table1209120[[#This Row],[Opp]],Table8[DEF],Table8[Y]),_xlfn.XLOOKUP(Table1209120[[#This Row],[Opp]],Table816[DEF],Table816[Y]))</f>
        <v>#N/A</v>
      </c>
      <c r="L97" s="96" t="e">
        <f>IF(Table1209120[[#This Row],[Pos.]]="TE1",_xlfn.XLOOKUP(Table1209120[[#This Row],[Opp]],Table8[DEF],Table8[TD]),_xlfn.XLOOKUP(Table1209120[[#This Row],[Opp]],Table816[DEF],Table816[TD]))</f>
        <v>#N/A</v>
      </c>
      <c r="M97" s="94" t="e">
        <f>AVERAGE(Table1209120[[#This Row],[*C*]:[*TD*]])</f>
        <v>#N/A</v>
      </c>
    </row>
    <row r="98" spans="2:13" hidden="1" x14ac:dyDescent="0.35">
      <c r="B98" s="6" t="s">
        <v>569</v>
      </c>
      <c r="C98" s="97" t="s">
        <v>43</v>
      </c>
      <c r="D98" s="97" t="s">
        <v>430</v>
      </c>
      <c r="E98" s="23" t="str" cm="1">
        <f t="array" ref="E98">_xlfn.XLOOKUP(Table1209120[[#This Row],[Team]],Table4334[Team],'2425'!$C$3:$C$34)</f>
        <v>n/a</v>
      </c>
      <c r="F98" s="97" t="str">
        <f>'2025'!$E$21</f>
        <v>n/a</v>
      </c>
      <c r="G98" s="94" t="e" cm="1">
        <f t="array" ref="G98">IF(Table1209120[[#This Row],[Pos.]]="TE1",_xlfn.XLOOKUP(Table1209120[[#This Row],[Opp]],Table8[DEF],'2025'!$AZ$3:$AZ$34),_xlfn.XLOOKUP(Table1209120[[#This Row],[Opp]],Table8[DEF],'2025'!$AZ$38:$AZ$69))</f>
        <v>#N/A</v>
      </c>
      <c r="H98" s="94" t="e" cm="1">
        <f t="array" ref="H98">IF(Table1209120[[#This Row],[Pos.]]="TE1",_xlfn.XLOOKUP(Table1209120[[#This Row],[Opp]],Table8[DEF],'2025'!$BA$3:$BA$34),_xlfn.XLOOKUP(Table1209120[[#This Row],[Opp]],Table8[DEF],'2025'!$BA$38:$BA$69))</f>
        <v>#N/A</v>
      </c>
      <c r="I98" s="94" t="e" cm="1">
        <f t="array" ref="I98">IF(Table1209120[[#This Row],[Pos.]]="TE1",_xlfn.XLOOKUP(Table1209120[[#This Row],[Opp]],Table8[DEF],'2025'!$BB$3:$BB$34),_xlfn.XLOOKUP(Table1209120[[#This Row],[Opp]],Table8[DEF],'2025'!$BB$38:$BB$69))</f>
        <v>#N/A</v>
      </c>
      <c r="J98" s="95" t="e">
        <f>IF(Table1209120[[#This Row],[Pos.]]="TE1",_xlfn.XLOOKUP(Table1209120[[#This Row],[Opp]],Table8[DEF],Table8[REC]),_xlfn.XLOOKUP(Table1209120[[#This Row],[Opp]],Table816[DEF],Table816[REC]))</f>
        <v>#N/A</v>
      </c>
      <c r="K98" s="95" t="e">
        <f>IF(Table1209120[[#This Row],[Pos.]]="TE1",_xlfn.XLOOKUP(Table1209120[[#This Row],[Opp]],Table8[DEF],Table8[Y]),_xlfn.XLOOKUP(Table1209120[[#This Row],[Opp]],Table816[DEF],Table816[Y]))</f>
        <v>#N/A</v>
      </c>
      <c r="L98" s="96" t="e">
        <f>IF(Table1209120[[#This Row],[Pos.]]="TE1",_xlfn.XLOOKUP(Table1209120[[#This Row],[Opp]],Table8[DEF],Table8[TD]),_xlfn.XLOOKUP(Table1209120[[#This Row],[Opp]],Table816[DEF],Table816[TD]))</f>
        <v>#N/A</v>
      </c>
      <c r="M98" s="94" t="e">
        <f>AVERAGE(Table1209120[[#This Row],[*C*]:[*TD*]])</f>
        <v>#N/A</v>
      </c>
    </row>
    <row r="99" spans="2:13" hidden="1" x14ac:dyDescent="0.35">
      <c r="B99" s="6" t="s">
        <v>560</v>
      </c>
      <c r="C99" s="97" t="s">
        <v>41</v>
      </c>
      <c r="D99" s="97" t="s">
        <v>430</v>
      </c>
      <c r="E99" s="23" t="str" cm="1">
        <f t="array" ref="E99">_xlfn.XLOOKUP(Table1209120[[#This Row],[Team]],Table4334[Team],'2425'!$C$3:$C$34)</f>
        <v>n/a</v>
      </c>
      <c r="F99" s="97" t="str">
        <f>'2025'!$E$19</f>
        <v>n/a</v>
      </c>
      <c r="G99" s="94" t="e" cm="1">
        <f t="array" ref="G99">IF(Table1209120[[#This Row],[Pos.]]="TE1",_xlfn.XLOOKUP(Table1209120[[#This Row],[Opp]],Table8[DEF],'2025'!$AZ$3:$AZ$34),_xlfn.XLOOKUP(Table1209120[[#This Row],[Opp]],Table8[DEF],'2025'!$AZ$38:$AZ$69))</f>
        <v>#N/A</v>
      </c>
      <c r="H99" s="94" t="e" cm="1">
        <f t="array" ref="H99">IF(Table1209120[[#This Row],[Pos.]]="TE1",_xlfn.XLOOKUP(Table1209120[[#This Row],[Opp]],Table8[DEF],'2025'!$BA$3:$BA$34),_xlfn.XLOOKUP(Table1209120[[#This Row],[Opp]],Table8[DEF],'2025'!$BA$38:$BA$69))</f>
        <v>#N/A</v>
      </c>
      <c r="I99" s="94" t="e" cm="1">
        <f t="array" ref="I99">IF(Table1209120[[#This Row],[Pos.]]="TE1",_xlfn.XLOOKUP(Table1209120[[#This Row],[Opp]],Table8[DEF],'2025'!$BB$3:$BB$34),_xlfn.XLOOKUP(Table1209120[[#This Row],[Opp]],Table8[DEF],'2025'!$BB$38:$BB$69))</f>
        <v>#N/A</v>
      </c>
      <c r="J99" s="95" t="e">
        <f>IF(Table1209120[[#This Row],[Pos.]]="TE1",_xlfn.XLOOKUP(Table1209120[[#This Row],[Opp]],Table8[DEF],Table8[REC]),_xlfn.XLOOKUP(Table1209120[[#This Row],[Opp]],Table816[DEF],Table816[REC]))</f>
        <v>#N/A</v>
      </c>
      <c r="K99" s="95" t="e">
        <f>IF(Table1209120[[#This Row],[Pos.]]="TE1",_xlfn.XLOOKUP(Table1209120[[#This Row],[Opp]],Table8[DEF],Table8[Y]),_xlfn.XLOOKUP(Table1209120[[#This Row],[Opp]],Table816[DEF],Table816[Y]))</f>
        <v>#N/A</v>
      </c>
      <c r="L99" s="96" t="e">
        <f>IF(Table1209120[[#This Row],[Pos.]]="TE1",_xlfn.XLOOKUP(Table1209120[[#This Row],[Opp]],Table8[DEF],Table8[TD]),_xlfn.XLOOKUP(Table1209120[[#This Row],[Opp]],Table816[DEF],Table816[TD]))</f>
        <v>#N/A</v>
      </c>
      <c r="M99" s="94" t="e">
        <f>AVERAGE(Table1209120[[#This Row],[*C*]:[*TD*]])</f>
        <v>#N/A</v>
      </c>
    </row>
    <row r="100" spans="2:13" hidden="1" x14ac:dyDescent="0.35">
      <c r="B100" s="6" t="s">
        <v>494</v>
      </c>
      <c r="C100" s="97" t="s">
        <v>51</v>
      </c>
      <c r="D100" s="97" t="s">
        <v>430</v>
      </c>
      <c r="E100" s="23" t="str" cm="1">
        <f t="array" ref="E100">_xlfn.XLOOKUP(Table1209120[[#This Row],[Team]],Table4334[Team],'2425'!$C$3:$C$34)</f>
        <v>n/a</v>
      </c>
      <c r="F100" s="97" t="str">
        <f>'2025'!$E$29</f>
        <v>n/a</v>
      </c>
      <c r="G100" s="94" t="e" cm="1">
        <f t="array" ref="G100">IF(Table1209120[[#This Row],[Pos.]]="TE1",_xlfn.XLOOKUP(Table1209120[[#This Row],[Opp]],Table8[DEF],'2025'!$AZ$3:$AZ$34),_xlfn.XLOOKUP(Table1209120[[#This Row],[Opp]],Table8[DEF],'2025'!$AZ$38:$AZ$69))</f>
        <v>#N/A</v>
      </c>
      <c r="H100" s="94" t="e" cm="1">
        <f t="array" ref="H100">IF(Table1209120[[#This Row],[Pos.]]="TE1",_xlfn.XLOOKUP(Table1209120[[#This Row],[Opp]],Table8[DEF],'2025'!$BA$3:$BA$34),_xlfn.XLOOKUP(Table1209120[[#This Row],[Opp]],Table8[DEF],'2025'!$BA$38:$BA$69))</f>
        <v>#N/A</v>
      </c>
      <c r="I100" s="94" t="e" cm="1">
        <f t="array" ref="I100">IF(Table1209120[[#This Row],[Pos.]]="TE1",_xlfn.XLOOKUP(Table1209120[[#This Row],[Opp]],Table8[DEF],'2025'!$BB$3:$BB$34),_xlfn.XLOOKUP(Table1209120[[#This Row],[Opp]],Table8[DEF],'2025'!$BB$38:$BB$69))</f>
        <v>#N/A</v>
      </c>
      <c r="J100" s="95" t="e">
        <f>IF(Table1209120[[#This Row],[Pos.]]="TE1",_xlfn.XLOOKUP(Table1209120[[#This Row],[Opp]],Table8[DEF],Table8[REC]),_xlfn.XLOOKUP(Table1209120[[#This Row],[Opp]],Table816[DEF],Table816[REC]))</f>
        <v>#N/A</v>
      </c>
      <c r="K100" s="95" t="e">
        <f>IF(Table1209120[[#This Row],[Pos.]]="TE1",_xlfn.XLOOKUP(Table1209120[[#This Row],[Opp]],Table8[DEF],Table8[Y]),_xlfn.XLOOKUP(Table1209120[[#This Row],[Opp]],Table816[DEF],Table816[Y]))</f>
        <v>#N/A</v>
      </c>
      <c r="L100" s="96" t="e">
        <f>IF(Table1209120[[#This Row],[Pos.]]="TE1",_xlfn.XLOOKUP(Table1209120[[#This Row],[Opp]],Table8[DEF],Table8[TD]),_xlfn.XLOOKUP(Table1209120[[#This Row],[Opp]],Table816[DEF],Table816[TD]))</f>
        <v>#N/A</v>
      </c>
      <c r="M100" s="94" t="e">
        <f>AVERAGE(Table1209120[[#This Row],[*C*]:[*TD*]])</f>
        <v>#N/A</v>
      </c>
    </row>
    <row r="101" spans="2:13" hidden="1" x14ac:dyDescent="0.35">
      <c r="B101" s="6" t="s">
        <v>534</v>
      </c>
      <c r="C101" s="97" t="s">
        <v>52</v>
      </c>
      <c r="D101" s="97" t="s">
        <v>435</v>
      </c>
      <c r="E101" s="23" t="str" cm="1">
        <f t="array" ref="E101">_xlfn.XLOOKUP(Table1209120[[#This Row],[Team]],Table4334[Team],'2425'!$C$3:$C$34)</f>
        <v>SB LX</v>
      </c>
      <c r="F101" s="97" t="str">
        <f>'2025'!$E$30</f>
        <v>NE</v>
      </c>
      <c r="G101" s="94" cm="1">
        <f t="array" ref="G101">IF(Table1209120[[#This Row],[Pos.]]="TE1",_xlfn.XLOOKUP(Table1209120[[#This Row],[Opp]],Table8[DEF],'2025'!$AZ$3:$AZ$34),_xlfn.XLOOKUP(Table1209120[[#This Row],[Opp]],Table8[DEF],'2025'!$AZ$38:$AZ$69))</f>
        <v>6</v>
      </c>
      <c r="H101" s="94" cm="1">
        <f t="array" ref="H101">IF(Table1209120[[#This Row],[Pos.]]="TE1",_xlfn.XLOOKUP(Table1209120[[#This Row],[Opp]],Table8[DEF],'2025'!$BA$3:$BA$34),_xlfn.XLOOKUP(Table1209120[[#This Row],[Opp]],Table8[DEF],'2025'!$BA$38:$BA$69))</f>
        <v>11</v>
      </c>
      <c r="I101" s="94" cm="1">
        <f t="array" ref="I101">IF(Table1209120[[#This Row],[Pos.]]="TE1",_xlfn.XLOOKUP(Table1209120[[#This Row],[Opp]],Table8[DEF],'2025'!$BB$3:$BB$34),_xlfn.XLOOKUP(Table1209120[[#This Row],[Opp]],Table8[DEF],'2025'!$BB$38:$BB$69))</f>
        <v>10</v>
      </c>
      <c r="J101" s="95">
        <f>IF(Table1209120[[#This Row],[Pos.]]="TE1",_xlfn.XLOOKUP(Table1209120[[#This Row],[Opp]],Table8[DEF],Table8[REC]),_xlfn.XLOOKUP(Table1209120[[#This Row],[Opp]],Table816[DEF],Table816[REC]))</f>
        <v>2.0588235294117645</v>
      </c>
      <c r="K101" s="95">
        <f>IF(Table1209120[[#This Row],[Pos.]]="TE1",_xlfn.XLOOKUP(Table1209120[[#This Row],[Opp]],Table8[DEF],Table8[Y]),_xlfn.XLOOKUP(Table1209120[[#This Row],[Opp]],Table816[DEF],Table816[Y]))</f>
        <v>17.941176470588236</v>
      </c>
      <c r="L101" s="96">
        <f>IF(Table1209120[[#This Row],[Pos.]]="TE1",_xlfn.XLOOKUP(Table1209120[[#This Row],[Opp]],Table8[DEF],Table8[TD]),_xlfn.XLOOKUP(Table1209120[[#This Row],[Opp]],Table816[DEF],Table816[TD]))</f>
        <v>0.17647058823529413</v>
      </c>
      <c r="M101" s="94">
        <f>AVERAGE(Table1209120[[#This Row],[*C*]:[*TD*]])</f>
        <v>9</v>
      </c>
    </row>
    <row r="102" spans="2:13" hidden="1" x14ac:dyDescent="0.35">
      <c r="B102" s="6" t="s">
        <v>564</v>
      </c>
      <c r="C102" s="97" t="s">
        <v>41</v>
      </c>
      <c r="D102" s="97" t="s">
        <v>435</v>
      </c>
      <c r="E102" s="23" t="str" cm="1">
        <f t="array" ref="E102">_xlfn.XLOOKUP(Table1209120[[#This Row],[Team]],Table4334[Team],'2425'!$C$3:$C$34)</f>
        <v>n/a</v>
      </c>
      <c r="F102" s="97" t="str">
        <f>'2025'!$E$19</f>
        <v>n/a</v>
      </c>
      <c r="G102" s="94" t="e" cm="1">
        <f t="array" ref="G102">IF(Table1209120[[#This Row],[Pos.]]="TE1",_xlfn.XLOOKUP(Table1209120[[#This Row],[Opp]],Table8[DEF],'2025'!$AZ$3:$AZ$34),_xlfn.XLOOKUP(Table1209120[[#This Row],[Opp]],Table8[DEF],'2025'!$AZ$38:$AZ$69))</f>
        <v>#N/A</v>
      </c>
      <c r="H102" s="94" t="e" cm="1">
        <f t="array" ref="H102">IF(Table1209120[[#This Row],[Pos.]]="TE1",_xlfn.XLOOKUP(Table1209120[[#This Row],[Opp]],Table8[DEF],'2025'!$BA$3:$BA$34),_xlfn.XLOOKUP(Table1209120[[#This Row],[Opp]],Table8[DEF],'2025'!$BA$38:$BA$69))</f>
        <v>#N/A</v>
      </c>
      <c r="I102" s="94" t="e" cm="1">
        <f t="array" ref="I102">IF(Table1209120[[#This Row],[Pos.]]="TE1",_xlfn.XLOOKUP(Table1209120[[#This Row],[Opp]],Table8[DEF],'2025'!$BB$3:$BB$34),_xlfn.XLOOKUP(Table1209120[[#This Row],[Opp]],Table8[DEF],'2025'!$BB$38:$BB$69))</f>
        <v>#N/A</v>
      </c>
      <c r="J102" s="95" t="e">
        <f>IF(Table1209120[[#This Row],[Pos.]]="TE1",_xlfn.XLOOKUP(Table1209120[[#This Row],[Opp]],Table8[DEF],Table8[REC]),_xlfn.XLOOKUP(Table1209120[[#This Row],[Opp]],Table816[DEF],Table816[REC]))</f>
        <v>#N/A</v>
      </c>
      <c r="K102" s="95" t="e">
        <f>IF(Table1209120[[#This Row],[Pos.]]="TE1",_xlfn.XLOOKUP(Table1209120[[#This Row],[Opp]],Table8[DEF],Table8[Y]),_xlfn.XLOOKUP(Table1209120[[#This Row],[Opp]],Table816[DEF],Table816[Y]))</f>
        <v>#N/A</v>
      </c>
      <c r="L102" s="96" t="e">
        <f>IF(Table1209120[[#This Row],[Pos.]]="TE1",_xlfn.XLOOKUP(Table1209120[[#This Row],[Opp]],Table8[DEF],Table8[TD]),_xlfn.XLOOKUP(Table1209120[[#This Row],[Opp]],Table816[DEF],Table816[TD]))</f>
        <v>#N/A</v>
      </c>
      <c r="M102" s="94" t="e">
        <f>AVERAGE(Table1209120[[#This Row],[*C*]:[*TD*]])</f>
        <v>#N/A</v>
      </c>
    </row>
    <row r="103" spans="2:13" hidden="1" x14ac:dyDescent="0.35">
      <c r="B103" s="6" t="s">
        <v>495</v>
      </c>
      <c r="C103" s="97" t="s">
        <v>51</v>
      </c>
      <c r="D103" s="97" t="s">
        <v>435</v>
      </c>
      <c r="E103" s="23" t="str" cm="1">
        <f t="array" ref="E103">_xlfn.XLOOKUP(Table1209120[[#This Row],[Team]],Table4334[Team],'2425'!$C$3:$C$34)</f>
        <v>n/a</v>
      </c>
      <c r="F103" s="97" t="str">
        <f>'2025'!$E$29</f>
        <v>n/a</v>
      </c>
      <c r="G103" s="94" t="e" cm="1">
        <f t="array" ref="G103">IF(Table1209120[[#This Row],[Pos.]]="TE1",_xlfn.XLOOKUP(Table1209120[[#This Row],[Opp]],Table8[DEF],'2025'!$AZ$3:$AZ$34),_xlfn.XLOOKUP(Table1209120[[#This Row],[Opp]],Table8[DEF],'2025'!$AZ$38:$AZ$69))</f>
        <v>#N/A</v>
      </c>
      <c r="H103" s="94" t="e" cm="1">
        <f t="array" ref="H103">IF(Table1209120[[#This Row],[Pos.]]="TE1",_xlfn.XLOOKUP(Table1209120[[#This Row],[Opp]],Table8[DEF],'2025'!$BA$3:$BA$34),_xlfn.XLOOKUP(Table1209120[[#This Row],[Opp]],Table8[DEF],'2025'!$BA$38:$BA$69))</f>
        <v>#N/A</v>
      </c>
      <c r="I103" s="94" t="e" cm="1">
        <f t="array" ref="I103">IF(Table1209120[[#This Row],[Pos.]]="TE1",_xlfn.XLOOKUP(Table1209120[[#This Row],[Opp]],Table8[DEF],'2025'!$BB$3:$BB$34),_xlfn.XLOOKUP(Table1209120[[#This Row],[Opp]],Table8[DEF],'2025'!$BB$38:$BB$69))</f>
        <v>#N/A</v>
      </c>
      <c r="J103" s="95" t="e">
        <f>IF(Table1209120[[#This Row],[Pos.]]="TE1",_xlfn.XLOOKUP(Table1209120[[#This Row],[Opp]],Table8[DEF],Table8[REC]),_xlfn.XLOOKUP(Table1209120[[#This Row],[Opp]],Table816[DEF],Table816[REC]))</f>
        <v>#N/A</v>
      </c>
      <c r="K103" s="95" t="e">
        <f>IF(Table1209120[[#This Row],[Pos.]]="TE1",_xlfn.XLOOKUP(Table1209120[[#This Row],[Opp]],Table8[DEF],Table8[Y]),_xlfn.XLOOKUP(Table1209120[[#This Row],[Opp]],Table816[DEF],Table816[Y]))</f>
        <v>#N/A</v>
      </c>
      <c r="L103" s="96" t="e">
        <f>IF(Table1209120[[#This Row],[Pos.]]="TE1",_xlfn.XLOOKUP(Table1209120[[#This Row],[Opp]],Table8[DEF],Table8[TD]),_xlfn.XLOOKUP(Table1209120[[#This Row],[Opp]],Table816[DEF],Table816[TD]))</f>
        <v>#N/A</v>
      </c>
      <c r="M103" s="94" t="e">
        <f>AVERAGE(Table1209120[[#This Row],[*C*]:[*TD*]])</f>
        <v>#N/A</v>
      </c>
    </row>
    <row r="104" spans="2:13" hidden="1" x14ac:dyDescent="0.35">
      <c r="B104" s="6" t="s">
        <v>279</v>
      </c>
      <c r="C104" s="97" t="s">
        <v>43</v>
      </c>
      <c r="D104" s="97" t="s">
        <v>398</v>
      </c>
      <c r="E104" s="23" t="str" cm="1">
        <f t="array" ref="E104">_xlfn.XLOOKUP(Table1209120[[#This Row],[Team]],Table4334[Team],'2425'!$C$3:$C$34)</f>
        <v>n/a</v>
      </c>
      <c r="F104" s="97" t="str">
        <f>'2025'!$E$21</f>
        <v>n/a</v>
      </c>
      <c r="G104" s="94" t="e" cm="1">
        <f t="array" ref="G104">IF(Table1209120[[#This Row],[Pos.]]="TE1",_xlfn.XLOOKUP(Table1209120[[#This Row],[Opp]],Table8[DEF],'2025'!$AZ$3:$AZ$34),_xlfn.XLOOKUP(Table1209120[[#This Row],[Opp]],Table8[DEF],'2025'!$AZ$38:$AZ$69))</f>
        <v>#N/A</v>
      </c>
      <c r="H104" s="94" t="e" cm="1">
        <f t="array" ref="H104">IF(Table1209120[[#This Row],[Pos.]]="TE1",_xlfn.XLOOKUP(Table1209120[[#This Row],[Opp]],Table8[DEF],'2025'!$BA$3:$BA$34),_xlfn.XLOOKUP(Table1209120[[#This Row],[Opp]],Table8[DEF],'2025'!$BA$38:$BA$69))</f>
        <v>#N/A</v>
      </c>
      <c r="I104" s="94" t="e" cm="1">
        <f t="array" ref="I104">IF(Table1209120[[#This Row],[Pos.]]="TE1",_xlfn.XLOOKUP(Table1209120[[#This Row],[Opp]],Table8[DEF],'2025'!$BB$3:$BB$34),_xlfn.XLOOKUP(Table1209120[[#This Row],[Opp]],Table8[DEF],'2025'!$BB$38:$BB$69))</f>
        <v>#N/A</v>
      </c>
      <c r="J104" s="95" t="e">
        <f>IF(Table1209120[[#This Row],[Pos.]]="TE1",_xlfn.XLOOKUP(Table1209120[[#This Row],[Opp]],Table8[DEF],Table8[REC]),_xlfn.XLOOKUP(Table1209120[[#This Row],[Opp]],Table816[DEF],Table816[REC]))</f>
        <v>#N/A</v>
      </c>
      <c r="K104" s="95" t="e">
        <f>IF(Table1209120[[#This Row],[Pos.]]="TE1",_xlfn.XLOOKUP(Table1209120[[#This Row],[Opp]],Table8[DEF],Table8[Y]),_xlfn.XLOOKUP(Table1209120[[#This Row],[Opp]],Table816[DEF],Table816[Y]))</f>
        <v>#N/A</v>
      </c>
      <c r="L104" s="96" t="e">
        <f>IF(Table1209120[[#This Row],[Pos.]]="TE1",_xlfn.XLOOKUP(Table1209120[[#This Row],[Opp]],Table8[DEF],Table8[TD]),_xlfn.XLOOKUP(Table1209120[[#This Row],[Opp]],Table816[DEF],Table816[TD]))</f>
        <v>#N/A</v>
      </c>
      <c r="M104" s="94" t="e">
        <f>AVERAGE(Table1209120[[#This Row],[*C*]:[*TD*]])</f>
        <v>#N/A</v>
      </c>
    </row>
    <row r="105" spans="2:13" x14ac:dyDescent="0.35">
      <c r="B105" s="6" t="s">
        <v>154</v>
      </c>
      <c r="C105" s="97" t="s">
        <v>30</v>
      </c>
      <c r="D105" s="97" t="s">
        <v>398</v>
      </c>
      <c r="E105" s="23" t="str" cm="1">
        <f t="array" ref="E105">_xlfn.XLOOKUP(Table1209120[[#This Row],[Team]],Table4334[Team],'2425'!$C$3:$C$34)</f>
        <v>n/a</v>
      </c>
      <c r="F105" s="97" t="str">
        <f>'2025'!$E$8</f>
        <v>n/a</v>
      </c>
      <c r="G105" s="94" t="e" cm="1">
        <f t="array" ref="G105">IF(Table1209120[[#This Row],[Pos.]]="TE1",_xlfn.XLOOKUP(Table1209120[[#This Row],[Opp]],Table8[DEF],'2025'!$AZ$3:$AZ$34),_xlfn.XLOOKUP(Table1209120[[#This Row],[Opp]],Table8[DEF],'2025'!$AZ$38:$AZ$69))</f>
        <v>#N/A</v>
      </c>
      <c r="H105" s="94" t="e" cm="1">
        <f t="array" ref="H105">IF(Table1209120[[#This Row],[Pos.]]="TE1",_xlfn.XLOOKUP(Table1209120[[#This Row],[Opp]],Table8[DEF],'2025'!$BA$3:$BA$34),_xlfn.XLOOKUP(Table1209120[[#This Row],[Opp]],Table8[DEF],'2025'!$BA$38:$BA$69))</f>
        <v>#N/A</v>
      </c>
      <c r="I105" s="94" t="e" cm="1">
        <f t="array" ref="I105">IF(Table1209120[[#This Row],[Pos.]]="TE1",_xlfn.XLOOKUP(Table1209120[[#This Row],[Opp]],Table8[DEF],'2025'!$BB$3:$BB$34),_xlfn.XLOOKUP(Table1209120[[#This Row],[Opp]],Table8[DEF],'2025'!$BB$38:$BB$69))</f>
        <v>#N/A</v>
      </c>
      <c r="J105" s="95" t="e">
        <f>IF(Table1209120[[#This Row],[Pos.]]="TE1",_xlfn.XLOOKUP(Table1209120[[#This Row],[Opp]],Table8[DEF],Table8[REC]),_xlfn.XLOOKUP(Table1209120[[#This Row],[Opp]],Table816[DEF],Table816[REC]))</f>
        <v>#N/A</v>
      </c>
      <c r="K105" s="95" t="e">
        <f>IF(Table1209120[[#This Row],[Pos.]]="TE1",_xlfn.XLOOKUP(Table1209120[[#This Row],[Opp]],Table8[DEF],Table8[Y]),_xlfn.XLOOKUP(Table1209120[[#This Row],[Opp]],Table816[DEF],Table816[Y]))</f>
        <v>#N/A</v>
      </c>
      <c r="L105" s="96" t="e">
        <f>IF(Table1209120[[#This Row],[Pos.]]="TE1",_xlfn.XLOOKUP(Table1209120[[#This Row],[Opp]],Table8[DEF],Table8[TD]),_xlfn.XLOOKUP(Table1209120[[#This Row],[Opp]],Table816[DEF],Table816[TD]))</f>
        <v>#N/A</v>
      </c>
      <c r="M105" s="94" t="e">
        <f>AVERAGE(Table1209120[[#This Row],[*C*]:[*TD*]])</f>
        <v>#N/A</v>
      </c>
    </row>
    <row r="106" spans="2:13" x14ac:dyDescent="0.35">
      <c r="B106" s="6" t="s">
        <v>135</v>
      </c>
      <c r="C106" s="97" t="s">
        <v>17</v>
      </c>
      <c r="D106" s="97" t="s">
        <v>398</v>
      </c>
      <c r="E106" s="23" t="str" cm="1">
        <f t="array" ref="E106">_xlfn.XLOOKUP(Table1209120[[#This Row],[Team]],Table4334[Team],'2425'!$C$3:$C$34)</f>
        <v>n/a</v>
      </c>
      <c r="F106" s="97" t="str">
        <f>'2025'!$E$6</f>
        <v>n/a</v>
      </c>
      <c r="G106" s="94" t="e" cm="1">
        <f t="array" ref="G106">IF(Table1209120[[#This Row],[Pos.]]="TE1",_xlfn.XLOOKUP(Table1209120[[#This Row],[Opp]],Table8[DEF],'2025'!$AZ$3:$AZ$34),_xlfn.XLOOKUP(Table1209120[[#This Row],[Opp]],Table8[DEF],'2025'!$AZ$38:$AZ$69))</f>
        <v>#N/A</v>
      </c>
      <c r="H106" s="94" t="e" cm="1">
        <f t="array" ref="H106">IF(Table1209120[[#This Row],[Pos.]]="TE1",_xlfn.XLOOKUP(Table1209120[[#This Row],[Opp]],Table8[DEF],'2025'!$BA$3:$BA$34),_xlfn.XLOOKUP(Table1209120[[#This Row],[Opp]],Table8[DEF],'2025'!$BA$38:$BA$69))</f>
        <v>#N/A</v>
      </c>
      <c r="I106" s="94" t="e" cm="1">
        <f t="array" ref="I106">IF(Table1209120[[#This Row],[Pos.]]="TE1",_xlfn.XLOOKUP(Table1209120[[#This Row],[Opp]],Table8[DEF],'2025'!$BB$3:$BB$34),_xlfn.XLOOKUP(Table1209120[[#This Row],[Opp]],Table8[DEF],'2025'!$BB$38:$BB$69))</f>
        <v>#N/A</v>
      </c>
      <c r="J106" s="95" t="e">
        <f>IF(Table1209120[[#This Row],[Pos.]]="TE1",_xlfn.XLOOKUP(Table1209120[[#This Row],[Opp]],Table8[DEF],Table8[REC]),_xlfn.XLOOKUP(Table1209120[[#This Row],[Opp]],Table816[DEF],Table816[REC]))</f>
        <v>#N/A</v>
      </c>
      <c r="K106" s="95" t="e">
        <f>IF(Table1209120[[#This Row],[Pos.]]="TE1",_xlfn.XLOOKUP(Table1209120[[#This Row],[Opp]],Table8[DEF],Table8[Y]),_xlfn.XLOOKUP(Table1209120[[#This Row],[Opp]],Table816[DEF],Table816[Y]))</f>
        <v>#N/A</v>
      </c>
      <c r="L106" s="96" t="e">
        <f>IF(Table1209120[[#This Row],[Pos.]]="TE1",_xlfn.XLOOKUP(Table1209120[[#This Row],[Opp]],Table8[DEF],Table8[TD]),_xlfn.XLOOKUP(Table1209120[[#This Row],[Opp]],Table816[DEF],Table816[TD]))</f>
        <v>#N/A</v>
      </c>
      <c r="M106" s="94" t="e">
        <f>AVERAGE(Table1209120[[#This Row],[*C*]:[*TD*]])</f>
        <v>#N/A</v>
      </c>
    </row>
    <row r="107" spans="2:13" x14ac:dyDescent="0.35">
      <c r="B107" s="6" t="s">
        <v>580</v>
      </c>
      <c r="C107" s="97" t="s">
        <v>34</v>
      </c>
      <c r="D107" s="97" t="s">
        <v>398</v>
      </c>
      <c r="E107" s="23" t="str" cm="1">
        <f t="array" ref="E107">_xlfn.XLOOKUP(Table1209120[[#This Row],[Team]],Table4334[Team],'2425'!$C$3:$C$34)</f>
        <v>n/a</v>
      </c>
      <c r="F107" s="97" t="str">
        <f>'2025'!$E$12</f>
        <v>n/a</v>
      </c>
      <c r="G107" s="94" t="e" cm="1">
        <f t="array" ref="G107">IF(Table1209120[[#This Row],[Pos.]]="TE1",_xlfn.XLOOKUP(Table1209120[[#This Row],[Opp]],Table8[DEF],'2025'!$AZ$3:$AZ$34),_xlfn.XLOOKUP(Table1209120[[#This Row],[Opp]],Table8[DEF],'2025'!$AZ$38:$AZ$69))</f>
        <v>#N/A</v>
      </c>
      <c r="H107" s="94" t="e" cm="1">
        <f t="array" ref="H107">IF(Table1209120[[#This Row],[Pos.]]="TE1",_xlfn.XLOOKUP(Table1209120[[#This Row],[Opp]],Table8[DEF],'2025'!$BA$3:$BA$34),_xlfn.XLOOKUP(Table1209120[[#This Row],[Opp]],Table8[DEF],'2025'!$BA$38:$BA$69))</f>
        <v>#N/A</v>
      </c>
      <c r="I107" s="94" t="e" cm="1">
        <f t="array" ref="I107">IF(Table1209120[[#This Row],[Pos.]]="TE1",_xlfn.XLOOKUP(Table1209120[[#This Row],[Opp]],Table8[DEF],'2025'!$BB$3:$BB$34),_xlfn.XLOOKUP(Table1209120[[#This Row],[Opp]],Table8[DEF],'2025'!$BB$38:$BB$69))</f>
        <v>#N/A</v>
      </c>
      <c r="J107" s="95" t="e">
        <f>IF(Table1209120[[#This Row],[Pos.]]="TE1",_xlfn.XLOOKUP(Table1209120[[#This Row],[Opp]],Table8[DEF],Table8[REC]),_xlfn.XLOOKUP(Table1209120[[#This Row],[Opp]],Table816[DEF],Table816[REC]))</f>
        <v>#N/A</v>
      </c>
      <c r="K107" s="95" t="e">
        <f>IF(Table1209120[[#This Row],[Pos.]]="TE1",_xlfn.XLOOKUP(Table1209120[[#This Row],[Opp]],Table8[DEF],Table8[Y]),_xlfn.XLOOKUP(Table1209120[[#This Row],[Opp]],Table816[DEF],Table816[Y]))</f>
        <v>#N/A</v>
      </c>
      <c r="L107" s="96" t="e">
        <f>IF(Table1209120[[#This Row],[Pos.]]="TE1",_xlfn.XLOOKUP(Table1209120[[#This Row],[Opp]],Table8[DEF],Table8[TD]),_xlfn.XLOOKUP(Table1209120[[#This Row],[Opp]],Table816[DEF],Table816[TD]))</f>
        <v>#N/A</v>
      </c>
      <c r="M107" s="94" t="e">
        <f>AVERAGE(Table1209120[[#This Row],[*C*]:[*TD*]])</f>
        <v>#N/A</v>
      </c>
    </row>
    <row r="108" spans="2:13" hidden="1" x14ac:dyDescent="0.35">
      <c r="B108" s="6" t="s">
        <v>389</v>
      </c>
      <c r="C108" s="97" t="s">
        <v>56</v>
      </c>
      <c r="D108" s="97" t="s">
        <v>430</v>
      </c>
      <c r="E108" s="23" t="str" cm="1">
        <f t="array" ref="E108">_xlfn.XLOOKUP(Table1209120[[#This Row],[Team]],Table4334[Team],'2425'!$C$3:$C$34)</f>
        <v>n/a</v>
      </c>
      <c r="F108" s="97" t="str">
        <f>'2025'!$E$34</f>
        <v>n/a</v>
      </c>
      <c r="G108" s="94" t="e" cm="1">
        <f t="array" ref="G108">IF(Table1209120[[#This Row],[Pos.]]="TE1",_xlfn.XLOOKUP(Table1209120[[#This Row],[Opp]],Table8[DEF],'2025'!$AZ$3:$AZ$34),_xlfn.XLOOKUP(Table1209120[[#This Row],[Opp]],Table8[DEF],'2025'!$AZ$38:$AZ$69))</f>
        <v>#N/A</v>
      </c>
      <c r="H108" s="94" t="e" cm="1">
        <f t="array" ref="H108">IF(Table1209120[[#This Row],[Pos.]]="TE1",_xlfn.XLOOKUP(Table1209120[[#This Row],[Opp]],Table8[DEF],'2025'!$BA$3:$BA$34),_xlfn.XLOOKUP(Table1209120[[#This Row],[Opp]],Table8[DEF],'2025'!$BA$38:$BA$69))</f>
        <v>#N/A</v>
      </c>
      <c r="I108" s="94" t="e" cm="1">
        <f t="array" ref="I108">IF(Table1209120[[#This Row],[Pos.]]="TE1",_xlfn.XLOOKUP(Table1209120[[#This Row],[Opp]],Table8[DEF],'2025'!$BB$3:$BB$34),_xlfn.XLOOKUP(Table1209120[[#This Row],[Opp]],Table8[DEF],'2025'!$BB$38:$BB$69))</f>
        <v>#N/A</v>
      </c>
      <c r="J108" s="95" t="e">
        <f>IF(Table1209120[[#This Row],[Pos.]]="TE1",_xlfn.XLOOKUP(Table1209120[[#This Row],[Opp]],Table8[DEF],Table8[REC]),_xlfn.XLOOKUP(Table1209120[[#This Row],[Opp]],Table816[DEF],Table816[REC]))</f>
        <v>#N/A</v>
      </c>
      <c r="K108" s="95" t="e">
        <f>IF(Table1209120[[#This Row],[Pos.]]="TE1",_xlfn.XLOOKUP(Table1209120[[#This Row],[Opp]],Table8[DEF],Table8[Y]),_xlfn.XLOOKUP(Table1209120[[#This Row],[Opp]],Table816[DEF],Table816[Y]))</f>
        <v>#N/A</v>
      </c>
      <c r="L108" s="96" t="e">
        <f>IF(Table1209120[[#This Row],[Pos.]]="TE1",_xlfn.XLOOKUP(Table1209120[[#This Row],[Opp]],Table8[DEF],Table8[TD]),_xlfn.XLOOKUP(Table1209120[[#This Row],[Opp]],Table816[DEF],Table816[TD]))</f>
        <v>#N/A</v>
      </c>
      <c r="M108" s="94" t="e">
        <f>AVERAGE(Table1209120[[#This Row],[*C*]:[*TD*]])</f>
        <v>#N/A</v>
      </c>
    </row>
    <row r="109" spans="2:13" hidden="1" x14ac:dyDescent="0.35">
      <c r="B109" s="6" t="s">
        <v>581</v>
      </c>
      <c r="C109" s="97" t="s">
        <v>34</v>
      </c>
      <c r="D109" s="97" t="s">
        <v>430</v>
      </c>
      <c r="E109" s="23" t="str" cm="1">
        <f t="array" ref="E109">_xlfn.XLOOKUP(Table1209120[[#This Row],[Team]],Table4334[Team],'2425'!$C$3:$C$34)</f>
        <v>n/a</v>
      </c>
      <c r="F109" s="97" t="str">
        <f>'2025'!$E$12</f>
        <v>n/a</v>
      </c>
      <c r="G109" s="94" t="e" cm="1">
        <f t="array" ref="G109">IF(Table1209120[[#This Row],[Pos.]]="TE1",_xlfn.XLOOKUP(Table1209120[[#This Row],[Opp]],Table8[DEF],'2025'!$AZ$3:$AZ$34),_xlfn.XLOOKUP(Table1209120[[#This Row],[Opp]],Table8[DEF],'2025'!$AZ$38:$AZ$69))</f>
        <v>#N/A</v>
      </c>
      <c r="H109" s="94" t="e" cm="1">
        <f t="array" ref="H109">IF(Table1209120[[#This Row],[Pos.]]="TE1",_xlfn.XLOOKUP(Table1209120[[#This Row],[Opp]],Table8[DEF],'2025'!$BA$3:$BA$34),_xlfn.XLOOKUP(Table1209120[[#This Row],[Opp]],Table8[DEF],'2025'!$BA$38:$BA$69))</f>
        <v>#N/A</v>
      </c>
      <c r="I109" s="94" t="e" cm="1">
        <f t="array" ref="I109">IF(Table1209120[[#This Row],[Pos.]]="TE1",_xlfn.XLOOKUP(Table1209120[[#This Row],[Opp]],Table8[DEF],'2025'!$BB$3:$BB$34),_xlfn.XLOOKUP(Table1209120[[#This Row],[Opp]],Table8[DEF],'2025'!$BB$38:$BB$69))</f>
        <v>#N/A</v>
      </c>
      <c r="J109" s="95" t="e">
        <f>IF(Table1209120[[#This Row],[Pos.]]="TE1",_xlfn.XLOOKUP(Table1209120[[#This Row],[Opp]],Table8[DEF],Table8[REC]),_xlfn.XLOOKUP(Table1209120[[#This Row],[Opp]],Table816[DEF],Table816[REC]))</f>
        <v>#N/A</v>
      </c>
      <c r="K109" s="95" t="e">
        <f>IF(Table1209120[[#This Row],[Pos.]]="TE1",_xlfn.XLOOKUP(Table1209120[[#This Row],[Opp]],Table8[DEF],Table8[Y]),_xlfn.XLOOKUP(Table1209120[[#This Row],[Opp]],Table816[DEF],Table816[Y]))</f>
        <v>#N/A</v>
      </c>
      <c r="L109" s="96" t="e">
        <f>IF(Table1209120[[#This Row],[Pos.]]="TE1",_xlfn.XLOOKUP(Table1209120[[#This Row],[Opp]],Table8[DEF],Table8[TD]),_xlfn.XLOOKUP(Table1209120[[#This Row],[Opp]],Table816[DEF],Table816[TD]))</f>
        <v>#N/A</v>
      </c>
      <c r="M109" s="94" t="e">
        <f>AVERAGE(Table1209120[[#This Row],[*C*]:[*TD*]])</f>
        <v>#N/A</v>
      </c>
    </row>
    <row r="110" spans="2:13" hidden="1" x14ac:dyDescent="0.35">
      <c r="B110" s="6" t="s">
        <v>467</v>
      </c>
      <c r="C110" s="97" t="s">
        <v>56</v>
      </c>
      <c r="D110" s="97" t="s">
        <v>435</v>
      </c>
      <c r="E110" s="23" t="str" cm="1">
        <f t="array" ref="E110">_xlfn.XLOOKUP(Table1209120[[#This Row],[Team]],Table4334[Team],'2425'!$C$3:$C$34)</f>
        <v>n/a</v>
      </c>
      <c r="F110" s="97" t="str">
        <f>'2025'!$E$34</f>
        <v>n/a</v>
      </c>
      <c r="G110" s="94" t="e" cm="1">
        <f t="array" ref="G110">IF(Table1209120[[#This Row],[Pos.]]="TE1",_xlfn.XLOOKUP(Table1209120[[#This Row],[Opp]],Table8[DEF],'2025'!$AZ$3:$AZ$34),_xlfn.XLOOKUP(Table1209120[[#This Row],[Opp]],Table8[DEF],'2025'!$AZ$38:$AZ$69))</f>
        <v>#N/A</v>
      </c>
      <c r="H110" s="94" t="e" cm="1">
        <f t="array" ref="H110">IF(Table1209120[[#This Row],[Pos.]]="TE1",_xlfn.XLOOKUP(Table1209120[[#This Row],[Opp]],Table8[DEF],'2025'!$BA$3:$BA$34),_xlfn.XLOOKUP(Table1209120[[#This Row],[Opp]],Table8[DEF],'2025'!$BA$38:$BA$69))</f>
        <v>#N/A</v>
      </c>
      <c r="I110" s="94" t="e" cm="1">
        <f t="array" ref="I110">IF(Table1209120[[#This Row],[Pos.]]="TE1",_xlfn.XLOOKUP(Table1209120[[#This Row],[Opp]],Table8[DEF],'2025'!$BB$3:$BB$34),_xlfn.XLOOKUP(Table1209120[[#This Row],[Opp]],Table8[DEF],'2025'!$BB$38:$BB$69))</f>
        <v>#N/A</v>
      </c>
      <c r="J110" s="95" t="e">
        <f>IF(Table1209120[[#This Row],[Pos.]]="TE1",_xlfn.XLOOKUP(Table1209120[[#This Row],[Opp]],Table8[DEF],Table8[REC]),_xlfn.XLOOKUP(Table1209120[[#This Row],[Opp]],Table816[DEF],Table816[REC]))</f>
        <v>#N/A</v>
      </c>
      <c r="K110" s="95" t="e">
        <f>IF(Table1209120[[#This Row],[Pos.]]="TE1",_xlfn.XLOOKUP(Table1209120[[#This Row],[Opp]],Table8[DEF],Table8[Y]),_xlfn.XLOOKUP(Table1209120[[#This Row],[Opp]],Table816[DEF],Table816[Y]))</f>
        <v>#N/A</v>
      </c>
      <c r="L110" s="96" t="e">
        <f>IF(Table1209120[[#This Row],[Pos.]]="TE1",_xlfn.XLOOKUP(Table1209120[[#This Row],[Opp]],Table8[DEF],Table8[TD]),_xlfn.XLOOKUP(Table1209120[[#This Row],[Opp]],Table816[DEF],Table816[TD]))</f>
        <v>#N/A</v>
      </c>
      <c r="M110" s="94" t="e">
        <f>AVERAGE(Table1209120[[#This Row],[*C*]:[*TD*]])</f>
        <v>#N/A</v>
      </c>
    </row>
    <row r="111" spans="2:13" hidden="1" x14ac:dyDescent="0.35">
      <c r="B111" s="6" t="s">
        <v>582</v>
      </c>
      <c r="C111" s="97" t="s">
        <v>34</v>
      </c>
      <c r="D111" s="97" t="s">
        <v>435</v>
      </c>
      <c r="E111" s="23" t="str" cm="1">
        <f t="array" ref="E111">_xlfn.XLOOKUP(Table1209120[[#This Row],[Team]],Table4334[Team],'2425'!$C$3:$C$34)</f>
        <v>n/a</v>
      </c>
      <c r="F111" s="97" t="str">
        <f>'2025'!$E$12</f>
        <v>n/a</v>
      </c>
      <c r="G111" s="94" t="e" cm="1">
        <f t="array" ref="G111">IF(Table1209120[[#This Row],[Pos.]]="TE1",_xlfn.XLOOKUP(Table1209120[[#This Row],[Opp]],Table8[DEF],'2025'!$AZ$3:$AZ$34),_xlfn.XLOOKUP(Table1209120[[#This Row],[Opp]],Table8[DEF],'2025'!$AZ$38:$AZ$69))</f>
        <v>#N/A</v>
      </c>
      <c r="H111" s="94" t="e" cm="1">
        <f t="array" ref="H111">IF(Table1209120[[#This Row],[Pos.]]="TE1",_xlfn.XLOOKUP(Table1209120[[#This Row],[Opp]],Table8[DEF],'2025'!$BA$3:$BA$34),_xlfn.XLOOKUP(Table1209120[[#This Row],[Opp]],Table8[DEF],'2025'!$BA$38:$BA$69))</f>
        <v>#N/A</v>
      </c>
      <c r="I111" s="94" t="e" cm="1">
        <f t="array" ref="I111">IF(Table1209120[[#This Row],[Pos.]]="TE1",_xlfn.XLOOKUP(Table1209120[[#This Row],[Opp]],Table8[DEF],'2025'!$BB$3:$BB$34),_xlfn.XLOOKUP(Table1209120[[#This Row],[Opp]],Table8[DEF],'2025'!$BB$38:$BB$69))</f>
        <v>#N/A</v>
      </c>
      <c r="J111" s="95" t="e">
        <f>IF(Table1209120[[#This Row],[Pos.]]="TE1",_xlfn.XLOOKUP(Table1209120[[#This Row],[Opp]],Table8[DEF],Table8[REC]),_xlfn.XLOOKUP(Table1209120[[#This Row],[Opp]],Table816[DEF],Table816[REC]))</f>
        <v>#N/A</v>
      </c>
      <c r="K111" s="95" t="e">
        <f>IF(Table1209120[[#This Row],[Pos.]]="TE1",_xlfn.XLOOKUP(Table1209120[[#This Row],[Opp]],Table8[DEF],Table8[Y]),_xlfn.XLOOKUP(Table1209120[[#This Row],[Opp]],Table816[DEF],Table816[Y]))</f>
        <v>#N/A</v>
      </c>
      <c r="L111" s="96" t="e">
        <f>IF(Table1209120[[#This Row],[Pos.]]="TE1",_xlfn.XLOOKUP(Table1209120[[#This Row],[Opp]],Table8[DEF],Table8[TD]),_xlfn.XLOOKUP(Table1209120[[#This Row],[Opp]],Table816[DEF],Table816[TD]))</f>
        <v>#N/A</v>
      </c>
      <c r="M111" s="94" t="e">
        <f>AVERAGE(Table1209120[[#This Row],[*C*]:[*TD*]])</f>
        <v>#N/A</v>
      </c>
    </row>
    <row r="112" spans="2:13" hidden="1" x14ac:dyDescent="0.35">
      <c r="B112" s="6" t="s">
        <v>129</v>
      </c>
      <c r="C112" s="97" t="s">
        <v>16</v>
      </c>
      <c r="D112" s="97" t="s">
        <v>397</v>
      </c>
      <c r="E112" s="23" t="str" cm="1">
        <f t="array" ref="E112">_xlfn.XLOOKUP(Table1209120[[#This Row],[Team]],Table4334[Team],'2425'!$C$3:$C$34)</f>
        <v>n/a</v>
      </c>
      <c r="F112" s="97" t="str">
        <f>'2025'!$E$5</f>
        <v>n/a</v>
      </c>
      <c r="G112" s="94" t="e" cm="1">
        <f t="array" ref="G112">IF(Table1209120[[#This Row],[Pos.]]="TE1",_xlfn.XLOOKUP(Table1209120[[#This Row],[Opp]],Table8[DEF],'2025'!$AZ$3:$AZ$34),_xlfn.XLOOKUP(Table1209120[[#This Row],[Opp]],Table8[DEF],'2025'!$AZ$38:$AZ$69))</f>
        <v>#N/A</v>
      </c>
      <c r="H112" s="94" t="e" cm="1">
        <f t="array" ref="H112">IF(Table1209120[[#This Row],[Pos.]]="TE1",_xlfn.XLOOKUP(Table1209120[[#This Row],[Opp]],Table8[DEF],'2025'!$BA$3:$BA$34),_xlfn.XLOOKUP(Table1209120[[#This Row],[Opp]],Table8[DEF],'2025'!$BA$38:$BA$69))</f>
        <v>#N/A</v>
      </c>
      <c r="I112" s="94" t="e" cm="1">
        <f t="array" ref="I112">IF(Table1209120[[#This Row],[Pos.]]="TE1",_xlfn.XLOOKUP(Table1209120[[#This Row],[Opp]],Table8[DEF],'2025'!$BB$3:$BB$34),_xlfn.XLOOKUP(Table1209120[[#This Row],[Opp]],Table8[DEF],'2025'!$BB$38:$BB$69))</f>
        <v>#N/A</v>
      </c>
      <c r="J112" s="95" t="e">
        <f>IF(Table1209120[[#This Row],[Pos.]]="TE1",_xlfn.XLOOKUP(Table1209120[[#This Row],[Opp]],Table8[DEF],Table8[REC]),_xlfn.XLOOKUP(Table1209120[[#This Row],[Opp]],Table816[DEF],Table816[REC]))</f>
        <v>#N/A</v>
      </c>
      <c r="K112" s="95" t="e">
        <f>IF(Table1209120[[#This Row],[Pos.]]="TE1",_xlfn.XLOOKUP(Table1209120[[#This Row],[Opp]],Table8[DEF],Table8[Y]),_xlfn.XLOOKUP(Table1209120[[#This Row],[Opp]],Table816[DEF],Table816[Y]))</f>
        <v>#N/A</v>
      </c>
      <c r="L112" s="96" t="e">
        <f>IF(Table1209120[[#This Row],[Pos.]]="TE1",_xlfn.XLOOKUP(Table1209120[[#This Row],[Opp]],Table8[DEF],Table8[TD]),_xlfn.XLOOKUP(Table1209120[[#This Row],[Opp]],Table816[DEF],Table816[TD]))</f>
        <v>#N/A</v>
      </c>
      <c r="M112" s="94" t="e">
        <f>AVERAGE(Table1209120[[#This Row],[*C*]:[*TD*]])</f>
        <v>#N/A</v>
      </c>
    </row>
    <row r="113" spans="2:13" hidden="1" x14ac:dyDescent="0.35">
      <c r="B113" s="6" t="s">
        <v>347</v>
      </c>
      <c r="C113" s="97" t="s">
        <v>51</v>
      </c>
      <c r="D113" s="97" t="s">
        <v>398</v>
      </c>
      <c r="E113" s="23" t="str" cm="1">
        <f t="array" ref="E113">_xlfn.XLOOKUP(Table1209120[[#This Row],[Team]],Table4334[Team],'2425'!$C$3:$C$34)</f>
        <v>n/a</v>
      </c>
      <c r="F113" s="97" t="str">
        <f>'2025'!$E$29</f>
        <v>n/a</v>
      </c>
      <c r="G113" s="94" t="e" cm="1">
        <f t="array" ref="G113">IF(Table1209120[[#This Row],[Pos.]]="TE1",_xlfn.XLOOKUP(Table1209120[[#This Row],[Opp]],Table8[DEF],'2025'!$AZ$3:$AZ$34),_xlfn.XLOOKUP(Table1209120[[#This Row],[Opp]],Table8[DEF],'2025'!$AZ$38:$AZ$69))</f>
        <v>#N/A</v>
      </c>
      <c r="H113" s="94" t="e" cm="1">
        <f t="array" ref="H113">IF(Table1209120[[#This Row],[Pos.]]="TE1",_xlfn.XLOOKUP(Table1209120[[#This Row],[Opp]],Table8[DEF],'2025'!$BA$3:$BA$34),_xlfn.XLOOKUP(Table1209120[[#This Row],[Opp]],Table8[DEF],'2025'!$BA$38:$BA$69))</f>
        <v>#N/A</v>
      </c>
      <c r="I113" s="94" t="e" cm="1">
        <f t="array" ref="I113">IF(Table1209120[[#This Row],[Pos.]]="TE1",_xlfn.XLOOKUP(Table1209120[[#This Row],[Opp]],Table8[DEF],'2025'!$BB$3:$BB$34),_xlfn.XLOOKUP(Table1209120[[#This Row],[Opp]],Table8[DEF],'2025'!$BB$38:$BB$69))</f>
        <v>#N/A</v>
      </c>
      <c r="J113" s="95" t="e">
        <f>IF(Table1209120[[#This Row],[Pos.]]="TE1",_xlfn.XLOOKUP(Table1209120[[#This Row],[Opp]],Table8[DEF],Table8[REC]),_xlfn.XLOOKUP(Table1209120[[#This Row],[Opp]],Table816[DEF],Table816[REC]))</f>
        <v>#N/A</v>
      </c>
      <c r="K113" s="95" t="e">
        <f>IF(Table1209120[[#This Row],[Pos.]]="TE1",_xlfn.XLOOKUP(Table1209120[[#This Row],[Opp]],Table8[DEF],Table8[Y]),_xlfn.XLOOKUP(Table1209120[[#This Row],[Opp]],Table816[DEF],Table816[Y]))</f>
        <v>#N/A</v>
      </c>
      <c r="L113" s="96" t="e">
        <f>IF(Table1209120[[#This Row],[Pos.]]="TE1",_xlfn.XLOOKUP(Table1209120[[#This Row],[Opp]],Table8[DEF],Table8[TD]),_xlfn.XLOOKUP(Table1209120[[#This Row],[Opp]],Table816[DEF],Table816[TD]))</f>
        <v>#N/A</v>
      </c>
      <c r="M113" s="94" t="e">
        <f>AVERAGE(Table1209120[[#This Row],[*C*]:[*TD*]])</f>
        <v>#N/A</v>
      </c>
    </row>
    <row r="114" spans="2:13" hidden="1" x14ac:dyDescent="0.35">
      <c r="B114" s="6" t="s">
        <v>134</v>
      </c>
      <c r="C114" s="97" t="s">
        <v>16</v>
      </c>
      <c r="D114" s="97" t="s">
        <v>398</v>
      </c>
      <c r="E114" s="23" t="str" cm="1">
        <f t="array" ref="E114">_xlfn.XLOOKUP(Table1209120[[#This Row],[Team]],Table4334[Team],'2425'!$C$3:$C$34)</f>
        <v>n/a</v>
      </c>
      <c r="F114" s="97" t="str">
        <f>'2025'!$E$5</f>
        <v>n/a</v>
      </c>
      <c r="G114" s="94" t="e" cm="1">
        <f t="array" ref="G114">IF(Table1209120[[#This Row],[Pos.]]="TE1",_xlfn.XLOOKUP(Table1209120[[#This Row],[Opp]],Table8[DEF],'2025'!$AZ$3:$AZ$34),_xlfn.XLOOKUP(Table1209120[[#This Row],[Opp]],Table8[DEF],'2025'!$AZ$38:$AZ$69))</f>
        <v>#N/A</v>
      </c>
      <c r="H114" s="94" t="e" cm="1">
        <f t="array" ref="H114">IF(Table1209120[[#This Row],[Pos.]]="TE1",_xlfn.XLOOKUP(Table1209120[[#This Row],[Opp]],Table8[DEF],'2025'!$BA$3:$BA$34),_xlfn.XLOOKUP(Table1209120[[#This Row],[Opp]],Table8[DEF],'2025'!$BA$38:$BA$69))</f>
        <v>#N/A</v>
      </c>
      <c r="I114" s="94" t="e" cm="1">
        <f t="array" ref="I114">IF(Table1209120[[#This Row],[Pos.]]="TE1",_xlfn.XLOOKUP(Table1209120[[#This Row],[Opp]],Table8[DEF],'2025'!$BB$3:$BB$34),_xlfn.XLOOKUP(Table1209120[[#This Row],[Opp]],Table8[DEF],'2025'!$BB$38:$BB$69))</f>
        <v>#N/A</v>
      </c>
      <c r="J114" s="95" t="e">
        <f>IF(Table1209120[[#This Row],[Pos.]]="TE1",_xlfn.XLOOKUP(Table1209120[[#This Row],[Opp]],Table8[DEF],Table8[REC]),_xlfn.XLOOKUP(Table1209120[[#This Row],[Opp]],Table816[DEF],Table816[REC]))</f>
        <v>#N/A</v>
      </c>
      <c r="K114" s="95" t="e">
        <f>IF(Table1209120[[#This Row],[Pos.]]="TE1",_xlfn.XLOOKUP(Table1209120[[#This Row],[Opp]],Table8[DEF],Table8[Y]),_xlfn.XLOOKUP(Table1209120[[#This Row],[Opp]],Table816[DEF],Table816[Y]))</f>
        <v>#N/A</v>
      </c>
      <c r="L114" s="96" t="e">
        <f>IF(Table1209120[[#This Row],[Pos.]]="TE1",_xlfn.XLOOKUP(Table1209120[[#This Row],[Opp]],Table8[DEF],Table8[TD]),_xlfn.XLOOKUP(Table1209120[[#This Row],[Opp]],Table816[DEF],Table816[TD]))</f>
        <v>#N/A</v>
      </c>
      <c r="M114" s="94" t="e">
        <f>AVERAGE(Table1209120[[#This Row],[*C*]:[*TD*]])</f>
        <v>#N/A</v>
      </c>
    </row>
    <row r="115" spans="2:13" x14ac:dyDescent="0.35">
      <c r="B115" s="6" t="s">
        <v>308</v>
      </c>
      <c r="C115" s="97" t="s">
        <v>46</v>
      </c>
      <c r="D115" s="97" t="s">
        <v>398</v>
      </c>
      <c r="E115" s="23" t="str" cm="1">
        <f t="array" ref="E115">_xlfn.XLOOKUP(Table1209120[[#This Row],[Team]],Table4334[Team],'2425'!$C$3:$C$34)</f>
        <v>SB LX</v>
      </c>
      <c r="F115" s="97" t="str">
        <f>'2025'!$E$24</f>
        <v>SEA</v>
      </c>
      <c r="G115" s="94" cm="1">
        <f t="array" ref="G115">IF(Table1209120[[#This Row],[Pos.]]="TE1",_xlfn.XLOOKUP(Table1209120[[#This Row],[Opp]],Table8[DEF],'2025'!$AZ$3:$AZ$34),_xlfn.XLOOKUP(Table1209120[[#This Row],[Opp]],Table8[DEF],'2025'!$AZ$38:$AZ$69))</f>
        <v>14.5</v>
      </c>
      <c r="H115" s="94" cm="1">
        <f t="array" ref="H115">IF(Table1209120[[#This Row],[Pos.]]="TE1",_xlfn.XLOOKUP(Table1209120[[#This Row],[Opp]],Table8[DEF],'2025'!$BA$3:$BA$34),_xlfn.XLOOKUP(Table1209120[[#This Row],[Opp]],Table8[DEF],'2025'!$BA$38:$BA$69))</f>
        <v>13</v>
      </c>
      <c r="I115" s="94" cm="1">
        <f t="array" ref="I115">IF(Table1209120[[#This Row],[Pos.]]="TE1",_xlfn.XLOOKUP(Table1209120[[#This Row],[Opp]],Table8[DEF],'2025'!$BB$3:$BB$34),_xlfn.XLOOKUP(Table1209120[[#This Row],[Opp]],Table8[DEF],'2025'!$BB$38:$BB$69))</f>
        <v>5</v>
      </c>
      <c r="J115" s="95">
        <f>IF(Table1209120[[#This Row],[Pos.]]="TE1",_xlfn.XLOOKUP(Table1209120[[#This Row],[Opp]],Table8[DEF],Table8[REC]),_xlfn.XLOOKUP(Table1209120[[#This Row],[Opp]],Table816[DEF],Table816[REC]))</f>
        <v>1.7058823529411764</v>
      </c>
      <c r="K115" s="95">
        <f>IF(Table1209120[[#This Row],[Pos.]]="TE1",_xlfn.XLOOKUP(Table1209120[[#This Row],[Opp]],Table8[DEF],Table8[Y]),_xlfn.XLOOKUP(Table1209120[[#This Row],[Opp]],Table816[DEF],Table816[Y]))</f>
        <v>15.705882352941176</v>
      </c>
      <c r="L115" s="96">
        <f>IF(Table1209120[[#This Row],[Pos.]]="TE1",_xlfn.XLOOKUP(Table1209120[[#This Row],[Opp]],Table8[DEF],Table8[TD]),_xlfn.XLOOKUP(Table1209120[[#This Row],[Opp]],Table816[DEF],Table816[TD]))</f>
        <v>0.23529411764705882</v>
      </c>
      <c r="M115" s="94">
        <f>AVERAGE(Table1209120[[#This Row],[*C*]:[*TD*]])</f>
        <v>10.833333333333334</v>
      </c>
    </row>
    <row r="116" spans="2:13" hidden="1" x14ac:dyDescent="0.35">
      <c r="B116" s="6" t="s">
        <v>444</v>
      </c>
      <c r="C116" s="97" t="s">
        <v>48</v>
      </c>
      <c r="D116" s="97" t="s">
        <v>430</v>
      </c>
      <c r="E116" s="23" t="str" cm="1">
        <f t="array" ref="E116">_xlfn.XLOOKUP(Table1209120[[#This Row],[Team]],Table4334[Team],'2425'!$C$3:$C$34)</f>
        <v>n/a</v>
      </c>
      <c r="F116" s="97" t="str">
        <f>'2025'!$E$26</f>
        <v>n/a</v>
      </c>
      <c r="G116" s="94" t="e" cm="1">
        <f t="array" ref="G116">IF(Table1209120[[#This Row],[Pos.]]="TE1",_xlfn.XLOOKUP(Table1209120[[#This Row],[Opp]],Table8[DEF],'2025'!$AZ$3:$AZ$34),_xlfn.XLOOKUP(Table1209120[[#This Row],[Opp]],Table8[DEF],'2025'!$AZ$38:$AZ$69))</f>
        <v>#N/A</v>
      </c>
      <c r="H116" s="94" t="e" cm="1">
        <f t="array" ref="H116">IF(Table1209120[[#This Row],[Pos.]]="TE1",_xlfn.XLOOKUP(Table1209120[[#This Row],[Opp]],Table8[DEF],'2025'!$BA$3:$BA$34),_xlfn.XLOOKUP(Table1209120[[#This Row],[Opp]],Table8[DEF],'2025'!$BA$38:$BA$69))</f>
        <v>#N/A</v>
      </c>
      <c r="I116" s="94" t="e" cm="1">
        <f t="array" ref="I116">IF(Table1209120[[#This Row],[Pos.]]="TE1",_xlfn.XLOOKUP(Table1209120[[#This Row],[Opp]],Table8[DEF],'2025'!$BB$3:$BB$34),_xlfn.XLOOKUP(Table1209120[[#This Row],[Opp]],Table8[DEF],'2025'!$BB$38:$BB$69))</f>
        <v>#N/A</v>
      </c>
      <c r="J116" s="95" t="e">
        <f>IF(Table1209120[[#This Row],[Pos.]]="TE1",_xlfn.XLOOKUP(Table1209120[[#This Row],[Opp]],Table8[DEF],Table8[REC]),_xlfn.XLOOKUP(Table1209120[[#This Row],[Opp]],Table816[DEF],Table816[REC]))</f>
        <v>#N/A</v>
      </c>
      <c r="K116" s="95" t="e">
        <f>IF(Table1209120[[#This Row],[Pos.]]="TE1",_xlfn.XLOOKUP(Table1209120[[#This Row],[Opp]],Table8[DEF],Table8[Y]),_xlfn.XLOOKUP(Table1209120[[#This Row],[Opp]],Table816[DEF],Table816[Y]))</f>
        <v>#N/A</v>
      </c>
      <c r="L116" s="96" t="e">
        <f>IF(Table1209120[[#This Row],[Pos.]]="TE1",_xlfn.XLOOKUP(Table1209120[[#This Row],[Opp]],Table8[DEF],Table8[TD]),_xlfn.XLOOKUP(Table1209120[[#This Row],[Opp]],Table816[DEF],Table816[TD]))</f>
        <v>#N/A</v>
      </c>
      <c r="M116" s="94" t="e">
        <f>AVERAGE(Table1209120[[#This Row],[*C*]:[*TD*]])</f>
        <v>#N/A</v>
      </c>
    </row>
    <row r="117" spans="2:13" hidden="1" x14ac:dyDescent="0.35">
      <c r="B117" s="6" t="s">
        <v>445</v>
      </c>
      <c r="C117" s="97" t="s">
        <v>48</v>
      </c>
      <c r="D117" s="97" t="s">
        <v>435</v>
      </c>
      <c r="E117" s="23" t="str" cm="1">
        <f t="array" ref="E117">_xlfn.XLOOKUP(Table1209120[[#This Row],[Team]],Table4334[Team],'2425'!$C$3:$C$34)</f>
        <v>n/a</v>
      </c>
      <c r="F117" s="97" t="str">
        <f>'2025'!$E$26</f>
        <v>n/a</v>
      </c>
      <c r="G117" s="94" t="e" cm="1">
        <f t="array" ref="G117">IF(Table1209120[[#This Row],[Pos.]]="TE1",_xlfn.XLOOKUP(Table1209120[[#This Row],[Opp]],Table8[DEF],'2025'!$AZ$3:$AZ$34),_xlfn.XLOOKUP(Table1209120[[#This Row],[Opp]],Table8[DEF],'2025'!$AZ$38:$AZ$69))</f>
        <v>#N/A</v>
      </c>
      <c r="H117" s="94" t="e" cm="1">
        <f t="array" ref="H117">IF(Table1209120[[#This Row],[Pos.]]="TE1",_xlfn.XLOOKUP(Table1209120[[#This Row],[Opp]],Table8[DEF],'2025'!$BA$3:$BA$34),_xlfn.XLOOKUP(Table1209120[[#This Row],[Opp]],Table8[DEF],'2025'!$BA$38:$BA$69))</f>
        <v>#N/A</v>
      </c>
      <c r="I117" s="94" t="e" cm="1">
        <f t="array" ref="I117">IF(Table1209120[[#This Row],[Pos.]]="TE1",_xlfn.XLOOKUP(Table1209120[[#This Row],[Opp]],Table8[DEF],'2025'!$BB$3:$BB$34),_xlfn.XLOOKUP(Table1209120[[#This Row],[Opp]],Table8[DEF],'2025'!$BB$38:$BB$69))</f>
        <v>#N/A</v>
      </c>
      <c r="J117" s="95" t="e">
        <f>IF(Table1209120[[#This Row],[Pos.]]="TE1",_xlfn.XLOOKUP(Table1209120[[#This Row],[Opp]],Table8[DEF],Table8[REC]),_xlfn.XLOOKUP(Table1209120[[#This Row],[Opp]],Table816[DEF],Table816[REC]))</f>
        <v>#N/A</v>
      </c>
      <c r="K117" s="95" t="e">
        <f>IF(Table1209120[[#This Row],[Pos.]]="TE1",_xlfn.XLOOKUP(Table1209120[[#This Row],[Opp]],Table8[DEF],Table8[Y]),_xlfn.XLOOKUP(Table1209120[[#This Row],[Opp]],Table816[DEF],Table816[Y]))</f>
        <v>#N/A</v>
      </c>
      <c r="L117" s="96" t="e">
        <f>IF(Table1209120[[#This Row],[Pos.]]="TE1",_xlfn.XLOOKUP(Table1209120[[#This Row],[Opp]],Table8[DEF],Table8[TD]),_xlfn.XLOOKUP(Table1209120[[#This Row],[Opp]],Table816[DEF],Table816[TD]))</f>
        <v>#N/A</v>
      </c>
      <c r="M117" s="94" t="e">
        <f>AVERAGE(Table1209120[[#This Row],[*C*]:[*TD*]])</f>
        <v>#N/A</v>
      </c>
    </row>
  </sheetData>
  <conditionalFormatting sqref="C2:C117">
    <cfRule type="cellIs" dxfId="2600" priority="76" operator="equal">
      <formula>"WAS"</formula>
    </cfRule>
    <cfRule type="cellIs" dxfId="2599" priority="75" operator="equal">
      <formula>"SF"</formula>
    </cfRule>
    <cfRule type="cellIs" dxfId="2598" priority="74" operator="equal">
      <formula>"DET"</formula>
    </cfRule>
    <cfRule type="cellIs" dxfId="2597" priority="73" operator="equal">
      <formula>"MIA"</formula>
    </cfRule>
    <cfRule type="cellIs" dxfId="2596" priority="72" operator="equal">
      <formula>"CHI"</formula>
    </cfRule>
    <cfRule type="cellIs" dxfId="2595" priority="71" operator="equal">
      <formula>"JAX"</formula>
    </cfRule>
    <cfRule type="cellIs" dxfId="2594" priority="70" operator="equal">
      <formula>"ATL"</formula>
    </cfRule>
    <cfRule type="cellIs" dxfId="2593" priority="68" operator="equal">
      <formula>"LAC"</formula>
    </cfRule>
    <cfRule type="cellIs" dxfId="2592" priority="67" operator="equal">
      <formula>"SEA"</formula>
    </cfRule>
    <cfRule type="cellIs" dxfId="2591" priority="56" operator="equal">
      <formula>"NE"</formula>
    </cfRule>
    <cfRule type="cellIs" dxfId="2590" priority="66" operator="equal">
      <formula>"NYJ"</formula>
    </cfRule>
    <cfRule type="cellIs" dxfId="2589" priority="65" operator="equal">
      <formula>"CLE"</formula>
    </cfRule>
    <cfRule type="cellIs" dxfId="2588" priority="64" operator="equal">
      <formula>"TB"</formula>
    </cfRule>
    <cfRule type="cellIs" dxfId="2587" priority="69" operator="equal">
      <formula>"LAR"</formula>
    </cfRule>
    <cfRule type="cellIs" dxfId="2586" priority="63" operator="equal">
      <formula>"TEN"</formula>
    </cfRule>
    <cfRule type="cellIs" dxfId="2585" priority="62" operator="equal">
      <formula>"NO"</formula>
    </cfRule>
    <cfRule type="cellIs" dxfId="2584" priority="61" operator="equal">
      <formula>"NYG"</formula>
    </cfRule>
    <cfRule type="cellIs" dxfId="2583" priority="60" operator="equal">
      <formula>"CAR"</formula>
    </cfRule>
    <cfRule type="cellIs" dxfId="2582" priority="59" operator="equal">
      <formula>"DEN"</formula>
    </cfRule>
    <cfRule type="cellIs" dxfId="2581" priority="58" operator="equal">
      <formula>"PIT"</formula>
    </cfRule>
    <cfRule type="cellIs" dxfId="2580" priority="57" operator="equal">
      <formula>"MIN"</formula>
    </cfRule>
    <cfRule type="cellIs" dxfId="2579" priority="54" operator="equal">
      <formula>"BYE"</formula>
    </cfRule>
    <cfRule type="cellIs" dxfId="2578" priority="55" operator="equal">
      <formula>"LV"</formula>
    </cfRule>
    <cfRule type="cellIs" dxfId="2577" priority="86" operator="equal">
      <formula>"BUF"</formula>
    </cfRule>
    <cfRule type="cellIs" dxfId="2576" priority="85" operator="equal">
      <formula>"PHI"</formula>
    </cfRule>
    <cfRule type="cellIs" dxfId="2575" priority="84" operator="equal">
      <formula>"BAL"</formula>
    </cfRule>
    <cfRule type="cellIs" dxfId="2574" priority="83" operator="equal">
      <formula>"KC"</formula>
    </cfRule>
    <cfRule type="cellIs" dxfId="2573" priority="82" operator="equal">
      <formula>"IND"</formula>
    </cfRule>
    <cfRule type="cellIs" dxfId="2572" priority="81" operator="equal">
      <formula>"HOU"</formula>
    </cfRule>
    <cfRule type="cellIs" dxfId="2571" priority="80" operator="equal">
      <formula>"ARI"</formula>
    </cfRule>
    <cfRule type="cellIs" dxfId="2570" priority="79" operator="equal">
      <formula>"CIN"</formula>
    </cfRule>
    <cfRule type="cellIs" dxfId="2569" priority="78" operator="equal">
      <formula>"DAL"</formula>
    </cfRule>
    <cfRule type="cellIs" dxfId="2568" priority="77" operator="equal">
      <formula>"GB"</formula>
    </cfRule>
  </conditionalFormatting>
  <conditionalFormatting sqref="D2:D117">
    <cfRule type="cellIs" dxfId="2567" priority="88" operator="equal">
      <formula>"WR8"</formula>
    </cfRule>
    <cfRule type="cellIs" dxfId="2566" priority="89" operator="equal">
      <formula>"WR7"</formula>
    </cfRule>
    <cfRule type="cellIs" dxfId="2565" priority="90" operator="equal">
      <formula>"WR6"</formula>
    </cfRule>
    <cfRule type="cellIs" dxfId="2564" priority="91" operator="equal">
      <formula>"TE5"</formula>
    </cfRule>
    <cfRule type="cellIs" dxfId="2563" priority="92" operator="equal">
      <formula>"WR5"</formula>
    </cfRule>
    <cfRule type="cellIs" dxfId="2562" priority="93" operator="equal">
      <formula>"RB5"</formula>
    </cfRule>
    <cfRule type="cellIs" dxfId="2561" priority="94" operator="equal">
      <formula>"QB5"</formula>
    </cfRule>
    <cfRule type="cellIs" dxfId="2560" priority="95" operator="equal">
      <formula>"TE4"</formula>
    </cfRule>
    <cfRule type="cellIs" dxfId="2559" priority="96" operator="equal">
      <formula>"WR4"</formula>
    </cfRule>
    <cfRule type="cellIs" dxfId="2558" priority="98" operator="equal">
      <formula>"QB4"</formula>
    </cfRule>
    <cfRule type="cellIs" dxfId="2557" priority="99" operator="equal">
      <formula>"TE3"</formula>
    </cfRule>
    <cfRule type="cellIs" dxfId="2556" priority="100" operator="equal">
      <formula>"WR3"</formula>
    </cfRule>
    <cfRule type="cellIs" dxfId="2555" priority="101" operator="equal">
      <formula>"RB3"</formula>
    </cfRule>
    <cfRule type="cellIs" dxfId="2554" priority="102" operator="equal">
      <formula>"QB3"</formula>
    </cfRule>
    <cfRule type="cellIs" dxfId="2553" priority="103" operator="equal">
      <formula>"TE2"</formula>
    </cfRule>
    <cfRule type="cellIs" dxfId="2552" priority="104" operator="equal">
      <formula>"WR2"</formula>
    </cfRule>
    <cfRule type="cellIs" dxfId="2551" priority="105" operator="equal">
      <formula>"RB2"</formula>
    </cfRule>
    <cfRule type="cellIs" dxfId="2550" priority="106" operator="equal">
      <formula>"QB2"</formula>
    </cfRule>
    <cfRule type="cellIs" dxfId="2549" priority="107" operator="equal">
      <formula>"TE1"</formula>
    </cfRule>
    <cfRule type="cellIs" dxfId="2548" priority="108" operator="equal">
      <formula>"WR1"</formula>
    </cfRule>
    <cfRule type="cellIs" dxfId="2547" priority="109" operator="equal">
      <formula>"RB1"</formula>
    </cfRule>
    <cfRule type="cellIs" dxfId="2546" priority="110" operator="equal">
      <formula>"QB1"</formula>
    </cfRule>
    <cfRule type="cellIs" dxfId="2545" priority="97" operator="equal">
      <formula>"RB4"</formula>
    </cfRule>
    <cfRule type="cellIs" dxfId="2544" priority="87" operator="equal">
      <formula>"WR9"</formula>
    </cfRule>
  </conditionalFormatting>
  <conditionalFormatting sqref="E2:E117">
    <cfRule type="cellIs" dxfId="2543" priority="1" operator="equal">
      <formula>"FRI"</formula>
    </cfRule>
    <cfRule type="cellIs" dxfId="2542" priority="2" operator="equal">
      <formula>"bye"</formula>
    </cfRule>
    <cfRule type="cellIs" dxfId="2541" priority="3" operator="equal">
      <formula>"snf"</formula>
    </cfRule>
    <cfRule type="cellIs" dxfId="2540" priority="4" operator="equal">
      <formula>"mnf"</formula>
    </cfRule>
    <cfRule type="cellIs" dxfId="2539" priority="5" operator="equal">
      <formula>"pm"</formula>
    </cfRule>
    <cfRule type="cellIs" dxfId="2538" priority="6" operator="equal">
      <formula>"am"</formula>
    </cfRule>
    <cfRule type="cellIs" dxfId="2537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</conditionalFormatting>
  <conditionalFormatting sqref="F2:F117">
    <cfRule type="cellIs" dxfId="2536" priority="39" operator="equal">
      <formula>"DET"</formula>
    </cfRule>
    <cfRule type="cellIs" dxfId="2535" priority="38" operator="equal">
      <formula>"MIA"</formula>
    </cfRule>
    <cfRule type="cellIs" dxfId="2534" priority="37" operator="equal">
      <formula>"CHI"</formula>
    </cfRule>
    <cfRule type="cellIs" dxfId="2533" priority="36" operator="equal">
      <formula>"JAX"</formula>
    </cfRule>
    <cfRule type="cellIs" dxfId="2532" priority="35" operator="equal">
      <formula>"ATL"</formula>
    </cfRule>
    <cfRule type="cellIs" dxfId="2531" priority="34" operator="equal">
      <formula>"LAR"</formula>
    </cfRule>
    <cfRule type="cellIs" dxfId="2530" priority="33" operator="equal">
      <formula>"LAC"</formula>
    </cfRule>
    <cfRule type="cellIs" dxfId="2529" priority="32" operator="equal">
      <formula>"SEA"</formula>
    </cfRule>
    <cfRule type="cellIs" dxfId="2528" priority="19" operator="equal">
      <formula>"BYE"</formula>
    </cfRule>
    <cfRule type="cellIs" dxfId="2527" priority="20" operator="equal">
      <formula>"LV"</formula>
    </cfRule>
    <cfRule type="cellIs" dxfId="2526" priority="21" operator="equal">
      <formula>"NE"</formula>
    </cfRule>
    <cfRule type="cellIs" dxfId="2525" priority="22" operator="equal">
      <formula>"MIN"</formula>
    </cfRule>
    <cfRule type="cellIs" dxfId="2524" priority="23" operator="equal">
      <formula>"PIT"</formula>
    </cfRule>
    <cfRule type="cellIs" dxfId="2523" priority="30" operator="equal">
      <formula>"CLE"</formula>
    </cfRule>
    <cfRule type="cellIs" dxfId="2522" priority="29" operator="equal">
      <formula>"TB"</formula>
    </cfRule>
    <cfRule type="cellIs" dxfId="2521" priority="28" operator="equal">
      <formula>"TEN"</formula>
    </cfRule>
    <cfRule type="cellIs" dxfId="2520" priority="31" operator="equal">
      <formula>"NYJ"</formula>
    </cfRule>
    <cfRule type="cellIs" dxfId="2519" priority="26" operator="equal">
      <formula>"NYG"</formula>
    </cfRule>
    <cfRule type="cellIs" dxfId="2518" priority="25" operator="equal">
      <formula>"CAR"</formula>
    </cfRule>
    <cfRule type="cellIs" dxfId="2517" priority="24" operator="equal">
      <formula>"DEN"</formula>
    </cfRule>
    <cfRule type="cellIs" dxfId="2516" priority="51" operator="equal">
      <formula>"BUF"</formula>
    </cfRule>
    <cfRule type="cellIs" dxfId="2515" priority="50" operator="equal">
      <formula>"PHI"</formula>
    </cfRule>
    <cfRule type="cellIs" dxfId="2514" priority="49" operator="equal">
      <formula>"BAL"</formula>
    </cfRule>
    <cfRule type="cellIs" dxfId="2513" priority="48" operator="equal">
      <formula>"KC"</formula>
    </cfRule>
    <cfRule type="cellIs" dxfId="2512" priority="47" operator="equal">
      <formula>"IND"</formula>
    </cfRule>
    <cfRule type="cellIs" dxfId="2511" priority="46" operator="equal">
      <formula>"HOU"</formula>
    </cfRule>
    <cfRule type="cellIs" dxfId="2510" priority="45" operator="equal">
      <formula>"ARI"</formula>
    </cfRule>
    <cfRule type="cellIs" dxfId="2509" priority="44" operator="equal">
      <formula>"CIN"</formula>
    </cfRule>
    <cfRule type="cellIs" dxfId="2508" priority="27" operator="equal">
      <formula>"NO"</formula>
    </cfRule>
    <cfRule type="cellIs" dxfId="2507" priority="42" operator="equal">
      <formula>"GB"</formula>
    </cfRule>
    <cfRule type="cellIs" dxfId="2506" priority="41" operator="equal">
      <formula>"WAS"</formula>
    </cfRule>
    <cfRule type="cellIs" dxfId="2505" priority="43" operator="equal">
      <formula>"DAL"</formula>
    </cfRule>
    <cfRule type="cellIs" dxfId="2504" priority="40" operator="equal">
      <formula>"SF"</formula>
    </cfRule>
  </conditionalFormatting>
  <conditionalFormatting sqref="G2:G11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:H117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117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1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17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verticalCentered="1"/>
  <pageMargins left="0" right="0" top="0.25" bottom="0.25" header="0.05" footer="0.05"/>
  <pageSetup paperSize="3" scale="69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D82AB197-E528-442E-965C-53528078C0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E2:E117</xm:sqref>
        </x14:conditionalFormatting>
        <x14:conditionalFormatting xmlns:xm="http://schemas.microsoft.com/office/excel/2006/main">
          <x14:cfRule type="iconSet" priority="14" id="{13F012A4-6A09-4A29-9C1B-53A10123BEEB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G2:G117</xm:sqref>
        </x14:conditionalFormatting>
        <x14:conditionalFormatting xmlns:xm="http://schemas.microsoft.com/office/excel/2006/main">
          <x14:cfRule type="iconSet" priority="52" id="{A6500C5A-BB11-4E1A-B92C-4FBB74631301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H2:H117</xm:sqref>
        </x14:conditionalFormatting>
        <x14:conditionalFormatting xmlns:xm="http://schemas.microsoft.com/office/excel/2006/main">
          <x14:cfRule type="iconSet" priority="12" id="{2BB82EA8-B22B-4C4B-B421-D406DE763E50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I2:I117</xm:sqref>
        </x14:conditionalFormatting>
        <x14:conditionalFormatting xmlns:xm="http://schemas.microsoft.com/office/excel/2006/main">
          <x14:cfRule type="iconSet" priority="10" id="{4EBD50E1-C6F2-4E6C-8805-DBFEC2E2BF8E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M2:M117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FE93-3297-4D50-BA46-D924E1D25C17}">
  <sheetPr>
    <tabColor theme="3" tint="0.89999084444715716"/>
    <pageSetUpPr fitToPage="1"/>
  </sheetPr>
  <dimension ref="B1:M117"/>
  <sheetViews>
    <sheetView zoomScale="115" zoomScaleNormal="115" workbookViewId="0">
      <selection activeCell="K128" sqref="K128"/>
    </sheetView>
  </sheetViews>
  <sheetFormatPr defaultRowHeight="14.5" x14ac:dyDescent="0.35"/>
  <cols>
    <col min="1" max="1" width="1.6328125" customWidth="1"/>
    <col min="2" max="2" width="14.90625" bestFit="1" customWidth="1"/>
    <col min="3" max="3" width="8.453125" bestFit="1" customWidth="1"/>
    <col min="4" max="4" width="7.7265625" bestFit="1" customWidth="1"/>
    <col min="5" max="5" width="8.26953125" bestFit="1" customWidth="1"/>
    <col min="6" max="6" width="7.6328125" bestFit="1" customWidth="1"/>
    <col min="7" max="7" width="7.453125" bestFit="1" customWidth="1"/>
    <col min="8" max="8" width="7.36328125" bestFit="1" customWidth="1"/>
    <col min="9" max="9" width="8.1796875" bestFit="1" customWidth="1"/>
    <col min="10" max="10" width="6" bestFit="1" customWidth="1"/>
    <col min="11" max="11" width="5.90625" bestFit="1" customWidth="1"/>
    <col min="12" max="12" width="6.7265625" bestFit="1" customWidth="1"/>
    <col min="13" max="13" width="5.90625" bestFit="1" customWidth="1"/>
  </cols>
  <sheetData>
    <row r="1" spans="2:13" ht="15" thickBot="1" x14ac:dyDescent="0.4">
      <c r="B1" s="90" t="s">
        <v>107</v>
      </c>
      <c r="C1" s="91" t="s">
        <v>58</v>
      </c>
      <c r="D1" s="91" t="s">
        <v>392</v>
      </c>
      <c r="E1" s="91" t="s">
        <v>739</v>
      </c>
      <c r="F1" s="91" t="s">
        <v>63</v>
      </c>
      <c r="G1" s="92" t="s">
        <v>657</v>
      </c>
      <c r="H1" s="92" t="s">
        <v>652</v>
      </c>
      <c r="I1" s="92" t="s">
        <v>653</v>
      </c>
      <c r="J1" s="107" t="s">
        <v>656</v>
      </c>
      <c r="K1" s="107" t="s">
        <v>104</v>
      </c>
      <c r="L1" s="107" t="s">
        <v>72</v>
      </c>
      <c r="M1" s="107" t="s">
        <v>649</v>
      </c>
    </row>
    <row r="2" spans="2:13" hidden="1" x14ac:dyDescent="0.35">
      <c r="B2" s="6" t="s">
        <v>371</v>
      </c>
      <c r="C2" s="97" t="s">
        <v>54</v>
      </c>
      <c r="D2" s="97" t="s">
        <v>397</v>
      </c>
      <c r="E2" s="23" t="str" cm="1">
        <f t="array" ref="E2">_xlfn.XLOOKUP(Table120912039[[#This Row],[Team]],Table4334[Team],'2425'!$C$3:$C$34)</f>
        <v>n/a</v>
      </c>
      <c r="F2" s="97" t="str">
        <f>'2025'!$E$32</f>
        <v>n/a</v>
      </c>
      <c r="G2" s="94" t="e" cm="1">
        <f t="array" ref="G2">_xlfn.XLOOKUP(Table120912039[[#This Row],[Opp]],Table832[DEF],'2425'!$AM$3:$AM$34)</f>
        <v>#N/A</v>
      </c>
      <c r="H2" s="94" t="e" cm="1">
        <f t="array" ref="H2">_xlfn.XLOOKUP(Table120912039[[#This Row],[Opp]],Table832[DEF],'2425'!$AN$3:$AN$34)</f>
        <v>#N/A</v>
      </c>
      <c r="I2" s="94" t="e" cm="1">
        <f t="array" ref="I2">_xlfn.XLOOKUP(Table120912039[[#This Row],[Opp]],Table832[DEF],'2425'!$AO$3:$AO$34)</f>
        <v>#N/A</v>
      </c>
      <c r="J2" s="95" t="e">
        <f>_xlfn.XLOOKUP(Table120912039[[#This Row],[Opp]],Table832[DEF],Table832[REC])</f>
        <v>#N/A</v>
      </c>
      <c r="K2" s="95" t="e">
        <f>_xlfn.XLOOKUP(Table120912039[[#This Row],[Opp]],Table832[DEF],Table832[Y])</f>
        <v>#N/A</v>
      </c>
      <c r="L2" s="96" t="e">
        <f>_xlfn.XLOOKUP(Table120912039[[#This Row],[Opp]],Table832[DEF],Table832[TD])</f>
        <v>#N/A</v>
      </c>
      <c r="M2" s="94" t="e">
        <f>AVERAGE(Table120912039[[#This Row],[*C*]:[*TD*]])</f>
        <v>#N/A</v>
      </c>
    </row>
    <row r="3" spans="2:13" hidden="1" x14ac:dyDescent="0.35">
      <c r="B3" s="6" t="s">
        <v>134</v>
      </c>
      <c r="C3" s="97" t="s">
        <v>16</v>
      </c>
      <c r="D3" s="97" t="s">
        <v>398</v>
      </c>
      <c r="E3" s="23" t="str" cm="1">
        <f t="array" ref="E3">_xlfn.XLOOKUP(Table120912039[[#This Row],[Team]],Table4334[Team],'2425'!$C$3:$C$34)</f>
        <v>n/a</v>
      </c>
      <c r="F3" s="97" t="str">
        <f>'2025'!$E$5</f>
        <v>n/a</v>
      </c>
      <c r="G3" s="94" t="e" cm="1">
        <f t="array" ref="G3">_xlfn.XLOOKUP(Table120912039[[#This Row],[Opp]],Table832[DEF],'2425'!$AM$3:$AM$34)</f>
        <v>#N/A</v>
      </c>
      <c r="H3" s="94" t="e" cm="1">
        <f t="array" ref="H3">_xlfn.XLOOKUP(Table120912039[[#This Row],[Opp]],Table832[DEF],'2425'!$AN$3:$AN$34)</f>
        <v>#N/A</v>
      </c>
      <c r="I3" s="94" t="e" cm="1">
        <f t="array" ref="I3">_xlfn.XLOOKUP(Table120912039[[#This Row],[Opp]],Table832[DEF],'2425'!$AO$3:$AO$34)</f>
        <v>#N/A</v>
      </c>
      <c r="J3" s="95" t="e">
        <f>_xlfn.XLOOKUP(Table120912039[[#This Row],[Opp]],Table832[DEF],Table832[REC])</f>
        <v>#N/A</v>
      </c>
      <c r="K3" s="95" t="e">
        <f>_xlfn.XLOOKUP(Table120912039[[#This Row],[Opp]],Table832[DEF],Table832[Y])</f>
        <v>#N/A</v>
      </c>
      <c r="L3" s="96" t="e">
        <f>_xlfn.XLOOKUP(Table120912039[[#This Row],[Opp]],Table832[DEF],Table832[TD])</f>
        <v>#N/A</v>
      </c>
      <c r="M3" s="94" t="e">
        <f>AVERAGE(Table120912039[[#This Row],[*C*]:[*TD*]])</f>
        <v>#N/A</v>
      </c>
    </row>
    <row r="4" spans="2:13" hidden="1" x14ac:dyDescent="0.35">
      <c r="B4" s="6" t="s">
        <v>474</v>
      </c>
      <c r="C4" s="97" t="s">
        <v>16</v>
      </c>
      <c r="D4" s="97" t="s">
        <v>430</v>
      </c>
      <c r="E4" s="23" t="str" cm="1">
        <f t="array" ref="E4">_xlfn.XLOOKUP(Table120912039[[#This Row],[Team]],Table4334[Team],'2425'!$C$3:$C$34)</f>
        <v>n/a</v>
      </c>
      <c r="F4" s="97" t="str">
        <f>'2025'!$E$5</f>
        <v>n/a</v>
      </c>
      <c r="G4" s="94" t="e" cm="1">
        <f t="array" ref="G4">_xlfn.XLOOKUP(Table120912039[[#This Row],[Opp]],Table832[DEF],'2425'!$AM$3:$AM$34)</f>
        <v>#N/A</v>
      </c>
      <c r="H4" s="94" t="e" cm="1">
        <f t="array" ref="H4">_xlfn.XLOOKUP(Table120912039[[#This Row],[Opp]],Table832[DEF],'2425'!$AN$3:$AN$34)</f>
        <v>#N/A</v>
      </c>
      <c r="I4" s="94" t="e" cm="1">
        <f t="array" ref="I4">_xlfn.XLOOKUP(Table120912039[[#This Row],[Opp]],Table832[DEF],'2425'!$AO$3:$AO$34)</f>
        <v>#N/A</v>
      </c>
      <c r="J4" s="95" t="e">
        <f>_xlfn.XLOOKUP(Table120912039[[#This Row],[Opp]],Table832[DEF],Table832[REC])</f>
        <v>#N/A</v>
      </c>
      <c r="K4" s="95" t="e">
        <f>_xlfn.XLOOKUP(Table120912039[[#This Row],[Opp]],Table832[DEF],Table832[Y])</f>
        <v>#N/A</v>
      </c>
      <c r="L4" s="96" t="e">
        <f>_xlfn.XLOOKUP(Table120912039[[#This Row],[Opp]],Table832[DEF],Table832[TD])</f>
        <v>#N/A</v>
      </c>
      <c r="M4" s="94" t="e">
        <f>AVERAGE(Table120912039[[#This Row],[*C*]:[*TD*]])</f>
        <v>#N/A</v>
      </c>
    </row>
    <row r="5" spans="2:13" x14ac:dyDescent="0.35">
      <c r="B5" s="6" t="s">
        <v>354</v>
      </c>
      <c r="C5" s="97" t="s">
        <v>52</v>
      </c>
      <c r="D5" s="97" t="s">
        <v>397</v>
      </c>
      <c r="E5" s="23" t="str" cm="1">
        <f t="array" ref="E5">_xlfn.XLOOKUP(Table120912039[[#This Row],[Team]],Table4334[Team],'2425'!$C$3:$C$34)</f>
        <v>SB LX</v>
      </c>
      <c r="F5" s="97" t="str">
        <f>'2025'!$E$30</f>
        <v>NE</v>
      </c>
      <c r="G5" s="94" cm="1">
        <f t="array" ref="G5">_xlfn.XLOOKUP(Table120912039[[#This Row],[Opp]],Table832[DEF],'2425'!$AM$3:$AM$34)</f>
        <v>13</v>
      </c>
      <c r="H5" s="94" cm="1">
        <f t="array" ref="H5">_xlfn.XLOOKUP(Table120912039[[#This Row],[Opp]],Table832[DEF],'2425'!$AN$3:$AN$34)</f>
        <v>15</v>
      </c>
      <c r="I5" s="94" cm="1">
        <f t="array" ref="I5">_xlfn.XLOOKUP(Table120912039[[#This Row],[Opp]],Table832[DEF],'2425'!$AO$3:$AO$34)</f>
        <v>19.5</v>
      </c>
      <c r="J5" s="95">
        <f>_xlfn.XLOOKUP(Table120912039[[#This Row],[Opp]],Table832[DEF],Table832[REC])</f>
        <v>5.3823529411764701</v>
      </c>
      <c r="K5" s="95">
        <f>_xlfn.XLOOKUP(Table120912039[[#This Row],[Opp]],Table832[DEF],Table832[Y])</f>
        <v>53.676470588235297</v>
      </c>
      <c r="L5" s="96">
        <f>_xlfn.XLOOKUP(Table120912039[[#This Row],[Opp]],Table832[DEF],Table832[TD])</f>
        <v>0.3235294117647059</v>
      </c>
      <c r="M5" s="94">
        <f>AVERAGE(Table120912039[[#This Row],[*C*]:[*TD*]])</f>
        <v>15.833333333333334</v>
      </c>
    </row>
    <row r="6" spans="2:13" hidden="1" x14ac:dyDescent="0.35">
      <c r="B6" s="6" t="s">
        <v>508</v>
      </c>
      <c r="C6" s="97" t="s">
        <v>35</v>
      </c>
      <c r="D6" s="97" t="s">
        <v>398</v>
      </c>
      <c r="E6" s="23" t="str" cm="1">
        <f t="array" ref="E6">_xlfn.XLOOKUP(Table120912039[[#This Row],[Team]],Table4334[Team],'2425'!$C$3:$C$34)</f>
        <v>n/a</v>
      </c>
      <c r="F6" s="97" t="str">
        <f>'2025'!$E$13</f>
        <v>n/a</v>
      </c>
      <c r="G6" s="94" t="e" cm="1">
        <f t="array" ref="G6">_xlfn.XLOOKUP(Table120912039[[#This Row],[Opp]],Table832[DEF],'2425'!$AM$3:$AM$34)</f>
        <v>#N/A</v>
      </c>
      <c r="H6" s="94" t="e" cm="1">
        <f t="array" ref="H6">_xlfn.XLOOKUP(Table120912039[[#This Row],[Opp]],Table832[DEF],'2425'!$AN$3:$AN$34)</f>
        <v>#N/A</v>
      </c>
      <c r="I6" s="94" t="e" cm="1">
        <f t="array" ref="I6">_xlfn.XLOOKUP(Table120912039[[#This Row],[Opp]],Table832[DEF],'2425'!$AO$3:$AO$34)</f>
        <v>#N/A</v>
      </c>
      <c r="J6" s="95" t="e">
        <f>_xlfn.XLOOKUP(Table120912039[[#This Row],[Opp]],Table832[DEF],Table832[REC])</f>
        <v>#N/A</v>
      </c>
      <c r="K6" s="95" t="e">
        <f>_xlfn.XLOOKUP(Table120912039[[#This Row],[Opp]],Table832[DEF],Table832[Y])</f>
        <v>#N/A</v>
      </c>
      <c r="L6" s="96" t="e">
        <f>_xlfn.XLOOKUP(Table120912039[[#This Row],[Opp]],Table832[DEF],Table832[TD])</f>
        <v>#N/A</v>
      </c>
      <c r="M6" s="94" t="e">
        <f>AVERAGE(Table120912039[[#This Row],[*C*]:[*TD*]])</f>
        <v>#N/A</v>
      </c>
    </row>
    <row r="7" spans="2:13" hidden="1" x14ac:dyDescent="0.35">
      <c r="B7" s="6" t="s">
        <v>509</v>
      </c>
      <c r="C7" s="97" t="s">
        <v>35</v>
      </c>
      <c r="D7" s="97" t="s">
        <v>430</v>
      </c>
      <c r="E7" s="23" t="str" cm="1">
        <f t="array" ref="E7">_xlfn.XLOOKUP(Table120912039[[#This Row],[Team]],Table4334[Team],'2425'!$C$3:$C$34)</f>
        <v>n/a</v>
      </c>
      <c r="F7" s="97" t="str">
        <f>'2025'!$E$13</f>
        <v>n/a</v>
      </c>
      <c r="G7" s="94" t="e" cm="1">
        <f t="array" ref="G7">_xlfn.XLOOKUP(Table120912039[[#This Row],[Opp]],Table832[DEF],'2425'!$AM$3:$AM$34)</f>
        <v>#N/A</v>
      </c>
      <c r="H7" s="94" t="e" cm="1">
        <f t="array" ref="H7">_xlfn.XLOOKUP(Table120912039[[#This Row],[Opp]],Table832[DEF],'2425'!$AN$3:$AN$34)</f>
        <v>#N/A</v>
      </c>
      <c r="I7" s="94" t="e" cm="1">
        <f t="array" ref="I7">_xlfn.XLOOKUP(Table120912039[[#This Row],[Opp]],Table832[DEF],'2425'!$AO$3:$AO$34)</f>
        <v>#N/A</v>
      </c>
      <c r="J7" s="95" t="e">
        <f>_xlfn.XLOOKUP(Table120912039[[#This Row],[Opp]],Table832[DEF],Table832[REC])</f>
        <v>#N/A</v>
      </c>
      <c r="K7" s="95" t="e">
        <f>_xlfn.XLOOKUP(Table120912039[[#This Row],[Opp]],Table832[DEF],Table832[Y])</f>
        <v>#N/A</v>
      </c>
      <c r="L7" s="96" t="e">
        <f>_xlfn.XLOOKUP(Table120912039[[#This Row],[Opp]],Table832[DEF],Table832[TD])</f>
        <v>#N/A</v>
      </c>
      <c r="M7" s="94" t="e">
        <f>AVERAGE(Table120912039[[#This Row],[*C*]:[*TD*]])</f>
        <v>#N/A</v>
      </c>
    </row>
    <row r="8" spans="2:13" hidden="1" x14ac:dyDescent="0.35">
      <c r="B8" s="6" t="s">
        <v>510</v>
      </c>
      <c r="C8" s="97" t="s">
        <v>35</v>
      </c>
      <c r="D8" s="97" t="s">
        <v>435</v>
      </c>
      <c r="E8" s="23" t="str" cm="1">
        <f t="array" ref="E8">_xlfn.XLOOKUP(Table120912039[[#This Row],[Team]],Table4334[Team],'2425'!$C$3:$C$34)</f>
        <v>n/a</v>
      </c>
      <c r="F8" s="97" t="str">
        <f>'2025'!$E$13</f>
        <v>n/a</v>
      </c>
      <c r="G8" s="94" t="e" cm="1">
        <f t="array" ref="G8">_xlfn.XLOOKUP(Table120912039[[#This Row],[Opp]],Table832[DEF],'2425'!$AM$3:$AM$34)</f>
        <v>#N/A</v>
      </c>
      <c r="H8" s="94" t="e" cm="1">
        <f t="array" ref="H8">_xlfn.XLOOKUP(Table120912039[[#This Row],[Opp]],Table832[DEF],'2425'!$AN$3:$AN$34)</f>
        <v>#N/A</v>
      </c>
      <c r="I8" s="94" t="e" cm="1">
        <f t="array" ref="I8">_xlfn.XLOOKUP(Table120912039[[#This Row],[Opp]],Table832[DEF],'2425'!$AO$3:$AO$34)</f>
        <v>#N/A</v>
      </c>
      <c r="J8" s="95" t="e">
        <f>_xlfn.XLOOKUP(Table120912039[[#This Row],[Opp]],Table832[DEF],Table832[REC])</f>
        <v>#N/A</v>
      </c>
      <c r="K8" s="95" t="e">
        <f>_xlfn.XLOOKUP(Table120912039[[#This Row],[Opp]],Table832[DEF],Table832[Y])</f>
        <v>#N/A</v>
      </c>
      <c r="L8" s="96" t="e">
        <f>_xlfn.XLOOKUP(Table120912039[[#This Row],[Opp]],Table832[DEF],Table832[TD])</f>
        <v>#N/A</v>
      </c>
      <c r="M8" s="94" t="e">
        <f>AVERAGE(Table120912039[[#This Row],[*C*]:[*TD*]])</f>
        <v>#N/A</v>
      </c>
    </row>
    <row r="9" spans="2:13" x14ac:dyDescent="0.35">
      <c r="B9" s="6" t="s">
        <v>155</v>
      </c>
      <c r="C9" s="97" t="s">
        <v>30</v>
      </c>
      <c r="D9" s="97" t="s">
        <v>397</v>
      </c>
      <c r="E9" s="23" t="str" cm="1">
        <f t="array" ref="E9">_xlfn.XLOOKUP(Table120912039[[#This Row],[Team]],Table4334[Team],'2425'!$C$3:$C$34)</f>
        <v>n/a</v>
      </c>
      <c r="F9" s="97" t="str">
        <f>'2025'!$E$8</f>
        <v>n/a</v>
      </c>
      <c r="G9" s="94" t="e" cm="1">
        <f t="array" ref="G9">_xlfn.XLOOKUP(Table120912039[[#This Row],[Opp]],Table832[DEF],'2425'!$AM$3:$AM$34)</f>
        <v>#N/A</v>
      </c>
      <c r="H9" s="94" t="e" cm="1">
        <f t="array" ref="H9">_xlfn.XLOOKUP(Table120912039[[#This Row],[Opp]],Table832[DEF],'2425'!$AN$3:$AN$34)</f>
        <v>#N/A</v>
      </c>
      <c r="I9" s="94" t="e" cm="1">
        <f t="array" ref="I9">_xlfn.XLOOKUP(Table120912039[[#This Row],[Opp]],Table832[DEF],'2425'!$AO$3:$AO$34)</f>
        <v>#N/A</v>
      </c>
      <c r="J9" s="95" t="e">
        <f>_xlfn.XLOOKUP(Table120912039[[#This Row],[Opp]],Table832[DEF],Table832[REC])</f>
        <v>#N/A</v>
      </c>
      <c r="K9" s="95" t="e">
        <f>_xlfn.XLOOKUP(Table120912039[[#This Row],[Opp]],Table832[DEF],Table832[Y])</f>
        <v>#N/A</v>
      </c>
      <c r="L9" s="96" t="e">
        <f>_xlfn.XLOOKUP(Table120912039[[#This Row],[Opp]],Table832[DEF],Table832[TD])</f>
        <v>#N/A</v>
      </c>
      <c r="M9" s="94" t="e">
        <f>AVERAGE(Table120912039[[#This Row],[*C*]:[*TD*]])</f>
        <v>#N/A</v>
      </c>
    </row>
    <row r="10" spans="2:13" hidden="1" x14ac:dyDescent="0.35">
      <c r="B10" s="6" t="s">
        <v>424</v>
      </c>
      <c r="C10" s="97" t="s">
        <v>33</v>
      </c>
      <c r="D10" s="97" t="s">
        <v>398</v>
      </c>
      <c r="E10" s="23" t="str" cm="1">
        <f t="array" ref="E10">_xlfn.XLOOKUP(Table120912039[[#This Row],[Team]],Table4334[Team],'2425'!$C$3:$C$34)</f>
        <v>n/a</v>
      </c>
      <c r="F10" s="97" t="str">
        <f>'2025'!$E$11</f>
        <v>n/a</v>
      </c>
      <c r="G10" s="94" t="e" cm="1">
        <f t="array" ref="G10">_xlfn.XLOOKUP(Table120912039[[#This Row],[Opp]],Table832[DEF],'2425'!$AM$3:$AM$34)</f>
        <v>#N/A</v>
      </c>
      <c r="H10" s="94" t="e" cm="1">
        <f t="array" ref="H10">_xlfn.XLOOKUP(Table120912039[[#This Row],[Opp]],Table832[DEF],'2425'!$AN$3:$AN$34)</f>
        <v>#N/A</v>
      </c>
      <c r="I10" s="94" t="e" cm="1">
        <f t="array" ref="I10">_xlfn.XLOOKUP(Table120912039[[#This Row],[Opp]],Table832[DEF],'2425'!$AO$3:$AO$34)</f>
        <v>#N/A</v>
      </c>
      <c r="J10" s="95" t="e">
        <f>_xlfn.XLOOKUP(Table120912039[[#This Row],[Opp]],Table832[DEF],Table832[REC])</f>
        <v>#N/A</v>
      </c>
      <c r="K10" s="95" t="e">
        <f>_xlfn.XLOOKUP(Table120912039[[#This Row],[Opp]],Table832[DEF],Table832[Y])</f>
        <v>#N/A</v>
      </c>
      <c r="L10" s="96" t="e">
        <f>_xlfn.XLOOKUP(Table120912039[[#This Row],[Opp]],Table832[DEF],Table832[TD])</f>
        <v>#N/A</v>
      </c>
      <c r="M10" s="94" t="e">
        <f>AVERAGE(Table120912039[[#This Row],[*C*]:[*TD*]])</f>
        <v>#N/A</v>
      </c>
    </row>
    <row r="11" spans="2:13" hidden="1" x14ac:dyDescent="0.35">
      <c r="B11" s="6" t="s">
        <v>436</v>
      </c>
      <c r="C11" s="97" t="s">
        <v>33</v>
      </c>
      <c r="D11" s="97" t="s">
        <v>430</v>
      </c>
      <c r="E11" s="23" t="str" cm="1">
        <f t="array" ref="E11">_xlfn.XLOOKUP(Table120912039[[#This Row],[Team]],Table4334[Team],'2425'!$C$3:$C$34)</f>
        <v>n/a</v>
      </c>
      <c r="F11" s="97" t="str">
        <f>'2025'!$E$11</f>
        <v>n/a</v>
      </c>
      <c r="G11" s="94" t="e" cm="1">
        <f t="array" ref="G11">_xlfn.XLOOKUP(Table120912039[[#This Row],[Opp]],Table832[DEF],'2425'!$AM$3:$AM$34)</f>
        <v>#N/A</v>
      </c>
      <c r="H11" s="94" t="e" cm="1">
        <f t="array" ref="H11">_xlfn.XLOOKUP(Table120912039[[#This Row],[Opp]],Table832[DEF],'2425'!$AN$3:$AN$34)</f>
        <v>#N/A</v>
      </c>
      <c r="I11" s="94" t="e" cm="1">
        <f t="array" ref="I11">_xlfn.XLOOKUP(Table120912039[[#This Row],[Opp]],Table832[DEF],'2425'!$AO$3:$AO$34)</f>
        <v>#N/A</v>
      </c>
      <c r="J11" s="95" t="e">
        <f>_xlfn.XLOOKUP(Table120912039[[#This Row],[Opp]],Table832[DEF],Table832[REC])</f>
        <v>#N/A</v>
      </c>
      <c r="K11" s="95" t="e">
        <f>_xlfn.XLOOKUP(Table120912039[[#This Row],[Opp]],Table832[DEF],Table832[Y])</f>
        <v>#N/A</v>
      </c>
      <c r="L11" s="96" t="e">
        <f>_xlfn.XLOOKUP(Table120912039[[#This Row],[Opp]],Table832[DEF],Table832[TD])</f>
        <v>#N/A</v>
      </c>
      <c r="M11" s="94" t="e">
        <f>AVERAGE(Table120912039[[#This Row],[*C*]:[*TD*]])</f>
        <v>#N/A</v>
      </c>
    </row>
    <row r="12" spans="2:13" hidden="1" x14ac:dyDescent="0.35">
      <c r="B12" s="6" t="s">
        <v>437</v>
      </c>
      <c r="C12" s="97" t="s">
        <v>33</v>
      </c>
      <c r="D12" s="97" t="s">
        <v>435</v>
      </c>
      <c r="E12" s="23" t="str" cm="1">
        <f t="array" ref="E12">_xlfn.XLOOKUP(Table120912039[[#This Row],[Team]],Table4334[Team],'2425'!$C$3:$C$34)</f>
        <v>n/a</v>
      </c>
      <c r="F12" s="97" t="str">
        <f>'2025'!$E$11</f>
        <v>n/a</v>
      </c>
      <c r="G12" s="94" t="e" cm="1">
        <f t="array" ref="G12">_xlfn.XLOOKUP(Table120912039[[#This Row],[Opp]],Table832[DEF],'2425'!$AM$3:$AM$34)</f>
        <v>#N/A</v>
      </c>
      <c r="H12" s="94" t="e" cm="1">
        <f t="array" ref="H12">_xlfn.XLOOKUP(Table120912039[[#This Row],[Opp]],Table832[DEF],'2425'!$AN$3:$AN$34)</f>
        <v>#N/A</v>
      </c>
      <c r="I12" s="94" t="e" cm="1">
        <f t="array" ref="I12">_xlfn.XLOOKUP(Table120912039[[#This Row],[Opp]],Table832[DEF],'2425'!$AO$3:$AO$34)</f>
        <v>#N/A</v>
      </c>
      <c r="J12" s="95" t="e">
        <f>_xlfn.XLOOKUP(Table120912039[[#This Row],[Opp]],Table832[DEF],Table832[REC])</f>
        <v>#N/A</v>
      </c>
      <c r="K12" s="95" t="e">
        <f>_xlfn.XLOOKUP(Table120912039[[#This Row],[Opp]],Table832[DEF],Table832[Y])</f>
        <v>#N/A</v>
      </c>
      <c r="L12" s="96" t="e">
        <f>_xlfn.XLOOKUP(Table120912039[[#This Row],[Opp]],Table832[DEF],Table832[TD])</f>
        <v>#N/A</v>
      </c>
      <c r="M12" s="94" t="e">
        <f>AVERAGE(Table120912039[[#This Row],[*C*]:[*TD*]])</f>
        <v>#N/A</v>
      </c>
    </row>
    <row r="13" spans="2:13" x14ac:dyDescent="0.35">
      <c r="B13" s="6" t="s">
        <v>307</v>
      </c>
      <c r="C13" s="97" t="s">
        <v>46</v>
      </c>
      <c r="D13" s="97" t="s">
        <v>397</v>
      </c>
      <c r="E13" s="23" t="str" cm="1">
        <f t="array" ref="E13">_xlfn.XLOOKUP(Table120912039[[#This Row],[Team]],Table4334[Team],'2425'!$C$3:$C$34)</f>
        <v>SB LX</v>
      </c>
      <c r="F13" s="97" t="str">
        <f>'2025'!$E$24</f>
        <v>SEA</v>
      </c>
      <c r="G13" s="94" cm="1">
        <f t="array" ref="G13">_xlfn.XLOOKUP(Table120912039[[#This Row],[Opp]],Table832[DEF],'2425'!$AM$3:$AM$34)</f>
        <v>9</v>
      </c>
      <c r="H13" s="94" cm="1">
        <f t="array" ref="H13">_xlfn.XLOOKUP(Table120912039[[#This Row],[Opp]],Table832[DEF],'2425'!$AN$3:$AN$34)</f>
        <v>7</v>
      </c>
      <c r="I13" s="94" cm="1">
        <f t="array" ref="I13">_xlfn.XLOOKUP(Table120912039[[#This Row],[Opp]],Table832[DEF],'2425'!$AO$3:$AO$34)</f>
        <v>25</v>
      </c>
      <c r="J13" s="95">
        <f>_xlfn.XLOOKUP(Table120912039[[#This Row],[Opp]],Table832[DEF],Table832[REC])</f>
        <v>5.617647058823529</v>
      </c>
      <c r="K13" s="95">
        <f>_xlfn.XLOOKUP(Table120912039[[#This Row],[Opp]],Table832[DEF],Table832[Y])</f>
        <v>57.941176470588232</v>
      </c>
      <c r="L13" s="96">
        <f>_xlfn.XLOOKUP(Table120912039[[#This Row],[Opp]],Table832[DEF],Table832[TD])</f>
        <v>0.29411764705882348</v>
      </c>
      <c r="M13" s="94">
        <f>AVERAGE(Table120912039[[#This Row],[*C*]:[*TD*]])</f>
        <v>13.666666666666666</v>
      </c>
    </row>
    <row r="14" spans="2:13" hidden="1" x14ac:dyDescent="0.35">
      <c r="B14" s="6" t="s">
        <v>250</v>
      </c>
      <c r="C14" s="97" t="s">
        <v>40</v>
      </c>
      <c r="D14" s="97" t="s">
        <v>398</v>
      </c>
      <c r="E14" s="23" t="str" cm="1">
        <f t="array" ref="E14">_xlfn.XLOOKUP(Table120912039[[#This Row],[Team]],Table4334[Team],'2425'!$C$3:$C$34)</f>
        <v>n/a</v>
      </c>
      <c r="F14" s="97" t="str">
        <f>'2025'!$E$18</f>
        <v>n/a</v>
      </c>
      <c r="G14" s="94" t="e" cm="1">
        <f t="array" ref="G14">_xlfn.XLOOKUP(Table120912039[[#This Row],[Opp]],Table832[DEF],'2425'!$AM$3:$AM$34)</f>
        <v>#N/A</v>
      </c>
      <c r="H14" s="94" t="e" cm="1">
        <f t="array" ref="H14">_xlfn.XLOOKUP(Table120912039[[#This Row],[Opp]],Table832[DEF],'2425'!$AN$3:$AN$34)</f>
        <v>#N/A</v>
      </c>
      <c r="I14" s="94" t="e" cm="1">
        <f t="array" ref="I14">_xlfn.XLOOKUP(Table120912039[[#This Row],[Opp]],Table832[DEF],'2425'!$AO$3:$AO$34)</f>
        <v>#N/A</v>
      </c>
      <c r="J14" s="95" t="e">
        <f>_xlfn.XLOOKUP(Table120912039[[#This Row],[Opp]],Table832[DEF],Table832[REC])</f>
        <v>#N/A</v>
      </c>
      <c r="K14" s="95" t="e">
        <f>_xlfn.XLOOKUP(Table120912039[[#This Row],[Opp]],Table832[DEF],Table832[Y])</f>
        <v>#N/A</v>
      </c>
      <c r="L14" s="96" t="e">
        <f>_xlfn.XLOOKUP(Table120912039[[#This Row],[Opp]],Table832[DEF],Table832[TD])</f>
        <v>#N/A</v>
      </c>
      <c r="M14" s="94" t="e">
        <f>AVERAGE(Table120912039[[#This Row],[*C*]:[*TD*]])</f>
        <v>#N/A</v>
      </c>
    </row>
    <row r="15" spans="2:13" hidden="1" x14ac:dyDescent="0.35">
      <c r="B15" s="6" t="s">
        <v>574</v>
      </c>
      <c r="C15" s="97" t="s">
        <v>40</v>
      </c>
      <c r="D15" s="97" t="s">
        <v>430</v>
      </c>
      <c r="E15" s="23" t="str" cm="1">
        <f t="array" ref="E15">_xlfn.XLOOKUP(Table120912039[[#This Row],[Team]],Table4334[Team],'2425'!$C$3:$C$34)</f>
        <v>n/a</v>
      </c>
      <c r="F15" s="97" t="str">
        <f>'2025'!$E$18</f>
        <v>n/a</v>
      </c>
      <c r="G15" s="94" t="e" cm="1">
        <f t="array" ref="G15">_xlfn.XLOOKUP(Table120912039[[#This Row],[Opp]],Table832[DEF],'2425'!$AM$3:$AM$34)</f>
        <v>#N/A</v>
      </c>
      <c r="H15" s="94" t="e" cm="1">
        <f t="array" ref="H15">_xlfn.XLOOKUP(Table120912039[[#This Row],[Opp]],Table832[DEF],'2425'!$AN$3:$AN$34)</f>
        <v>#N/A</v>
      </c>
      <c r="I15" s="94" t="e" cm="1">
        <f t="array" ref="I15">_xlfn.XLOOKUP(Table120912039[[#This Row],[Opp]],Table832[DEF],'2425'!$AO$3:$AO$34)</f>
        <v>#N/A</v>
      </c>
      <c r="J15" s="95" t="e">
        <f>_xlfn.XLOOKUP(Table120912039[[#This Row],[Opp]],Table832[DEF],Table832[REC])</f>
        <v>#N/A</v>
      </c>
      <c r="K15" s="95" t="e">
        <f>_xlfn.XLOOKUP(Table120912039[[#This Row],[Opp]],Table832[DEF],Table832[Y])</f>
        <v>#N/A</v>
      </c>
      <c r="L15" s="96" t="e">
        <f>_xlfn.XLOOKUP(Table120912039[[#This Row],[Opp]],Table832[DEF],Table832[TD])</f>
        <v>#N/A</v>
      </c>
      <c r="M15" s="94" t="e">
        <f>AVERAGE(Table120912039[[#This Row],[*C*]:[*TD*]])</f>
        <v>#N/A</v>
      </c>
    </row>
    <row r="16" spans="2:13" hidden="1" x14ac:dyDescent="0.35">
      <c r="B16" s="6" t="s">
        <v>575</v>
      </c>
      <c r="C16" s="97" t="s">
        <v>40</v>
      </c>
      <c r="D16" s="97" t="s">
        <v>435</v>
      </c>
      <c r="E16" s="23" t="str" cm="1">
        <f t="array" ref="E16">_xlfn.XLOOKUP(Table120912039[[#This Row],[Team]],Table4334[Team],'2425'!$C$3:$C$34)</f>
        <v>n/a</v>
      </c>
      <c r="F16" s="97" t="str">
        <f>'2025'!$E$18</f>
        <v>n/a</v>
      </c>
      <c r="G16" s="94" t="e" cm="1">
        <f t="array" ref="G16">_xlfn.XLOOKUP(Table120912039[[#This Row],[Opp]],Table832[DEF],'2425'!$AM$3:$AM$34)</f>
        <v>#N/A</v>
      </c>
      <c r="H16" s="94" t="e" cm="1">
        <f t="array" ref="H16">_xlfn.XLOOKUP(Table120912039[[#This Row],[Opp]],Table832[DEF],'2425'!$AN$3:$AN$34)</f>
        <v>#N/A</v>
      </c>
      <c r="I16" s="94" t="e" cm="1">
        <f t="array" ref="I16">_xlfn.XLOOKUP(Table120912039[[#This Row],[Opp]],Table832[DEF],'2425'!$AO$3:$AO$34)</f>
        <v>#N/A</v>
      </c>
      <c r="J16" s="95" t="e">
        <f>_xlfn.XLOOKUP(Table120912039[[#This Row],[Opp]],Table832[DEF],Table832[REC])</f>
        <v>#N/A</v>
      </c>
      <c r="K16" s="95" t="e">
        <f>_xlfn.XLOOKUP(Table120912039[[#This Row],[Opp]],Table832[DEF],Table832[Y])</f>
        <v>#N/A</v>
      </c>
      <c r="L16" s="96" t="e">
        <f>_xlfn.XLOOKUP(Table120912039[[#This Row],[Opp]],Table832[DEF],Table832[TD])</f>
        <v>#N/A</v>
      </c>
      <c r="M16" s="94" t="e">
        <f>AVERAGE(Table120912039[[#This Row],[*C*]:[*TD*]])</f>
        <v>#N/A</v>
      </c>
    </row>
    <row r="17" spans="2:13" hidden="1" x14ac:dyDescent="0.35">
      <c r="B17" s="6" t="s">
        <v>177</v>
      </c>
      <c r="C17" s="97" t="s">
        <v>32</v>
      </c>
      <c r="D17" s="97" t="s">
        <v>397</v>
      </c>
      <c r="E17" s="23" t="str" cm="1">
        <f t="array" ref="E17">_xlfn.XLOOKUP(Table120912039[[#This Row],[Team]],Table4334[Team],'2425'!$C$3:$C$34)</f>
        <v>n/a</v>
      </c>
      <c r="F17" s="97" t="str">
        <f>'2025'!$E$10</f>
        <v>n/a</v>
      </c>
      <c r="G17" s="94" t="e" cm="1">
        <f t="array" ref="G17">_xlfn.XLOOKUP(Table120912039[[#This Row],[Opp]],Table832[DEF],'2425'!$AM$3:$AM$34)</f>
        <v>#N/A</v>
      </c>
      <c r="H17" s="94" t="e" cm="1">
        <f t="array" ref="H17">_xlfn.XLOOKUP(Table120912039[[#This Row],[Opp]],Table832[DEF],'2425'!$AN$3:$AN$34)</f>
        <v>#N/A</v>
      </c>
      <c r="I17" s="94" t="e" cm="1">
        <f t="array" ref="I17">_xlfn.XLOOKUP(Table120912039[[#This Row],[Opp]],Table832[DEF],'2425'!$AO$3:$AO$34)</f>
        <v>#N/A</v>
      </c>
      <c r="J17" s="95" t="e">
        <f>_xlfn.XLOOKUP(Table120912039[[#This Row],[Opp]],Table832[DEF],Table832[REC])</f>
        <v>#N/A</v>
      </c>
      <c r="K17" s="95" t="e">
        <f>_xlfn.XLOOKUP(Table120912039[[#This Row],[Opp]],Table832[DEF],Table832[Y])</f>
        <v>#N/A</v>
      </c>
      <c r="L17" s="96" t="e">
        <f>_xlfn.XLOOKUP(Table120912039[[#This Row],[Opp]],Table832[DEF],Table832[TD])</f>
        <v>#N/A</v>
      </c>
      <c r="M17" s="94" t="e">
        <f>AVERAGE(Table120912039[[#This Row],[*C*]:[*TD*]])</f>
        <v>#N/A</v>
      </c>
    </row>
    <row r="18" spans="2:13" hidden="1" x14ac:dyDescent="0.35">
      <c r="B18" s="6" t="s">
        <v>164</v>
      </c>
      <c r="C18" s="97" t="s">
        <v>31</v>
      </c>
      <c r="D18" s="97" t="s">
        <v>398</v>
      </c>
      <c r="E18" s="23" t="str" cm="1">
        <f t="array" ref="E18">_xlfn.XLOOKUP(Table120912039[[#This Row],[Team]],Table4334[Team],'2425'!$C$3:$C$34)</f>
        <v>n/a</v>
      </c>
      <c r="F18" s="97" t="str">
        <f>'2025'!$E$9</f>
        <v>n/a</v>
      </c>
      <c r="G18" s="94" t="e" cm="1">
        <f t="array" ref="G18">_xlfn.XLOOKUP(Table120912039[[#This Row],[Opp]],Table832[DEF],'2425'!$AM$3:$AM$34)</f>
        <v>#N/A</v>
      </c>
      <c r="H18" s="94" t="e" cm="1">
        <f t="array" ref="H18">_xlfn.XLOOKUP(Table120912039[[#This Row],[Opp]],Table832[DEF],'2425'!$AN$3:$AN$34)</f>
        <v>#N/A</v>
      </c>
      <c r="I18" s="94" t="e" cm="1">
        <f t="array" ref="I18">_xlfn.XLOOKUP(Table120912039[[#This Row],[Opp]],Table832[DEF],'2425'!$AO$3:$AO$34)</f>
        <v>#N/A</v>
      </c>
      <c r="J18" s="95" t="e">
        <f>_xlfn.XLOOKUP(Table120912039[[#This Row],[Opp]],Table832[DEF],Table832[REC])</f>
        <v>#N/A</v>
      </c>
      <c r="K18" s="95" t="e">
        <f>_xlfn.XLOOKUP(Table120912039[[#This Row],[Opp]],Table832[DEF],Table832[Y])</f>
        <v>#N/A</v>
      </c>
      <c r="L18" s="96" t="e">
        <f>_xlfn.XLOOKUP(Table120912039[[#This Row],[Opp]],Table832[DEF],Table832[TD])</f>
        <v>#N/A</v>
      </c>
      <c r="M18" s="94" t="e">
        <f>AVERAGE(Table120912039[[#This Row],[*C*]:[*TD*]])</f>
        <v>#N/A</v>
      </c>
    </row>
    <row r="19" spans="2:13" hidden="1" x14ac:dyDescent="0.35">
      <c r="B19" s="6" t="s">
        <v>475</v>
      </c>
      <c r="C19" s="97" t="s">
        <v>31</v>
      </c>
      <c r="D19" s="97" t="s">
        <v>430</v>
      </c>
      <c r="E19" s="23" t="str" cm="1">
        <f t="array" ref="E19">_xlfn.XLOOKUP(Table120912039[[#This Row],[Team]],Table4334[Team],'2425'!$C$3:$C$34)</f>
        <v>n/a</v>
      </c>
      <c r="F19" s="97" t="str">
        <f>'2025'!$E$9</f>
        <v>n/a</v>
      </c>
      <c r="G19" s="94" t="e" cm="1">
        <f t="array" ref="G19">_xlfn.XLOOKUP(Table120912039[[#This Row],[Opp]],Table832[DEF],'2425'!$AM$3:$AM$34)</f>
        <v>#N/A</v>
      </c>
      <c r="H19" s="94" t="e" cm="1">
        <f t="array" ref="H19">_xlfn.XLOOKUP(Table120912039[[#This Row],[Opp]],Table832[DEF],'2425'!$AN$3:$AN$34)</f>
        <v>#N/A</v>
      </c>
      <c r="I19" s="94" t="e" cm="1">
        <f t="array" ref="I19">_xlfn.XLOOKUP(Table120912039[[#This Row],[Opp]],Table832[DEF],'2425'!$AO$3:$AO$34)</f>
        <v>#N/A</v>
      </c>
      <c r="J19" s="95" t="e">
        <f>_xlfn.XLOOKUP(Table120912039[[#This Row],[Opp]],Table832[DEF],Table832[REC])</f>
        <v>#N/A</v>
      </c>
      <c r="K19" s="95" t="e">
        <f>_xlfn.XLOOKUP(Table120912039[[#This Row],[Opp]],Table832[DEF],Table832[Y])</f>
        <v>#N/A</v>
      </c>
      <c r="L19" s="96" t="e">
        <f>_xlfn.XLOOKUP(Table120912039[[#This Row],[Opp]],Table832[DEF],Table832[TD])</f>
        <v>#N/A</v>
      </c>
      <c r="M19" s="94" t="e">
        <f>AVERAGE(Table120912039[[#This Row],[*C*]:[*TD*]])</f>
        <v>#N/A</v>
      </c>
    </row>
    <row r="20" spans="2:13" hidden="1" x14ac:dyDescent="0.35">
      <c r="B20" s="6" t="s">
        <v>476</v>
      </c>
      <c r="C20" s="97" t="s">
        <v>31</v>
      </c>
      <c r="D20" s="97" t="s">
        <v>435</v>
      </c>
      <c r="E20" s="23" t="str" cm="1">
        <f t="array" ref="E20">_xlfn.XLOOKUP(Table120912039[[#This Row],[Team]],Table4334[Team],'2425'!$C$3:$C$34)</f>
        <v>n/a</v>
      </c>
      <c r="F20" s="97" t="str">
        <f>'2025'!$E$9</f>
        <v>n/a</v>
      </c>
      <c r="G20" s="94" t="e" cm="1">
        <f t="array" ref="G20">_xlfn.XLOOKUP(Table120912039[[#This Row],[Opp]],Table832[DEF],'2425'!$AM$3:$AM$34)</f>
        <v>#N/A</v>
      </c>
      <c r="H20" s="94" t="e" cm="1">
        <f t="array" ref="H20">_xlfn.XLOOKUP(Table120912039[[#This Row],[Opp]],Table832[DEF],'2425'!$AN$3:$AN$34)</f>
        <v>#N/A</v>
      </c>
      <c r="I20" s="94" t="e" cm="1">
        <f t="array" ref="I20">_xlfn.XLOOKUP(Table120912039[[#This Row],[Opp]],Table832[DEF],'2425'!$AO$3:$AO$34)</f>
        <v>#N/A</v>
      </c>
      <c r="J20" s="95" t="e">
        <f>_xlfn.XLOOKUP(Table120912039[[#This Row],[Opp]],Table832[DEF],Table832[REC])</f>
        <v>#N/A</v>
      </c>
      <c r="K20" s="95" t="e">
        <f>_xlfn.XLOOKUP(Table120912039[[#This Row],[Opp]],Table832[DEF],Table832[Y])</f>
        <v>#N/A</v>
      </c>
      <c r="L20" s="96" t="e">
        <f>_xlfn.XLOOKUP(Table120912039[[#This Row],[Opp]],Table832[DEF],Table832[TD])</f>
        <v>#N/A</v>
      </c>
      <c r="M20" s="94" t="e">
        <f>AVERAGE(Table120912039[[#This Row],[*C*]:[*TD*]])</f>
        <v>#N/A</v>
      </c>
    </row>
    <row r="21" spans="2:13" hidden="1" x14ac:dyDescent="0.35">
      <c r="B21" s="6" t="s">
        <v>230</v>
      </c>
      <c r="C21" s="97" t="s">
        <v>38</v>
      </c>
      <c r="D21" s="97" t="s">
        <v>397</v>
      </c>
      <c r="E21" s="23" t="str" cm="1">
        <f t="array" ref="E21">_xlfn.XLOOKUP(Table120912039[[#This Row],[Team]],Table4334[Team],'2425'!$C$3:$C$34)</f>
        <v>n/a</v>
      </c>
      <c r="F21" s="97" t="str">
        <f>'2025'!$E$16</f>
        <v>n/a</v>
      </c>
      <c r="G21" s="94" t="e" cm="1">
        <f t="array" ref="G21">_xlfn.XLOOKUP(Table120912039[[#This Row],[Opp]],Table832[DEF],'2425'!$AM$3:$AM$34)</f>
        <v>#N/A</v>
      </c>
      <c r="H21" s="94" t="e" cm="1">
        <f t="array" ref="H21">_xlfn.XLOOKUP(Table120912039[[#This Row],[Opp]],Table832[DEF],'2425'!$AN$3:$AN$34)</f>
        <v>#N/A</v>
      </c>
      <c r="I21" s="94" t="e" cm="1">
        <f t="array" ref="I21">_xlfn.XLOOKUP(Table120912039[[#This Row],[Opp]],Table832[DEF],'2425'!$AO$3:$AO$34)</f>
        <v>#N/A</v>
      </c>
      <c r="J21" s="95" t="e">
        <f>_xlfn.XLOOKUP(Table120912039[[#This Row],[Opp]],Table832[DEF],Table832[REC])</f>
        <v>#N/A</v>
      </c>
      <c r="K21" s="95" t="e">
        <f>_xlfn.XLOOKUP(Table120912039[[#This Row],[Opp]],Table832[DEF],Table832[Y])</f>
        <v>#N/A</v>
      </c>
      <c r="L21" s="96" t="e">
        <f>_xlfn.XLOOKUP(Table120912039[[#This Row],[Opp]],Table832[DEF],Table832[TD])</f>
        <v>#N/A</v>
      </c>
      <c r="M21" s="94" t="e">
        <f>AVERAGE(Table120912039[[#This Row],[*C*]:[*TD*]])</f>
        <v>#N/A</v>
      </c>
    </row>
    <row r="22" spans="2:13" hidden="1" x14ac:dyDescent="0.35">
      <c r="B22" s="6" t="s">
        <v>210</v>
      </c>
      <c r="C22" s="97" t="s">
        <v>36</v>
      </c>
      <c r="D22" s="97" t="s">
        <v>398</v>
      </c>
      <c r="E22" s="23" t="str" cm="1">
        <f t="array" ref="E22">_xlfn.XLOOKUP(Table120912039[[#This Row],[Team]],Table4334[Team],'2425'!$C$3:$C$34)</f>
        <v>n/a</v>
      </c>
      <c r="F22" s="97" t="str">
        <f>'2025'!$E$14</f>
        <v>n/a</v>
      </c>
      <c r="G22" s="94" t="e" cm="1">
        <f t="array" ref="G22">_xlfn.XLOOKUP(Table120912039[[#This Row],[Opp]],Table832[DEF],'2425'!$AM$3:$AM$34)</f>
        <v>#N/A</v>
      </c>
      <c r="H22" s="94" t="e" cm="1">
        <f t="array" ref="H22">_xlfn.XLOOKUP(Table120912039[[#This Row],[Opp]],Table832[DEF],'2425'!$AN$3:$AN$34)</f>
        <v>#N/A</v>
      </c>
      <c r="I22" s="94" t="e" cm="1">
        <f t="array" ref="I22">_xlfn.XLOOKUP(Table120912039[[#This Row],[Opp]],Table832[DEF],'2425'!$AO$3:$AO$34)</f>
        <v>#N/A</v>
      </c>
      <c r="J22" s="95" t="e">
        <f>_xlfn.XLOOKUP(Table120912039[[#This Row],[Opp]],Table832[DEF],Table832[REC])</f>
        <v>#N/A</v>
      </c>
      <c r="K22" s="95" t="e">
        <f>_xlfn.XLOOKUP(Table120912039[[#This Row],[Opp]],Table832[DEF],Table832[Y])</f>
        <v>#N/A</v>
      </c>
      <c r="L22" s="96" t="e">
        <f>_xlfn.XLOOKUP(Table120912039[[#This Row],[Opp]],Table832[DEF],Table832[TD])</f>
        <v>#N/A</v>
      </c>
      <c r="M22" s="94" t="e">
        <f>AVERAGE(Table120912039[[#This Row],[*C*]:[*TD*]])</f>
        <v>#N/A</v>
      </c>
    </row>
    <row r="23" spans="2:13" hidden="1" x14ac:dyDescent="0.35">
      <c r="B23" s="6" t="s">
        <v>515</v>
      </c>
      <c r="C23" s="97" t="s">
        <v>36</v>
      </c>
      <c r="D23" s="97" t="s">
        <v>430</v>
      </c>
      <c r="E23" s="23" t="str" cm="1">
        <f t="array" ref="E23">_xlfn.XLOOKUP(Table120912039[[#This Row],[Team]],Table4334[Team],'2425'!$C$3:$C$34)</f>
        <v>n/a</v>
      </c>
      <c r="F23" s="97" t="str">
        <f>'2025'!$E$14</f>
        <v>n/a</v>
      </c>
      <c r="G23" s="94" t="e" cm="1">
        <f t="array" ref="G23">_xlfn.XLOOKUP(Table120912039[[#This Row],[Opp]],Table832[DEF],'2425'!$AM$3:$AM$34)</f>
        <v>#N/A</v>
      </c>
      <c r="H23" s="94" t="e" cm="1">
        <f t="array" ref="H23">_xlfn.XLOOKUP(Table120912039[[#This Row],[Opp]],Table832[DEF],'2425'!$AN$3:$AN$34)</f>
        <v>#N/A</v>
      </c>
      <c r="I23" s="94" t="e" cm="1">
        <f t="array" ref="I23">_xlfn.XLOOKUP(Table120912039[[#This Row],[Opp]],Table832[DEF],'2425'!$AO$3:$AO$34)</f>
        <v>#N/A</v>
      </c>
      <c r="J23" s="95" t="e">
        <f>_xlfn.XLOOKUP(Table120912039[[#This Row],[Opp]],Table832[DEF],Table832[REC])</f>
        <v>#N/A</v>
      </c>
      <c r="K23" s="95" t="e">
        <f>_xlfn.XLOOKUP(Table120912039[[#This Row],[Opp]],Table832[DEF],Table832[Y])</f>
        <v>#N/A</v>
      </c>
      <c r="L23" s="96" t="e">
        <f>_xlfn.XLOOKUP(Table120912039[[#This Row],[Opp]],Table832[DEF],Table832[TD])</f>
        <v>#N/A</v>
      </c>
      <c r="M23" s="94" t="e">
        <f>AVERAGE(Table120912039[[#This Row],[*C*]:[*TD*]])</f>
        <v>#N/A</v>
      </c>
    </row>
    <row r="24" spans="2:13" hidden="1" x14ac:dyDescent="0.35">
      <c r="B24" s="6" t="s">
        <v>516</v>
      </c>
      <c r="C24" s="97" t="s">
        <v>36</v>
      </c>
      <c r="D24" s="97" t="s">
        <v>435</v>
      </c>
      <c r="E24" s="23" t="str" cm="1">
        <f t="array" ref="E24">_xlfn.XLOOKUP(Table120912039[[#This Row],[Team]],Table4334[Team],'2425'!$C$3:$C$34)</f>
        <v>n/a</v>
      </c>
      <c r="F24" s="97" t="str">
        <f>'2025'!$E$14</f>
        <v>n/a</v>
      </c>
      <c r="G24" s="94" t="e" cm="1">
        <f t="array" ref="G24">_xlfn.XLOOKUP(Table120912039[[#This Row],[Opp]],Table832[DEF],'2425'!$AM$3:$AM$34)</f>
        <v>#N/A</v>
      </c>
      <c r="H24" s="94" t="e" cm="1">
        <f t="array" ref="H24">_xlfn.XLOOKUP(Table120912039[[#This Row],[Opp]],Table832[DEF],'2425'!$AN$3:$AN$34)</f>
        <v>#N/A</v>
      </c>
      <c r="I24" s="94" t="e" cm="1">
        <f t="array" ref="I24">_xlfn.XLOOKUP(Table120912039[[#This Row],[Opp]],Table832[DEF],'2425'!$AO$3:$AO$34)</f>
        <v>#N/A</v>
      </c>
      <c r="J24" s="95" t="e">
        <f>_xlfn.XLOOKUP(Table120912039[[#This Row],[Opp]],Table832[DEF],Table832[REC])</f>
        <v>#N/A</v>
      </c>
      <c r="K24" s="95" t="e">
        <f>_xlfn.XLOOKUP(Table120912039[[#This Row],[Opp]],Table832[DEF],Table832[Y])</f>
        <v>#N/A</v>
      </c>
      <c r="L24" s="96" t="e">
        <f>_xlfn.XLOOKUP(Table120912039[[#This Row],[Opp]],Table832[DEF],Table832[TD])</f>
        <v>#N/A</v>
      </c>
      <c r="M24" s="94" t="e">
        <f>AVERAGE(Table120912039[[#This Row],[*C*]:[*TD*]])</f>
        <v>#N/A</v>
      </c>
    </row>
    <row r="25" spans="2:13" hidden="1" x14ac:dyDescent="0.35">
      <c r="B25" s="6" t="s">
        <v>381</v>
      </c>
      <c r="C25" s="97" t="s">
        <v>55</v>
      </c>
      <c r="D25" s="97" t="s">
        <v>397</v>
      </c>
      <c r="E25" s="23" t="str" cm="1">
        <f t="array" ref="E25">_xlfn.XLOOKUP(Table120912039[[#This Row],[Team]],Table4334[Team],'2425'!$C$3:$C$34)</f>
        <v>n/a</v>
      </c>
      <c r="F25" s="97" t="str">
        <f>'2025'!$E$33</f>
        <v>n/a</v>
      </c>
      <c r="G25" s="94" t="e" cm="1">
        <f t="array" ref="G25">_xlfn.XLOOKUP(Table120912039[[#This Row],[Opp]],Table832[DEF],'2425'!$AM$3:$AM$34)</f>
        <v>#N/A</v>
      </c>
      <c r="H25" s="94" t="e" cm="1">
        <f t="array" ref="H25">_xlfn.XLOOKUP(Table120912039[[#This Row],[Opp]],Table832[DEF],'2425'!$AN$3:$AN$34)</f>
        <v>#N/A</v>
      </c>
      <c r="I25" s="94" t="e" cm="1">
        <f t="array" ref="I25">_xlfn.XLOOKUP(Table120912039[[#This Row],[Opp]],Table832[DEF],'2425'!$AO$3:$AO$34)</f>
        <v>#N/A</v>
      </c>
      <c r="J25" s="95" t="e">
        <f>_xlfn.XLOOKUP(Table120912039[[#This Row],[Opp]],Table832[DEF],Table832[REC])</f>
        <v>#N/A</v>
      </c>
      <c r="K25" s="95" t="e">
        <f>_xlfn.XLOOKUP(Table120912039[[#This Row],[Opp]],Table832[DEF],Table832[Y])</f>
        <v>#N/A</v>
      </c>
      <c r="L25" s="96" t="e">
        <f>_xlfn.XLOOKUP(Table120912039[[#This Row],[Opp]],Table832[DEF],Table832[TD])</f>
        <v>#N/A</v>
      </c>
      <c r="M25" s="94" t="e">
        <f>AVERAGE(Table120912039[[#This Row],[*C*]:[*TD*]])</f>
        <v>#N/A</v>
      </c>
    </row>
    <row r="26" spans="2:13" hidden="1" x14ac:dyDescent="0.35">
      <c r="B26" s="6" t="s">
        <v>458</v>
      </c>
      <c r="C26" s="97" t="s">
        <v>50</v>
      </c>
      <c r="D26" s="97" t="s">
        <v>398</v>
      </c>
      <c r="E26" s="23" t="str" cm="1">
        <f t="array" ref="E26">_xlfn.XLOOKUP(Table120912039[[#This Row],[Team]],Table4334[Team],'2425'!$C$3:$C$34)</f>
        <v>n/a</v>
      </c>
      <c r="F26" s="97" t="str">
        <f>'2025'!$E$28</f>
        <v>n/a</v>
      </c>
      <c r="G26" s="94" t="e" cm="1">
        <f t="array" ref="G26">_xlfn.XLOOKUP(Table120912039[[#This Row],[Opp]],Table832[DEF],'2425'!$AM$3:$AM$34)</f>
        <v>#N/A</v>
      </c>
      <c r="H26" s="94" t="e" cm="1">
        <f t="array" ref="H26">_xlfn.XLOOKUP(Table120912039[[#This Row],[Opp]],Table832[DEF],'2425'!$AN$3:$AN$34)</f>
        <v>#N/A</v>
      </c>
      <c r="I26" s="94" t="e" cm="1">
        <f t="array" ref="I26">_xlfn.XLOOKUP(Table120912039[[#This Row],[Opp]],Table832[DEF],'2425'!$AO$3:$AO$34)</f>
        <v>#N/A</v>
      </c>
      <c r="J26" s="95" t="e">
        <f>_xlfn.XLOOKUP(Table120912039[[#This Row],[Opp]],Table832[DEF],Table832[REC])</f>
        <v>#N/A</v>
      </c>
      <c r="K26" s="95" t="e">
        <f>_xlfn.XLOOKUP(Table120912039[[#This Row],[Opp]],Table832[DEF],Table832[Y])</f>
        <v>#N/A</v>
      </c>
      <c r="L26" s="96" t="e">
        <f>_xlfn.XLOOKUP(Table120912039[[#This Row],[Opp]],Table832[DEF],Table832[TD])</f>
        <v>#N/A</v>
      </c>
      <c r="M26" s="94" t="e">
        <f>AVERAGE(Table120912039[[#This Row],[*C*]:[*TD*]])</f>
        <v>#N/A</v>
      </c>
    </row>
    <row r="27" spans="2:13" hidden="1" x14ac:dyDescent="0.35">
      <c r="B27" s="6" t="s">
        <v>459</v>
      </c>
      <c r="C27" s="97" t="s">
        <v>50</v>
      </c>
      <c r="D27" s="97" t="s">
        <v>430</v>
      </c>
      <c r="E27" s="23" t="str" cm="1">
        <f t="array" ref="E27">_xlfn.XLOOKUP(Table120912039[[#This Row],[Team]],Table4334[Team],'2425'!$C$3:$C$34)</f>
        <v>n/a</v>
      </c>
      <c r="F27" s="97" t="str">
        <f>'2025'!$E$28</f>
        <v>n/a</v>
      </c>
      <c r="G27" s="94" t="e" cm="1">
        <f t="array" ref="G27">_xlfn.XLOOKUP(Table120912039[[#This Row],[Opp]],Table832[DEF],'2425'!$AM$3:$AM$34)</f>
        <v>#N/A</v>
      </c>
      <c r="H27" s="94" t="e" cm="1">
        <f t="array" ref="H27">_xlfn.XLOOKUP(Table120912039[[#This Row],[Opp]],Table832[DEF],'2425'!$AN$3:$AN$34)</f>
        <v>#N/A</v>
      </c>
      <c r="I27" s="94" t="e" cm="1">
        <f t="array" ref="I27">_xlfn.XLOOKUP(Table120912039[[#This Row],[Opp]],Table832[DEF],'2425'!$AO$3:$AO$34)</f>
        <v>#N/A</v>
      </c>
      <c r="J27" s="95" t="e">
        <f>_xlfn.XLOOKUP(Table120912039[[#This Row],[Opp]],Table832[DEF],Table832[REC])</f>
        <v>#N/A</v>
      </c>
      <c r="K27" s="95" t="e">
        <f>_xlfn.XLOOKUP(Table120912039[[#This Row],[Opp]],Table832[DEF],Table832[Y])</f>
        <v>#N/A</v>
      </c>
      <c r="L27" s="96" t="e">
        <f>_xlfn.XLOOKUP(Table120912039[[#This Row],[Opp]],Table832[DEF],Table832[TD])</f>
        <v>#N/A</v>
      </c>
      <c r="M27" s="94" t="e">
        <f>AVERAGE(Table120912039[[#This Row],[*C*]:[*TD*]])</f>
        <v>#N/A</v>
      </c>
    </row>
    <row r="28" spans="2:13" hidden="1" x14ac:dyDescent="0.35">
      <c r="B28" s="6" t="s">
        <v>131</v>
      </c>
      <c r="C28" s="97" t="s">
        <v>29</v>
      </c>
      <c r="D28" s="97" t="s">
        <v>397</v>
      </c>
      <c r="E28" s="23" t="str" cm="1">
        <f t="array" ref="E28">_xlfn.XLOOKUP(Table120912039[[#This Row],[Team]],Table4334[Team],'2425'!$C$3:$C$34)</f>
        <v>n/a</v>
      </c>
      <c r="F28" s="97" t="str">
        <f>'2025'!$E$7</f>
        <v>n/a</v>
      </c>
      <c r="G28" s="94" t="e" cm="1">
        <f t="array" ref="G28">_xlfn.XLOOKUP(Table120912039[[#This Row],[Opp]],Table832[DEF],'2425'!$AM$3:$AM$34)</f>
        <v>#N/A</v>
      </c>
      <c r="H28" s="94" t="e" cm="1">
        <f t="array" ref="H28">_xlfn.XLOOKUP(Table120912039[[#This Row],[Opp]],Table832[DEF],'2425'!$AN$3:$AN$34)</f>
        <v>#N/A</v>
      </c>
      <c r="I28" s="94" t="e" cm="1">
        <f t="array" ref="I28">_xlfn.XLOOKUP(Table120912039[[#This Row],[Opp]],Table832[DEF],'2425'!$AO$3:$AO$34)</f>
        <v>#N/A</v>
      </c>
      <c r="J28" s="95" t="e">
        <f>_xlfn.XLOOKUP(Table120912039[[#This Row],[Opp]],Table832[DEF],Table832[REC])</f>
        <v>#N/A</v>
      </c>
      <c r="K28" s="95" t="e">
        <f>_xlfn.XLOOKUP(Table120912039[[#This Row],[Opp]],Table832[DEF],Table832[Y])</f>
        <v>#N/A</v>
      </c>
      <c r="L28" s="96" t="e">
        <f>_xlfn.XLOOKUP(Table120912039[[#This Row],[Opp]],Table832[DEF],Table832[TD])</f>
        <v>#N/A</v>
      </c>
      <c r="M28" s="94" t="e">
        <f>AVERAGE(Table120912039[[#This Row],[*C*]:[*TD*]])</f>
        <v>#N/A</v>
      </c>
    </row>
    <row r="29" spans="2:13" hidden="1" x14ac:dyDescent="0.35">
      <c r="B29" s="6" t="s">
        <v>154</v>
      </c>
      <c r="C29" s="97" t="s">
        <v>30</v>
      </c>
      <c r="D29" s="97" t="s">
        <v>398</v>
      </c>
      <c r="E29" s="23" t="str" cm="1">
        <f t="array" ref="E29">_xlfn.XLOOKUP(Table120912039[[#This Row],[Team]],Table4334[Team],'2425'!$C$3:$C$34)</f>
        <v>n/a</v>
      </c>
      <c r="F29" s="97" t="str">
        <f>'2025'!$E$8</f>
        <v>n/a</v>
      </c>
      <c r="G29" s="94" t="e" cm="1">
        <f t="array" ref="G29">_xlfn.XLOOKUP(Table120912039[[#This Row],[Opp]],Table832[DEF],'2425'!$AM$3:$AM$34)</f>
        <v>#N/A</v>
      </c>
      <c r="H29" s="94" t="e" cm="1">
        <f t="array" ref="H29">_xlfn.XLOOKUP(Table120912039[[#This Row],[Opp]],Table832[DEF],'2425'!$AN$3:$AN$34)</f>
        <v>#N/A</v>
      </c>
      <c r="I29" s="94" t="e" cm="1">
        <f t="array" ref="I29">_xlfn.XLOOKUP(Table120912039[[#This Row],[Opp]],Table832[DEF],'2425'!$AO$3:$AO$34)</f>
        <v>#N/A</v>
      </c>
      <c r="J29" s="95" t="e">
        <f>_xlfn.XLOOKUP(Table120912039[[#This Row],[Opp]],Table832[DEF],Table832[REC])</f>
        <v>#N/A</v>
      </c>
      <c r="K29" s="95" t="e">
        <f>_xlfn.XLOOKUP(Table120912039[[#This Row],[Opp]],Table832[DEF],Table832[Y])</f>
        <v>#N/A</v>
      </c>
      <c r="L29" s="96" t="e">
        <f>_xlfn.XLOOKUP(Table120912039[[#This Row],[Opp]],Table832[DEF],Table832[TD])</f>
        <v>#N/A</v>
      </c>
      <c r="M29" s="94" t="e">
        <f>AVERAGE(Table120912039[[#This Row],[*C*]:[*TD*]])</f>
        <v>#N/A</v>
      </c>
    </row>
    <row r="30" spans="2:13" hidden="1" x14ac:dyDescent="0.35">
      <c r="B30" s="6" t="s">
        <v>502</v>
      </c>
      <c r="C30" s="97" t="s">
        <v>30</v>
      </c>
      <c r="D30" s="97" t="s">
        <v>430</v>
      </c>
      <c r="E30" s="23" t="str" cm="1">
        <f t="array" ref="E30">_xlfn.XLOOKUP(Table120912039[[#This Row],[Team]],Table4334[Team],'2425'!$C$3:$C$34)</f>
        <v>n/a</v>
      </c>
      <c r="F30" s="97" t="str">
        <f>'2025'!$E$8</f>
        <v>n/a</v>
      </c>
      <c r="G30" s="94" t="e" cm="1">
        <f t="array" ref="G30">_xlfn.XLOOKUP(Table120912039[[#This Row],[Opp]],Table832[DEF],'2425'!$AM$3:$AM$34)</f>
        <v>#N/A</v>
      </c>
      <c r="H30" s="94" t="e" cm="1">
        <f t="array" ref="H30">_xlfn.XLOOKUP(Table120912039[[#This Row],[Opp]],Table832[DEF],'2425'!$AN$3:$AN$34)</f>
        <v>#N/A</v>
      </c>
      <c r="I30" s="94" t="e" cm="1">
        <f t="array" ref="I30">_xlfn.XLOOKUP(Table120912039[[#This Row],[Opp]],Table832[DEF],'2425'!$AO$3:$AO$34)</f>
        <v>#N/A</v>
      </c>
      <c r="J30" s="95" t="e">
        <f>_xlfn.XLOOKUP(Table120912039[[#This Row],[Opp]],Table832[DEF],Table832[REC])</f>
        <v>#N/A</v>
      </c>
      <c r="K30" s="95" t="e">
        <f>_xlfn.XLOOKUP(Table120912039[[#This Row],[Opp]],Table832[DEF],Table832[Y])</f>
        <v>#N/A</v>
      </c>
      <c r="L30" s="96" t="e">
        <f>_xlfn.XLOOKUP(Table120912039[[#This Row],[Opp]],Table832[DEF],Table832[TD])</f>
        <v>#N/A</v>
      </c>
      <c r="M30" s="94" t="e">
        <f>AVERAGE(Table120912039[[#This Row],[*C*]:[*TD*]])</f>
        <v>#N/A</v>
      </c>
    </row>
    <row r="31" spans="2:13" hidden="1" x14ac:dyDescent="0.35">
      <c r="B31" s="6" t="s">
        <v>165</v>
      </c>
      <c r="C31" s="97" t="s">
        <v>31</v>
      </c>
      <c r="D31" s="97" t="s">
        <v>397</v>
      </c>
      <c r="E31" s="23" t="str" cm="1">
        <f t="array" ref="E31">_xlfn.XLOOKUP(Table120912039[[#This Row],[Team]],Table4334[Team],'2425'!$C$3:$C$34)</f>
        <v>n/a</v>
      </c>
      <c r="F31" s="97" t="str">
        <f>'2025'!$E$9</f>
        <v>n/a</v>
      </c>
      <c r="G31" s="94" t="e" cm="1">
        <f t="array" ref="G31">_xlfn.XLOOKUP(Table120912039[[#This Row],[Opp]],Table832[DEF],'2425'!$AM$3:$AM$34)</f>
        <v>#N/A</v>
      </c>
      <c r="H31" s="94" t="e" cm="1">
        <f t="array" ref="H31">_xlfn.XLOOKUP(Table120912039[[#This Row],[Opp]],Table832[DEF],'2425'!$AN$3:$AN$34)</f>
        <v>#N/A</v>
      </c>
      <c r="I31" s="94" t="e" cm="1">
        <f t="array" ref="I31">_xlfn.XLOOKUP(Table120912039[[#This Row],[Opp]],Table832[DEF],'2425'!$AO$3:$AO$34)</f>
        <v>#N/A</v>
      </c>
      <c r="J31" s="95" t="e">
        <f>_xlfn.XLOOKUP(Table120912039[[#This Row],[Opp]],Table832[DEF],Table832[REC])</f>
        <v>#N/A</v>
      </c>
      <c r="K31" s="95" t="e">
        <f>_xlfn.XLOOKUP(Table120912039[[#This Row],[Opp]],Table832[DEF],Table832[Y])</f>
        <v>#N/A</v>
      </c>
      <c r="L31" s="96" t="e">
        <f>_xlfn.XLOOKUP(Table120912039[[#This Row],[Opp]],Table832[DEF],Table832[TD])</f>
        <v>#N/A</v>
      </c>
      <c r="M31" s="94" t="e">
        <f>AVERAGE(Table120912039[[#This Row],[*C*]:[*TD*]])</f>
        <v>#N/A</v>
      </c>
    </row>
    <row r="32" spans="2:13" hidden="1" x14ac:dyDescent="0.35">
      <c r="B32" s="6" t="s">
        <v>594</v>
      </c>
      <c r="C32" s="97" t="s">
        <v>55</v>
      </c>
      <c r="D32" s="97" t="s">
        <v>398</v>
      </c>
      <c r="E32" s="23" t="str" cm="1">
        <f t="array" ref="E32">_xlfn.XLOOKUP(Table120912039[[#This Row],[Team]],Table4334[Team],'2425'!$C$3:$C$34)</f>
        <v>n/a</v>
      </c>
      <c r="F32" s="97" t="str">
        <f>'2025'!$E$33</f>
        <v>n/a</v>
      </c>
      <c r="G32" s="94" t="e" cm="1">
        <f t="array" ref="G32">_xlfn.XLOOKUP(Table120912039[[#This Row],[Opp]],Table832[DEF],'2425'!$AM$3:$AM$34)</f>
        <v>#N/A</v>
      </c>
      <c r="H32" s="94" t="e" cm="1">
        <f t="array" ref="H32">_xlfn.XLOOKUP(Table120912039[[#This Row],[Opp]],Table832[DEF],'2425'!$AN$3:$AN$34)</f>
        <v>#N/A</v>
      </c>
      <c r="I32" s="94" t="e" cm="1">
        <f t="array" ref="I32">_xlfn.XLOOKUP(Table120912039[[#This Row],[Opp]],Table832[DEF],'2425'!$AO$3:$AO$34)</f>
        <v>#N/A</v>
      </c>
      <c r="J32" s="95" t="e">
        <f>_xlfn.XLOOKUP(Table120912039[[#This Row],[Opp]],Table832[DEF],Table832[REC])</f>
        <v>#N/A</v>
      </c>
      <c r="K32" s="95" t="e">
        <f>_xlfn.XLOOKUP(Table120912039[[#This Row],[Opp]],Table832[DEF],Table832[Y])</f>
        <v>#N/A</v>
      </c>
      <c r="L32" s="96" t="e">
        <f>_xlfn.XLOOKUP(Table120912039[[#This Row],[Opp]],Table832[DEF],Table832[TD])</f>
        <v>#N/A</v>
      </c>
      <c r="M32" s="94" t="e">
        <f>AVERAGE(Table120912039[[#This Row],[*C*]:[*TD*]])</f>
        <v>#N/A</v>
      </c>
    </row>
    <row r="33" spans="2:13" hidden="1" x14ac:dyDescent="0.35">
      <c r="B33" s="6" t="s">
        <v>595</v>
      </c>
      <c r="C33" s="97" t="s">
        <v>55</v>
      </c>
      <c r="D33" s="97" t="s">
        <v>430</v>
      </c>
      <c r="E33" s="23" t="str" cm="1">
        <f t="array" ref="E33">_xlfn.XLOOKUP(Table120912039[[#This Row],[Team]],Table4334[Team],'2425'!$C$3:$C$34)</f>
        <v>n/a</v>
      </c>
      <c r="F33" s="97" t="str">
        <f>'2025'!$E$33</f>
        <v>n/a</v>
      </c>
      <c r="G33" s="94" t="e" cm="1">
        <f t="array" ref="G33">_xlfn.XLOOKUP(Table120912039[[#This Row],[Opp]],Table832[DEF],'2425'!$AM$3:$AM$34)</f>
        <v>#N/A</v>
      </c>
      <c r="H33" s="94" t="e" cm="1">
        <f t="array" ref="H33">_xlfn.XLOOKUP(Table120912039[[#This Row],[Opp]],Table832[DEF],'2425'!$AN$3:$AN$34)</f>
        <v>#N/A</v>
      </c>
      <c r="I33" s="94" t="e" cm="1">
        <f t="array" ref="I33">_xlfn.XLOOKUP(Table120912039[[#This Row],[Opp]],Table832[DEF],'2425'!$AO$3:$AO$34)</f>
        <v>#N/A</v>
      </c>
      <c r="J33" s="95" t="e">
        <f>_xlfn.XLOOKUP(Table120912039[[#This Row],[Opp]],Table832[DEF],Table832[REC])</f>
        <v>#N/A</v>
      </c>
      <c r="K33" s="95" t="e">
        <f>_xlfn.XLOOKUP(Table120912039[[#This Row],[Opp]],Table832[DEF],Table832[Y])</f>
        <v>#N/A</v>
      </c>
      <c r="L33" s="96" t="e">
        <f>_xlfn.XLOOKUP(Table120912039[[#This Row],[Opp]],Table832[DEF],Table832[TD])</f>
        <v>#N/A</v>
      </c>
      <c r="M33" s="94" t="e">
        <f>AVERAGE(Table120912039[[#This Row],[*C*]:[*TD*]])</f>
        <v>#N/A</v>
      </c>
    </row>
    <row r="34" spans="2:13" hidden="1" x14ac:dyDescent="0.35">
      <c r="B34" s="6" t="s">
        <v>339</v>
      </c>
      <c r="C34" s="97" t="s">
        <v>50</v>
      </c>
      <c r="D34" s="97" t="s">
        <v>397</v>
      </c>
      <c r="E34" s="23" t="str" cm="1">
        <f t="array" ref="E34">_xlfn.XLOOKUP(Table120912039[[#This Row],[Team]],Table4334[Team],'2425'!$C$3:$C$34)</f>
        <v>n/a</v>
      </c>
      <c r="F34" s="97" t="str">
        <f>'2025'!$E$28</f>
        <v>n/a</v>
      </c>
      <c r="G34" s="94" t="e" cm="1">
        <f t="array" ref="G34">_xlfn.XLOOKUP(Table120912039[[#This Row],[Opp]],Table832[DEF],'2425'!$AM$3:$AM$34)</f>
        <v>#N/A</v>
      </c>
      <c r="H34" s="94" t="e" cm="1">
        <f t="array" ref="H34">_xlfn.XLOOKUP(Table120912039[[#This Row],[Opp]],Table832[DEF],'2425'!$AN$3:$AN$34)</f>
        <v>#N/A</v>
      </c>
      <c r="I34" s="94" t="e" cm="1">
        <f t="array" ref="I34">_xlfn.XLOOKUP(Table120912039[[#This Row],[Opp]],Table832[DEF],'2425'!$AO$3:$AO$34)</f>
        <v>#N/A</v>
      </c>
      <c r="J34" s="95" t="e">
        <f>_xlfn.XLOOKUP(Table120912039[[#This Row],[Opp]],Table832[DEF],Table832[REC])</f>
        <v>#N/A</v>
      </c>
      <c r="K34" s="95" t="e">
        <f>_xlfn.XLOOKUP(Table120912039[[#This Row],[Opp]],Table832[DEF],Table832[Y])</f>
        <v>#N/A</v>
      </c>
      <c r="L34" s="96" t="e">
        <f>_xlfn.XLOOKUP(Table120912039[[#This Row],[Opp]],Table832[DEF],Table832[TD])</f>
        <v>#N/A</v>
      </c>
      <c r="M34" s="94" t="e">
        <f>AVERAGE(Table120912039[[#This Row],[*C*]:[*TD*]])</f>
        <v>#N/A</v>
      </c>
    </row>
    <row r="35" spans="2:13" hidden="1" x14ac:dyDescent="0.35">
      <c r="B35" s="6" t="s">
        <v>636</v>
      </c>
      <c r="C35" s="97" t="s">
        <v>37</v>
      </c>
      <c r="D35" s="97" t="s">
        <v>398</v>
      </c>
      <c r="E35" s="23" t="str" cm="1">
        <f t="array" ref="E35">_xlfn.XLOOKUP(Table120912039[[#This Row],[Team]],Table4334[Team],'2425'!$C$3:$C$34)</f>
        <v>n/a</v>
      </c>
      <c r="F35" s="97" t="str">
        <f>'2025'!$E$15</f>
        <v>n/a</v>
      </c>
      <c r="G35" s="94" t="e" cm="1">
        <f t="array" ref="G35">_xlfn.XLOOKUP(Table120912039[[#This Row],[Opp]],Table832[DEF],'2425'!$AM$3:$AM$34)</f>
        <v>#N/A</v>
      </c>
      <c r="H35" s="94" t="e" cm="1">
        <f t="array" ref="H35">_xlfn.XLOOKUP(Table120912039[[#This Row],[Opp]],Table832[DEF],'2425'!$AN$3:$AN$34)</f>
        <v>#N/A</v>
      </c>
      <c r="I35" s="94" t="e" cm="1">
        <f t="array" ref="I35">_xlfn.XLOOKUP(Table120912039[[#This Row],[Opp]],Table832[DEF],'2425'!$AO$3:$AO$34)</f>
        <v>#N/A</v>
      </c>
      <c r="J35" s="95" t="e">
        <f>_xlfn.XLOOKUP(Table120912039[[#This Row],[Opp]],Table832[DEF],Table832[REC])</f>
        <v>#N/A</v>
      </c>
      <c r="K35" s="95" t="e">
        <f>_xlfn.XLOOKUP(Table120912039[[#This Row],[Opp]],Table832[DEF],Table832[Y])</f>
        <v>#N/A</v>
      </c>
      <c r="L35" s="96" t="e">
        <f>_xlfn.XLOOKUP(Table120912039[[#This Row],[Opp]],Table832[DEF],Table832[TD])</f>
        <v>#N/A</v>
      </c>
      <c r="M35" s="94" t="e">
        <f>AVERAGE(Table120912039[[#This Row],[*C*]:[*TD*]])</f>
        <v>#N/A</v>
      </c>
    </row>
    <row r="36" spans="2:13" hidden="1" x14ac:dyDescent="0.35">
      <c r="B36" s="6" t="s">
        <v>637</v>
      </c>
      <c r="C36" s="97" t="s">
        <v>37</v>
      </c>
      <c r="D36" s="97" t="s">
        <v>430</v>
      </c>
      <c r="E36" s="23" t="str" cm="1">
        <f t="array" ref="E36">_xlfn.XLOOKUP(Table120912039[[#This Row],[Team]],Table4334[Team],'2425'!$C$3:$C$34)</f>
        <v>n/a</v>
      </c>
      <c r="F36" s="97" t="str">
        <f>'2025'!$E$15</f>
        <v>n/a</v>
      </c>
      <c r="G36" s="94" t="e" cm="1">
        <f t="array" ref="G36">_xlfn.XLOOKUP(Table120912039[[#This Row],[Opp]],Table832[DEF],'2425'!$AM$3:$AM$34)</f>
        <v>#N/A</v>
      </c>
      <c r="H36" s="94" t="e" cm="1">
        <f t="array" ref="H36">_xlfn.XLOOKUP(Table120912039[[#This Row],[Opp]],Table832[DEF],'2425'!$AN$3:$AN$34)</f>
        <v>#N/A</v>
      </c>
      <c r="I36" s="94" t="e" cm="1">
        <f t="array" ref="I36">_xlfn.XLOOKUP(Table120912039[[#This Row],[Opp]],Table832[DEF],'2425'!$AO$3:$AO$34)</f>
        <v>#N/A</v>
      </c>
      <c r="J36" s="95" t="e">
        <f>_xlfn.XLOOKUP(Table120912039[[#This Row],[Opp]],Table832[DEF],Table832[REC])</f>
        <v>#N/A</v>
      </c>
      <c r="K36" s="95" t="e">
        <f>_xlfn.XLOOKUP(Table120912039[[#This Row],[Opp]],Table832[DEF],Table832[Y])</f>
        <v>#N/A</v>
      </c>
      <c r="L36" s="96" t="e">
        <f>_xlfn.XLOOKUP(Table120912039[[#This Row],[Opp]],Table832[DEF],Table832[TD])</f>
        <v>#N/A</v>
      </c>
      <c r="M36" s="94" t="e">
        <f>AVERAGE(Table120912039[[#This Row],[*C*]:[*TD*]])</f>
        <v>#N/A</v>
      </c>
    </row>
    <row r="37" spans="2:13" hidden="1" x14ac:dyDescent="0.35">
      <c r="B37" s="6" t="s">
        <v>638</v>
      </c>
      <c r="C37" s="97" t="s">
        <v>37</v>
      </c>
      <c r="D37" s="97" t="s">
        <v>435</v>
      </c>
      <c r="E37" s="23" t="str" cm="1">
        <f t="array" ref="E37">_xlfn.XLOOKUP(Table120912039[[#This Row],[Team]],Table4334[Team],'2425'!$C$3:$C$34)</f>
        <v>n/a</v>
      </c>
      <c r="F37" s="97" t="str">
        <f>'2025'!$E$15</f>
        <v>n/a</v>
      </c>
      <c r="G37" s="94" t="e" cm="1">
        <f t="array" ref="G37">_xlfn.XLOOKUP(Table120912039[[#This Row],[Opp]],Table832[DEF],'2425'!$AM$3:$AM$34)</f>
        <v>#N/A</v>
      </c>
      <c r="H37" s="94" t="e" cm="1">
        <f t="array" ref="H37">_xlfn.XLOOKUP(Table120912039[[#This Row],[Opp]],Table832[DEF],'2425'!$AN$3:$AN$34)</f>
        <v>#N/A</v>
      </c>
      <c r="I37" s="94" t="e" cm="1">
        <f t="array" ref="I37">_xlfn.XLOOKUP(Table120912039[[#This Row],[Opp]],Table832[DEF],'2425'!$AO$3:$AO$34)</f>
        <v>#N/A</v>
      </c>
      <c r="J37" s="95" t="e">
        <f>_xlfn.XLOOKUP(Table120912039[[#This Row],[Opp]],Table832[DEF],Table832[REC])</f>
        <v>#N/A</v>
      </c>
      <c r="K37" s="95" t="e">
        <f>_xlfn.XLOOKUP(Table120912039[[#This Row],[Opp]],Table832[DEF],Table832[Y])</f>
        <v>#N/A</v>
      </c>
      <c r="L37" s="96" t="e">
        <f>_xlfn.XLOOKUP(Table120912039[[#This Row],[Opp]],Table832[DEF],Table832[TD])</f>
        <v>#N/A</v>
      </c>
      <c r="M37" s="94" t="e">
        <f>AVERAGE(Table120912039[[#This Row],[*C*]:[*TD*]])</f>
        <v>#N/A</v>
      </c>
    </row>
    <row r="38" spans="2:13" hidden="1" x14ac:dyDescent="0.35">
      <c r="B38" s="6" t="s">
        <v>126</v>
      </c>
      <c r="C38" s="97" t="s">
        <v>48</v>
      </c>
      <c r="D38" s="97" t="s">
        <v>397</v>
      </c>
      <c r="E38" s="23" t="str" cm="1">
        <f t="array" ref="E38">_xlfn.XLOOKUP(Table120912039[[#This Row],[Team]],Table4334[Team],'2425'!$C$3:$C$34)</f>
        <v>n/a</v>
      </c>
      <c r="F38" s="97" t="str">
        <f>'2025'!$E$26</f>
        <v>n/a</v>
      </c>
      <c r="G38" s="94" t="e" cm="1">
        <f t="array" ref="G38">_xlfn.XLOOKUP(Table120912039[[#This Row],[Opp]],Table832[DEF],'2425'!$AM$3:$AM$34)</f>
        <v>#N/A</v>
      </c>
      <c r="H38" s="94" t="e" cm="1">
        <f t="array" ref="H38">_xlfn.XLOOKUP(Table120912039[[#This Row],[Opp]],Table832[DEF],'2425'!$AN$3:$AN$34)</f>
        <v>#N/A</v>
      </c>
      <c r="I38" s="94" t="e" cm="1">
        <f t="array" ref="I38">_xlfn.XLOOKUP(Table120912039[[#This Row],[Opp]],Table832[DEF],'2425'!$AO$3:$AO$34)</f>
        <v>#N/A</v>
      </c>
      <c r="J38" s="95" t="e">
        <f>_xlfn.XLOOKUP(Table120912039[[#This Row],[Opp]],Table832[DEF],Table832[REC])</f>
        <v>#N/A</v>
      </c>
      <c r="K38" s="95" t="e">
        <f>_xlfn.XLOOKUP(Table120912039[[#This Row],[Opp]],Table832[DEF],Table832[Y])</f>
        <v>#N/A</v>
      </c>
      <c r="L38" s="96" t="e">
        <f>_xlfn.XLOOKUP(Table120912039[[#This Row],[Opp]],Table832[DEF],Table832[TD])</f>
        <v>#N/A</v>
      </c>
      <c r="M38" s="94" t="e">
        <f>AVERAGE(Table120912039[[#This Row],[*C*]:[*TD*]])</f>
        <v>#N/A</v>
      </c>
    </row>
    <row r="39" spans="2:13" hidden="1" x14ac:dyDescent="0.35">
      <c r="B39" s="6" t="s">
        <v>622</v>
      </c>
      <c r="C39" s="97" t="s">
        <v>47</v>
      </c>
      <c r="D39" s="97" t="s">
        <v>398</v>
      </c>
      <c r="E39" s="23" t="str" cm="1">
        <f t="array" ref="E39">_xlfn.XLOOKUP(Table120912039[[#This Row],[Team]],Table4334[Team],'2425'!$C$3:$C$34)</f>
        <v>n/a</v>
      </c>
      <c r="F39" s="97" t="str">
        <f>'2025'!$E$25</f>
        <v>n/a</v>
      </c>
      <c r="G39" s="94" t="e" cm="1">
        <f t="array" ref="G39">_xlfn.XLOOKUP(Table120912039[[#This Row],[Opp]],Table832[DEF],'2425'!$AM$3:$AM$34)</f>
        <v>#N/A</v>
      </c>
      <c r="H39" s="94" t="e" cm="1">
        <f t="array" ref="H39">_xlfn.XLOOKUP(Table120912039[[#This Row],[Opp]],Table832[DEF],'2425'!$AN$3:$AN$34)</f>
        <v>#N/A</v>
      </c>
      <c r="I39" s="94" t="e" cm="1">
        <f t="array" ref="I39">_xlfn.XLOOKUP(Table120912039[[#This Row],[Opp]],Table832[DEF],'2425'!$AO$3:$AO$34)</f>
        <v>#N/A</v>
      </c>
      <c r="J39" s="95" t="e">
        <f>_xlfn.XLOOKUP(Table120912039[[#This Row],[Opp]],Table832[DEF],Table832[REC])</f>
        <v>#N/A</v>
      </c>
      <c r="K39" s="95" t="e">
        <f>_xlfn.XLOOKUP(Table120912039[[#This Row],[Opp]],Table832[DEF],Table832[Y])</f>
        <v>#N/A</v>
      </c>
      <c r="L39" s="96" t="e">
        <f>_xlfn.XLOOKUP(Table120912039[[#This Row],[Opp]],Table832[DEF],Table832[TD])</f>
        <v>#N/A</v>
      </c>
      <c r="M39" s="94" t="e">
        <f>AVERAGE(Table120912039[[#This Row],[*C*]:[*TD*]])</f>
        <v>#N/A</v>
      </c>
    </row>
    <row r="40" spans="2:13" hidden="1" x14ac:dyDescent="0.35">
      <c r="B40" s="6" t="s">
        <v>290</v>
      </c>
      <c r="C40" s="97" t="s">
        <v>47</v>
      </c>
      <c r="D40" s="97" t="s">
        <v>430</v>
      </c>
      <c r="E40" s="23" t="str" cm="1">
        <f t="array" ref="E40">_xlfn.XLOOKUP(Table120912039[[#This Row],[Team]],Table4334[Team],'2425'!$C$3:$C$34)</f>
        <v>n/a</v>
      </c>
      <c r="F40" s="97" t="str">
        <f>'2025'!$E$25</f>
        <v>n/a</v>
      </c>
      <c r="G40" s="94" t="e" cm="1">
        <f t="array" ref="G40">_xlfn.XLOOKUP(Table120912039[[#This Row],[Opp]],Table832[DEF],'2425'!$AM$3:$AM$34)</f>
        <v>#N/A</v>
      </c>
      <c r="H40" s="94" t="e" cm="1">
        <f t="array" ref="H40">_xlfn.XLOOKUP(Table120912039[[#This Row],[Opp]],Table832[DEF],'2425'!$AN$3:$AN$34)</f>
        <v>#N/A</v>
      </c>
      <c r="I40" s="94" t="e" cm="1">
        <f t="array" ref="I40">_xlfn.XLOOKUP(Table120912039[[#This Row],[Opp]],Table832[DEF],'2425'!$AO$3:$AO$34)</f>
        <v>#N/A</v>
      </c>
      <c r="J40" s="95" t="e">
        <f>_xlfn.XLOOKUP(Table120912039[[#This Row],[Opp]],Table832[DEF],Table832[REC])</f>
        <v>#N/A</v>
      </c>
      <c r="K40" s="95" t="e">
        <f>_xlfn.XLOOKUP(Table120912039[[#This Row],[Opp]],Table832[DEF],Table832[Y])</f>
        <v>#N/A</v>
      </c>
      <c r="L40" s="96" t="e">
        <f>_xlfn.XLOOKUP(Table120912039[[#This Row],[Opp]],Table832[DEF],Table832[TD])</f>
        <v>#N/A</v>
      </c>
      <c r="M40" s="94" t="e">
        <f>AVERAGE(Table120912039[[#This Row],[*C*]:[*TD*]])</f>
        <v>#N/A</v>
      </c>
    </row>
    <row r="41" spans="2:13" hidden="1" x14ac:dyDescent="0.35">
      <c r="B41" s="6" t="s">
        <v>623</v>
      </c>
      <c r="C41" s="97" t="s">
        <v>47</v>
      </c>
      <c r="D41" s="97" t="s">
        <v>435</v>
      </c>
      <c r="E41" s="23" t="str" cm="1">
        <f t="array" ref="E41">_xlfn.XLOOKUP(Table120912039[[#This Row],[Team]],Table4334[Team],'2425'!$C$3:$C$34)</f>
        <v>n/a</v>
      </c>
      <c r="F41" s="97" t="str">
        <f>'2025'!$E$25</f>
        <v>n/a</v>
      </c>
      <c r="G41" s="94" t="e" cm="1">
        <f t="array" ref="G41">_xlfn.XLOOKUP(Table120912039[[#This Row],[Opp]],Table832[DEF],'2425'!$AM$3:$AM$34)</f>
        <v>#N/A</v>
      </c>
      <c r="H41" s="94" t="e" cm="1">
        <f t="array" ref="H41">_xlfn.XLOOKUP(Table120912039[[#This Row],[Opp]],Table832[DEF],'2425'!$AN$3:$AN$34)</f>
        <v>#N/A</v>
      </c>
      <c r="I41" s="94" t="e" cm="1">
        <f t="array" ref="I41">_xlfn.XLOOKUP(Table120912039[[#This Row],[Opp]],Table832[DEF],'2425'!$AO$3:$AO$34)</f>
        <v>#N/A</v>
      </c>
      <c r="J41" s="95" t="e">
        <f>_xlfn.XLOOKUP(Table120912039[[#This Row],[Opp]],Table832[DEF],Table832[REC])</f>
        <v>#N/A</v>
      </c>
      <c r="K41" s="95" t="e">
        <f>_xlfn.XLOOKUP(Table120912039[[#This Row],[Opp]],Table832[DEF],Table832[Y])</f>
        <v>#N/A</v>
      </c>
      <c r="L41" s="96" t="e">
        <f>_xlfn.XLOOKUP(Table120912039[[#This Row],[Opp]],Table832[DEF],Table832[TD])</f>
        <v>#N/A</v>
      </c>
      <c r="M41" s="94" t="e">
        <f>AVERAGE(Table120912039[[#This Row],[*C*]:[*TD*]])</f>
        <v>#N/A</v>
      </c>
    </row>
    <row r="42" spans="2:13" hidden="1" x14ac:dyDescent="0.35">
      <c r="B42" s="6" t="s">
        <v>297</v>
      </c>
      <c r="C42" s="97" t="s">
        <v>45</v>
      </c>
      <c r="D42" s="97" t="s">
        <v>397</v>
      </c>
      <c r="E42" s="23" t="str" cm="1">
        <f t="array" ref="E42">_xlfn.XLOOKUP(Table120912039[[#This Row],[Team]],Table4334[Team],'2425'!$C$3:$C$34)</f>
        <v>n/a</v>
      </c>
      <c r="F42" s="97" t="str">
        <f>'2025'!$E$23</f>
        <v>n/a</v>
      </c>
      <c r="G42" s="94" t="e" cm="1">
        <f t="array" ref="G42">_xlfn.XLOOKUP(Table120912039[[#This Row],[Opp]],Table832[DEF],'2425'!$AM$3:$AM$34)</f>
        <v>#N/A</v>
      </c>
      <c r="H42" s="94" t="e" cm="1">
        <f t="array" ref="H42">_xlfn.XLOOKUP(Table120912039[[#This Row],[Opp]],Table832[DEF],'2425'!$AN$3:$AN$34)</f>
        <v>#N/A</v>
      </c>
      <c r="I42" s="94" t="e" cm="1">
        <f t="array" ref="I42">_xlfn.XLOOKUP(Table120912039[[#This Row],[Opp]],Table832[DEF],'2425'!$AO$3:$AO$34)</f>
        <v>#N/A</v>
      </c>
      <c r="J42" s="95" t="e">
        <f>_xlfn.XLOOKUP(Table120912039[[#This Row],[Opp]],Table832[DEF],Table832[REC])</f>
        <v>#N/A</v>
      </c>
      <c r="K42" s="95" t="e">
        <f>_xlfn.XLOOKUP(Table120912039[[#This Row],[Opp]],Table832[DEF],Table832[Y])</f>
        <v>#N/A</v>
      </c>
      <c r="L42" s="96" t="e">
        <f>_xlfn.XLOOKUP(Table120912039[[#This Row],[Opp]],Table832[DEF],Table832[TD])</f>
        <v>#N/A</v>
      </c>
      <c r="M42" s="94" t="e">
        <f>AVERAGE(Table120912039[[#This Row],[*C*]:[*TD*]])</f>
        <v>#N/A</v>
      </c>
    </row>
    <row r="43" spans="2:13" hidden="1" x14ac:dyDescent="0.35">
      <c r="B43" s="6" t="s">
        <v>614</v>
      </c>
      <c r="C43" s="97" t="s">
        <v>29</v>
      </c>
      <c r="D43" s="97" t="s">
        <v>398</v>
      </c>
      <c r="E43" s="23" t="str" cm="1">
        <f t="array" ref="E43">_xlfn.XLOOKUP(Table120912039[[#This Row],[Team]],Table4334[Team],'2425'!$C$3:$C$34)</f>
        <v>n/a</v>
      </c>
      <c r="F43" s="97" t="str">
        <f>'2025'!$E$7</f>
        <v>n/a</v>
      </c>
      <c r="G43" s="94" t="e" cm="1">
        <f t="array" ref="G43">_xlfn.XLOOKUP(Table120912039[[#This Row],[Opp]],Table832[DEF],'2425'!$AM$3:$AM$34)</f>
        <v>#N/A</v>
      </c>
      <c r="H43" s="94" t="e" cm="1">
        <f t="array" ref="H43">_xlfn.XLOOKUP(Table120912039[[#This Row],[Opp]],Table832[DEF],'2425'!$AN$3:$AN$34)</f>
        <v>#N/A</v>
      </c>
      <c r="I43" s="94" t="e" cm="1">
        <f t="array" ref="I43">_xlfn.XLOOKUP(Table120912039[[#This Row],[Opp]],Table832[DEF],'2425'!$AO$3:$AO$34)</f>
        <v>#N/A</v>
      </c>
      <c r="J43" s="95" t="e">
        <f>_xlfn.XLOOKUP(Table120912039[[#This Row],[Opp]],Table832[DEF],Table832[REC])</f>
        <v>#N/A</v>
      </c>
      <c r="K43" s="95" t="e">
        <f>_xlfn.XLOOKUP(Table120912039[[#This Row],[Opp]],Table832[DEF],Table832[Y])</f>
        <v>#N/A</v>
      </c>
      <c r="L43" s="96" t="e">
        <f>_xlfn.XLOOKUP(Table120912039[[#This Row],[Opp]],Table832[DEF],Table832[TD])</f>
        <v>#N/A</v>
      </c>
      <c r="M43" s="94" t="e">
        <f>AVERAGE(Table120912039[[#This Row],[*C*]:[*TD*]])</f>
        <v>#N/A</v>
      </c>
    </row>
    <row r="44" spans="2:13" hidden="1" x14ac:dyDescent="0.35">
      <c r="B44" s="108" t="s">
        <v>372</v>
      </c>
      <c r="C44" s="97" t="s">
        <v>29</v>
      </c>
      <c r="D44" s="97" t="s">
        <v>430</v>
      </c>
      <c r="E44" s="23" t="str" cm="1">
        <f t="array" ref="E44">_xlfn.XLOOKUP(Table120912039[[#This Row],[Team]],Table4334[Team],'2425'!$C$3:$C$34)</f>
        <v>n/a</v>
      </c>
      <c r="F44" s="97" t="str">
        <f>'2025'!$E$7</f>
        <v>n/a</v>
      </c>
      <c r="G44" s="94" t="e" cm="1">
        <f t="array" ref="G44">_xlfn.XLOOKUP(Table120912039[[#This Row],[Opp]],Table832[DEF],'2425'!$AM$3:$AM$34)</f>
        <v>#N/A</v>
      </c>
      <c r="H44" s="94" t="e" cm="1">
        <f t="array" ref="H44">_xlfn.XLOOKUP(Table120912039[[#This Row],[Opp]],Table832[DEF],'2425'!$AN$3:$AN$34)</f>
        <v>#N/A</v>
      </c>
      <c r="I44" s="94" t="e" cm="1">
        <f t="array" ref="I44">_xlfn.XLOOKUP(Table120912039[[#This Row],[Opp]],Table832[DEF],'2425'!$AO$3:$AO$34)</f>
        <v>#N/A</v>
      </c>
      <c r="J44" s="95" t="e">
        <f>_xlfn.XLOOKUP(Table120912039[[#This Row],[Opp]],Table832[DEF],Table832[REC])</f>
        <v>#N/A</v>
      </c>
      <c r="K44" s="95" t="e">
        <f>_xlfn.XLOOKUP(Table120912039[[#This Row],[Opp]],Table832[DEF],Table832[Y])</f>
        <v>#N/A</v>
      </c>
      <c r="L44" s="96" t="e">
        <f>_xlfn.XLOOKUP(Table120912039[[#This Row],[Opp]],Table832[DEF],Table832[TD])</f>
        <v>#N/A</v>
      </c>
      <c r="M44" s="94" t="e">
        <f>AVERAGE(Table120912039[[#This Row],[*C*]:[*TD*]])</f>
        <v>#N/A</v>
      </c>
    </row>
    <row r="45" spans="2:13" hidden="1" x14ac:dyDescent="0.35">
      <c r="B45" s="6" t="s">
        <v>615</v>
      </c>
      <c r="C45" s="97" t="s">
        <v>29</v>
      </c>
      <c r="D45" s="97" t="s">
        <v>435</v>
      </c>
      <c r="E45" s="23" t="str" cm="1">
        <f t="array" ref="E45">_xlfn.XLOOKUP(Table120912039[[#This Row],[Team]],Table4334[Team],'2425'!$C$3:$C$34)</f>
        <v>n/a</v>
      </c>
      <c r="F45" s="97" t="str">
        <f>'2025'!$E$7</f>
        <v>n/a</v>
      </c>
      <c r="G45" s="94" t="e" cm="1">
        <f t="array" ref="G45">_xlfn.XLOOKUP(Table120912039[[#This Row],[Opp]],Table832[DEF],'2425'!$AM$3:$AM$34)</f>
        <v>#N/A</v>
      </c>
      <c r="H45" s="94" t="e" cm="1">
        <f t="array" ref="H45">_xlfn.XLOOKUP(Table120912039[[#This Row],[Opp]],Table832[DEF],'2425'!$AN$3:$AN$34)</f>
        <v>#N/A</v>
      </c>
      <c r="I45" s="94" t="e" cm="1">
        <f t="array" ref="I45">_xlfn.XLOOKUP(Table120912039[[#This Row],[Opp]],Table832[DEF],'2425'!$AO$3:$AO$34)</f>
        <v>#N/A</v>
      </c>
      <c r="J45" s="95" t="e">
        <f>_xlfn.XLOOKUP(Table120912039[[#This Row],[Opp]],Table832[DEF],Table832[REC])</f>
        <v>#N/A</v>
      </c>
      <c r="K45" s="95" t="e">
        <f>_xlfn.XLOOKUP(Table120912039[[#This Row],[Opp]],Table832[DEF],Table832[Y])</f>
        <v>#N/A</v>
      </c>
      <c r="L45" s="96" t="e">
        <f>_xlfn.XLOOKUP(Table120912039[[#This Row],[Opp]],Table832[DEF],Table832[TD])</f>
        <v>#N/A</v>
      </c>
      <c r="M45" s="94" t="e">
        <f>AVERAGE(Table120912039[[#This Row],[*C*]:[*TD*]])</f>
        <v>#N/A</v>
      </c>
    </row>
    <row r="46" spans="2:13" x14ac:dyDescent="0.35">
      <c r="B46" s="6" t="s">
        <v>269</v>
      </c>
      <c r="C46" s="97" t="s">
        <v>42</v>
      </c>
      <c r="D46" s="97" t="s">
        <v>397</v>
      </c>
      <c r="E46" s="23" t="str" cm="1">
        <f t="array" ref="E46">_xlfn.XLOOKUP(Table120912039[[#This Row],[Team]],Table4334[Team],'2425'!$C$3:$C$34)</f>
        <v>n/a</v>
      </c>
      <c r="F46" s="97" t="str">
        <f>'2025'!$E$20</f>
        <v>n/a</v>
      </c>
      <c r="G46" s="94" t="e" cm="1">
        <f t="array" ref="G46">_xlfn.XLOOKUP(Table120912039[[#This Row],[Opp]],Table832[DEF],'2425'!$AM$3:$AM$34)</f>
        <v>#N/A</v>
      </c>
      <c r="H46" s="94" t="e" cm="1">
        <f t="array" ref="H46">_xlfn.XLOOKUP(Table120912039[[#This Row],[Opp]],Table832[DEF],'2425'!$AN$3:$AN$34)</f>
        <v>#N/A</v>
      </c>
      <c r="I46" s="94" t="e" cm="1">
        <f t="array" ref="I46">_xlfn.XLOOKUP(Table120912039[[#This Row],[Opp]],Table832[DEF],'2425'!$AO$3:$AO$34)</f>
        <v>#N/A</v>
      </c>
      <c r="J46" s="95" t="e">
        <f>_xlfn.XLOOKUP(Table120912039[[#This Row],[Opp]],Table832[DEF],Table832[REC])</f>
        <v>#N/A</v>
      </c>
      <c r="K46" s="95" t="e">
        <f>_xlfn.XLOOKUP(Table120912039[[#This Row],[Opp]],Table832[DEF],Table832[Y])</f>
        <v>#N/A</v>
      </c>
      <c r="L46" s="96" t="e">
        <f>_xlfn.XLOOKUP(Table120912039[[#This Row],[Opp]],Table832[DEF],Table832[TD])</f>
        <v>#N/A</v>
      </c>
      <c r="M46" s="94" t="e">
        <f>AVERAGE(Table120912039[[#This Row],[*C*]:[*TD*]])</f>
        <v>#N/A</v>
      </c>
    </row>
    <row r="47" spans="2:13" hidden="1" x14ac:dyDescent="0.35">
      <c r="B47" s="6" t="s">
        <v>270</v>
      </c>
      <c r="C47" s="97" t="s">
        <v>42</v>
      </c>
      <c r="D47" s="97" t="s">
        <v>398</v>
      </c>
      <c r="E47" s="23" t="str" cm="1">
        <f t="array" ref="E47">_xlfn.XLOOKUP(Table120912039[[#This Row],[Team]],Table4334[Team],'2425'!$C$3:$C$34)</f>
        <v>n/a</v>
      </c>
      <c r="F47" s="97" t="str">
        <f>'2025'!$E$20</f>
        <v>n/a</v>
      </c>
      <c r="G47" s="94" t="e" cm="1">
        <f t="array" ref="G47">_xlfn.XLOOKUP(Table120912039[[#This Row],[Opp]],Table832[DEF],'2425'!$AM$3:$AM$34)</f>
        <v>#N/A</v>
      </c>
      <c r="H47" s="94" t="e" cm="1">
        <f t="array" ref="H47">_xlfn.XLOOKUP(Table120912039[[#This Row],[Opp]],Table832[DEF],'2425'!$AN$3:$AN$34)</f>
        <v>#N/A</v>
      </c>
      <c r="I47" s="94" t="e" cm="1">
        <f t="array" ref="I47">_xlfn.XLOOKUP(Table120912039[[#This Row],[Opp]],Table832[DEF],'2425'!$AO$3:$AO$34)</f>
        <v>#N/A</v>
      </c>
      <c r="J47" s="95" t="e">
        <f>_xlfn.XLOOKUP(Table120912039[[#This Row],[Opp]],Table832[DEF],Table832[REC])</f>
        <v>#N/A</v>
      </c>
      <c r="K47" s="95" t="e">
        <f>_xlfn.XLOOKUP(Table120912039[[#This Row],[Opp]],Table832[DEF],Table832[Y])</f>
        <v>#N/A</v>
      </c>
      <c r="L47" s="96" t="e">
        <f>_xlfn.XLOOKUP(Table120912039[[#This Row],[Opp]],Table832[DEF],Table832[TD])</f>
        <v>#N/A</v>
      </c>
      <c r="M47" s="94" t="e">
        <f>AVERAGE(Table120912039[[#This Row],[*C*]:[*TD*]])</f>
        <v>#N/A</v>
      </c>
    </row>
    <row r="48" spans="2:13" hidden="1" x14ac:dyDescent="0.35">
      <c r="B48" s="6" t="s">
        <v>551</v>
      </c>
      <c r="C48" s="97" t="s">
        <v>42</v>
      </c>
      <c r="D48" s="97" t="s">
        <v>430</v>
      </c>
      <c r="E48" s="23" t="str" cm="1">
        <f t="array" ref="E48">_xlfn.XLOOKUP(Table120912039[[#This Row],[Team]],Table4334[Team],'2425'!$C$3:$C$34)</f>
        <v>n/a</v>
      </c>
      <c r="F48" s="97" t="str">
        <f>'2025'!$E$20</f>
        <v>n/a</v>
      </c>
      <c r="G48" s="94" t="e" cm="1">
        <f t="array" ref="G48">_xlfn.XLOOKUP(Table120912039[[#This Row],[Opp]],Table832[DEF],'2425'!$AM$3:$AM$34)</f>
        <v>#N/A</v>
      </c>
      <c r="H48" s="94" t="e" cm="1">
        <f t="array" ref="H48">_xlfn.XLOOKUP(Table120912039[[#This Row],[Opp]],Table832[DEF],'2425'!$AN$3:$AN$34)</f>
        <v>#N/A</v>
      </c>
      <c r="I48" s="94" t="e" cm="1">
        <f t="array" ref="I48">_xlfn.XLOOKUP(Table120912039[[#This Row],[Opp]],Table832[DEF],'2425'!$AO$3:$AO$34)</f>
        <v>#N/A</v>
      </c>
      <c r="J48" s="95" t="e">
        <f>_xlfn.XLOOKUP(Table120912039[[#This Row],[Opp]],Table832[DEF],Table832[REC])</f>
        <v>#N/A</v>
      </c>
      <c r="K48" s="95" t="e">
        <f>_xlfn.XLOOKUP(Table120912039[[#This Row],[Opp]],Table832[DEF],Table832[Y])</f>
        <v>#N/A</v>
      </c>
      <c r="L48" s="96" t="e">
        <f>_xlfn.XLOOKUP(Table120912039[[#This Row],[Opp]],Table832[DEF],Table832[TD])</f>
        <v>#N/A</v>
      </c>
      <c r="M48" s="94" t="e">
        <f>AVERAGE(Table120912039[[#This Row],[*C*]:[*TD*]])</f>
        <v>#N/A</v>
      </c>
    </row>
    <row r="49" spans="2:13" hidden="1" x14ac:dyDescent="0.35">
      <c r="B49" s="6" t="s">
        <v>552</v>
      </c>
      <c r="C49" s="97" t="s">
        <v>42</v>
      </c>
      <c r="D49" s="97" t="s">
        <v>435</v>
      </c>
      <c r="E49" s="23" t="str" cm="1">
        <f t="array" ref="E49">_xlfn.XLOOKUP(Table120912039[[#This Row],[Team]],Table4334[Team],'2425'!$C$3:$C$34)</f>
        <v>n/a</v>
      </c>
      <c r="F49" s="97" t="str">
        <f>'2025'!$E$20</f>
        <v>n/a</v>
      </c>
      <c r="G49" s="94" t="e" cm="1">
        <f t="array" ref="G49">_xlfn.XLOOKUP(Table120912039[[#This Row],[Opp]],Table832[DEF],'2425'!$AM$3:$AM$34)</f>
        <v>#N/A</v>
      </c>
      <c r="H49" s="94" t="e" cm="1">
        <f t="array" ref="H49">_xlfn.XLOOKUP(Table120912039[[#This Row],[Opp]],Table832[DEF],'2425'!$AN$3:$AN$34)</f>
        <v>#N/A</v>
      </c>
      <c r="I49" s="94" t="e" cm="1">
        <f t="array" ref="I49">_xlfn.XLOOKUP(Table120912039[[#This Row],[Opp]],Table832[DEF],'2425'!$AO$3:$AO$34)</f>
        <v>#N/A</v>
      </c>
      <c r="J49" s="95" t="e">
        <f>_xlfn.XLOOKUP(Table120912039[[#This Row],[Opp]],Table832[DEF],Table832[REC])</f>
        <v>#N/A</v>
      </c>
      <c r="K49" s="95" t="e">
        <f>_xlfn.XLOOKUP(Table120912039[[#This Row],[Opp]],Table832[DEF],Table832[Y])</f>
        <v>#N/A</v>
      </c>
      <c r="L49" s="96" t="e">
        <f>_xlfn.XLOOKUP(Table120912039[[#This Row],[Opp]],Table832[DEF],Table832[TD])</f>
        <v>#N/A</v>
      </c>
      <c r="M49" s="94" t="e">
        <f>AVERAGE(Table120912039[[#This Row],[*C*]:[*TD*]])</f>
        <v>#N/A</v>
      </c>
    </row>
    <row r="50" spans="2:13" hidden="1" x14ac:dyDescent="0.35">
      <c r="B50" s="6" t="s">
        <v>186</v>
      </c>
      <c r="C50" s="97" t="s">
        <v>33</v>
      </c>
      <c r="D50" s="97" t="s">
        <v>397</v>
      </c>
      <c r="E50" s="23" t="str" cm="1">
        <f t="array" ref="E50">_xlfn.XLOOKUP(Table120912039[[#This Row],[Team]],Table4334[Team],'2425'!$C$3:$C$34)</f>
        <v>n/a</v>
      </c>
      <c r="F50" s="97" t="str">
        <f>'2025'!$E$11</f>
        <v>n/a</v>
      </c>
      <c r="G50" s="94" t="e" cm="1">
        <f t="array" ref="G50">_xlfn.XLOOKUP(Table120912039[[#This Row],[Opp]],Table832[DEF],'2425'!$AM$3:$AM$34)</f>
        <v>#N/A</v>
      </c>
      <c r="H50" s="94" t="e" cm="1">
        <f t="array" ref="H50">_xlfn.XLOOKUP(Table120912039[[#This Row],[Opp]],Table832[DEF],'2425'!$AN$3:$AN$34)</f>
        <v>#N/A</v>
      </c>
      <c r="I50" s="94" t="e" cm="1">
        <f t="array" ref="I50">_xlfn.XLOOKUP(Table120912039[[#This Row],[Opp]],Table832[DEF],'2425'!$AO$3:$AO$34)</f>
        <v>#N/A</v>
      </c>
      <c r="J50" s="95" t="e">
        <f>_xlfn.XLOOKUP(Table120912039[[#This Row],[Opp]],Table832[DEF],Table832[REC])</f>
        <v>#N/A</v>
      </c>
      <c r="K50" s="95" t="e">
        <f>_xlfn.XLOOKUP(Table120912039[[#This Row],[Opp]],Table832[DEF],Table832[Y])</f>
        <v>#N/A</v>
      </c>
      <c r="L50" s="96" t="e">
        <f>_xlfn.XLOOKUP(Table120912039[[#This Row],[Opp]],Table832[DEF],Table832[TD])</f>
        <v>#N/A</v>
      </c>
      <c r="M50" s="94" t="e">
        <f>AVERAGE(Table120912039[[#This Row],[*C*]:[*TD*]])</f>
        <v>#N/A</v>
      </c>
    </row>
    <row r="51" spans="2:13" hidden="1" x14ac:dyDescent="0.35">
      <c r="B51" s="6" t="s">
        <v>132</v>
      </c>
      <c r="C51" s="97" t="s">
        <v>0</v>
      </c>
      <c r="D51" s="97" t="s">
        <v>398</v>
      </c>
      <c r="E51" s="23" t="str" cm="1">
        <f t="array" ref="E51">_xlfn.XLOOKUP(Table120912039[[#This Row],[Team]],Table4334[Team],'2425'!$C$3:$C$34)</f>
        <v>n/a</v>
      </c>
      <c r="F51" s="97" t="str">
        <f>'2025'!$E$3</f>
        <v>n/a</v>
      </c>
      <c r="G51" s="94" t="e" cm="1">
        <f t="array" ref="G51">_xlfn.XLOOKUP(Table120912039[[#This Row],[Opp]],Table832[DEF],'2425'!$AM$3:$AM$34)</f>
        <v>#N/A</v>
      </c>
      <c r="H51" s="94" t="e" cm="1">
        <f t="array" ref="H51">_xlfn.XLOOKUP(Table120912039[[#This Row],[Opp]],Table832[DEF],'2425'!$AN$3:$AN$34)</f>
        <v>#N/A</v>
      </c>
      <c r="I51" s="94" t="e" cm="1">
        <f t="array" ref="I51">_xlfn.XLOOKUP(Table120912039[[#This Row],[Opp]],Table832[DEF],'2425'!$AO$3:$AO$34)</f>
        <v>#N/A</v>
      </c>
      <c r="J51" s="95" t="e">
        <f>_xlfn.XLOOKUP(Table120912039[[#This Row],[Opp]],Table832[DEF],Table832[REC])</f>
        <v>#N/A</v>
      </c>
      <c r="K51" s="95" t="e">
        <f>_xlfn.XLOOKUP(Table120912039[[#This Row],[Opp]],Table832[DEF],Table832[Y])</f>
        <v>#N/A</v>
      </c>
      <c r="L51" s="96" t="e">
        <f>_xlfn.XLOOKUP(Table120912039[[#This Row],[Opp]],Table832[DEF],Table832[TD])</f>
        <v>#N/A</v>
      </c>
      <c r="M51" s="94" t="e">
        <f>AVERAGE(Table120912039[[#This Row],[*C*]:[*TD*]])</f>
        <v>#N/A</v>
      </c>
    </row>
    <row r="52" spans="2:13" hidden="1" x14ac:dyDescent="0.35">
      <c r="B52" s="6" t="s">
        <v>558</v>
      </c>
      <c r="C52" s="97" t="s">
        <v>0</v>
      </c>
      <c r="D52" s="97" t="s">
        <v>430</v>
      </c>
      <c r="E52" s="23" t="str" cm="1">
        <f t="array" ref="E52">_xlfn.XLOOKUP(Table120912039[[#This Row],[Team]],Table4334[Team],'2425'!$C$3:$C$34)</f>
        <v>n/a</v>
      </c>
      <c r="F52" s="97" t="str">
        <f>'2025'!$E$3</f>
        <v>n/a</v>
      </c>
      <c r="G52" s="94" t="e" cm="1">
        <f t="array" ref="G52">_xlfn.XLOOKUP(Table120912039[[#This Row],[Opp]],Table832[DEF],'2425'!$AM$3:$AM$34)</f>
        <v>#N/A</v>
      </c>
      <c r="H52" s="94" t="e" cm="1">
        <f t="array" ref="H52">_xlfn.XLOOKUP(Table120912039[[#This Row],[Opp]],Table832[DEF],'2425'!$AN$3:$AN$34)</f>
        <v>#N/A</v>
      </c>
      <c r="I52" s="94" t="e" cm="1">
        <f t="array" ref="I52">_xlfn.XLOOKUP(Table120912039[[#This Row],[Opp]],Table832[DEF],'2425'!$AO$3:$AO$34)</f>
        <v>#N/A</v>
      </c>
      <c r="J52" s="95" t="e">
        <f>_xlfn.XLOOKUP(Table120912039[[#This Row],[Opp]],Table832[DEF],Table832[REC])</f>
        <v>#N/A</v>
      </c>
      <c r="K52" s="95" t="e">
        <f>_xlfn.XLOOKUP(Table120912039[[#This Row],[Opp]],Table832[DEF],Table832[Y])</f>
        <v>#N/A</v>
      </c>
      <c r="L52" s="96" t="e">
        <f>_xlfn.XLOOKUP(Table120912039[[#This Row],[Opp]],Table832[DEF],Table832[TD])</f>
        <v>#N/A</v>
      </c>
      <c r="M52" s="94" t="e">
        <f>AVERAGE(Table120912039[[#This Row],[*C*]:[*TD*]])</f>
        <v>#N/A</v>
      </c>
    </row>
    <row r="53" spans="2:13" hidden="1" x14ac:dyDescent="0.35">
      <c r="B53" s="6" t="s">
        <v>559</v>
      </c>
      <c r="C53" s="97" t="s">
        <v>0</v>
      </c>
      <c r="D53" s="97" t="s">
        <v>435</v>
      </c>
      <c r="E53" s="23" t="str" cm="1">
        <f t="array" ref="E53">_xlfn.XLOOKUP(Table120912039[[#This Row],[Team]],Table4334[Team],'2425'!$C$3:$C$34)</f>
        <v>n/a</v>
      </c>
      <c r="F53" s="97" t="str">
        <f>'2025'!$E$3</f>
        <v>n/a</v>
      </c>
      <c r="G53" s="94" t="e" cm="1">
        <f t="array" ref="G53">_xlfn.XLOOKUP(Table120912039[[#This Row],[Opp]],Table832[DEF],'2425'!$AM$3:$AM$34)</f>
        <v>#N/A</v>
      </c>
      <c r="H53" s="94" t="e" cm="1">
        <f t="array" ref="H53">_xlfn.XLOOKUP(Table120912039[[#This Row],[Opp]],Table832[DEF],'2425'!$AN$3:$AN$34)</f>
        <v>#N/A</v>
      </c>
      <c r="I53" s="94" t="e" cm="1">
        <f t="array" ref="I53">_xlfn.XLOOKUP(Table120912039[[#This Row],[Opp]],Table832[DEF],'2425'!$AO$3:$AO$34)</f>
        <v>#N/A</v>
      </c>
      <c r="J53" s="95" t="e">
        <f>_xlfn.XLOOKUP(Table120912039[[#This Row],[Opp]],Table832[DEF],Table832[REC])</f>
        <v>#N/A</v>
      </c>
      <c r="K53" s="95" t="e">
        <f>_xlfn.XLOOKUP(Table120912039[[#This Row],[Opp]],Table832[DEF],Table832[Y])</f>
        <v>#N/A</v>
      </c>
      <c r="L53" s="96" t="e">
        <f>_xlfn.XLOOKUP(Table120912039[[#This Row],[Opp]],Table832[DEF],Table832[TD])</f>
        <v>#N/A</v>
      </c>
      <c r="M53" s="94" t="e">
        <f>AVERAGE(Table120912039[[#This Row],[*C*]:[*TD*]])</f>
        <v>#N/A</v>
      </c>
    </row>
    <row r="54" spans="2:13" hidden="1" x14ac:dyDescent="0.35">
      <c r="B54" s="6" t="s">
        <v>317</v>
      </c>
      <c r="C54" s="97" t="s">
        <v>47</v>
      </c>
      <c r="D54" s="97" t="s">
        <v>397</v>
      </c>
      <c r="E54" s="23" t="str" cm="1">
        <f t="array" ref="E54">_xlfn.XLOOKUP(Table120912039[[#This Row],[Team]],Table4334[Team],'2425'!$C$3:$C$34)</f>
        <v>n/a</v>
      </c>
      <c r="F54" s="97" t="str">
        <f>'2025'!$E$25</f>
        <v>n/a</v>
      </c>
      <c r="G54" s="94" t="e" cm="1">
        <f t="array" ref="G54">_xlfn.XLOOKUP(Table120912039[[#This Row],[Opp]],Table832[DEF],'2425'!$AM$3:$AM$34)</f>
        <v>#N/A</v>
      </c>
      <c r="H54" s="94" t="e" cm="1">
        <f t="array" ref="H54">_xlfn.XLOOKUP(Table120912039[[#This Row],[Opp]],Table832[DEF],'2425'!$AN$3:$AN$34)</f>
        <v>#N/A</v>
      </c>
      <c r="I54" s="94" t="e" cm="1">
        <f t="array" ref="I54">_xlfn.XLOOKUP(Table120912039[[#This Row],[Opp]],Table832[DEF],'2425'!$AO$3:$AO$34)</f>
        <v>#N/A</v>
      </c>
      <c r="J54" s="95" t="e">
        <f>_xlfn.XLOOKUP(Table120912039[[#This Row],[Opp]],Table832[DEF],Table832[REC])</f>
        <v>#N/A</v>
      </c>
      <c r="K54" s="95" t="e">
        <f>_xlfn.XLOOKUP(Table120912039[[#This Row],[Opp]],Table832[DEF],Table832[Y])</f>
        <v>#N/A</v>
      </c>
      <c r="L54" s="96" t="e">
        <f>_xlfn.XLOOKUP(Table120912039[[#This Row],[Opp]],Table832[DEF],Table832[TD])</f>
        <v>#N/A</v>
      </c>
      <c r="M54" s="94" t="e">
        <f>AVERAGE(Table120912039[[#This Row],[*C*]:[*TD*]])</f>
        <v>#N/A</v>
      </c>
    </row>
    <row r="55" spans="2:13" hidden="1" x14ac:dyDescent="0.35">
      <c r="B55" s="6" t="s">
        <v>693</v>
      </c>
      <c r="C55" s="97" t="s">
        <v>53</v>
      </c>
      <c r="D55" s="97" t="s">
        <v>398</v>
      </c>
      <c r="E55" s="23" t="str" cm="1">
        <f t="array" ref="E55">_xlfn.XLOOKUP(Table120912039[[#This Row],[Team]],Table4334[Team],'2425'!$C$3:$C$34)</f>
        <v>n/a</v>
      </c>
      <c r="F55" s="97" t="str">
        <f>'2025'!$E$31</f>
        <v>n/a</v>
      </c>
      <c r="G55" s="94" t="e" cm="1">
        <f t="array" ref="G55">_xlfn.XLOOKUP(Table120912039[[#This Row],[Opp]],Table832[DEF],'2425'!$AM$3:$AM$34)</f>
        <v>#N/A</v>
      </c>
      <c r="H55" s="94" t="e" cm="1">
        <f t="array" ref="H55">_xlfn.XLOOKUP(Table120912039[[#This Row],[Opp]],Table832[DEF],'2425'!$AN$3:$AN$34)</f>
        <v>#N/A</v>
      </c>
      <c r="I55" s="94" t="e" cm="1">
        <f t="array" ref="I55">_xlfn.XLOOKUP(Table120912039[[#This Row],[Opp]],Table832[DEF],'2425'!$AO$3:$AO$34)</f>
        <v>#N/A</v>
      </c>
      <c r="J55" s="95" t="e">
        <f>_xlfn.XLOOKUP(Table120912039[[#This Row],[Opp]],Table832[DEF],Table832[REC])</f>
        <v>#N/A</v>
      </c>
      <c r="K55" s="95" t="e">
        <f>_xlfn.XLOOKUP(Table120912039[[#This Row],[Opp]],Table832[DEF],Table832[Y])</f>
        <v>#N/A</v>
      </c>
      <c r="L55" s="96" t="e">
        <f>_xlfn.XLOOKUP(Table120912039[[#This Row],[Opp]],Table832[DEF],Table832[TD])</f>
        <v>#N/A</v>
      </c>
      <c r="M55" s="94" t="e">
        <f>AVERAGE(Table120912039[[#This Row],[*C*]:[*TD*]])</f>
        <v>#N/A</v>
      </c>
    </row>
    <row r="56" spans="2:13" hidden="1" x14ac:dyDescent="0.35">
      <c r="B56" s="6" t="s">
        <v>363</v>
      </c>
      <c r="C56" s="97" t="s">
        <v>53</v>
      </c>
      <c r="D56" s="97" t="s">
        <v>430</v>
      </c>
      <c r="E56" s="23" t="str" cm="1">
        <f t="array" ref="E56">_xlfn.XLOOKUP(Table120912039[[#This Row],[Team]],Table4334[Team],'2425'!$C$3:$C$34)</f>
        <v>n/a</v>
      </c>
      <c r="F56" s="97" t="str">
        <f>'2025'!$E$31</f>
        <v>n/a</v>
      </c>
      <c r="G56" s="94" t="e" cm="1">
        <f t="array" ref="G56">_xlfn.XLOOKUP(Table120912039[[#This Row],[Opp]],Table832[DEF],'2425'!$AM$3:$AM$34)</f>
        <v>#N/A</v>
      </c>
      <c r="H56" s="94" t="e" cm="1">
        <f t="array" ref="H56">_xlfn.XLOOKUP(Table120912039[[#This Row],[Opp]],Table832[DEF],'2425'!$AN$3:$AN$34)</f>
        <v>#N/A</v>
      </c>
      <c r="I56" s="94" t="e" cm="1">
        <f t="array" ref="I56">_xlfn.XLOOKUP(Table120912039[[#This Row],[Opp]],Table832[DEF],'2425'!$AO$3:$AO$34)</f>
        <v>#N/A</v>
      </c>
      <c r="J56" s="95" t="e">
        <f>_xlfn.XLOOKUP(Table120912039[[#This Row],[Opp]],Table832[DEF],Table832[REC])</f>
        <v>#N/A</v>
      </c>
      <c r="K56" s="95" t="e">
        <f>_xlfn.XLOOKUP(Table120912039[[#This Row],[Opp]],Table832[DEF],Table832[Y])</f>
        <v>#N/A</v>
      </c>
      <c r="L56" s="96" t="e">
        <f>_xlfn.XLOOKUP(Table120912039[[#This Row],[Opp]],Table832[DEF],Table832[TD])</f>
        <v>#N/A</v>
      </c>
      <c r="M56" s="94" t="e">
        <f>AVERAGE(Table120912039[[#This Row],[*C*]:[*TD*]])</f>
        <v>#N/A</v>
      </c>
    </row>
    <row r="57" spans="2:13" hidden="1" x14ac:dyDescent="0.35">
      <c r="B57" s="6" t="s">
        <v>596</v>
      </c>
      <c r="C57" s="97" t="s">
        <v>15</v>
      </c>
      <c r="D57" s="97" t="s">
        <v>397</v>
      </c>
      <c r="E57" s="23" t="str" cm="1">
        <f t="array" ref="E57">_xlfn.XLOOKUP(Table120912039[[#This Row],[Team]],Table4334[Team],'2425'!$C$3:$C$34)</f>
        <v>n/a</v>
      </c>
      <c r="F57" s="97" t="str">
        <f>'2025'!$E$4</f>
        <v>n/a</v>
      </c>
      <c r="G57" s="94" t="e" cm="1">
        <f t="array" ref="G57">_xlfn.XLOOKUP(Table120912039[[#This Row],[Opp]],Table832[DEF],'2425'!$AM$3:$AM$34)</f>
        <v>#N/A</v>
      </c>
      <c r="H57" s="94" t="e" cm="1">
        <f t="array" ref="H57">_xlfn.XLOOKUP(Table120912039[[#This Row],[Opp]],Table832[DEF],'2425'!$AN$3:$AN$34)</f>
        <v>#N/A</v>
      </c>
      <c r="I57" s="94" t="e" cm="1">
        <f t="array" ref="I57">_xlfn.XLOOKUP(Table120912039[[#This Row],[Opp]],Table832[DEF],'2425'!$AO$3:$AO$34)</f>
        <v>#N/A</v>
      </c>
      <c r="J57" s="95" t="e">
        <f>_xlfn.XLOOKUP(Table120912039[[#This Row],[Opp]],Table832[DEF],Table832[REC])</f>
        <v>#N/A</v>
      </c>
      <c r="K57" s="95" t="e">
        <f>_xlfn.XLOOKUP(Table120912039[[#This Row],[Opp]],Table832[DEF],Table832[Y])</f>
        <v>#N/A</v>
      </c>
      <c r="L57" s="96" t="e">
        <f>_xlfn.XLOOKUP(Table120912039[[#This Row],[Opp]],Table832[DEF],Table832[TD])</f>
        <v>#N/A</v>
      </c>
      <c r="M57" s="94" t="e">
        <f>AVERAGE(Table120912039[[#This Row],[*C*]:[*TD*]])</f>
        <v>#N/A</v>
      </c>
    </row>
    <row r="58" spans="2:13" hidden="1" x14ac:dyDescent="0.35">
      <c r="B58" s="6" t="s">
        <v>586</v>
      </c>
      <c r="C58" s="97" t="s">
        <v>54</v>
      </c>
      <c r="D58" s="97" t="s">
        <v>398</v>
      </c>
      <c r="E58" s="23" t="str" cm="1">
        <f t="array" ref="E58">_xlfn.XLOOKUP(Table120912039[[#This Row],[Team]],Table4334[Team],'2425'!$C$3:$C$34)</f>
        <v>n/a</v>
      </c>
      <c r="F58" s="97" t="str">
        <f>'2025'!$E$32</f>
        <v>n/a</v>
      </c>
      <c r="G58" s="94" t="e" cm="1">
        <f t="array" ref="G58">_xlfn.XLOOKUP(Table120912039[[#This Row],[Opp]],Table832[DEF],'2425'!$AM$3:$AM$34)</f>
        <v>#N/A</v>
      </c>
      <c r="H58" s="94" t="e" cm="1">
        <f t="array" ref="H58">_xlfn.XLOOKUP(Table120912039[[#This Row],[Opp]],Table832[DEF],'2425'!$AN$3:$AN$34)</f>
        <v>#N/A</v>
      </c>
      <c r="I58" s="94" t="e" cm="1">
        <f t="array" ref="I58">_xlfn.XLOOKUP(Table120912039[[#This Row],[Opp]],Table832[DEF],'2425'!$AO$3:$AO$34)</f>
        <v>#N/A</v>
      </c>
      <c r="J58" s="95" t="e">
        <f>_xlfn.XLOOKUP(Table120912039[[#This Row],[Opp]],Table832[DEF],Table832[REC])</f>
        <v>#N/A</v>
      </c>
      <c r="K58" s="95" t="e">
        <f>_xlfn.XLOOKUP(Table120912039[[#This Row],[Opp]],Table832[DEF],Table832[Y])</f>
        <v>#N/A</v>
      </c>
      <c r="L58" s="96" t="e">
        <f>_xlfn.XLOOKUP(Table120912039[[#This Row],[Opp]],Table832[DEF],Table832[TD])</f>
        <v>#N/A</v>
      </c>
      <c r="M58" s="94" t="e">
        <f>AVERAGE(Table120912039[[#This Row],[*C*]:[*TD*]])</f>
        <v>#N/A</v>
      </c>
    </row>
    <row r="59" spans="2:13" hidden="1" x14ac:dyDescent="0.35">
      <c r="B59" s="6" t="s">
        <v>587</v>
      </c>
      <c r="C59" s="97" t="s">
        <v>54</v>
      </c>
      <c r="D59" s="97" t="s">
        <v>430</v>
      </c>
      <c r="E59" s="23" t="str" cm="1">
        <f t="array" ref="E59">_xlfn.XLOOKUP(Table120912039[[#This Row],[Team]],Table4334[Team],'2425'!$C$3:$C$34)</f>
        <v>n/a</v>
      </c>
      <c r="F59" s="97" t="str">
        <f>'2025'!$E$32</f>
        <v>n/a</v>
      </c>
      <c r="G59" s="94" t="e" cm="1">
        <f t="array" ref="G59">_xlfn.XLOOKUP(Table120912039[[#This Row],[Opp]],Table832[DEF],'2425'!$AM$3:$AM$34)</f>
        <v>#N/A</v>
      </c>
      <c r="H59" s="94" t="e" cm="1">
        <f t="array" ref="H59">_xlfn.XLOOKUP(Table120912039[[#This Row],[Opp]],Table832[DEF],'2425'!$AN$3:$AN$34)</f>
        <v>#N/A</v>
      </c>
      <c r="I59" s="94" t="e" cm="1">
        <f t="array" ref="I59">_xlfn.XLOOKUP(Table120912039[[#This Row],[Opp]],Table832[DEF],'2425'!$AO$3:$AO$34)</f>
        <v>#N/A</v>
      </c>
      <c r="J59" s="95" t="e">
        <f>_xlfn.XLOOKUP(Table120912039[[#This Row],[Opp]],Table832[DEF],Table832[REC])</f>
        <v>#N/A</v>
      </c>
      <c r="K59" s="95" t="e">
        <f>_xlfn.XLOOKUP(Table120912039[[#This Row],[Opp]],Table832[DEF],Table832[Y])</f>
        <v>#N/A</v>
      </c>
      <c r="L59" s="96" t="e">
        <f>_xlfn.XLOOKUP(Table120912039[[#This Row],[Opp]],Table832[DEF],Table832[TD])</f>
        <v>#N/A</v>
      </c>
      <c r="M59" s="94" t="e">
        <f>AVERAGE(Table120912039[[#This Row],[*C*]:[*TD*]])</f>
        <v>#N/A</v>
      </c>
    </row>
    <row r="60" spans="2:13" hidden="1" x14ac:dyDescent="0.35">
      <c r="B60" s="6" t="s">
        <v>588</v>
      </c>
      <c r="C60" s="97" t="s">
        <v>54</v>
      </c>
      <c r="D60" s="97" t="s">
        <v>435</v>
      </c>
      <c r="E60" s="23" t="str" cm="1">
        <f t="array" ref="E60">_xlfn.XLOOKUP(Table120912039[[#This Row],[Team]],Table4334[Team],'2425'!$C$3:$C$34)</f>
        <v>n/a</v>
      </c>
      <c r="F60" s="97" t="str">
        <f>'2025'!$E$32</f>
        <v>n/a</v>
      </c>
      <c r="G60" s="94" t="e" cm="1">
        <f t="array" ref="G60">_xlfn.XLOOKUP(Table120912039[[#This Row],[Opp]],Table832[DEF],'2425'!$AM$3:$AM$34)</f>
        <v>#N/A</v>
      </c>
      <c r="H60" s="94" t="e" cm="1">
        <f t="array" ref="H60">_xlfn.XLOOKUP(Table120912039[[#This Row],[Opp]],Table832[DEF],'2425'!$AN$3:$AN$34)</f>
        <v>#N/A</v>
      </c>
      <c r="I60" s="94" t="e" cm="1">
        <f t="array" ref="I60">_xlfn.XLOOKUP(Table120912039[[#This Row],[Opp]],Table832[DEF],'2425'!$AO$3:$AO$34)</f>
        <v>#N/A</v>
      </c>
      <c r="J60" s="95" t="e">
        <f>_xlfn.XLOOKUP(Table120912039[[#This Row],[Opp]],Table832[DEF],Table832[REC])</f>
        <v>#N/A</v>
      </c>
      <c r="K60" s="95" t="e">
        <f>_xlfn.XLOOKUP(Table120912039[[#This Row],[Opp]],Table832[DEF],Table832[Y])</f>
        <v>#N/A</v>
      </c>
      <c r="L60" s="96" t="e">
        <f>_xlfn.XLOOKUP(Table120912039[[#This Row],[Opp]],Table832[DEF],Table832[TD])</f>
        <v>#N/A</v>
      </c>
      <c r="M60" s="94" t="e">
        <f>AVERAGE(Table120912039[[#This Row],[*C*]:[*TD*]])</f>
        <v>#N/A</v>
      </c>
    </row>
    <row r="61" spans="2:13" hidden="1" x14ac:dyDescent="0.35">
      <c r="B61" s="6" t="s">
        <v>346</v>
      </c>
      <c r="C61" s="97" t="s">
        <v>51</v>
      </c>
      <c r="D61" s="97" t="s">
        <v>397</v>
      </c>
      <c r="E61" s="23" t="str" cm="1">
        <f t="array" ref="E61">_xlfn.XLOOKUP(Table120912039[[#This Row],[Team]],Table4334[Team],'2425'!$C$3:$C$34)</f>
        <v>n/a</v>
      </c>
      <c r="F61" s="97" t="str">
        <f>'2025'!$E$29</f>
        <v>n/a</v>
      </c>
      <c r="G61" s="94" t="e" cm="1">
        <f t="array" ref="G61">_xlfn.XLOOKUP(Table120912039[[#This Row],[Opp]],Table832[DEF],'2425'!$AM$3:$AM$34)</f>
        <v>#N/A</v>
      </c>
      <c r="H61" s="94" t="e" cm="1">
        <f t="array" ref="H61">_xlfn.XLOOKUP(Table120912039[[#This Row],[Opp]],Table832[DEF],'2425'!$AN$3:$AN$34)</f>
        <v>#N/A</v>
      </c>
      <c r="I61" s="94" t="e" cm="1">
        <f t="array" ref="I61">_xlfn.XLOOKUP(Table120912039[[#This Row],[Opp]],Table832[DEF],'2425'!$AO$3:$AO$34)</f>
        <v>#N/A</v>
      </c>
      <c r="J61" s="95" t="e">
        <f>_xlfn.XLOOKUP(Table120912039[[#This Row],[Opp]],Table832[DEF],Table832[REC])</f>
        <v>#N/A</v>
      </c>
      <c r="K61" s="95" t="e">
        <f>_xlfn.XLOOKUP(Table120912039[[#This Row],[Opp]],Table832[DEF],Table832[Y])</f>
        <v>#N/A</v>
      </c>
      <c r="L61" s="96" t="e">
        <f>_xlfn.XLOOKUP(Table120912039[[#This Row],[Opp]],Table832[DEF],Table832[TD])</f>
        <v>#N/A</v>
      </c>
      <c r="M61" s="94" t="e">
        <f>AVERAGE(Table120912039[[#This Row],[*C*]:[*TD*]])</f>
        <v>#N/A</v>
      </c>
    </row>
    <row r="62" spans="2:13" hidden="1" x14ac:dyDescent="0.35">
      <c r="B62" s="6" t="s">
        <v>178</v>
      </c>
      <c r="C62" s="97" t="s">
        <v>32</v>
      </c>
      <c r="D62" s="97" t="s">
        <v>398</v>
      </c>
      <c r="E62" s="23" t="str" cm="1">
        <f t="array" ref="E62">_xlfn.XLOOKUP(Table120912039[[#This Row],[Team]],Table4334[Team],'2425'!$C$3:$C$34)</f>
        <v>n/a</v>
      </c>
      <c r="F62" s="97" t="str">
        <f>'2025'!$E$10</f>
        <v>n/a</v>
      </c>
      <c r="G62" s="94" t="e" cm="1">
        <f t="array" ref="G62">_xlfn.XLOOKUP(Table120912039[[#This Row],[Opp]],Table832[DEF],'2425'!$AM$3:$AM$34)</f>
        <v>#N/A</v>
      </c>
      <c r="H62" s="94" t="e" cm="1">
        <f t="array" ref="H62">_xlfn.XLOOKUP(Table120912039[[#This Row],[Opp]],Table832[DEF],'2425'!$AN$3:$AN$34)</f>
        <v>#N/A</v>
      </c>
      <c r="I62" s="94" t="e" cm="1">
        <f t="array" ref="I62">_xlfn.XLOOKUP(Table120912039[[#This Row],[Opp]],Table832[DEF],'2425'!$AO$3:$AO$34)</f>
        <v>#N/A</v>
      </c>
      <c r="J62" s="95" t="e">
        <f>_xlfn.XLOOKUP(Table120912039[[#This Row],[Opp]],Table832[DEF],Table832[REC])</f>
        <v>#N/A</v>
      </c>
      <c r="K62" s="95" t="e">
        <f>_xlfn.XLOOKUP(Table120912039[[#This Row],[Opp]],Table832[DEF],Table832[Y])</f>
        <v>#N/A</v>
      </c>
      <c r="L62" s="96" t="e">
        <f>_xlfn.XLOOKUP(Table120912039[[#This Row],[Opp]],Table832[DEF],Table832[TD])</f>
        <v>#N/A</v>
      </c>
      <c r="M62" s="94" t="e">
        <f>AVERAGE(Table120912039[[#This Row],[*C*]:[*TD*]])</f>
        <v>#N/A</v>
      </c>
    </row>
    <row r="63" spans="2:13" hidden="1" x14ac:dyDescent="0.35">
      <c r="B63" s="6" t="s">
        <v>488</v>
      </c>
      <c r="C63" s="97" t="s">
        <v>32</v>
      </c>
      <c r="D63" s="97" t="s">
        <v>430</v>
      </c>
      <c r="E63" s="23" t="str" cm="1">
        <f t="array" ref="E63">_xlfn.XLOOKUP(Table120912039[[#This Row],[Team]],Table4334[Team],'2425'!$C$3:$C$34)</f>
        <v>n/a</v>
      </c>
      <c r="F63" s="97" t="str">
        <f>'2025'!$E$10</f>
        <v>n/a</v>
      </c>
      <c r="G63" s="94" t="e" cm="1">
        <f t="array" ref="G63">_xlfn.XLOOKUP(Table120912039[[#This Row],[Opp]],Table832[DEF],'2425'!$AM$3:$AM$34)</f>
        <v>#N/A</v>
      </c>
      <c r="H63" s="94" t="e" cm="1">
        <f t="array" ref="H63">_xlfn.XLOOKUP(Table120912039[[#This Row],[Opp]],Table832[DEF],'2425'!$AN$3:$AN$34)</f>
        <v>#N/A</v>
      </c>
      <c r="I63" s="94" t="e" cm="1">
        <f t="array" ref="I63">_xlfn.XLOOKUP(Table120912039[[#This Row],[Opp]],Table832[DEF],'2425'!$AO$3:$AO$34)</f>
        <v>#N/A</v>
      </c>
      <c r="J63" s="95" t="e">
        <f>_xlfn.XLOOKUP(Table120912039[[#This Row],[Opp]],Table832[DEF],Table832[REC])</f>
        <v>#N/A</v>
      </c>
      <c r="K63" s="95" t="e">
        <f>_xlfn.XLOOKUP(Table120912039[[#This Row],[Opp]],Table832[DEF],Table832[Y])</f>
        <v>#N/A</v>
      </c>
      <c r="L63" s="96" t="e">
        <f>_xlfn.XLOOKUP(Table120912039[[#This Row],[Opp]],Table832[DEF],Table832[TD])</f>
        <v>#N/A</v>
      </c>
      <c r="M63" s="94" t="e">
        <f>AVERAGE(Table120912039[[#This Row],[*C*]:[*TD*]])</f>
        <v>#N/A</v>
      </c>
    </row>
    <row r="64" spans="2:13" hidden="1" x14ac:dyDescent="0.35">
      <c r="B64" s="6" t="s">
        <v>239</v>
      </c>
      <c r="C64" s="97" t="s">
        <v>39</v>
      </c>
      <c r="D64" s="97" t="s">
        <v>397</v>
      </c>
      <c r="E64" s="23" t="str" cm="1">
        <f t="array" ref="E64">_xlfn.XLOOKUP(Table120912039[[#This Row],[Team]],Table4334[Team],'2425'!$C$3:$C$34)</f>
        <v>n/a</v>
      </c>
      <c r="F64" s="97" t="str">
        <f>'2025'!$E$17</f>
        <v>n/a</v>
      </c>
      <c r="G64" s="94" t="e" cm="1">
        <f t="array" ref="G64">_xlfn.XLOOKUP(Table120912039[[#This Row],[Opp]],Table832[DEF],'2425'!$AM$3:$AM$34)</f>
        <v>#N/A</v>
      </c>
      <c r="H64" s="94" t="e" cm="1">
        <f t="array" ref="H64">_xlfn.XLOOKUP(Table120912039[[#This Row],[Opp]],Table832[DEF],'2425'!$AN$3:$AN$34)</f>
        <v>#N/A</v>
      </c>
      <c r="I64" s="94" t="e" cm="1">
        <f t="array" ref="I64">_xlfn.XLOOKUP(Table120912039[[#This Row],[Opp]],Table832[DEF],'2425'!$AO$3:$AO$34)</f>
        <v>#N/A</v>
      </c>
      <c r="J64" s="95" t="e">
        <f>_xlfn.XLOOKUP(Table120912039[[#This Row],[Opp]],Table832[DEF],Table832[REC])</f>
        <v>#N/A</v>
      </c>
      <c r="K64" s="95" t="e">
        <f>_xlfn.XLOOKUP(Table120912039[[#This Row],[Opp]],Table832[DEF],Table832[Y])</f>
        <v>#N/A</v>
      </c>
      <c r="L64" s="96" t="e">
        <f>_xlfn.XLOOKUP(Table120912039[[#This Row],[Opp]],Table832[DEF],Table832[TD])</f>
        <v>#N/A</v>
      </c>
      <c r="M64" s="94" t="e">
        <f>AVERAGE(Table120912039[[#This Row],[*C*]:[*TD*]])</f>
        <v>#N/A</v>
      </c>
    </row>
    <row r="65" spans="2:13" hidden="1" x14ac:dyDescent="0.35">
      <c r="B65" s="6" t="s">
        <v>120</v>
      </c>
      <c r="C65" s="97" t="s">
        <v>44</v>
      </c>
      <c r="D65" s="97" t="s">
        <v>398</v>
      </c>
      <c r="E65" s="23" t="str" cm="1">
        <f t="array" ref="E65">_xlfn.XLOOKUP(Table120912039[[#This Row],[Team]],Table4334[Team],'2425'!$C$3:$C$34)</f>
        <v>n/a</v>
      </c>
      <c r="F65" s="97" t="str">
        <f>'2025'!$E$22</f>
        <v>n/a</v>
      </c>
      <c r="G65" s="94" t="e" cm="1">
        <f t="array" ref="G65">_xlfn.XLOOKUP(Table120912039[[#This Row],[Opp]],Table832[DEF],'2425'!$AM$3:$AM$34)</f>
        <v>#N/A</v>
      </c>
      <c r="H65" s="94" t="e" cm="1">
        <f t="array" ref="H65">_xlfn.XLOOKUP(Table120912039[[#This Row],[Opp]],Table832[DEF],'2425'!$AN$3:$AN$34)</f>
        <v>#N/A</v>
      </c>
      <c r="I65" s="94" t="e" cm="1">
        <f t="array" ref="I65">_xlfn.XLOOKUP(Table120912039[[#This Row],[Opp]],Table832[DEF],'2425'!$AO$3:$AO$34)</f>
        <v>#N/A</v>
      </c>
      <c r="J65" s="95" t="e">
        <f>_xlfn.XLOOKUP(Table120912039[[#This Row],[Opp]],Table832[DEF],Table832[REC])</f>
        <v>#N/A</v>
      </c>
      <c r="K65" s="95" t="e">
        <f>_xlfn.XLOOKUP(Table120912039[[#This Row],[Opp]],Table832[DEF],Table832[Y])</f>
        <v>#N/A</v>
      </c>
      <c r="L65" s="96" t="e">
        <f>_xlfn.XLOOKUP(Table120912039[[#This Row],[Opp]],Table832[DEF],Table832[TD])</f>
        <v>#N/A</v>
      </c>
      <c r="M65" s="94" t="e">
        <f>AVERAGE(Table120912039[[#This Row],[*C*]:[*TD*]])</f>
        <v>#N/A</v>
      </c>
    </row>
    <row r="66" spans="2:13" hidden="1" x14ac:dyDescent="0.35">
      <c r="B66" s="6" t="s">
        <v>432</v>
      </c>
      <c r="C66" s="97" t="s">
        <v>44</v>
      </c>
      <c r="D66" s="97" t="s">
        <v>430</v>
      </c>
      <c r="E66" s="23" t="str" cm="1">
        <f t="array" ref="E66">_xlfn.XLOOKUP(Table120912039[[#This Row],[Team]],Table4334[Team],'2425'!$C$3:$C$34)</f>
        <v>n/a</v>
      </c>
      <c r="F66" s="97" t="str">
        <f>'2025'!$E$22</f>
        <v>n/a</v>
      </c>
      <c r="G66" s="94" t="e" cm="1">
        <f t="array" ref="G66">_xlfn.XLOOKUP(Table120912039[[#This Row],[Opp]],Table832[DEF],'2425'!$AM$3:$AM$34)</f>
        <v>#N/A</v>
      </c>
      <c r="H66" s="94" t="e" cm="1">
        <f t="array" ref="H66">_xlfn.XLOOKUP(Table120912039[[#This Row],[Opp]],Table832[DEF],'2425'!$AN$3:$AN$34)</f>
        <v>#N/A</v>
      </c>
      <c r="I66" s="94" t="e" cm="1">
        <f t="array" ref="I66">_xlfn.XLOOKUP(Table120912039[[#This Row],[Opp]],Table832[DEF],'2425'!$AO$3:$AO$34)</f>
        <v>#N/A</v>
      </c>
      <c r="J66" s="95" t="e">
        <f>_xlfn.XLOOKUP(Table120912039[[#This Row],[Opp]],Table832[DEF],Table832[REC])</f>
        <v>#N/A</v>
      </c>
      <c r="K66" s="95" t="e">
        <f>_xlfn.XLOOKUP(Table120912039[[#This Row],[Opp]],Table832[DEF],Table832[Y])</f>
        <v>#N/A</v>
      </c>
      <c r="L66" s="96" t="e">
        <f>_xlfn.XLOOKUP(Table120912039[[#This Row],[Opp]],Table832[DEF],Table832[TD])</f>
        <v>#N/A</v>
      </c>
      <c r="M66" s="94" t="e">
        <f>AVERAGE(Table120912039[[#This Row],[*C*]:[*TD*]])</f>
        <v>#N/A</v>
      </c>
    </row>
    <row r="67" spans="2:13" hidden="1" x14ac:dyDescent="0.35">
      <c r="B67" s="6" t="s">
        <v>434</v>
      </c>
      <c r="C67" s="97" t="s">
        <v>44</v>
      </c>
      <c r="D67" s="97" t="s">
        <v>435</v>
      </c>
      <c r="E67" s="23" t="str" cm="1">
        <f t="array" ref="E67">_xlfn.XLOOKUP(Table120912039[[#This Row],[Team]],Table4334[Team],'2425'!$C$3:$C$34)</f>
        <v>n/a</v>
      </c>
      <c r="F67" s="97" t="str">
        <f>'2025'!$E$22</f>
        <v>n/a</v>
      </c>
      <c r="G67" s="94" t="e" cm="1">
        <f t="array" ref="G67">_xlfn.XLOOKUP(Table120912039[[#This Row],[Opp]],Table832[DEF],'2425'!$AM$3:$AM$34)</f>
        <v>#N/A</v>
      </c>
      <c r="H67" s="94" t="e" cm="1">
        <f t="array" ref="H67">_xlfn.XLOOKUP(Table120912039[[#This Row],[Opp]],Table832[DEF],'2425'!$AN$3:$AN$34)</f>
        <v>#N/A</v>
      </c>
      <c r="I67" s="94" t="e" cm="1">
        <f t="array" ref="I67">_xlfn.XLOOKUP(Table120912039[[#This Row],[Opp]],Table832[DEF],'2425'!$AO$3:$AO$34)</f>
        <v>#N/A</v>
      </c>
      <c r="J67" s="95" t="e">
        <f>_xlfn.XLOOKUP(Table120912039[[#This Row],[Opp]],Table832[DEF],Table832[REC])</f>
        <v>#N/A</v>
      </c>
      <c r="K67" s="95" t="e">
        <f>_xlfn.XLOOKUP(Table120912039[[#This Row],[Opp]],Table832[DEF],Table832[Y])</f>
        <v>#N/A</v>
      </c>
      <c r="L67" s="96" t="e">
        <f>_xlfn.XLOOKUP(Table120912039[[#This Row],[Opp]],Table832[DEF],Table832[TD])</f>
        <v>#N/A</v>
      </c>
      <c r="M67" s="94" t="e">
        <f>AVERAGE(Table120912039[[#This Row],[*C*]:[*TD*]])</f>
        <v>#N/A</v>
      </c>
    </row>
    <row r="68" spans="2:13" hidden="1" x14ac:dyDescent="0.35">
      <c r="B68" s="6" t="s">
        <v>128</v>
      </c>
      <c r="C68" s="97" t="s">
        <v>0</v>
      </c>
      <c r="D68" s="97" t="s">
        <v>397</v>
      </c>
      <c r="E68" s="23" t="str" cm="1">
        <f t="array" ref="E68">_xlfn.XLOOKUP(Table120912039[[#This Row],[Team]],Table4334[Team],'2425'!$C$3:$C$34)</f>
        <v>n/a</v>
      </c>
      <c r="F68" s="97" t="str">
        <f>'2025'!$E$3</f>
        <v>n/a</v>
      </c>
      <c r="G68" s="94" t="e" cm="1">
        <f t="array" ref="G68">_xlfn.XLOOKUP(Table120912039[[#This Row],[Opp]],Table832[DEF],'2425'!$AM$3:$AM$34)</f>
        <v>#N/A</v>
      </c>
      <c r="H68" s="94" t="e" cm="1">
        <f t="array" ref="H68">_xlfn.XLOOKUP(Table120912039[[#This Row],[Opp]],Table832[DEF],'2425'!$AN$3:$AN$34)</f>
        <v>#N/A</v>
      </c>
      <c r="I68" s="94" t="e" cm="1">
        <f t="array" ref="I68">_xlfn.XLOOKUP(Table120912039[[#This Row],[Opp]],Table832[DEF],'2425'!$AO$3:$AO$34)</f>
        <v>#N/A</v>
      </c>
      <c r="J68" s="95" t="e">
        <f>_xlfn.XLOOKUP(Table120912039[[#This Row],[Opp]],Table832[DEF],Table832[REC])</f>
        <v>#N/A</v>
      </c>
      <c r="K68" s="95" t="e">
        <f>_xlfn.XLOOKUP(Table120912039[[#This Row],[Opp]],Table832[DEF],Table832[Y])</f>
        <v>#N/A</v>
      </c>
      <c r="L68" s="96" t="e">
        <f>_xlfn.XLOOKUP(Table120912039[[#This Row],[Opp]],Table832[DEF],Table832[TD])</f>
        <v>#N/A</v>
      </c>
      <c r="M68" s="94" t="e">
        <f>AVERAGE(Table120912039[[#This Row],[*C*]:[*TD*]])</f>
        <v>#N/A</v>
      </c>
    </row>
    <row r="69" spans="2:13" hidden="1" x14ac:dyDescent="0.35">
      <c r="B69" s="6" t="s">
        <v>604</v>
      </c>
      <c r="C69" s="97" t="s">
        <v>15</v>
      </c>
      <c r="D69" s="97" t="s">
        <v>398</v>
      </c>
      <c r="E69" s="23" t="str" cm="1">
        <f t="array" ref="E69">_xlfn.XLOOKUP(Table120912039[[#This Row],[Team]],Table4334[Team],'2425'!$C$3:$C$34)</f>
        <v>n/a</v>
      </c>
      <c r="F69" s="97" t="str">
        <f>'2025'!$E$4</f>
        <v>n/a</v>
      </c>
      <c r="G69" s="94" t="e" cm="1">
        <f t="array" ref="G69">_xlfn.XLOOKUP(Table120912039[[#This Row],[Opp]],Table832[DEF],'2425'!$AM$3:$AM$34)</f>
        <v>#N/A</v>
      </c>
      <c r="H69" s="94" t="e" cm="1">
        <f t="array" ref="H69">_xlfn.XLOOKUP(Table120912039[[#This Row],[Opp]],Table832[DEF],'2425'!$AN$3:$AN$34)</f>
        <v>#N/A</v>
      </c>
      <c r="I69" s="94" t="e" cm="1">
        <f t="array" ref="I69">_xlfn.XLOOKUP(Table120912039[[#This Row],[Opp]],Table832[DEF],'2425'!$AO$3:$AO$34)</f>
        <v>#N/A</v>
      </c>
      <c r="J69" s="95" t="e">
        <f>_xlfn.XLOOKUP(Table120912039[[#This Row],[Opp]],Table832[DEF],Table832[REC])</f>
        <v>#N/A</v>
      </c>
      <c r="K69" s="95" t="e">
        <f>_xlfn.XLOOKUP(Table120912039[[#This Row],[Opp]],Table832[DEF],Table832[Y])</f>
        <v>#N/A</v>
      </c>
      <c r="L69" s="96" t="e">
        <f>_xlfn.XLOOKUP(Table120912039[[#This Row],[Opp]],Table832[DEF],Table832[TD])</f>
        <v>#N/A</v>
      </c>
      <c r="M69" s="94" t="e">
        <f>AVERAGE(Table120912039[[#This Row],[*C*]:[*TD*]])</f>
        <v>#N/A</v>
      </c>
    </row>
    <row r="70" spans="2:13" hidden="1" x14ac:dyDescent="0.35">
      <c r="B70" s="6" t="s">
        <v>605</v>
      </c>
      <c r="C70" s="97" t="s">
        <v>15</v>
      </c>
      <c r="D70" s="97" t="s">
        <v>430</v>
      </c>
      <c r="E70" s="23" t="str" cm="1">
        <f t="array" ref="E70">_xlfn.XLOOKUP(Table120912039[[#This Row],[Team]],Table4334[Team],'2425'!$C$3:$C$34)</f>
        <v>n/a</v>
      </c>
      <c r="F70" s="97" t="str">
        <f>'2025'!$E$4</f>
        <v>n/a</v>
      </c>
      <c r="G70" s="94" t="e" cm="1">
        <f t="array" ref="G70">_xlfn.XLOOKUP(Table120912039[[#This Row],[Opp]],Table832[DEF],'2425'!$AM$3:$AM$34)</f>
        <v>#N/A</v>
      </c>
      <c r="H70" s="94" t="e" cm="1">
        <f t="array" ref="H70">_xlfn.XLOOKUP(Table120912039[[#This Row],[Opp]],Table832[DEF],'2425'!$AN$3:$AN$34)</f>
        <v>#N/A</v>
      </c>
      <c r="I70" s="94" t="e" cm="1">
        <f t="array" ref="I70">_xlfn.XLOOKUP(Table120912039[[#This Row],[Opp]],Table832[DEF],'2425'!$AO$3:$AO$34)</f>
        <v>#N/A</v>
      </c>
      <c r="J70" s="95" t="e">
        <f>_xlfn.XLOOKUP(Table120912039[[#This Row],[Opp]],Table832[DEF],Table832[REC])</f>
        <v>#N/A</v>
      </c>
      <c r="K70" s="95" t="e">
        <f>_xlfn.XLOOKUP(Table120912039[[#This Row],[Opp]],Table832[DEF],Table832[Y])</f>
        <v>#N/A</v>
      </c>
      <c r="L70" s="96" t="e">
        <f>_xlfn.XLOOKUP(Table120912039[[#This Row],[Opp]],Table832[DEF],Table832[TD])</f>
        <v>#N/A</v>
      </c>
      <c r="M70" s="94" t="e">
        <f>AVERAGE(Table120912039[[#This Row],[*C*]:[*TD*]])</f>
        <v>#N/A</v>
      </c>
    </row>
    <row r="71" spans="2:13" hidden="1" x14ac:dyDescent="0.35">
      <c r="B71" s="6" t="s">
        <v>606</v>
      </c>
      <c r="C71" s="97" t="s">
        <v>15</v>
      </c>
      <c r="D71" s="97" t="s">
        <v>435</v>
      </c>
      <c r="E71" s="23" t="str" cm="1">
        <f t="array" ref="E71">_xlfn.XLOOKUP(Table120912039[[#This Row],[Team]],Table4334[Team],'2425'!$C$3:$C$34)</f>
        <v>n/a</v>
      </c>
      <c r="F71" s="97" t="str">
        <f>'2025'!$E$4</f>
        <v>n/a</v>
      </c>
      <c r="G71" s="94" t="e" cm="1">
        <f t="array" ref="G71">_xlfn.XLOOKUP(Table120912039[[#This Row],[Opp]],Table832[DEF],'2425'!$AM$3:$AM$34)</f>
        <v>#N/A</v>
      </c>
      <c r="H71" s="94" t="e" cm="1">
        <f t="array" ref="H71">_xlfn.XLOOKUP(Table120912039[[#This Row],[Opp]],Table832[DEF],'2425'!$AN$3:$AN$34)</f>
        <v>#N/A</v>
      </c>
      <c r="I71" s="94" t="e" cm="1">
        <f t="array" ref="I71">_xlfn.XLOOKUP(Table120912039[[#This Row],[Opp]],Table832[DEF],'2425'!$AO$3:$AO$34)</f>
        <v>#N/A</v>
      </c>
      <c r="J71" s="95" t="e">
        <f>_xlfn.XLOOKUP(Table120912039[[#This Row],[Opp]],Table832[DEF],Table832[REC])</f>
        <v>#N/A</v>
      </c>
      <c r="K71" s="95" t="e">
        <f>_xlfn.XLOOKUP(Table120912039[[#This Row],[Opp]],Table832[DEF],Table832[Y])</f>
        <v>#N/A</v>
      </c>
      <c r="L71" s="96" t="e">
        <f>_xlfn.XLOOKUP(Table120912039[[#This Row],[Opp]],Table832[DEF],Table832[TD])</f>
        <v>#N/A</v>
      </c>
      <c r="M71" s="94" t="e">
        <f>AVERAGE(Table120912039[[#This Row],[*C*]:[*TD*]])</f>
        <v>#N/A</v>
      </c>
    </row>
    <row r="72" spans="2:13" hidden="1" x14ac:dyDescent="0.35">
      <c r="B72" s="6" t="s">
        <v>249</v>
      </c>
      <c r="C72" s="97" t="s">
        <v>40</v>
      </c>
      <c r="D72" s="97" t="s">
        <v>397</v>
      </c>
      <c r="E72" s="23" t="str" cm="1">
        <f t="array" ref="E72">_xlfn.XLOOKUP(Table120912039[[#This Row],[Team]],Table4334[Team],'2425'!$C$3:$C$34)</f>
        <v>n/a</v>
      </c>
      <c r="F72" s="97" t="str">
        <f>'2025'!$E$18</f>
        <v>n/a</v>
      </c>
      <c r="G72" s="94" t="e" cm="1">
        <f t="array" ref="G72">_xlfn.XLOOKUP(Table120912039[[#This Row],[Opp]],Table832[DEF],'2425'!$AM$3:$AM$34)</f>
        <v>#N/A</v>
      </c>
      <c r="H72" s="94" t="e" cm="1">
        <f t="array" ref="H72">_xlfn.XLOOKUP(Table120912039[[#This Row],[Opp]],Table832[DEF],'2425'!$AN$3:$AN$34)</f>
        <v>#N/A</v>
      </c>
      <c r="I72" s="94" t="e" cm="1">
        <f t="array" ref="I72">_xlfn.XLOOKUP(Table120912039[[#This Row],[Opp]],Table832[DEF],'2425'!$AO$3:$AO$34)</f>
        <v>#N/A</v>
      </c>
      <c r="J72" s="95" t="e">
        <f>_xlfn.XLOOKUP(Table120912039[[#This Row],[Opp]],Table832[DEF],Table832[REC])</f>
        <v>#N/A</v>
      </c>
      <c r="K72" s="95" t="e">
        <f>_xlfn.XLOOKUP(Table120912039[[#This Row],[Opp]],Table832[DEF],Table832[Y])</f>
        <v>#N/A</v>
      </c>
      <c r="L72" s="96" t="e">
        <f>_xlfn.XLOOKUP(Table120912039[[#This Row],[Opp]],Table832[DEF],Table832[TD])</f>
        <v>#N/A</v>
      </c>
      <c r="M72" s="94" t="e">
        <f>AVERAGE(Table120912039[[#This Row],[*C*]:[*TD*]])</f>
        <v>#N/A</v>
      </c>
    </row>
    <row r="73" spans="2:13" hidden="1" x14ac:dyDescent="0.35">
      <c r="B73" s="6" t="s">
        <v>646</v>
      </c>
      <c r="C73" s="97" t="s">
        <v>38</v>
      </c>
      <c r="D73" s="97" t="s">
        <v>398</v>
      </c>
      <c r="E73" s="23" t="str" cm="1">
        <f t="array" ref="E73">_xlfn.XLOOKUP(Table120912039[[#This Row],[Team]],Table4334[Team],'2425'!$C$3:$C$34)</f>
        <v>n/a</v>
      </c>
      <c r="F73" s="97" t="str">
        <f>'2025'!$E$16</f>
        <v>n/a</v>
      </c>
      <c r="G73" s="94" t="e" cm="1">
        <f t="array" ref="G73">_xlfn.XLOOKUP(Table120912039[[#This Row],[Opp]],Table832[DEF],'2425'!$AM$3:$AM$34)</f>
        <v>#N/A</v>
      </c>
      <c r="H73" s="94" t="e" cm="1">
        <f t="array" ref="H73">_xlfn.XLOOKUP(Table120912039[[#This Row],[Opp]],Table832[DEF],'2425'!$AN$3:$AN$34)</f>
        <v>#N/A</v>
      </c>
      <c r="I73" s="94" t="e" cm="1">
        <f t="array" ref="I73">_xlfn.XLOOKUP(Table120912039[[#This Row],[Opp]],Table832[DEF],'2425'!$AO$3:$AO$34)</f>
        <v>#N/A</v>
      </c>
      <c r="J73" s="95" t="e">
        <f>_xlfn.XLOOKUP(Table120912039[[#This Row],[Opp]],Table832[DEF],Table832[REC])</f>
        <v>#N/A</v>
      </c>
      <c r="K73" s="95" t="e">
        <f>_xlfn.XLOOKUP(Table120912039[[#This Row],[Opp]],Table832[DEF],Table832[Y])</f>
        <v>#N/A</v>
      </c>
      <c r="L73" s="96" t="e">
        <f>_xlfn.XLOOKUP(Table120912039[[#This Row],[Opp]],Table832[DEF],Table832[TD])</f>
        <v>#N/A</v>
      </c>
      <c r="M73" s="94" t="e">
        <f>AVERAGE(Table120912039[[#This Row],[*C*]:[*TD*]])</f>
        <v>#N/A</v>
      </c>
    </row>
    <row r="74" spans="2:13" hidden="1" x14ac:dyDescent="0.35">
      <c r="B74" s="6" t="s">
        <v>647</v>
      </c>
      <c r="C74" s="97" t="s">
        <v>38</v>
      </c>
      <c r="D74" s="97" t="s">
        <v>430</v>
      </c>
      <c r="E74" s="23" t="str" cm="1">
        <f t="array" ref="E74">_xlfn.XLOOKUP(Table120912039[[#This Row],[Team]],Table4334[Team],'2425'!$C$3:$C$34)</f>
        <v>n/a</v>
      </c>
      <c r="F74" s="97" t="str">
        <f>'2025'!$E$16</f>
        <v>n/a</v>
      </c>
      <c r="G74" s="94" t="e" cm="1">
        <f t="array" ref="G74">_xlfn.XLOOKUP(Table120912039[[#This Row],[Opp]],Table832[DEF],'2425'!$AM$3:$AM$34)</f>
        <v>#N/A</v>
      </c>
      <c r="H74" s="94" t="e" cm="1">
        <f t="array" ref="H74">_xlfn.XLOOKUP(Table120912039[[#This Row],[Opp]],Table832[DEF],'2425'!$AN$3:$AN$34)</f>
        <v>#N/A</v>
      </c>
      <c r="I74" s="94" t="e" cm="1">
        <f t="array" ref="I74">_xlfn.XLOOKUP(Table120912039[[#This Row],[Opp]],Table832[DEF],'2425'!$AO$3:$AO$34)</f>
        <v>#N/A</v>
      </c>
      <c r="J74" s="95" t="e">
        <f>_xlfn.XLOOKUP(Table120912039[[#This Row],[Opp]],Table832[DEF],Table832[REC])</f>
        <v>#N/A</v>
      </c>
      <c r="K74" s="95" t="e">
        <f>_xlfn.XLOOKUP(Table120912039[[#This Row],[Opp]],Table832[DEF],Table832[Y])</f>
        <v>#N/A</v>
      </c>
      <c r="L74" s="96" t="e">
        <f>_xlfn.XLOOKUP(Table120912039[[#This Row],[Opp]],Table832[DEF],Table832[TD])</f>
        <v>#N/A</v>
      </c>
      <c r="M74" s="94" t="e">
        <f>AVERAGE(Table120912039[[#This Row],[*C*]:[*TD*]])</f>
        <v>#N/A</v>
      </c>
    </row>
    <row r="75" spans="2:13" hidden="1" x14ac:dyDescent="0.35">
      <c r="B75" s="6" t="s">
        <v>648</v>
      </c>
      <c r="C75" s="97" t="s">
        <v>38</v>
      </c>
      <c r="D75" s="97" t="s">
        <v>435</v>
      </c>
      <c r="E75" s="23" t="str" cm="1">
        <f t="array" ref="E75">_xlfn.XLOOKUP(Table120912039[[#This Row],[Team]],Table4334[Team],'2425'!$C$3:$C$34)</f>
        <v>n/a</v>
      </c>
      <c r="F75" s="97" t="str">
        <f>'2025'!$E$16</f>
        <v>n/a</v>
      </c>
      <c r="G75" s="94" t="e" cm="1">
        <f t="array" ref="G75">_xlfn.XLOOKUP(Table120912039[[#This Row],[Opp]],Table832[DEF],'2425'!$AM$3:$AM$34)</f>
        <v>#N/A</v>
      </c>
      <c r="H75" s="94" t="e" cm="1">
        <f t="array" ref="H75">_xlfn.XLOOKUP(Table120912039[[#This Row],[Opp]],Table832[DEF],'2425'!$AN$3:$AN$34)</f>
        <v>#N/A</v>
      </c>
      <c r="I75" s="94" t="e" cm="1">
        <f t="array" ref="I75">_xlfn.XLOOKUP(Table120912039[[#This Row],[Opp]],Table832[DEF],'2425'!$AO$3:$AO$34)</f>
        <v>#N/A</v>
      </c>
      <c r="J75" s="95" t="e">
        <f>_xlfn.XLOOKUP(Table120912039[[#This Row],[Opp]],Table832[DEF],Table832[REC])</f>
        <v>#N/A</v>
      </c>
      <c r="K75" s="95" t="e">
        <f>_xlfn.XLOOKUP(Table120912039[[#This Row],[Opp]],Table832[DEF],Table832[Y])</f>
        <v>#N/A</v>
      </c>
      <c r="L75" s="96" t="e">
        <f>_xlfn.XLOOKUP(Table120912039[[#This Row],[Opp]],Table832[DEF],Table832[TD])</f>
        <v>#N/A</v>
      </c>
      <c r="M75" s="94" t="e">
        <f>AVERAGE(Table120912039[[#This Row],[*C*]:[*TD*]])</f>
        <v>#N/A</v>
      </c>
    </row>
    <row r="76" spans="2:13" hidden="1" x14ac:dyDescent="0.35">
      <c r="B76" s="6" t="s">
        <v>209</v>
      </c>
      <c r="C76" s="97" t="s">
        <v>36</v>
      </c>
      <c r="D76" s="97" t="s">
        <v>397</v>
      </c>
      <c r="E76" s="23" t="str" cm="1">
        <f t="array" ref="E76">_xlfn.XLOOKUP(Table120912039[[#This Row],[Team]],Table4334[Team],'2425'!$C$3:$C$34)</f>
        <v>n/a</v>
      </c>
      <c r="F76" s="97" t="str">
        <f>'2025'!$E$14</f>
        <v>n/a</v>
      </c>
      <c r="G76" s="94" t="e" cm="1">
        <f t="array" ref="G76">_xlfn.XLOOKUP(Table120912039[[#This Row],[Opp]],Table832[DEF],'2425'!$AM$3:$AM$34)</f>
        <v>#N/A</v>
      </c>
      <c r="H76" s="94" t="e" cm="1">
        <f t="array" ref="H76">_xlfn.XLOOKUP(Table120912039[[#This Row],[Opp]],Table832[DEF],'2425'!$AN$3:$AN$34)</f>
        <v>#N/A</v>
      </c>
      <c r="I76" s="94" t="e" cm="1">
        <f t="array" ref="I76">_xlfn.XLOOKUP(Table120912039[[#This Row],[Opp]],Table832[DEF],'2425'!$AO$3:$AO$34)</f>
        <v>#N/A</v>
      </c>
      <c r="J76" s="95" t="e">
        <f>_xlfn.XLOOKUP(Table120912039[[#This Row],[Opp]],Table832[DEF],Table832[REC])</f>
        <v>#N/A</v>
      </c>
      <c r="K76" s="95" t="e">
        <f>_xlfn.XLOOKUP(Table120912039[[#This Row],[Opp]],Table832[DEF],Table832[Y])</f>
        <v>#N/A</v>
      </c>
      <c r="L76" s="96" t="e">
        <f>_xlfn.XLOOKUP(Table120912039[[#This Row],[Opp]],Table832[DEF],Table832[TD])</f>
        <v>#N/A</v>
      </c>
      <c r="M76" s="94" t="e">
        <f>AVERAGE(Table120912039[[#This Row],[*C*]:[*TD*]])</f>
        <v>#N/A</v>
      </c>
    </row>
    <row r="77" spans="2:13" hidden="1" x14ac:dyDescent="0.35">
      <c r="B77" s="6" t="s">
        <v>628</v>
      </c>
      <c r="C77" s="97" t="s">
        <v>39</v>
      </c>
      <c r="D77" s="97" t="s">
        <v>398</v>
      </c>
      <c r="E77" s="23" t="str" cm="1">
        <f t="array" ref="E77">_xlfn.XLOOKUP(Table120912039[[#This Row],[Team]],Table4334[Team],'2425'!$C$3:$C$34)</f>
        <v>n/a</v>
      </c>
      <c r="F77" s="97" t="str">
        <f>'2025'!$E$17</f>
        <v>n/a</v>
      </c>
      <c r="G77" s="94" t="e" cm="1">
        <f t="array" ref="G77">_xlfn.XLOOKUP(Table120912039[[#This Row],[Opp]],Table832[DEF],'2425'!$AM$3:$AM$34)</f>
        <v>#N/A</v>
      </c>
      <c r="H77" s="94" t="e" cm="1">
        <f t="array" ref="H77">_xlfn.XLOOKUP(Table120912039[[#This Row],[Opp]],Table832[DEF],'2425'!$AN$3:$AN$34)</f>
        <v>#N/A</v>
      </c>
      <c r="I77" s="94" t="e" cm="1">
        <f t="array" ref="I77">_xlfn.XLOOKUP(Table120912039[[#This Row],[Opp]],Table832[DEF],'2425'!$AO$3:$AO$34)</f>
        <v>#N/A</v>
      </c>
      <c r="J77" s="95" t="e">
        <f>_xlfn.XLOOKUP(Table120912039[[#This Row],[Opp]],Table832[DEF],Table832[REC])</f>
        <v>#N/A</v>
      </c>
      <c r="K77" s="95" t="e">
        <f>_xlfn.XLOOKUP(Table120912039[[#This Row],[Opp]],Table832[DEF],Table832[Y])</f>
        <v>#N/A</v>
      </c>
      <c r="L77" s="96" t="e">
        <f>_xlfn.XLOOKUP(Table120912039[[#This Row],[Opp]],Table832[DEF],Table832[TD])</f>
        <v>#N/A</v>
      </c>
      <c r="M77" s="94" t="e">
        <f>AVERAGE(Table120912039[[#This Row],[*C*]:[*TD*]])</f>
        <v>#N/A</v>
      </c>
    </row>
    <row r="78" spans="2:13" hidden="1" x14ac:dyDescent="0.35">
      <c r="B78" s="6" t="s">
        <v>629</v>
      </c>
      <c r="C78" s="97" t="s">
        <v>39</v>
      </c>
      <c r="D78" s="97" t="s">
        <v>430</v>
      </c>
      <c r="E78" s="23" t="str" cm="1">
        <f t="array" ref="E78">_xlfn.XLOOKUP(Table120912039[[#This Row],[Team]],Table4334[Team],'2425'!$C$3:$C$34)</f>
        <v>n/a</v>
      </c>
      <c r="F78" s="97" t="str">
        <f>'2025'!$E$17</f>
        <v>n/a</v>
      </c>
      <c r="G78" s="94" t="e" cm="1">
        <f t="array" ref="G78">_xlfn.XLOOKUP(Table120912039[[#This Row],[Opp]],Table832[DEF],'2425'!$AM$3:$AM$34)</f>
        <v>#N/A</v>
      </c>
      <c r="H78" s="94" t="e" cm="1">
        <f t="array" ref="H78">_xlfn.XLOOKUP(Table120912039[[#This Row],[Opp]],Table832[DEF],'2425'!$AN$3:$AN$34)</f>
        <v>#N/A</v>
      </c>
      <c r="I78" s="94" t="e" cm="1">
        <f t="array" ref="I78">_xlfn.XLOOKUP(Table120912039[[#This Row],[Opp]],Table832[DEF],'2425'!$AO$3:$AO$34)</f>
        <v>#N/A</v>
      </c>
      <c r="J78" s="95" t="e">
        <f>_xlfn.XLOOKUP(Table120912039[[#This Row],[Opp]],Table832[DEF],Table832[REC])</f>
        <v>#N/A</v>
      </c>
      <c r="K78" s="95" t="e">
        <f>_xlfn.XLOOKUP(Table120912039[[#This Row],[Opp]],Table832[DEF],Table832[Y])</f>
        <v>#N/A</v>
      </c>
      <c r="L78" s="96" t="e">
        <f>_xlfn.XLOOKUP(Table120912039[[#This Row],[Opp]],Table832[DEF],Table832[TD])</f>
        <v>#N/A</v>
      </c>
      <c r="M78" s="94" t="e">
        <f>AVERAGE(Table120912039[[#This Row],[*C*]:[*TD*]])</f>
        <v>#N/A</v>
      </c>
    </row>
    <row r="79" spans="2:13" hidden="1" x14ac:dyDescent="0.35">
      <c r="B79" s="6" t="s">
        <v>260</v>
      </c>
      <c r="C79" s="97" t="s">
        <v>41</v>
      </c>
      <c r="D79" s="97" t="s">
        <v>397</v>
      </c>
      <c r="E79" s="23" t="str" cm="1">
        <f t="array" ref="E79">_xlfn.XLOOKUP(Table120912039[[#This Row],[Team]],Table4334[Team],'2425'!$C$3:$C$34)</f>
        <v>n/a</v>
      </c>
      <c r="F79" s="97" t="str">
        <f>'2025'!$E$19</f>
        <v>n/a</v>
      </c>
      <c r="G79" s="94" t="e" cm="1">
        <f t="array" ref="G79">_xlfn.XLOOKUP(Table120912039[[#This Row],[Opp]],Table832[DEF],'2425'!$AM$3:$AM$34)</f>
        <v>#N/A</v>
      </c>
      <c r="H79" s="94" t="e" cm="1">
        <f t="array" ref="H79">_xlfn.XLOOKUP(Table120912039[[#This Row],[Opp]],Table832[DEF],'2425'!$AN$3:$AN$34)</f>
        <v>#N/A</v>
      </c>
      <c r="I79" s="94" t="e" cm="1">
        <f t="array" ref="I79">_xlfn.XLOOKUP(Table120912039[[#This Row],[Opp]],Table832[DEF],'2425'!$AO$3:$AO$34)</f>
        <v>#N/A</v>
      </c>
      <c r="J79" s="95" t="e">
        <f>_xlfn.XLOOKUP(Table120912039[[#This Row],[Opp]],Table832[DEF],Table832[REC])</f>
        <v>#N/A</v>
      </c>
      <c r="K79" s="95" t="e">
        <f>_xlfn.XLOOKUP(Table120912039[[#This Row],[Opp]],Table832[DEF],Table832[Y])</f>
        <v>#N/A</v>
      </c>
      <c r="L79" s="96" t="e">
        <f>_xlfn.XLOOKUP(Table120912039[[#This Row],[Opp]],Table832[DEF],Table832[TD])</f>
        <v>#N/A</v>
      </c>
      <c r="M79" s="94" t="e">
        <f>AVERAGE(Table120912039[[#This Row],[*C*]:[*TD*]])</f>
        <v>#N/A</v>
      </c>
    </row>
    <row r="80" spans="2:13" hidden="1" x14ac:dyDescent="0.35">
      <c r="B80" s="6" t="s">
        <v>418</v>
      </c>
      <c r="C80" s="97" t="s">
        <v>49</v>
      </c>
      <c r="D80" s="97" t="s">
        <v>398</v>
      </c>
      <c r="E80" s="23" t="str" cm="1">
        <f t="array" ref="E80">_xlfn.XLOOKUP(Table120912039[[#This Row],[Team]],Table4334[Team],'2425'!$C$3:$C$34)</f>
        <v>n/a</v>
      </c>
      <c r="F80" s="97" t="str">
        <f>'2025'!$E$27</f>
        <v>n/a</v>
      </c>
      <c r="G80" s="94" t="e" cm="1">
        <f t="array" ref="G80">_xlfn.XLOOKUP(Table120912039[[#This Row],[Opp]],Table832[DEF],'2425'!$AM$3:$AM$34)</f>
        <v>#N/A</v>
      </c>
      <c r="H80" s="94" t="e" cm="1">
        <f t="array" ref="H80">_xlfn.XLOOKUP(Table120912039[[#This Row],[Opp]],Table832[DEF],'2425'!$AN$3:$AN$34)</f>
        <v>#N/A</v>
      </c>
      <c r="I80" s="94" t="e" cm="1">
        <f t="array" ref="I80">_xlfn.XLOOKUP(Table120912039[[#This Row],[Opp]],Table832[DEF],'2425'!$AO$3:$AO$34)</f>
        <v>#N/A</v>
      </c>
      <c r="J80" s="95" t="e">
        <f>_xlfn.XLOOKUP(Table120912039[[#This Row],[Opp]],Table832[DEF],Table832[REC])</f>
        <v>#N/A</v>
      </c>
      <c r="K80" s="95" t="e">
        <f>_xlfn.XLOOKUP(Table120912039[[#This Row],[Opp]],Table832[DEF],Table832[Y])</f>
        <v>#N/A</v>
      </c>
      <c r="L80" s="96" t="e">
        <f>_xlfn.XLOOKUP(Table120912039[[#This Row],[Opp]],Table832[DEF],Table832[TD])</f>
        <v>#N/A</v>
      </c>
      <c r="M80" s="94" t="e">
        <f>AVERAGE(Table120912039[[#This Row],[*C*]:[*TD*]])</f>
        <v>#N/A</v>
      </c>
    </row>
    <row r="81" spans="2:13" hidden="1" x14ac:dyDescent="0.35">
      <c r="B81" s="6" t="s">
        <v>446</v>
      </c>
      <c r="C81" s="97" t="s">
        <v>49</v>
      </c>
      <c r="D81" s="97" t="s">
        <v>430</v>
      </c>
      <c r="E81" s="23" t="str" cm="1">
        <f t="array" ref="E81">_xlfn.XLOOKUP(Table120912039[[#This Row],[Team]],Table4334[Team],'2425'!$C$3:$C$34)</f>
        <v>n/a</v>
      </c>
      <c r="F81" s="97" t="str">
        <f>'2025'!$E$27</f>
        <v>n/a</v>
      </c>
      <c r="G81" s="94" t="e" cm="1">
        <f t="array" ref="G81">_xlfn.XLOOKUP(Table120912039[[#This Row],[Opp]],Table832[DEF],'2425'!$AM$3:$AM$34)</f>
        <v>#N/A</v>
      </c>
      <c r="H81" s="94" t="e" cm="1">
        <f t="array" ref="H81">_xlfn.XLOOKUP(Table120912039[[#This Row],[Opp]],Table832[DEF],'2425'!$AN$3:$AN$34)</f>
        <v>#N/A</v>
      </c>
      <c r="I81" s="94" t="e" cm="1">
        <f t="array" ref="I81">_xlfn.XLOOKUP(Table120912039[[#This Row],[Opp]],Table832[DEF],'2425'!$AO$3:$AO$34)</f>
        <v>#N/A</v>
      </c>
      <c r="J81" s="95" t="e">
        <f>_xlfn.XLOOKUP(Table120912039[[#This Row],[Opp]],Table832[DEF],Table832[REC])</f>
        <v>#N/A</v>
      </c>
      <c r="K81" s="95" t="e">
        <f>_xlfn.XLOOKUP(Table120912039[[#This Row],[Opp]],Table832[DEF],Table832[Y])</f>
        <v>#N/A</v>
      </c>
      <c r="L81" s="96" t="e">
        <f>_xlfn.XLOOKUP(Table120912039[[#This Row],[Opp]],Table832[DEF],Table832[TD])</f>
        <v>#N/A</v>
      </c>
      <c r="M81" s="94" t="e">
        <f>AVERAGE(Table120912039[[#This Row],[*C*]:[*TD*]])</f>
        <v>#N/A</v>
      </c>
    </row>
    <row r="82" spans="2:13" hidden="1" x14ac:dyDescent="0.35">
      <c r="B82" s="6" t="s">
        <v>447</v>
      </c>
      <c r="C82" s="97" t="s">
        <v>49</v>
      </c>
      <c r="D82" s="97" t="s">
        <v>435</v>
      </c>
      <c r="E82" s="23" t="str" cm="1">
        <f t="array" ref="E82">_xlfn.XLOOKUP(Table120912039[[#This Row],[Team]],Table4334[Team],'2425'!$C$3:$C$34)</f>
        <v>n/a</v>
      </c>
      <c r="F82" s="97" t="str">
        <f>'2025'!$E$27</f>
        <v>n/a</v>
      </c>
      <c r="G82" s="94" t="e" cm="1">
        <f t="array" ref="G82">_xlfn.XLOOKUP(Table120912039[[#This Row],[Opp]],Table832[DEF],'2425'!$AM$3:$AM$34)</f>
        <v>#N/A</v>
      </c>
      <c r="H82" s="94" t="e" cm="1">
        <f t="array" ref="H82">_xlfn.XLOOKUP(Table120912039[[#This Row],[Opp]],Table832[DEF],'2425'!$AN$3:$AN$34)</f>
        <v>#N/A</v>
      </c>
      <c r="I82" s="94" t="e" cm="1">
        <f t="array" ref="I82">_xlfn.XLOOKUP(Table120912039[[#This Row],[Opp]],Table832[DEF],'2425'!$AO$3:$AO$34)</f>
        <v>#N/A</v>
      </c>
      <c r="J82" s="95" t="e">
        <f>_xlfn.XLOOKUP(Table120912039[[#This Row],[Opp]],Table832[DEF],Table832[REC])</f>
        <v>#N/A</v>
      </c>
      <c r="K82" s="95" t="e">
        <f>_xlfn.XLOOKUP(Table120912039[[#This Row],[Opp]],Table832[DEF],Table832[Y])</f>
        <v>#N/A</v>
      </c>
      <c r="L82" s="96" t="e">
        <f>_xlfn.XLOOKUP(Table120912039[[#This Row],[Opp]],Table832[DEF],Table832[TD])</f>
        <v>#N/A</v>
      </c>
      <c r="M82" s="94" t="e">
        <f>AVERAGE(Table120912039[[#This Row],[*C*]:[*TD*]])</f>
        <v>#N/A</v>
      </c>
    </row>
    <row r="83" spans="2:13" hidden="1" x14ac:dyDescent="0.35">
      <c r="B83" s="6" t="s">
        <v>202</v>
      </c>
      <c r="C83" s="97" t="s">
        <v>35</v>
      </c>
      <c r="D83" s="97" t="s">
        <v>397</v>
      </c>
      <c r="E83" s="23" t="str" cm="1">
        <f t="array" ref="E83">_xlfn.XLOOKUP(Table120912039[[#This Row],[Team]],Table4334[Team],'2425'!$C$3:$C$34)</f>
        <v>n/a</v>
      </c>
      <c r="F83" s="97" t="str">
        <f>'2025'!$E$13</f>
        <v>n/a</v>
      </c>
      <c r="G83" s="94" t="e" cm="1">
        <f t="array" ref="G83">_xlfn.XLOOKUP(Table120912039[[#This Row],[Opp]],Table832[DEF],'2425'!$AM$3:$AM$34)</f>
        <v>#N/A</v>
      </c>
      <c r="H83" s="94" t="e" cm="1">
        <f t="array" ref="H83">_xlfn.XLOOKUP(Table120912039[[#This Row],[Opp]],Table832[DEF],'2425'!$AN$3:$AN$34)</f>
        <v>#N/A</v>
      </c>
      <c r="I83" s="94" t="e" cm="1">
        <f t="array" ref="I83">_xlfn.XLOOKUP(Table120912039[[#This Row],[Opp]],Table832[DEF],'2425'!$AO$3:$AO$34)</f>
        <v>#N/A</v>
      </c>
      <c r="J83" s="95" t="e">
        <f>_xlfn.XLOOKUP(Table120912039[[#This Row],[Opp]],Table832[DEF],Table832[REC])</f>
        <v>#N/A</v>
      </c>
      <c r="K83" s="95" t="e">
        <f>_xlfn.XLOOKUP(Table120912039[[#This Row],[Opp]],Table832[DEF],Table832[Y])</f>
        <v>#N/A</v>
      </c>
      <c r="L83" s="96" t="e">
        <f>_xlfn.XLOOKUP(Table120912039[[#This Row],[Opp]],Table832[DEF],Table832[TD])</f>
        <v>#N/A</v>
      </c>
      <c r="M83" s="94" t="e">
        <f>AVERAGE(Table120912039[[#This Row],[*C*]:[*TD*]])</f>
        <v>#N/A</v>
      </c>
    </row>
    <row r="84" spans="2:13" hidden="1" x14ac:dyDescent="0.35">
      <c r="B84" s="6" t="s">
        <v>135</v>
      </c>
      <c r="C84" s="97" t="s">
        <v>17</v>
      </c>
      <c r="D84" s="97" t="s">
        <v>398</v>
      </c>
      <c r="E84" s="23" t="str" cm="1">
        <f t="array" ref="E84">_xlfn.XLOOKUP(Table120912039[[#This Row],[Team]],Table4334[Team],'2425'!$C$3:$C$34)</f>
        <v>n/a</v>
      </c>
      <c r="F84" s="97" t="str">
        <f>'2025'!$E$6</f>
        <v>n/a</v>
      </c>
      <c r="G84" s="94" t="e" cm="1">
        <f t="array" ref="G84">_xlfn.XLOOKUP(Table120912039[[#This Row],[Opp]],Table832[DEF],'2425'!$AM$3:$AM$34)</f>
        <v>#N/A</v>
      </c>
      <c r="H84" s="94" t="e" cm="1">
        <f t="array" ref="H84">_xlfn.XLOOKUP(Table120912039[[#This Row],[Opp]],Table832[DEF],'2425'!$AN$3:$AN$34)</f>
        <v>#N/A</v>
      </c>
      <c r="I84" s="94" t="e" cm="1">
        <f t="array" ref="I84">_xlfn.XLOOKUP(Table120912039[[#This Row],[Opp]],Table832[DEF],'2425'!$AO$3:$AO$34)</f>
        <v>#N/A</v>
      </c>
      <c r="J84" s="95" t="e">
        <f>_xlfn.XLOOKUP(Table120912039[[#This Row],[Opp]],Table832[DEF],Table832[REC])</f>
        <v>#N/A</v>
      </c>
      <c r="K84" s="95" t="e">
        <f>_xlfn.XLOOKUP(Table120912039[[#This Row],[Opp]],Table832[DEF],Table832[Y])</f>
        <v>#N/A</v>
      </c>
      <c r="L84" s="96" t="e">
        <f>_xlfn.XLOOKUP(Table120912039[[#This Row],[Opp]],Table832[DEF],Table832[TD])</f>
        <v>#N/A</v>
      </c>
      <c r="M84" s="94" t="e">
        <f>AVERAGE(Table120912039[[#This Row],[*C*]:[*TD*]])</f>
        <v>#N/A</v>
      </c>
    </row>
    <row r="85" spans="2:13" hidden="1" x14ac:dyDescent="0.35">
      <c r="B85" s="6" t="s">
        <v>429</v>
      </c>
      <c r="C85" s="97" t="s">
        <v>17</v>
      </c>
      <c r="D85" s="97" t="s">
        <v>430</v>
      </c>
      <c r="E85" s="23" t="str" cm="1">
        <f t="array" ref="E85">_xlfn.XLOOKUP(Table120912039[[#This Row],[Team]],Table4334[Team],'2425'!$C$3:$C$34)</f>
        <v>n/a</v>
      </c>
      <c r="F85" s="97" t="str">
        <f>'2025'!$E$6</f>
        <v>n/a</v>
      </c>
      <c r="G85" s="94" t="e" cm="1">
        <f t="array" ref="G85">_xlfn.XLOOKUP(Table120912039[[#This Row],[Opp]],Table832[DEF],'2425'!$AM$3:$AM$34)</f>
        <v>#N/A</v>
      </c>
      <c r="H85" s="94" t="e" cm="1">
        <f t="array" ref="H85">_xlfn.XLOOKUP(Table120912039[[#This Row],[Opp]],Table832[DEF],'2425'!$AN$3:$AN$34)</f>
        <v>#N/A</v>
      </c>
      <c r="I85" s="94" t="e" cm="1">
        <f t="array" ref="I85">_xlfn.XLOOKUP(Table120912039[[#This Row],[Opp]],Table832[DEF],'2425'!$AO$3:$AO$34)</f>
        <v>#N/A</v>
      </c>
      <c r="J85" s="95" t="e">
        <f>_xlfn.XLOOKUP(Table120912039[[#This Row],[Opp]],Table832[DEF],Table832[REC])</f>
        <v>#N/A</v>
      </c>
      <c r="K85" s="95" t="e">
        <f>_xlfn.XLOOKUP(Table120912039[[#This Row],[Opp]],Table832[DEF],Table832[Y])</f>
        <v>#N/A</v>
      </c>
      <c r="L85" s="96" t="e">
        <f>_xlfn.XLOOKUP(Table120912039[[#This Row],[Opp]],Table832[DEF],Table832[TD])</f>
        <v>#N/A</v>
      </c>
      <c r="M85" s="94" t="e">
        <f>AVERAGE(Table120912039[[#This Row],[*C*]:[*TD*]])</f>
        <v>#N/A</v>
      </c>
    </row>
    <row r="86" spans="2:13" x14ac:dyDescent="0.35">
      <c r="B86" s="6" t="s">
        <v>221</v>
      </c>
      <c r="C86" s="97" t="s">
        <v>37</v>
      </c>
      <c r="D86" s="97" t="s">
        <v>397</v>
      </c>
      <c r="E86" s="23" t="str" cm="1">
        <f t="array" ref="E86">_xlfn.XLOOKUP(Table120912039[[#This Row],[Team]],Table4334[Team],'2425'!$C$3:$C$34)</f>
        <v>n/a</v>
      </c>
      <c r="F86" s="97" t="str">
        <f>'2025'!$E$15</f>
        <v>n/a</v>
      </c>
      <c r="G86" s="94" t="e" cm="1">
        <f t="array" ref="G86">_xlfn.XLOOKUP(Table120912039[[#This Row],[Opp]],Table832[DEF],'2425'!$AM$3:$AM$34)</f>
        <v>#N/A</v>
      </c>
      <c r="H86" s="94" t="e" cm="1">
        <f t="array" ref="H86">_xlfn.XLOOKUP(Table120912039[[#This Row],[Opp]],Table832[DEF],'2425'!$AN$3:$AN$34)</f>
        <v>#N/A</v>
      </c>
      <c r="I86" s="94" t="e" cm="1">
        <f t="array" ref="I86">_xlfn.XLOOKUP(Table120912039[[#This Row],[Opp]],Table832[DEF],'2425'!$AO$3:$AO$34)</f>
        <v>#N/A</v>
      </c>
      <c r="J86" s="95" t="e">
        <f>_xlfn.XLOOKUP(Table120912039[[#This Row],[Opp]],Table832[DEF],Table832[REC])</f>
        <v>#N/A</v>
      </c>
      <c r="K86" s="95" t="e">
        <f>_xlfn.XLOOKUP(Table120912039[[#This Row],[Opp]],Table832[DEF],Table832[Y])</f>
        <v>#N/A</v>
      </c>
      <c r="L86" s="96" t="e">
        <f>_xlfn.XLOOKUP(Table120912039[[#This Row],[Opp]],Table832[DEF],Table832[TD])</f>
        <v>#N/A</v>
      </c>
      <c r="M86" s="94" t="e">
        <f>AVERAGE(Table120912039[[#This Row],[*C*]:[*TD*]])</f>
        <v>#N/A</v>
      </c>
    </row>
    <row r="87" spans="2:13" hidden="1" x14ac:dyDescent="0.35">
      <c r="B87" s="6" t="s">
        <v>298</v>
      </c>
      <c r="C87" s="97" t="s">
        <v>45</v>
      </c>
      <c r="D87" s="97" t="s">
        <v>398</v>
      </c>
      <c r="E87" s="23" t="str" cm="1">
        <f t="array" ref="E87">_xlfn.XLOOKUP(Table120912039[[#This Row],[Team]],Table4334[Team],'2425'!$C$3:$C$34)</f>
        <v>n/a</v>
      </c>
      <c r="F87" s="97" t="str">
        <f>'2025'!$E$23</f>
        <v>n/a</v>
      </c>
      <c r="G87" s="94" t="e" cm="1">
        <f t="array" ref="G87">_xlfn.XLOOKUP(Table120912039[[#This Row],[Opp]],Table832[DEF],'2425'!$AM$3:$AM$34)</f>
        <v>#N/A</v>
      </c>
      <c r="H87" s="94" t="e" cm="1">
        <f t="array" ref="H87">_xlfn.XLOOKUP(Table120912039[[#This Row],[Opp]],Table832[DEF],'2425'!$AN$3:$AN$34)</f>
        <v>#N/A</v>
      </c>
      <c r="I87" s="94" t="e" cm="1">
        <f t="array" ref="I87">_xlfn.XLOOKUP(Table120912039[[#This Row],[Opp]],Table832[DEF],'2425'!$AO$3:$AO$34)</f>
        <v>#N/A</v>
      </c>
      <c r="J87" s="95" t="e">
        <f>_xlfn.XLOOKUP(Table120912039[[#This Row],[Opp]],Table832[DEF],Table832[REC])</f>
        <v>#N/A</v>
      </c>
      <c r="K87" s="95" t="e">
        <f>_xlfn.XLOOKUP(Table120912039[[#This Row],[Opp]],Table832[DEF],Table832[Y])</f>
        <v>#N/A</v>
      </c>
      <c r="L87" s="96" t="e">
        <f>_xlfn.XLOOKUP(Table120912039[[#This Row],[Opp]],Table832[DEF],Table832[TD])</f>
        <v>#N/A</v>
      </c>
      <c r="M87" s="94" t="e">
        <f>AVERAGE(Table120912039[[#This Row],[*C*]:[*TD*]])</f>
        <v>#N/A</v>
      </c>
    </row>
    <row r="88" spans="2:13" hidden="1" x14ac:dyDescent="0.35">
      <c r="B88" s="6" t="s">
        <v>523</v>
      </c>
      <c r="C88" s="97" t="s">
        <v>45</v>
      </c>
      <c r="D88" s="98" t="s">
        <v>430</v>
      </c>
      <c r="E88" s="23" t="str" cm="1">
        <f t="array" ref="E88">_xlfn.XLOOKUP(Table120912039[[#This Row],[Team]],Table4334[Team],'2425'!$C$3:$C$34)</f>
        <v>n/a</v>
      </c>
      <c r="F88" s="97" t="str">
        <f>'2025'!$E$23</f>
        <v>n/a</v>
      </c>
      <c r="G88" s="94" t="e" cm="1">
        <f t="array" ref="G88">_xlfn.XLOOKUP(Table120912039[[#This Row],[Opp]],Table832[DEF],'2425'!$AM$3:$AM$34)</f>
        <v>#N/A</v>
      </c>
      <c r="H88" s="94" t="e" cm="1">
        <f t="array" ref="H88">_xlfn.XLOOKUP(Table120912039[[#This Row],[Opp]],Table832[DEF],'2425'!$AN$3:$AN$34)</f>
        <v>#N/A</v>
      </c>
      <c r="I88" s="94" t="e" cm="1">
        <f t="array" ref="I88">_xlfn.XLOOKUP(Table120912039[[#This Row],[Opp]],Table832[DEF],'2425'!$AO$3:$AO$34)</f>
        <v>#N/A</v>
      </c>
      <c r="J88" s="95" t="e">
        <f>_xlfn.XLOOKUP(Table120912039[[#This Row],[Opp]],Table832[DEF],Table832[REC])</f>
        <v>#N/A</v>
      </c>
      <c r="K88" s="95" t="e">
        <f>_xlfn.XLOOKUP(Table120912039[[#This Row],[Opp]],Table832[DEF],Table832[Y])</f>
        <v>#N/A</v>
      </c>
      <c r="L88" s="96" t="e">
        <f>_xlfn.XLOOKUP(Table120912039[[#This Row],[Opp]],Table832[DEF],Table832[TD])</f>
        <v>#N/A</v>
      </c>
      <c r="M88" s="94" t="e">
        <f>AVERAGE(Table120912039[[#This Row],[*C*]:[*TD*]])</f>
        <v>#N/A</v>
      </c>
    </row>
    <row r="89" spans="2:13" hidden="1" x14ac:dyDescent="0.35">
      <c r="B89" s="6" t="s">
        <v>289</v>
      </c>
      <c r="C89" s="97" t="s">
        <v>44</v>
      </c>
      <c r="D89" s="97" t="s">
        <v>397</v>
      </c>
      <c r="E89" s="23" t="str" cm="1">
        <f t="array" ref="E89">_xlfn.XLOOKUP(Table120912039[[#This Row],[Team]],Table4334[Team],'2425'!$C$3:$C$34)</f>
        <v>n/a</v>
      </c>
      <c r="F89" s="97" t="str">
        <f>'2025'!$E$22</f>
        <v>n/a</v>
      </c>
      <c r="G89" s="94" t="e" cm="1">
        <f t="array" ref="G89">_xlfn.XLOOKUP(Table120912039[[#This Row],[Opp]],Table832[DEF],'2425'!$AM$3:$AM$34)</f>
        <v>#N/A</v>
      </c>
      <c r="H89" s="94" t="e" cm="1">
        <f t="array" ref="H89">_xlfn.XLOOKUP(Table120912039[[#This Row],[Opp]],Table832[DEF],'2425'!$AN$3:$AN$34)</f>
        <v>#N/A</v>
      </c>
      <c r="I89" s="94" t="e" cm="1">
        <f t="array" ref="I89">_xlfn.XLOOKUP(Table120912039[[#This Row],[Opp]],Table832[DEF],'2425'!$AO$3:$AO$34)</f>
        <v>#N/A</v>
      </c>
      <c r="J89" s="95" t="e">
        <f>_xlfn.XLOOKUP(Table120912039[[#This Row],[Opp]],Table832[DEF],Table832[REC])</f>
        <v>#N/A</v>
      </c>
      <c r="K89" s="95" t="e">
        <f>_xlfn.XLOOKUP(Table120912039[[#This Row],[Opp]],Table832[DEF],Table832[Y])</f>
        <v>#N/A</v>
      </c>
      <c r="L89" s="96" t="e">
        <f>_xlfn.XLOOKUP(Table120912039[[#This Row],[Opp]],Table832[DEF],Table832[TD])</f>
        <v>#N/A</v>
      </c>
      <c r="M89" s="94" t="e">
        <f>AVERAGE(Table120912039[[#This Row],[*C*]:[*TD*]])</f>
        <v>#N/A</v>
      </c>
    </row>
    <row r="90" spans="2:13" hidden="1" x14ac:dyDescent="0.35">
      <c r="B90" s="6" t="s">
        <v>353</v>
      </c>
      <c r="C90" s="97" t="s">
        <v>52</v>
      </c>
      <c r="D90" s="97" t="s">
        <v>398</v>
      </c>
      <c r="E90" s="23" t="str" cm="1">
        <f t="array" ref="E90">_xlfn.XLOOKUP(Table120912039[[#This Row],[Team]],Table4334[Team],'2425'!$C$3:$C$34)</f>
        <v>SB LX</v>
      </c>
      <c r="F90" s="97" t="str">
        <f>'2025'!$E$30</f>
        <v>NE</v>
      </c>
      <c r="G90" s="94" cm="1">
        <f t="array" ref="G90">_xlfn.XLOOKUP(Table120912039[[#This Row],[Opp]],Table832[DEF],'2425'!$AM$3:$AM$34)</f>
        <v>13</v>
      </c>
      <c r="H90" s="94" cm="1">
        <f t="array" ref="H90">_xlfn.XLOOKUP(Table120912039[[#This Row],[Opp]],Table832[DEF],'2425'!$AN$3:$AN$34)</f>
        <v>15</v>
      </c>
      <c r="I90" s="94" cm="1">
        <f t="array" ref="I90">_xlfn.XLOOKUP(Table120912039[[#This Row],[Opp]],Table832[DEF],'2425'!$AO$3:$AO$34)</f>
        <v>19.5</v>
      </c>
      <c r="J90" s="95">
        <f>_xlfn.XLOOKUP(Table120912039[[#This Row],[Opp]],Table832[DEF],Table832[REC])</f>
        <v>5.3823529411764701</v>
      </c>
      <c r="K90" s="95">
        <f>_xlfn.XLOOKUP(Table120912039[[#This Row],[Opp]],Table832[DEF],Table832[Y])</f>
        <v>53.676470588235297</v>
      </c>
      <c r="L90" s="96">
        <f>_xlfn.XLOOKUP(Table120912039[[#This Row],[Opp]],Table832[DEF],Table832[TD])</f>
        <v>0.3235294117647059</v>
      </c>
      <c r="M90" s="94">
        <f>AVERAGE(Table120912039[[#This Row],[*C*]:[*TD*]])</f>
        <v>15.833333333333334</v>
      </c>
    </row>
    <row r="91" spans="2:13" hidden="1" x14ac:dyDescent="0.35">
      <c r="B91" s="6" t="s">
        <v>533</v>
      </c>
      <c r="C91" s="97" t="s">
        <v>52</v>
      </c>
      <c r="D91" s="97" t="s">
        <v>430</v>
      </c>
      <c r="E91" s="23" t="str" cm="1">
        <f t="array" ref="E91">_xlfn.XLOOKUP(Table120912039[[#This Row],[Team]],Table4334[Team],'2425'!$C$3:$C$34)</f>
        <v>SB LX</v>
      </c>
      <c r="F91" s="97" t="str">
        <f>'2025'!$E$30</f>
        <v>NE</v>
      </c>
      <c r="G91" s="94" cm="1">
        <f t="array" ref="G91">_xlfn.XLOOKUP(Table120912039[[#This Row],[Opp]],Table832[DEF],'2425'!$AM$3:$AM$34)</f>
        <v>13</v>
      </c>
      <c r="H91" s="94" cm="1">
        <f t="array" ref="H91">_xlfn.XLOOKUP(Table120912039[[#This Row],[Opp]],Table832[DEF],'2425'!$AN$3:$AN$34)</f>
        <v>15</v>
      </c>
      <c r="I91" s="94" cm="1">
        <f t="array" ref="I91">_xlfn.XLOOKUP(Table120912039[[#This Row],[Opp]],Table832[DEF],'2425'!$AO$3:$AO$34)</f>
        <v>19.5</v>
      </c>
      <c r="J91" s="95">
        <f>_xlfn.XLOOKUP(Table120912039[[#This Row],[Opp]],Table832[DEF],Table832[REC])</f>
        <v>5.3823529411764701</v>
      </c>
      <c r="K91" s="95">
        <f>_xlfn.XLOOKUP(Table120912039[[#This Row],[Opp]],Table832[DEF],Table832[Y])</f>
        <v>53.676470588235297</v>
      </c>
      <c r="L91" s="96">
        <f>_xlfn.XLOOKUP(Table120912039[[#This Row],[Opp]],Table832[DEF],Table832[TD])</f>
        <v>0.3235294117647059</v>
      </c>
      <c r="M91" s="94">
        <f>AVERAGE(Table120912039[[#This Row],[*C*]:[*TD*]])</f>
        <v>15.833333333333334</v>
      </c>
    </row>
    <row r="92" spans="2:13" hidden="1" x14ac:dyDescent="0.35">
      <c r="B92" s="6" t="s">
        <v>534</v>
      </c>
      <c r="C92" s="97" t="s">
        <v>52</v>
      </c>
      <c r="D92" s="97" t="s">
        <v>435</v>
      </c>
      <c r="E92" s="23" t="str" cm="1">
        <f t="array" ref="E92">_xlfn.XLOOKUP(Table120912039[[#This Row],[Team]],Table4334[Team],'2425'!$C$3:$C$34)</f>
        <v>SB LX</v>
      </c>
      <c r="F92" s="97" t="str">
        <f>'2025'!$E$30</f>
        <v>NE</v>
      </c>
      <c r="G92" s="94" cm="1">
        <f t="array" ref="G92">_xlfn.XLOOKUP(Table120912039[[#This Row],[Opp]],Table832[DEF],'2425'!$AM$3:$AM$34)</f>
        <v>13</v>
      </c>
      <c r="H92" s="94" cm="1">
        <f t="array" ref="H92">_xlfn.XLOOKUP(Table120912039[[#This Row],[Opp]],Table832[DEF],'2425'!$AN$3:$AN$34)</f>
        <v>15</v>
      </c>
      <c r="I92" s="94" cm="1">
        <f t="array" ref="I92">_xlfn.XLOOKUP(Table120912039[[#This Row],[Opp]],Table832[DEF],'2425'!$AO$3:$AO$34)</f>
        <v>19.5</v>
      </c>
      <c r="J92" s="95">
        <f>_xlfn.XLOOKUP(Table120912039[[#This Row],[Opp]],Table832[DEF],Table832[REC])</f>
        <v>5.3823529411764701</v>
      </c>
      <c r="K92" s="95">
        <f>_xlfn.XLOOKUP(Table120912039[[#This Row],[Opp]],Table832[DEF],Table832[Y])</f>
        <v>53.676470588235297</v>
      </c>
      <c r="L92" s="96">
        <f>_xlfn.XLOOKUP(Table120912039[[#This Row],[Opp]],Table832[DEF],Table832[TD])</f>
        <v>0.3235294117647059</v>
      </c>
      <c r="M92" s="94">
        <f>AVERAGE(Table120912039[[#This Row],[*C*]:[*TD*]])</f>
        <v>15.833333333333334</v>
      </c>
    </row>
    <row r="93" spans="2:13" hidden="1" x14ac:dyDescent="0.35">
      <c r="B93" s="6" t="s">
        <v>334</v>
      </c>
      <c r="C93" s="97" t="s">
        <v>49</v>
      </c>
      <c r="D93" s="97" t="s">
        <v>397</v>
      </c>
      <c r="E93" s="23" t="str" cm="1">
        <f t="array" ref="E93">_xlfn.XLOOKUP(Table120912039[[#This Row],[Team]],Table4334[Team],'2425'!$C$3:$C$34)</f>
        <v>n/a</v>
      </c>
      <c r="F93" s="97" t="str">
        <f>'2025'!$E$27</f>
        <v>n/a</v>
      </c>
      <c r="G93" s="94" t="e" cm="1">
        <f t="array" ref="G93">_xlfn.XLOOKUP(Table120912039[[#This Row],[Opp]],Table832[DEF],'2425'!$AM$3:$AM$34)</f>
        <v>#N/A</v>
      </c>
      <c r="H93" s="94" t="e" cm="1">
        <f t="array" ref="H93">_xlfn.XLOOKUP(Table120912039[[#This Row],[Opp]],Table832[DEF],'2425'!$AN$3:$AN$34)</f>
        <v>#N/A</v>
      </c>
      <c r="I93" s="94" t="e" cm="1">
        <f t="array" ref="I93">_xlfn.XLOOKUP(Table120912039[[#This Row],[Opp]],Table832[DEF],'2425'!$AO$3:$AO$34)</f>
        <v>#N/A</v>
      </c>
      <c r="J93" s="95" t="e">
        <f>_xlfn.XLOOKUP(Table120912039[[#This Row],[Opp]],Table832[DEF],Table832[REC])</f>
        <v>#N/A</v>
      </c>
      <c r="K93" s="95" t="e">
        <f>_xlfn.XLOOKUP(Table120912039[[#This Row],[Opp]],Table832[DEF],Table832[Y])</f>
        <v>#N/A</v>
      </c>
      <c r="L93" s="96" t="e">
        <f>_xlfn.XLOOKUP(Table120912039[[#This Row],[Opp]],Table832[DEF],Table832[TD])</f>
        <v>#N/A</v>
      </c>
      <c r="M93" s="94" t="e">
        <f>AVERAGE(Table120912039[[#This Row],[*C*]:[*TD*]])</f>
        <v>#N/A</v>
      </c>
    </row>
    <row r="94" spans="2:13" hidden="1" x14ac:dyDescent="0.35">
      <c r="B94" s="6" t="s">
        <v>259</v>
      </c>
      <c r="C94" s="97" t="s">
        <v>41</v>
      </c>
      <c r="D94" s="97" t="s">
        <v>398</v>
      </c>
      <c r="E94" s="23" t="str" cm="1">
        <f t="array" ref="E94">_xlfn.XLOOKUP(Table120912039[[#This Row],[Team]],Table4334[Team],'2425'!$C$3:$C$34)</f>
        <v>n/a</v>
      </c>
      <c r="F94" s="97" t="str">
        <f>'2025'!$E$19</f>
        <v>n/a</v>
      </c>
      <c r="G94" s="94" t="e" cm="1">
        <f t="array" ref="G94">_xlfn.XLOOKUP(Table120912039[[#This Row],[Opp]],Table832[DEF],'2425'!$AM$3:$AM$34)</f>
        <v>#N/A</v>
      </c>
      <c r="H94" s="94" t="e" cm="1">
        <f t="array" ref="H94">_xlfn.XLOOKUP(Table120912039[[#This Row],[Opp]],Table832[DEF],'2425'!$AN$3:$AN$34)</f>
        <v>#N/A</v>
      </c>
      <c r="I94" s="94" t="e" cm="1">
        <f t="array" ref="I94">_xlfn.XLOOKUP(Table120912039[[#This Row],[Opp]],Table832[DEF],'2425'!$AO$3:$AO$34)</f>
        <v>#N/A</v>
      </c>
      <c r="J94" s="95" t="e">
        <f>_xlfn.XLOOKUP(Table120912039[[#This Row],[Opp]],Table832[DEF],Table832[REC])</f>
        <v>#N/A</v>
      </c>
      <c r="K94" s="95" t="e">
        <f>_xlfn.XLOOKUP(Table120912039[[#This Row],[Opp]],Table832[DEF],Table832[Y])</f>
        <v>#N/A</v>
      </c>
      <c r="L94" s="96" t="e">
        <f>_xlfn.XLOOKUP(Table120912039[[#This Row],[Opp]],Table832[DEF],Table832[TD])</f>
        <v>#N/A</v>
      </c>
      <c r="M94" s="94" t="e">
        <f>AVERAGE(Table120912039[[#This Row],[*C*]:[*TD*]])</f>
        <v>#N/A</v>
      </c>
    </row>
    <row r="95" spans="2:13" hidden="1" x14ac:dyDescent="0.35">
      <c r="B95" s="6" t="s">
        <v>560</v>
      </c>
      <c r="C95" s="97" t="s">
        <v>41</v>
      </c>
      <c r="D95" s="97" t="s">
        <v>430</v>
      </c>
      <c r="E95" s="23" t="str" cm="1">
        <f t="array" ref="E95">_xlfn.XLOOKUP(Table120912039[[#This Row],[Team]],Table4334[Team],'2425'!$C$3:$C$34)</f>
        <v>n/a</v>
      </c>
      <c r="F95" s="97" t="str">
        <f>'2025'!$E$19</f>
        <v>n/a</v>
      </c>
      <c r="G95" s="94" t="e" cm="1">
        <f t="array" ref="G95">_xlfn.XLOOKUP(Table120912039[[#This Row],[Opp]],Table832[DEF],'2425'!$AM$3:$AM$34)</f>
        <v>#N/A</v>
      </c>
      <c r="H95" s="94" t="e" cm="1">
        <f t="array" ref="H95">_xlfn.XLOOKUP(Table120912039[[#This Row],[Opp]],Table832[DEF],'2425'!$AN$3:$AN$34)</f>
        <v>#N/A</v>
      </c>
      <c r="I95" s="94" t="e" cm="1">
        <f t="array" ref="I95">_xlfn.XLOOKUP(Table120912039[[#This Row],[Opp]],Table832[DEF],'2425'!$AO$3:$AO$34)</f>
        <v>#N/A</v>
      </c>
      <c r="J95" s="95" t="e">
        <f>_xlfn.XLOOKUP(Table120912039[[#This Row],[Opp]],Table832[DEF],Table832[REC])</f>
        <v>#N/A</v>
      </c>
      <c r="K95" s="95" t="e">
        <f>_xlfn.XLOOKUP(Table120912039[[#This Row],[Opp]],Table832[DEF],Table832[Y])</f>
        <v>#N/A</v>
      </c>
      <c r="L95" s="96" t="e">
        <f>_xlfn.XLOOKUP(Table120912039[[#This Row],[Opp]],Table832[DEF],Table832[TD])</f>
        <v>#N/A</v>
      </c>
      <c r="M95" s="94" t="e">
        <f>AVERAGE(Table120912039[[#This Row],[*C*]:[*TD*]])</f>
        <v>#N/A</v>
      </c>
    </row>
    <row r="96" spans="2:13" hidden="1" x14ac:dyDescent="0.35">
      <c r="B96" s="6" t="s">
        <v>564</v>
      </c>
      <c r="C96" s="97" t="s">
        <v>41</v>
      </c>
      <c r="D96" s="97" t="s">
        <v>435</v>
      </c>
      <c r="E96" s="23" t="str" cm="1">
        <f t="array" ref="E96">_xlfn.XLOOKUP(Table120912039[[#This Row],[Team]],Table4334[Team],'2425'!$C$3:$C$34)</f>
        <v>n/a</v>
      </c>
      <c r="F96" s="97" t="str">
        <f>'2025'!$E$19</f>
        <v>n/a</v>
      </c>
      <c r="G96" s="94" t="e" cm="1">
        <f t="array" ref="G96">_xlfn.XLOOKUP(Table120912039[[#This Row],[Opp]],Table832[DEF],'2425'!$AM$3:$AM$34)</f>
        <v>#N/A</v>
      </c>
      <c r="H96" s="94" t="e" cm="1">
        <f t="array" ref="H96">_xlfn.XLOOKUP(Table120912039[[#This Row],[Opp]],Table832[DEF],'2425'!$AN$3:$AN$34)</f>
        <v>#N/A</v>
      </c>
      <c r="I96" s="94" t="e" cm="1">
        <f t="array" ref="I96">_xlfn.XLOOKUP(Table120912039[[#This Row],[Opp]],Table832[DEF],'2425'!$AO$3:$AO$34)</f>
        <v>#N/A</v>
      </c>
      <c r="J96" s="95" t="e">
        <f>_xlfn.XLOOKUP(Table120912039[[#This Row],[Opp]],Table832[DEF],Table832[REC])</f>
        <v>#N/A</v>
      </c>
      <c r="K96" s="95" t="e">
        <f>_xlfn.XLOOKUP(Table120912039[[#This Row],[Opp]],Table832[DEF],Table832[Y])</f>
        <v>#N/A</v>
      </c>
      <c r="L96" s="96" t="e">
        <f>_xlfn.XLOOKUP(Table120912039[[#This Row],[Opp]],Table832[DEF],Table832[TD])</f>
        <v>#N/A</v>
      </c>
      <c r="M96" s="94" t="e">
        <f>AVERAGE(Table120912039[[#This Row],[*C*]:[*TD*]])</f>
        <v>#N/A</v>
      </c>
    </row>
    <row r="97" spans="2:13" x14ac:dyDescent="0.35">
      <c r="B97" s="6" t="s">
        <v>130</v>
      </c>
      <c r="C97" s="97" t="s">
        <v>17</v>
      </c>
      <c r="D97" s="97" t="s">
        <v>397</v>
      </c>
      <c r="E97" s="23" t="str" cm="1">
        <f t="array" ref="E97">_xlfn.XLOOKUP(Table120912039[[#This Row],[Team]],Table4334[Team],'2425'!$C$3:$C$34)</f>
        <v>n/a</v>
      </c>
      <c r="F97" s="97" t="str">
        <f>'2025'!$E$6</f>
        <v>n/a</v>
      </c>
      <c r="G97" s="94" t="e" cm="1">
        <f t="array" ref="G97">_xlfn.XLOOKUP(Table120912039[[#This Row],[Opp]],Table832[DEF],'2425'!$AM$3:$AM$34)</f>
        <v>#N/A</v>
      </c>
      <c r="H97" s="94" t="e" cm="1">
        <f t="array" ref="H97">_xlfn.XLOOKUP(Table120912039[[#This Row],[Opp]],Table832[DEF],'2425'!$AN$3:$AN$34)</f>
        <v>#N/A</v>
      </c>
      <c r="I97" s="94" t="e" cm="1">
        <f t="array" ref="I97">_xlfn.XLOOKUP(Table120912039[[#This Row],[Opp]],Table832[DEF],'2425'!$AO$3:$AO$34)</f>
        <v>#N/A</v>
      </c>
      <c r="J97" s="95" t="e">
        <f>_xlfn.XLOOKUP(Table120912039[[#This Row],[Opp]],Table832[DEF],Table832[REC])</f>
        <v>#N/A</v>
      </c>
      <c r="K97" s="95" t="e">
        <f>_xlfn.XLOOKUP(Table120912039[[#This Row],[Opp]],Table832[DEF],Table832[Y])</f>
        <v>#N/A</v>
      </c>
      <c r="L97" s="96" t="e">
        <f>_xlfn.XLOOKUP(Table120912039[[#This Row],[Opp]],Table832[DEF],Table832[TD])</f>
        <v>#N/A</v>
      </c>
      <c r="M97" s="94" t="e">
        <f>AVERAGE(Table120912039[[#This Row],[*C*]:[*TD*]])</f>
        <v>#N/A</v>
      </c>
    </row>
    <row r="98" spans="2:13" hidden="1" x14ac:dyDescent="0.35">
      <c r="B98" s="6" t="s">
        <v>279</v>
      </c>
      <c r="C98" s="97" t="s">
        <v>43</v>
      </c>
      <c r="D98" s="97" t="s">
        <v>398</v>
      </c>
      <c r="E98" s="23" t="str" cm="1">
        <f t="array" ref="E98">_xlfn.XLOOKUP(Table120912039[[#This Row],[Team]],Table4334[Team],'2425'!$C$3:$C$34)</f>
        <v>n/a</v>
      </c>
      <c r="F98" s="97" t="str">
        <f>'2025'!$E$21</f>
        <v>n/a</v>
      </c>
      <c r="G98" s="94" t="e" cm="1">
        <f t="array" ref="G98">_xlfn.XLOOKUP(Table120912039[[#This Row],[Opp]],Table832[DEF],'2425'!$AM$3:$AM$34)</f>
        <v>#N/A</v>
      </c>
      <c r="H98" s="94" t="e" cm="1">
        <f t="array" ref="H98">_xlfn.XLOOKUP(Table120912039[[#This Row],[Opp]],Table832[DEF],'2425'!$AN$3:$AN$34)</f>
        <v>#N/A</v>
      </c>
      <c r="I98" s="94" t="e" cm="1">
        <f t="array" ref="I98">_xlfn.XLOOKUP(Table120912039[[#This Row],[Opp]],Table832[DEF],'2425'!$AO$3:$AO$34)</f>
        <v>#N/A</v>
      </c>
      <c r="J98" s="95" t="e">
        <f>_xlfn.XLOOKUP(Table120912039[[#This Row],[Opp]],Table832[DEF],Table832[REC])</f>
        <v>#N/A</v>
      </c>
      <c r="K98" s="95" t="e">
        <f>_xlfn.XLOOKUP(Table120912039[[#This Row],[Opp]],Table832[DEF],Table832[Y])</f>
        <v>#N/A</v>
      </c>
      <c r="L98" s="96" t="e">
        <f>_xlfn.XLOOKUP(Table120912039[[#This Row],[Opp]],Table832[DEF],Table832[TD])</f>
        <v>#N/A</v>
      </c>
      <c r="M98" s="94" t="e">
        <f>AVERAGE(Table120912039[[#This Row],[*C*]:[*TD*]])</f>
        <v>#N/A</v>
      </c>
    </row>
    <row r="99" spans="2:13" hidden="1" x14ac:dyDescent="0.35">
      <c r="B99" s="6" t="s">
        <v>569</v>
      </c>
      <c r="C99" s="97" t="s">
        <v>43</v>
      </c>
      <c r="D99" s="97" t="s">
        <v>430</v>
      </c>
      <c r="E99" s="23" t="str" cm="1">
        <f t="array" ref="E99">_xlfn.XLOOKUP(Table120912039[[#This Row],[Team]],Table4334[Team],'2425'!$C$3:$C$34)</f>
        <v>n/a</v>
      </c>
      <c r="F99" s="97" t="str">
        <f>'2025'!$E$21</f>
        <v>n/a</v>
      </c>
      <c r="G99" s="94" t="e" cm="1">
        <f t="array" ref="G99">_xlfn.XLOOKUP(Table120912039[[#This Row],[Opp]],Table832[DEF],'2425'!$AM$3:$AM$34)</f>
        <v>#N/A</v>
      </c>
      <c r="H99" s="94" t="e" cm="1">
        <f t="array" ref="H99">_xlfn.XLOOKUP(Table120912039[[#This Row],[Opp]],Table832[DEF],'2425'!$AN$3:$AN$34)</f>
        <v>#N/A</v>
      </c>
      <c r="I99" s="94" t="e" cm="1">
        <f t="array" ref="I99">_xlfn.XLOOKUP(Table120912039[[#This Row],[Opp]],Table832[DEF],'2425'!$AO$3:$AO$34)</f>
        <v>#N/A</v>
      </c>
      <c r="J99" s="95" t="e">
        <f>_xlfn.XLOOKUP(Table120912039[[#This Row],[Opp]],Table832[DEF],Table832[REC])</f>
        <v>#N/A</v>
      </c>
      <c r="K99" s="95" t="e">
        <f>_xlfn.XLOOKUP(Table120912039[[#This Row],[Opp]],Table832[DEF],Table832[Y])</f>
        <v>#N/A</v>
      </c>
      <c r="L99" s="96" t="e">
        <f>_xlfn.XLOOKUP(Table120912039[[#This Row],[Opp]],Table832[DEF],Table832[TD])</f>
        <v>#N/A</v>
      </c>
      <c r="M99" s="94" t="e">
        <f>AVERAGE(Table120912039[[#This Row],[*C*]:[*TD*]])</f>
        <v>#N/A</v>
      </c>
    </row>
    <row r="100" spans="2:13" hidden="1" x14ac:dyDescent="0.35">
      <c r="B100" s="6" t="s">
        <v>278</v>
      </c>
      <c r="C100" s="97" t="s">
        <v>43</v>
      </c>
      <c r="D100" s="97" t="s">
        <v>397</v>
      </c>
      <c r="E100" s="23" t="str" cm="1">
        <f t="array" ref="E100">_xlfn.XLOOKUP(Table120912039[[#This Row],[Team]],Table4334[Team],'2425'!$C$3:$C$34)</f>
        <v>n/a</v>
      </c>
      <c r="F100" s="97" t="str">
        <f>'2025'!$E$21</f>
        <v>n/a</v>
      </c>
      <c r="G100" s="94" t="e" cm="1">
        <f t="array" ref="G100">_xlfn.XLOOKUP(Table120912039[[#This Row],[Opp]],Table832[DEF],'2425'!$AM$3:$AM$34)</f>
        <v>#N/A</v>
      </c>
      <c r="H100" s="94" t="e" cm="1">
        <f t="array" ref="H100">_xlfn.XLOOKUP(Table120912039[[#This Row],[Opp]],Table832[DEF],'2425'!$AN$3:$AN$34)</f>
        <v>#N/A</v>
      </c>
      <c r="I100" s="94" t="e" cm="1">
        <f t="array" ref="I100">_xlfn.XLOOKUP(Table120912039[[#This Row],[Opp]],Table832[DEF],'2425'!$AO$3:$AO$34)</f>
        <v>#N/A</v>
      </c>
      <c r="J100" s="95" t="e">
        <f>_xlfn.XLOOKUP(Table120912039[[#This Row],[Opp]],Table832[DEF],Table832[REC])</f>
        <v>#N/A</v>
      </c>
      <c r="K100" s="95" t="e">
        <f>_xlfn.XLOOKUP(Table120912039[[#This Row],[Opp]],Table832[DEF],Table832[Y])</f>
        <v>#N/A</v>
      </c>
      <c r="L100" s="96" t="e">
        <f>_xlfn.XLOOKUP(Table120912039[[#This Row],[Opp]],Table832[DEF],Table832[TD])</f>
        <v>#N/A</v>
      </c>
      <c r="M100" s="94" t="e">
        <f>AVERAGE(Table120912039[[#This Row],[*C*]:[*TD*]])</f>
        <v>#N/A</v>
      </c>
    </row>
    <row r="101" spans="2:13" hidden="1" x14ac:dyDescent="0.35">
      <c r="B101" s="6" t="s">
        <v>347</v>
      </c>
      <c r="C101" s="97" t="s">
        <v>51</v>
      </c>
      <c r="D101" s="97" t="s">
        <v>398</v>
      </c>
      <c r="E101" s="23" t="str" cm="1">
        <f t="array" ref="E101">_xlfn.XLOOKUP(Table120912039[[#This Row],[Team]],Table4334[Team],'2425'!$C$3:$C$34)</f>
        <v>n/a</v>
      </c>
      <c r="F101" s="97" t="str">
        <f>'2025'!$E$29</f>
        <v>n/a</v>
      </c>
      <c r="G101" s="94" t="e" cm="1">
        <f t="array" ref="G101">_xlfn.XLOOKUP(Table120912039[[#This Row],[Opp]],Table832[DEF],'2425'!$AM$3:$AM$34)</f>
        <v>#N/A</v>
      </c>
      <c r="H101" s="94" t="e" cm="1">
        <f t="array" ref="H101">_xlfn.XLOOKUP(Table120912039[[#This Row],[Opp]],Table832[DEF],'2425'!$AN$3:$AN$34)</f>
        <v>#N/A</v>
      </c>
      <c r="I101" s="94" t="e" cm="1">
        <f t="array" ref="I101">_xlfn.XLOOKUP(Table120912039[[#This Row],[Opp]],Table832[DEF],'2425'!$AO$3:$AO$34)</f>
        <v>#N/A</v>
      </c>
      <c r="J101" s="95" t="e">
        <f>_xlfn.XLOOKUP(Table120912039[[#This Row],[Opp]],Table832[DEF],Table832[REC])</f>
        <v>#N/A</v>
      </c>
      <c r="K101" s="95" t="e">
        <f>_xlfn.XLOOKUP(Table120912039[[#This Row],[Opp]],Table832[DEF],Table832[Y])</f>
        <v>#N/A</v>
      </c>
      <c r="L101" s="96" t="e">
        <f>_xlfn.XLOOKUP(Table120912039[[#This Row],[Opp]],Table832[DEF],Table832[TD])</f>
        <v>#N/A</v>
      </c>
      <c r="M101" s="94" t="e">
        <f>AVERAGE(Table120912039[[#This Row],[*C*]:[*TD*]])</f>
        <v>#N/A</v>
      </c>
    </row>
    <row r="102" spans="2:13" hidden="1" x14ac:dyDescent="0.35">
      <c r="B102" s="6" t="s">
        <v>494</v>
      </c>
      <c r="C102" s="97" t="s">
        <v>51</v>
      </c>
      <c r="D102" s="97" t="s">
        <v>430</v>
      </c>
      <c r="E102" s="23" t="str" cm="1">
        <f t="array" ref="E102">_xlfn.XLOOKUP(Table120912039[[#This Row],[Team]],Table4334[Team],'2425'!$C$3:$C$34)</f>
        <v>n/a</v>
      </c>
      <c r="F102" s="97" t="str">
        <f>'2025'!$E$29</f>
        <v>n/a</v>
      </c>
      <c r="G102" s="94" t="e" cm="1">
        <f t="array" ref="G102">_xlfn.XLOOKUP(Table120912039[[#This Row],[Opp]],Table832[DEF],'2425'!$AM$3:$AM$34)</f>
        <v>#N/A</v>
      </c>
      <c r="H102" s="94" t="e" cm="1">
        <f t="array" ref="H102">_xlfn.XLOOKUP(Table120912039[[#This Row],[Opp]],Table832[DEF],'2425'!$AN$3:$AN$34)</f>
        <v>#N/A</v>
      </c>
      <c r="I102" s="94" t="e" cm="1">
        <f t="array" ref="I102">_xlfn.XLOOKUP(Table120912039[[#This Row],[Opp]],Table832[DEF],'2425'!$AO$3:$AO$34)</f>
        <v>#N/A</v>
      </c>
      <c r="J102" s="95" t="e">
        <f>_xlfn.XLOOKUP(Table120912039[[#This Row],[Opp]],Table832[DEF],Table832[REC])</f>
        <v>#N/A</v>
      </c>
      <c r="K102" s="95" t="e">
        <f>_xlfn.XLOOKUP(Table120912039[[#This Row],[Opp]],Table832[DEF],Table832[Y])</f>
        <v>#N/A</v>
      </c>
      <c r="L102" s="96" t="e">
        <f>_xlfn.XLOOKUP(Table120912039[[#This Row],[Opp]],Table832[DEF],Table832[TD])</f>
        <v>#N/A</v>
      </c>
      <c r="M102" s="94" t="e">
        <f>AVERAGE(Table120912039[[#This Row],[*C*]:[*TD*]])</f>
        <v>#N/A</v>
      </c>
    </row>
    <row r="103" spans="2:13" hidden="1" x14ac:dyDescent="0.35">
      <c r="B103" s="6" t="s">
        <v>495</v>
      </c>
      <c r="C103" s="97" t="s">
        <v>51</v>
      </c>
      <c r="D103" s="97" t="s">
        <v>435</v>
      </c>
      <c r="E103" s="23" t="str" cm="1">
        <f t="array" ref="E103">_xlfn.XLOOKUP(Table120912039[[#This Row],[Team]],Table4334[Team],'2425'!$C$3:$C$34)</f>
        <v>n/a</v>
      </c>
      <c r="F103" s="97" t="str">
        <f>'2025'!$E$29</f>
        <v>n/a</v>
      </c>
      <c r="G103" s="94" t="e" cm="1">
        <f t="array" ref="G103">_xlfn.XLOOKUP(Table120912039[[#This Row],[Opp]],Table832[DEF],'2425'!$AM$3:$AM$34)</f>
        <v>#N/A</v>
      </c>
      <c r="H103" s="94" t="e" cm="1">
        <f t="array" ref="H103">_xlfn.XLOOKUP(Table120912039[[#This Row],[Opp]],Table832[DEF],'2425'!$AN$3:$AN$34)</f>
        <v>#N/A</v>
      </c>
      <c r="I103" s="94" t="e" cm="1">
        <f t="array" ref="I103">_xlfn.XLOOKUP(Table120912039[[#This Row],[Opp]],Table832[DEF],'2425'!$AO$3:$AO$34)</f>
        <v>#N/A</v>
      </c>
      <c r="J103" s="95" t="e">
        <f>_xlfn.XLOOKUP(Table120912039[[#This Row],[Opp]],Table832[DEF],Table832[REC])</f>
        <v>#N/A</v>
      </c>
      <c r="K103" s="95" t="e">
        <f>_xlfn.XLOOKUP(Table120912039[[#This Row],[Opp]],Table832[DEF],Table832[Y])</f>
        <v>#N/A</v>
      </c>
      <c r="L103" s="96" t="e">
        <f>_xlfn.XLOOKUP(Table120912039[[#This Row],[Opp]],Table832[DEF],Table832[TD])</f>
        <v>#N/A</v>
      </c>
      <c r="M103" s="94" t="e">
        <f>AVERAGE(Table120912039[[#This Row],[*C*]:[*TD*]])</f>
        <v>#N/A</v>
      </c>
    </row>
    <row r="104" spans="2:13" x14ac:dyDescent="0.35">
      <c r="B104" s="6" t="s">
        <v>195</v>
      </c>
      <c r="C104" s="97" t="s">
        <v>34</v>
      </c>
      <c r="D104" s="97" t="s">
        <v>397</v>
      </c>
      <c r="E104" s="23" t="str" cm="1">
        <f t="array" ref="E104">_xlfn.XLOOKUP(Table120912039[[#This Row],[Team]],Table4334[Team],'2425'!$C$3:$C$34)</f>
        <v>n/a</v>
      </c>
      <c r="F104" s="97" t="str">
        <f>'2025'!$E$12</f>
        <v>n/a</v>
      </c>
      <c r="G104" s="94" t="e" cm="1">
        <f t="array" ref="G104">_xlfn.XLOOKUP(Table120912039[[#This Row],[Opp]],Table832[DEF],'2425'!$AM$3:$AM$34)</f>
        <v>#N/A</v>
      </c>
      <c r="H104" s="94" t="e" cm="1">
        <f t="array" ref="H104">_xlfn.XLOOKUP(Table120912039[[#This Row],[Opp]],Table832[DEF],'2425'!$AN$3:$AN$34)</f>
        <v>#N/A</v>
      </c>
      <c r="I104" s="94" t="e" cm="1">
        <f t="array" ref="I104">_xlfn.XLOOKUP(Table120912039[[#This Row],[Opp]],Table832[DEF],'2425'!$AO$3:$AO$34)</f>
        <v>#N/A</v>
      </c>
      <c r="J104" s="95" t="e">
        <f>_xlfn.XLOOKUP(Table120912039[[#This Row],[Opp]],Table832[DEF],Table832[REC])</f>
        <v>#N/A</v>
      </c>
      <c r="K104" s="95" t="e">
        <f>_xlfn.XLOOKUP(Table120912039[[#This Row],[Opp]],Table832[DEF],Table832[Y])</f>
        <v>#N/A</v>
      </c>
      <c r="L104" s="96" t="e">
        <f>_xlfn.XLOOKUP(Table120912039[[#This Row],[Opp]],Table832[DEF],Table832[TD])</f>
        <v>#N/A</v>
      </c>
      <c r="M104" s="94" t="e">
        <f>AVERAGE(Table120912039[[#This Row],[*C*]:[*TD*]])</f>
        <v>#N/A</v>
      </c>
    </row>
    <row r="105" spans="2:13" hidden="1" x14ac:dyDescent="0.35">
      <c r="B105" s="6" t="s">
        <v>580</v>
      </c>
      <c r="C105" s="97" t="s">
        <v>34</v>
      </c>
      <c r="D105" s="97" t="s">
        <v>398</v>
      </c>
      <c r="E105" s="23" t="str" cm="1">
        <f t="array" ref="E105">_xlfn.XLOOKUP(Table120912039[[#This Row],[Team]],Table4334[Team],'2425'!$C$3:$C$34)</f>
        <v>n/a</v>
      </c>
      <c r="F105" s="97" t="str">
        <f>'2025'!$E$12</f>
        <v>n/a</v>
      </c>
      <c r="G105" s="94" t="e" cm="1">
        <f t="array" ref="G105">_xlfn.XLOOKUP(Table120912039[[#This Row],[Opp]],Table832[DEF],'2425'!$AM$3:$AM$34)</f>
        <v>#N/A</v>
      </c>
      <c r="H105" s="94" t="e" cm="1">
        <f t="array" ref="H105">_xlfn.XLOOKUP(Table120912039[[#This Row],[Opp]],Table832[DEF],'2425'!$AN$3:$AN$34)</f>
        <v>#N/A</v>
      </c>
      <c r="I105" s="94" t="e" cm="1">
        <f t="array" ref="I105">_xlfn.XLOOKUP(Table120912039[[#This Row],[Opp]],Table832[DEF],'2425'!$AO$3:$AO$34)</f>
        <v>#N/A</v>
      </c>
      <c r="J105" s="95" t="e">
        <f>_xlfn.XLOOKUP(Table120912039[[#This Row],[Opp]],Table832[DEF],Table832[REC])</f>
        <v>#N/A</v>
      </c>
      <c r="K105" s="95" t="e">
        <f>_xlfn.XLOOKUP(Table120912039[[#This Row],[Opp]],Table832[DEF],Table832[Y])</f>
        <v>#N/A</v>
      </c>
      <c r="L105" s="96" t="e">
        <f>_xlfn.XLOOKUP(Table120912039[[#This Row],[Opp]],Table832[DEF],Table832[TD])</f>
        <v>#N/A</v>
      </c>
      <c r="M105" s="94" t="e">
        <f>AVERAGE(Table120912039[[#This Row],[*C*]:[*TD*]])</f>
        <v>#N/A</v>
      </c>
    </row>
    <row r="106" spans="2:13" hidden="1" x14ac:dyDescent="0.35">
      <c r="B106" s="6" t="s">
        <v>581</v>
      </c>
      <c r="C106" s="97" t="s">
        <v>34</v>
      </c>
      <c r="D106" s="97" t="s">
        <v>430</v>
      </c>
      <c r="E106" s="23" t="str" cm="1">
        <f t="array" ref="E106">_xlfn.XLOOKUP(Table120912039[[#This Row],[Team]],Table4334[Team],'2425'!$C$3:$C$34)</f>
        <v>n/a</v>
      </c>
      <c r="F106" s="97" t="str">
        <f>'2025'!$E$12</f>
        <v>n/a</v>
      </c>
      <c r="G106" s="94" t="e" cm="1">
        <f t="array" ref="G106">_xlfn.XLOOKUP(Table120912039[[#This Row],[Opp]],Table832[DEF],'2425'!$AM$3:$AM$34)</f>
        <v>#N/A</v>
      </c>
      <c r="H106" s="94" t="e" cm="1">
        <f t="array" ref="H106">_xlfn.XLOOKUP(Table120912039[[#This Row],[Opp]],Table832[DEF],'2425'!$AN$3:$AN$34)</f>
        <v>#N/A</v>
      </c>
      <c r="I106" s="94" t="e" cm="1">
        <f t="array" ref="I106">_xlfn.XLOOKUP(Table120912039[[#This Row],[Opp]],Table832[DEF],'2425'!$AO$3:$AO$34)</f>
        <v>#N/A</v>
      </c>
      <c r="J106" s="95" t="e">
        <f>_xlfn.XLOOKUP(Table120912039[[#This Row],[Opp]],Table832[DEF],Table832[REC])</f>
        <v>#N/A</v>
      </c>
      <c r="K106" s="95" t="e">
        <f>_xlfn.XLOOKUP(Table120912039[[#This Row],[Opp]],Table832[DEF],Table832[Y])</f>
        <v>#N/A</v>
      </c>
      <c r="L106" s="96" t="e">
        <f>_xlfn.XLOOKUP(Table120912039[[#This Row],[Opp]],Table832[DEF],Table832[TD])</f>
        <v>#N/A</v>
      </c>
      <c r="M106" s="94" t="e">
        <f>AVERAGE(Table120912039[[#This Row],[*C*]:[*TD*]])</f>
        <v>#N/A</v>
      </c>
    </row>
    <row r="107" spans="2:13" hidden="1" x14ac:dyDescent="0.35">
      <c r="B107" s="6" t="s">
        <v>582</v>
      </c>
      <c r="C107" s="97" t="s">
        <v>34</v>
      </c>
      <c r="D107" s="97" t="s">
        <v>435</v>
      </c>
      <c r="E107" s="23" t="str" cm="1">
        <f t="array" ref="E107">_xlfn.XLOOKUP(Table120912039[[#This Row],[Team]],Table4334[Team],'2425'!$C$3:$C$34)</f>
        <v>n/a</v>
      </c>
      <c r="F107" s="97" t="str">
        <f>'2025'!$E$12</f>
        <v>n/a</v>
      </c>
      <c r="G107" s="94" t="e" cm="1">
        <f t="array" ref="G107">_xlfn.XLOOKUP(Table120912039[[#This Row],[Opp]],Table832[DEF],'2425'!$AM$3:$AM$34)</f>
        <v>#N/A</v>
      </c>
      <c r="H107" s="94" t="e" cm="1">
        <f t="array" ref="H107">_xlfn.XLOOKUP(Table120912039[[#This Row],[Opp]],Table832[DEF],'2425'!$AN$3:$AN$34)</f>
        <v>#N/A</v>
      </c>
      <c r="I107" s="94" t="e" cm="1">
        <f t="array" ref="I107">_xlfn.XLOOKUP(Table120912039[[#This Row],[Opp]],Table832[DEF],'2425'!$AO$3:$AO$34)</f>
        <v>#N/A</v>
      </c>
      <c r="J107" s="95" t="e">
        <f>_xlfn.XLOOKUP(Table120912039[[#This Row],[Opp]],Table832[DEF],Table832[REC])</f>
        <v>#N/A</v>
      </c>
      <c r="K107" s="95" t="e">
        <f>_xlfn.XLOOKUP(Table120912039[[#This Row],[Opp]],Table832[DEF],Table832[Y])</f>
        <v>#N/A</v>
      </c>
      <c r="L107" s="96" t="e">
        <f>_xlfn.XLOOKUP(Table120912039[[#This Row],[Opp]],Table832[DEF],Table832[TD])</f>
        <v>#N/A</v>
      </c>
      <c r="M107" s="94" t="e">
        <f>AVERAGE(Table120912039[[#This Row],[*C*]:[*TD*]])</f>
        <v>#N/A</v>
      </c>
    </row>
    <row r="108" spans="2:13" hidden="1" x14ac:dyDescent="0.35">
      <c r="B108" s="6" t="s">
        <v>388</v>
      </c>
      <c r="C108" s="97" t="s">
        <v>56</v>
      </c>
      <c r="D108" s="97" t="s">
        <v>397</v>
      </c>
      <c r="E108" s="23" t="str" cm="1">
        <f t="array" ref="E108">_xlfn.XLOOKUP(Table120912039[[#This Row],[Team]],Table4334[Team],'2425'!$C$3:$C$34)</f>
        <v>n/a</v>
      </c>
      <c r="F108" s="97" t="str">
        <f>'2025'!$E$34</f>
        <v>n/a</v>
      </c>
      <c r="G108" s="94" t="e" cm="1">
        <f t="array" ref="G108">_xlfn.XLOOKUP(Table120912039[[#This Row],[Opp]],Table832[DEF],'2425'!$AM$3:$AM$34)</f>
        <v>#N/A</v>
      </c>
      <c r="H108" s="94" t="e" cm="1">
        <f t="array" ref="H108">_xlfn.XLOOKUP(Table120912039[[#This Row],[Opp]],Table832[DEF],'2425'!$AN$3:$AN$34)</f>
        <v>#N/A</v>
      </c>
      <c r="I108" s="94" t="e" cm="1">
        <f t="array" ref="I108">_xlfn.XLOOKUP(Table120912039[[#This Row],[Opp]],Table832[DEF],'2425'!$AO$3:$AO$34)</f>
        <v>#N/A</v>
      </c>
      <c r="J108" s="95" t="e">
        <f>_xlfn.XLOOKUP(Table120912039[[#This Row],[Opp]],Table832[DEF],Table832[REC])</f>
        <v>#N/A</v>
      </c>
      <c r="K108" s="95" t="e">
        <f>_xlfn.XLOOKUP(Table120912039[[#This Row],[Opp]],Table832[DEF],Table832[Y])</f>
        <v>#N/A</v>
      </c>
      <c r="L108" s="96" t="e">
        <f>_xlfn.XLOOKUP(Table120912039[[#This Row],[Opp]],Table832[DEF],Table832[TD])</f>
        <v>#N/A</v>
      </c>
      <c r="M108" s="94" t="e">
        <f>AVERAGE(Table120912039[[#This Row],[*C*]:[*TD*]])</f>
        <v>#N/A</v>
      </c>
    </row>
    <row r="109" spans="2:13" hidden="1" x14ac:dyDescent="0.35">
      <c r="B109" s="6" t="s">
        <v>466</v>
      </c>
      <c r="C109" s="97" t="s">
        <v>56</v>
      </c>
      <c r="D109" s="97" t="s">
        <v>398</v>
      </c>
      <c r="E109" s="23" t="str" cm="1">
        <f t="array" ref="E109">_xlfn.XLOOKUP(Table120912039[[#This Row],[Team]],Table4334[Team],'2425'!$C$3:$C$34)</f>
        <v>n/a</v>
      </c>
      <c r="F109" s="97" t="str">
        <f>'2025'!$E$34</f>
        <v>n/a</v>
      </c>
      <c r="G109" s="94" t="e" cm="1">
        <f t="array" ref="G109">_xlfn.XLOOKUP(Table120912039[[#This Row],[Opp]],Table832[DEF],'2425'!$AM$3:$AM$34)</f>
        <v>#N/A</v>
      </c>
      <c r="H109" s="94" t="e" cm="1">
        <f t="array" ref="H109">_xlfn.XLOOKUP(Table120912039[[#This Row],[Opp]],Table832[DEF],'2425'!$AN$3:$AN$34)</f>
        <v>#N/A</v>
      </c>
      <c r="I109" s="94" t="e" cm="1">
        <f t="array" ref="I109">_xlfn.XLOOKUP(Table120912039[[#This Row],[Opp]],Table832[DEF],'2425'!$AO$3:$AO$34)</f>
        <v>#N/A</v>
      </c>
      <c r="J109" s="95" t="e">
        <f>_xlfn.XLOOKUP(Table120912039[[#This Row],[Opp]],Table832[DEF],Table832[REC])</f>
        <v>#N/A</v>
      </c>
      <c r="K109" s="95" t="e">
        <f>_xlfn.XLOOKUP(Table120912039[[#This Row],[Opp]],Table832[DEF],Table832[Y])</f>
        <v>#N/A</v>
      </c>
      <c r="L109" s="96" t="e">
        <f>_xlfn.XLOOKUP(Table120912039[[#This Row],[Opp]],Table832[DEF],Table832[TD])</f>
        <v>#N/A</v>
      </c>
      <c r="M109" s="94" t="e">
        <f>AVERAGE(Table120912039[[#This Row],[*C*]:[*TD*]])</f>
        <v>#N/A</v>
      </c>
    </row>
    <row r="110" spans="2:13" hidden="1" x14ac:dyDescent="0.35">
      <c r="B110" s="6" t="s">
        <v>389</v>
      </c>
      <c r="C110" s="97" t="s">
        <v>56</v>
      </c>
      <c r="D110" s="97" t="s">
        <v>430</v>
      </c>
      <c r="E110" s="23" t="str" cm="1">
        <f t="array" ref="E110">_xlfn.XLOOKUP(Table120912039[[#This Row],[Team]],Table4334[Team],'2425'!$C$3:$C$34)</f>
        <v>n/a</v>
      </c>
      <c r="F110" s="97" t="str">
        <f>'2025'!$E$34</f>
        <v>n/a</v>
      </c>
      <c r="G110" s="94" t="e" cm="1">
        <f t="array" ref="G110">_xlfn.XLOOKUP(Table120912039[[#This Row],[Opp]],Table832[DEF],'2425'!$AM$3:$AM$34)</f>
        <v>#N/A</v>
      </c>
      <c r="H110" s="94" t="e" cm="1">
        <f t="array" ref="H110">_xlfn.XLOOKUP(Table120912039[[#This Row],[Opp]],Table832[DEF],'2425'!$AN$3:$AN$34)</f>
        <v>#N/A</v>
      </c>
      <c r="I110" s="94" t="e" cm="1">
        <f t="array" ref="I110">_xlfn.XLOOKUP(Table120912039[[#This Row],[Opp]],Table832[DEF],'2425'!$AO$3:$AO$34)</f>
        <v>#N/A</v>
      </c>
      <c r="J110" s="95" t="e">
        <f>_xlfn.XLOOKUP(Table120912039[[#This Row],[Opp]],Table832[DEF],Table832[REC])</f>
        <v>#N/A</v>
      </c>
      <c r="K110" s="95" t="e">
        <f>_xlfn.XLOOKUP(Table120912039[[#This Row],[Opp]],Table832[DEF],Table832[Y])</f>
        <v>#N/A</v>
      </c>
      <c r="L110" s="96" t="e">
        <f>_xlfn.XLOOKUP(Table120912039[[#This Row],[Opp]],Table832[DEF],Table832[TD])</f>
        <v>#N/A</v>
      </c>
      <c r="M110" s="94" t="e">
        <f>AVERAGE(Table120912039[[#This Row],[*C*]:[*TD*]])</f>
        <v>#N/A</v>
      </c>
    </row>
    <row r="111" spans="2:13" hidden="1" x14ac:dyDescent="0.35">
      <c r="B111" s="6" t="s">
        <v>467</v>
      </c>
      <c r="C111" s="97" t="s">
        <v>56</v>
      </c>
      <c r="D111" s="97" t="s">
        <v>435</v>
      </c>
      <c r="E111" s="23" t="str" cm="1">
        <f t="array" ref="E111">_xlfn.XLOOKUP(Table120912039[[#This Row],[Team]],Table4334[Team],'2425'!$C$3:$C$34)</f>
        <v>n/a</v>
      </c>
      <c r="F111" s="97" t="str">
        <f>'2025'!$E$34</f>
        <v>n/a</v>
      </c>
      <c r="G111" s="94" t="e" cm="1">
        <f t="array" ref="G111">_xlfn.XLOOKUP(Table120912039[[#This Row],[Opp]],Table832[DEF],'2425'!$AM$3:$AM$34)</f>
        <v>#N/A</v>
      </c>
      <c r="H111" s="94" t="e" cm="1">
        <f t="array" ref="H111">_xlfn.XLOOKUP(Table120912039[[#This Row],[Opp]],Table832[DEF],'2425'!$AN$3:$AN$34)</f>
        <v>#N/A</v>
      </c>
      <c r="I111" s="94" t="e" cm="1">
        <f t="array" ref="I111">_xlfn.XLOOKUP(Table120912039[[#This Row],[Opp]],Table832[DEF],'2425'!$AO$3:$AO$34)</f>
        <v>#N/A</v>
      </c>
      <c r="J111" s="95" t="e">
        <f>_xlfn.XLOOKUP(Table120912039[[#This Row],[Opp]],Table832[DEF],Table832[REC])</f>
        <v>#N/A</v>
      </c>
      <c r="K111" s="95" t="e">
        <f>_xlfn.XLOOKUP(Table120912039[[#This Row],[Opp]],Table832[DEF],Table832[Y])</f>
        <v>#N/A</v>
      </c>
      <c r="L111" s="96" t="e">
        <f>_xlfn.XLOOKUP(Table120912039[[#This Row],[Opp]],Table832[DEF],Table832[TD])</f>
        <v>#N/A</v>
      </c>
      <c r="M111" s="94" t="e">
        <f>AVERAGE(Table120912039[[#This Row],[*C*]:[*TD*]])</f>
        <v>#N/A</v>
      </c>
    </row>
    <row r="112" spans="2:13" hidden="1" x14ac:dyDescent="0.35">
      <c r="B112" s="6" t="s">
        <v>129</v>
      </c>
      <c r="C112" s="97" t="s">
        <v>16</v>
      </c>
      <c r="D112" s="97" t="s">
        <v>397</v>
      </c>
      <c r="E112" s="23" t="str" cm="1">
        <f t="array" ref="E112">_xlfn.XLOOKUP(Table120912039[[#This Row],[Team]],Table4334[Team],'2425'!$C$3:$C$34)</f>
        <v>n/a</v>
      </c>
      <c r="F112" s="97" t="str">
        <f>'2025'!$E$5</f>
        <v>n/a</v>
      </c>
      <c r="G112" s="94" t="e" cm="1">
        <f t="array" ref="G112">_xlfn.XLOOKUP(Table120912039[[#This Row],[Opp]],Table832[DEF],'2425'!$AM$3:$AM$34)</f>
        <v>#N/A</v>
      </c>
      <c r="H112" s="94" t="e" cm="1">
        <f t="array" ref="H112">_xlfn.XLOOKUP(Table120912039[[#This Row],[Opp]],Table832[DEF],'2425'!$AN$3:$AN$34)</f>
        <v>#N/A</v>
      </c>
      <c r="I112" s="94" t="e" cm="1">
        <f t="array" ref="I112">_xlfn.XLOOKUP(Table120912039[[#This Row],[Opp]],Table832[DEF],'2425'!$AO$3:$AO$34)</f>
        <v>#N/A</v>
      </c>
      <c r="J112" s="95" t="e">
        <f>_xlfn.XLOOKUP(Table120912039[[#This Row],[Opp]],Table832[DEF],Table832[REC])</f>
        <v>#N/A</v>
      </c>
      <c r="K112" s="95" t="e">
        <f>_xlfn.XLOOKUP(Table120912039[[#This Row],[Opp]],Table832[DEF],Table832[Y])</f>
        <v>#N/A</v>
      </c>
      <c r="L112" s="96" t="e">
        <f>_xlfn.XLOOKUP(Table120912039[[#This Row],[Opp]],Table832[DEF],Table832[TD])</f>
        <v>#N/A</v>
      </c>
      <c r="M112" s="94" t="e">
        <f>AVERAGE(Table120912039[[#This Row],[*C*]:[*TD*]])</f>
        <v>#N/A</v>
      </c>
    </row>
    <row r="113" spans="2:13" hidden="1" x14ac:dyDescent="0.35">
      <c r="B113" s="6" t="s">
        <v>427</v>
      </c>
      <c r="C113" s="97" t="s">
        <v>48</v>
      </c>
      <c r="D113" s="97" t="s">
        <v>398</v>
      </c>
      <c r="E113" s="23" t="str" cm="1">
        <f t="array" ref="E113">_xlfn.XLOOKUP(Table120912039[[#This Row],[Team]],Table4334[Team],'2425'!$C$3:$C$34)</f>
        <v>n/a</v>
      </c>
      <c r="F113" s="97" t="str">
        <f>'2025'!$E$26</f>
        <v>n/a</v>
      </c>
      <c r="G113" s="94" t="e" cm="1">
        <f t="array" ref="G113">_xlfn.XLOOKUP(Table120912039[[#This Row],[Opp]],Table832[DEF],'2425'!$AM$3:$AM$34)</f>
        <v>#N/A</v>
      </c>
      <c r="H113" s="94" t="e" cm="1">
        <f t="array" ref="H113">_xlfn.XLOOKUP(Table120912039[[#This Row],[Opp]],Table832[DEF],'2425'!$AN$3:$AN$34)</f>
        <v>#N/A</v>
      </c>
      <c r="I113" s="94" t="e" cm="1">
        <f t="array" ref="I113">_xlfn.XLOOKUP(Table120912039[[#This Row],[Opp]],Table832[DEF],'2425'!$AO$3:$AO$34)</f>
        <v>#N/A</v>
      </c>
      <c r="J113" s="95" t="e">
        <f>_xlfn.XLOOKUP(Table120912039[[#This Row],[Opp]],Table832[DEF],Table832[REC])</f>
        <v>#N/A</v>
      </c>
      <c r="K113" s="95" t="e">
        <f>_xlfn.XLOOKUP(Table120912039[[#This Row],[Opp]],Table832[DEF],Table832[Y])</f>
        <v>#N/A</v>
      </c>
      <c r="L113" s="96" t="e">
        <f>_xlfn.XLOOKUP(Table120912039[[#This Row],[Opp]],Table832[DEF],Table832[TD])</f>
        <v>#N/A</v>
      </c>
      <c r="M113" s="94" t="e">
        <f>AVERAGE(Table120912039[[#This Row],[*C*]:[*TD*]])</f>
        <v>#N/A</v>
      </c>
    </row>
    <row r="114" spans="2:13" hidden="1" x14ac:dyDescent="0.35">
      <c r="B114" s="6" t="s">
        <v>444</v>
      </c>
      <c r="C114" s="97" t="s">
        <v>48</v>
      </c>
      <c r="D114" s="97" t="s">
        <v>430</v>
      </c>
      <c r="E114" s="23" t="str" cm="1">
        <f t="array" ref="E114">_xlfn.XLOOKUP(Table120912039[[#This Row],[Team]],Table4334[Team],'2425'!$C$3:$C$34)</f>
        <v>n/a</v>
      </c>
      <c r="F114" s="97" t="str">
        <f>'2025'!$E$26</f>
        <v>n/a</v>
      </c>
      <c r="G114" s="94" t="e" cm="1">
        <f t="array" ref="G114">_xlfn.XLOOKUP(Table120912039[[#This Row],[Opp]],Table832[DEF],'2425'!$AM$3:$AM$34)</f>
        <v>#N/A</v>
      </c>
      <c r="H114" s="94" t="e" cm="1">
        <f t="array" ref="H114">_xlfn.XLOOKUP(Table120912039[[#This Row],[Opp]],Table832[DEF],'2425'!$AN$3:$AN$34)</f>
        <v>#N/A</v>
      </c>
      <c r="I114" s="94" t="e" cm="1">
        <f t="array" ref="I114">_xlfn.XLOOKUP(Table120912039[[#This Row],[Opp]],Table832[DEF],'2425'!$AO$3:$AO$34)</f>
        <v>#N/A</v>
      </c>
      <c r="J114" s="95" t="e">
        <f>_xlfn.XLOOKUP(Table120912039[[#This Row],[Opp]],Table832[DEF],Table832[REC])</f>
        <v>#N/A</v>
      </c>
      <c r="K114" s="95" t="e">
        <f>_xlfn.XLOOKUP(Table120912039[[#This Row],[Opp]],Table832[DEF],Table832[Y])</f>
        <v>#N/A</v>
      </c>
      <c r="L114" s="96" t="e">
        <f>_xlfn.XLOOKUP(Table120912039[[#This Row],[Opp]],Table832[DEF],Table832[TD])</f>
        <v>#N/A</v>
      </c>
      <c r="M114" s="94" t="e">
        <f>AVERAGE(Table120912039[[#This Row],[*C*]:[*TD*]])</f>
        <v>#N/A</v>
      </c>
    </row>
    <row r="115" spans="2:13" hidden="1" x14ac:dyDescent="0.35">
      <c r="B115" s="6" t="s">
        <v>445</v>
      </c>
      <c r="C115" s="97" t="s">
        <v>48</v>
      </c>
      <c r="D115" s="97" t="s">
        <v>435</v>
      </c>
      <c r="E115" s="23" t="str" cm="1">
        <f t="array" ref="E115">_xlfn.XLOOKUP(Table120912039[[#This Row],[Team]],Table4334[Team],'2425'!$C$3:$C$34)</f>
        <v>n/a</v>
      </c>
      <c r="F115" s="97" t="str">
        <f>'2025'!$E$26</f>
        <v>n/a</v>
      </c>
      <c r="G115" s="94" t="e" cm="1">
        <f t="array" ref="G115">_xlfn.XLOOKUP(Table120912039[[#This Row],[Opp]],Table832[DEF],'2425'!$AM$3:$AM$34)</f>
        <v>#N/A</v>
      </c>
      <c r="H115" s="94" t="e" cm="1">
        <f t="array" ref="H115">_xlfn.XLOOKUP(Table120912039[[#This Row],[Opp]],Table832[DEF],'2425'!$AN$3:$AN$34)</f>
        <v>#N/A</v>
      </c>
      <c r="I115" s="94" t="e" cm="1">
        <f t="array" ref="I115">_xlfn.XLOOKUP(Table120912039[[#This Row],[Opp]],Table832[DEF],'2425'!$AO$3:$AO$34)</f>
        <v>#N/A</v>
      </c>
      <c r="J115" s="95" t="e">
        <f>_xlfn.XLOOKUP(Table120912039[[#This Row],[Opp]],Table832[DEF],Table832[REC])</f>
        <v>#N/A</v>
      </c>
      <c r="K115" s="95" t="e">
        <f>_xlfn.XLOOKUP(Table120912039[[#This Row],[Opp]],Table832[DEF],Table832[Y])</f>
        <v>#N/A</v>
      </c>
      <c r="L115" s="96" t="e">
        <f>_xlfn.XLOOKUP(Table120912039[[#This Row],[Opp]],Table832[DEF],Table832[TD])</f>
        <v>#N/A</v>
      </c>
      <c r="M115" s="94" t="e">
        <f>AVERAGE(Table120912039[[#This Row],[*C*]:[*TD*]])</f>
        <v>#N/A</v>
      </c>
    </row>
    <row r="116" spans="2:13" x14ac:dyDescent="0.35">
      <c r="B116" s="6" t="s">
        <v>692</v>
      </c>
      <c r="C116" s="97" t="s">
        <v>53</v>
      </c>
      <c r="D116" s="97" t="s">
        <v>397</v>
      </c>
      <c r="E116" s="23" t="str" cm="1">
        <f t="array" ref="E116">_xlfn.XLOOKUP(Table120912039[[#This Row],[Team]],Table4334[Team],'2425'!$C$3:$C$34)</f>
        <v>n/a</v>
      </c>
      <c r="F116" s="97" t="str">
        <f>'2025'!$E$31</f>
        <v>n/a</v>
      </c>
      <c r="G116" s="94" t="e" cm="1">
        <f t="array" ref="G116">_xlfn.XLOOKUP(Table120912039[[#This Row],[Opp]],Table832[DEF],'2425'!$AM$3:$AM$34)</f>
        <v>#N/A</v>
      </c>
      <c r="H116" s="94" t="e" cm="1">
        <f t="array" ref="H116">_xlfn.XLOOKUP(Table120912039[[#This Row],[Opp]],Table832[DEF],'2425'!$AN$3:$AN$34)</f>
        <v>#N/A</v>
      </c>
      <c r="I116" s="94" t="e" cm="1">
        <f t="array" ref="I116">_xlfn.XLOOKUP(Table120912039[[#This Row],[Opp]],Table832[DEF],'2425'!$AO$3:$AO$34)</f>
        <v>#N/A</v>
      </c>
      <c r="J116" s="95" t="e">
        <f>_xlfn.XLOOKUP(Table120912039[[#This Row],[Opp]],Table832[DEF],Table832[REC])</f>
        <v>#N/A</v>
      </c>
      <c r="K116" s="95" t="e">
        <f>_xlfn.XLOOKUP(Table120912039[[#This Row],[Opp]],Table832[DEF],Table832[Y])</f>
        <v>#N/A</v>
      </c>
      <c r="L116" s="96" t="e">
        <f>_xlfn.XLOOKUP(Table120912039[[#This Row],[Opp]],Table832[DEF],Table832[TD])</f>
        <v>#N/A</v>
      </c>
      <c r="M116" s="94" t="e">
        <f>AVERAGE(Table120912039[[#This Row],[*C*]:[*TD*]])</f>
        <v>#N/A</v>
      </c>
    </row>
    <row r="117" spans="2:13" hidden="1" x14ac:dyDescent="0.35">
      <c r="B117" s="6" t="s">
        <v>308</v>
      </c>
      <c r="C117" s="97" t="s">
        <v>46</v>
      </c>
      <c r="D117" s="97" t="s">
        <v>398</v>
      </c>
      <c r="E117" s="23" t="str" cm="1">
        <f t="array" ref="E117">_xlfn.XLOOKUP(Table120912039[[#This Row],[Team]],Table4334[Team],'2425'!$C$3:$C$34)</f>
        <v>SB LX</v>
      </c>
      <c r="F117" s="97" t="str">
        <f>'2025'!$E$24</f>
        <v>SEA</v>
      </c>
      <c r="G117" s="94" cm="1">
        <f t="array" ref="G117">_xlfn.XLOOKUP(Table120912039[[#This Row],[Opp]],Table832[DEF],'2425'!$AM$3:$AM$34)</f>
        <v>9</v>
      </c>
      <c r="H117" s="94" cm="1">
        <f t="array" ref="H117">_xlfn.XLOOKUP(Table120912039[[#This Row],[Opp]],Table832[DEF],'2425'!$AN$3:$AN$34)</f>
        <v>7</v>
      </c>
      <c r="I117" s="94" cm="1">
        <f t="array" ref="I117">_xlfn.XLOOKUP(Table120912039[[#This Row],[Opp]],Table832[DEF],'2425'!$AO$3:$AO$34)</f>
        <v>25</v>
      </c>
      <c r="J117" s="95">
        <f>_xlfn.XLOOKUP(Table120912039[[#This Row],[Opp]],Table832[DEF],Table832[REC])</f>
        <v>5.617647058823529</v>
      </c>
      <c r="K117" s="95">
        <f>_xlfn.XLOOKUP(Table120912039[[#This Row],[Opp]],Table832[DEF],Table832[Y])</f>
        <v>57.941176470588232</v>
      </c>
      <c r="L117" s="96">
        <f>_xlfn.XLOOKUP(Table120912039[[#This Row],[Opp]],Table832[DEF],Table832[TD])</f>
        <v>0.29411764705882348</v>
      </c>
      <c r="M117" s="94">
        <f>AVERAGE(Table120912039[[#This Row],[*C*]:[*TD*]])</f>
        <v>13.666666666666666</v>
      </c>
    </row>
  </sheetData>
  <conditionalFormatting sqref="C2:C117">
    <cfRule type="cellIs" dxfId="2503" priority="76" operator="equal">
      <formula>"WAS"</formula>
    </cfRule>
    <cfRule type="cellIs" dxfId="2502" priority="75" operator="equal">
      <formula>"SF"</formula>
    </cfRule>
    <cfRule type="cellIs" dxfId="2501" priority="74" operator="equal">
      <formula>"DET"</formula>
    </cfRule>
    <cfRule type="cellIs" dxfId="2500" priority="73" operator="equal">
      <formula>"MIA"</formula>
    </cfRule>
    <cfRule type="cellIs" dxfId="2499" priority="72" operator="equal">
      <formula>"CHI"</formula>
    </cfRule>
    <cfRule type="cellIs" dxfId="2498" priority="71" operator="equal">
      <formula>"JAX"</formula>
    </cfRule>
    <cfRule type="cellIs" dxfId="2497" priority="70" operator="equal">
      <formula>"ATL"</formula>
    </cfRule>
    <cfRule type="cellIs" dxfId="2496" priority="68" operator="equal">
      <formula>"LAC"</formula>
    </cfRule>
    <cfRule type="cellIs" dxfId="2495" priority="67" operator="equal">
      <formula>"SEA"</formula>
    </cfRule>
    <cfRule type="cellIs" dxfId="2494" priority="56" operator="equal">
      <formula>"NE"</formula>
    </cfRule>
    <cfRule type="cellIs" dxfId="2493" priority="66" operator="equal">
      <formula>"NYJ"</formula>
    </cfRule>
    <cfRule type="cellIs" dxfId="2492" priority="65" operator="equal">
      <formula>"CLE"</formula>
    </cfRule>
    <cfRule type="cellIs" dxfId="2491" priority="64" operator="equal">
      <formula>"TB"</formula>
    </cfRule>
    <cfRule type="cellIs" dxfId="2490" priority="69" operator="equal">
      <formula>"LAR"</formula>
    </cfRule>
    <cfRule type="cellIs" dxfId="2489" priority="63" operator="equal">
      <formula>"TEN"</formula>
    </cfRule>
    <cfRule type="cellIs" dxfId="2488" priority="62" operator="equal">
      <formula>"NO"</formula>
    </cfRule>
    <cfRule type="cellIs" dxfId="2487" priority="61" operator="equal">
      <formula>"NYG"</formula>
    </cfRule>
    <cfRule type="cellIs" dxfId="2486" priority="60" operator="equal">
      <formula>"CAR"</formula>
    </cfRule>
    <cfRule type="cellIs" dxfId="2485" priority="59" operator="equal">
      <formula>"DEN"</formula>
    </cfRule>
    <cfRule type="cellIs" dxfId="2484" priority="58" operator="equal">
      <formula>"PIT"</formula>
    </cfRule>
    <cfRule type="cellIs" dxfId="2483" priority="57" operator="equal">
      <formula>"MIN"</formula>
    </cfRule>
    <cfRule type="cellIs" dxfId="2482" priority="54" operator="equal">
      <formula>"BYE"</formula>
    </cfRule>
    <cfRule type="cellIs" dxfId="2481" priority="55" operator="equal">
      <formula>"LV"</formula>
    </cfRule>
    <cfRule type="cellIs" dxfId="2480" priority="86" operator="equal">
      <formula>"BUF"</formula>
    </cfRule>
    <cfRule type="cellIs" dxfId="2479" priority="85" operator="equal">
      <formula>"PHI"</formula>
    </cfRule>
    <cfRule type="cellIs" dxfId="2478" priority="84" operator="equal">
      <formula>"BAL"</formula>
    </cfRule>
    <cfRule type="cellIs" dxfId="2477" priority="83" operator="equal">
      <formula>"KC"</formula>
    </cfRule>
    <cfRule type="cellIs" dxfId="2476" priority="82" operator="equal">
      <formula>"IND"</formula>
    </cfRule>
    <cfRule type="cellIs" dxfId="2475" priority="81" operator="equal">
      <formula>"HOU"</formula>
    </cfRule>
    <cfRule type="cellIs" dxfId="2474" priority="80" operator="equal">
      <formula>"ARI"</formula>
    </cfRule>
    <cfRule type="cellIs" dxfId="2473" priority="79" operator="equal">
      <formula>"CIN"</formula>
    </cfRule>
    <cfRule type="cellIs" dxfId="2472" priority="78" operator="equal">
      <formula>"DAL"</formula>
    </cfRule>
    <cfRule type="cellIs" dxfId="2471" priority="77" operator="equal">
      <formula>"GB"</formula>
    </cfRule>
  </conditionalFormatting>
  <conditionalFormatting sqref="D2:D117">
    <cfRule type="cellIs" dxfId="2470" priority="88" operator="equal">
      <formula>"WR8"</formula>
    </cfRule>
    <cfRule type="cellIs" dxfId="2469" priority="89" operator="equal">
      <formula>"WR7"</formula>
    </cfRule>
    <cfRule type="cellIs" dxfId="2468" priority="90" operator="equal">
      <formula>"WR6"</formula>
    </cfRule>
    <cfRule type="cellIs" dxfId="2467" priority="91" operator="equal">
      <formula>"TE5"</formula>
    </cfRule>
    <cfRule type="cellIs" dxfId="2466" priority="92" operator="equal">
      <formula>"WR5"</formula>
    </cfRule>
    <cfRule type="cellIs" dxfId="2465" priority="93" operator="equal">
      <formula>"RB5"</formula>
    </cfRule>
    <cfRule type="cellIs" dxfId="2464" priority="94" operator="equal">
      <formula>"QB5"</formula>
    </cfRule>
    <cfRule type="cellIs" dxfId="2463" priority="95" operator="equal">
      <formula>"TE4"</formula>
    </cfRule>
    <cfRule type="cellIs" dxfId="2462" priority="96" operator="equal">
      <formula>"WR4"</formula>
    </cfRule>
    <cfRule type="cellIs" dxfId="2461" priority="98" operator="equal">
      <formula>"QB4"</formula>
    </cfRule>
    <cfRule type="cellIs" dxfId="2460" priority="99" operator="equal">
      <formula>"TE3"</formula>
    </cfRule>
    <cfRule type="cellIs" dxfId="2459" priority="100" operator="equal">
      <formula>"WR3"</formula>
    </cfRule>
    <cfRule type="cellIs" dxfId="2458" priority="101" operator="equal">
      <formula>"RB3"</formula>
    </cfRule>
    <cfRule type="cellIs" dxfId="2457" priority="102" operator="equal">
      <formula>"QB3"</formula>
    </cfRule>
    <cfRule type="cellIs" dxfId="2456" priority="103" operator="equal">
      <formula>"TE2"</formula>
    </cfRule>
    <cfRule type="cellIs" dxfId="2455" priority="104" operator="equal">
      <formula>"WR2"</formula>
    </cfRule>
    <cfRule type="cellIs" dxfId="2454" priority="105" operator="equal">
      <formula>"RB2"</formula>
    </cfRule>
    <cfRule type="cellIs" dxfId="2453" priority="106" operator="equal">
      <formula>"QB2"</formula>
    </cfRule>
    <cfRule type="cellIs" dxfId="2452" priority="107" operator="equal">
      <formula>"TE1"</formula>
    </cfRule>
    <cfRule type="cellIs" dxfId="2451" priority="108" operator="equal">
      <formula>"WR1"</formula>
    </cfRule>
    <cfRule type="cellIs" dxfId="2450" priority="109" operator="equal">
      <formula>"RB1"</formula>
    </cfRule>
    <cfRule type="cellIs" dxfId="2449" priority="110" operator="equal">
      <formula>"QB1"</formula>
    </cfRule>
    <cfRule type="cellIs" dxfId="2448" priority="97" operator="equal">
      <formula>"RB4"</formula>
    </cfRule>
    <cfRule type="cellIs" dxfId="2447" priority="87" operator="equal">
      <formula>"WR9"</formula>
    </cfRule>
  </conditionalFormatting>
  <conditionalFormatting sqref="E2:E117">
    <cfRule type="cellIs" dxfId="2446" priority="1" operator="equal">
      <formula>"FRI"</formula>
    </cfRule>
    <cfRule type="cellIs" dxfId="2445" priority="2" operator="equal">
      <formula>"bye"</formula>
    </cfRule>
    <cfRule type="cellIs" dxfId="2444" priority="3" operator="equal">
      <formula>"snf"</formula>
    </cfRule>
    <cfRule type="cellIs" dxfId="2443" priority="4" operator="equal">
      <formula>"mnf"</formula>
    </cfRule>
    <cfRule type="cellIs" dxfId="2442" priority="5" operator="equal">
      <formula>"pm"</formula>
    </cfRule>
    <cfRule type="cellIs" dxfId="2441" priority="6" operator="equal">
      <formula>"am"</formula>
    </cfRule>
    <cfRule type="cellIs" dxfId="2440" priority="7" operator="equal">
      <formula>"tnf"</formula>
    </cfRule>
    <cfRule type="colorScale" priority="8">
      <colorScale>
        <cfvo type="num" val="0"/>
        <cfvo type="num" val="1"/>
        <color rgb="FFF8696B"/>
        <color rgb="FF63BE7B"/>
      </colorScale>
    </cfRule>
  </conditionalFormatting>
  <conditionalFormatting sqref="F2:F117">
    <cfRule type="cellIs" dxfId="2439" priority="39" operator="equal">
      <formula>"DET"</formula>
    </cfRule>
    <cfRule type="cellIs" dxfId="2438" priority="38" operator="equal">
      <formula>"MIA"</formula>
    </cfRule>
    <cfRule type="cellIs" dxfId="2437" priority="37" operator="equal">
      <formula>"CHI"</formula>
    </cfRule>
    <cfRule type="cellIs" dxfId="2436" priority="36" operator="equal">
      <formula>"JAX"</formula>
    </cfRule>
    <cfRule type="cellIs" dxfId="2435" priority="35" operator="equal">
      <formula>"ATL"</formula>
    </cfRule>
    <cfRule type="cellIs" dxfId="2434" priority="34" operator="equal">
      <formula>"LAR"</formula>
    </cfRule>
    <cfRule type="cellIs" dxfId="2433" priority="33" operator="equal">
      <formula>"LAC"</formula>
    </cfRule>
    <cfRule type="cellIs" dxfId="2432" priority="32" operator="equal">
      <formula>"SEA"</formula>
    </cfRule>
    <cfRule type="cellIs" dxfId="2431" priority="19" operator="equal">
      <formula>"BYE"</formula>
    </cfRule>
    <cfRule type="cellIs" dxfId="2430" priority="20" operator="equal">
      <formula>"LV"</formula>
    </cfRule>
    <cfRule type="cellIs" dxfId="2429" priority="21" operator="equal">
      <formula>"NE"</formula>
    </cfRule>
    <cfRule type="cellIs" dxfId="2428" priority="22" operator="equal">
      <formula>"MIN"</formula>
    </cfRule>
    <cfRule type="cellIs" dxfId="2427" priority="23" operator="equal">
      <formula>"PIT"</formula>
    </cfRule>
    <cfRule type="cellIs" dxfId="2426" priority="30" operator="equal">
      <formula>"CLE"</formula>
    </cfRule>
    <cfRule type="cellIs" dxfId="2425" priority="29" operator="equal">
      <formula>"TB"</formula>
    </cfRule>
    <cfRule type="cellIs" dxfId="2424" priority="28" operator="equal">
      <formula>"TEN"</formula>
    </cfRule>
    <cfRule type="cellIs" dxfId="2423" priority="31" operator="equal">
      <formula>"NYJ"</formula>
    </cfRule>
    <cfRule type="cellIs" dxfId="2422" priority="26" operator="equal">
      <formula>"NYG"</formula>
    </cfRule>
    <cfRule type="cellIs" dxfId="2421" priority="25" operator="equal">
      <formula>"CAR"</formula>
    </cfRule>
    <cfRule type="cellIs" dxfId="2420" priority="24" operator="equal">
      <formula>"DEN"</formula>
    </cfRule>
    <cfRule type="cellIs" dxfId="2419" priority="51" operator="equal">
      <formula>"BUF"</formula>
    </cfRule>
    <cfRule type="cellIs" dxfId="2418" priority="50" operator="equal">
      <formula>"PHI"</formula>
    </cfRule>
    <cfRule type="cellIs" dxfId="2417" priority="49" operator="equal">
      <formula>"BAL"</formula>
    </cfRule>
    <cfRule type="cellIs" dxfId="2416" priority="48" operator="equal">
      <formula>"KC"</formula>
    </cfRule>
    <cfRule type="cellIs" dxfId="2415" priority="47" operator="equal">
      <formula>"IND"</formula>
    </cfRule>
    <cfRule type="cellIs" dxfId="2414" priority="46" operator="equal">
      <formula>"HOU"</formula>
    </cfRule>
    <cfRule type="cellIs" dxfId="2413" priority="45" operator="equal">
      <formula>"ARI"</formula>
    </cfRule>
    <cfRule type="cellIs" dxfId="2412" priority="44" operator="equal">
      <formula>"CIN"</formula>
    </cfRule>
    <cfRule type="cellIs" dxfId="2411" priority="27" operator="equal">
      <formula>"NO"</formula>
    </cfRule>
    <cfRule type="cellIs" dxfId="2410" priority="42" operator="equal">
      <formula>"GB"</formula>
    </cfRule>
    <cfRule type="cellIs" dxfId="2409" priority="41" operator="equal">
      <formula>"WAS"</formula>
    </cfRule>
    <cfRule type="cellIs" dxfId="2408" priority="43" operator="equal">
      <formula>"DAL"</formula>
    </cfRule>
    <cfRule type="cellIs" dxfId="2407" priority="40" operator="equal">
      <formula>"SF"</formula>
    </cfRule>
  </conditionalFormatting>
  <conditionalFormatting sqref="G2:G117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:H117">
    <cfRule type="colorScale" priority="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117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1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17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15" right="0.15" top="0.1" bottom="0.1" header="0" footer="0"/>
  <pageSetup paperSize="3" scale="71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9328E0D1-0A67-4221-9263-749B279D60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E2:E117</xm:sqref>
        </x14:conditionalFormatting>
        <x14:conditionalFormatting xmlns:xm="http://schemas.microsoft.com/office/excel/2006/main">
          <x14:cfRule type="iconSet" priority="14" id="{404BBECA-D082-4A0D-A9AE-D421DA01FD32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G2:G117</xm:sqref>
        </x14:conditionalFormatting>
        <x14:conditionalFormatting xmlns:xm="http://schemas.microsoft.com/office/excel/2006/main">
          <x14:cfRule type="iconSet" priority="52" id="{F1ACC8D5-6B23-48F2-B2CD-E40C5E1FC29E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H2:H117</xm:sqref>
        </x14:conditionalFormatting>
        <x14:conditionalFormatting xmlns:xm="http://schemas.microsoft.com/office/excel/2006/main">
          <x14:cfRule type="iconSet" priority="12" id="{97E933D7-3B60-4417-A024-B4F3615FBB89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I2:I117</xm:sqref>
        </x14:conditionalFormatting>
        <x14:conditionalFormatting xmlns:xm="http://schemas.microsoft.com/office/excel/2006/main">
          <x14:cfRule type="iconSet" priority="10" id="{EFB58A3B-2123-4834-A769-231F04AD3F23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M2:M117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E66D-DD36-491B-9DF3-B6878ADABC23}">
  <sheetPr>
    <tabColor theme="9" tint="0.79998168889431442"/>
    <pageSetUpPr fitToPage="1"/>
  </sheetPr>
  <dimension ref="B1:Q86"/>
  <sheetViews>
    <sheetView zoomScale="115" zoomScaleNormal="115" workbookViewId="0">
      <selection activeCell="F93" sqref="F93"/>
    </sheetView>
  </sheetViews>
  <sheetFormatPr defaultRowHeight="14.5" x14ac:dyDescent="0.35"/>
  <cols>
    <col min="1" max="1" width="1.6328125" customWidth="1"/>
    <col min="2" max="2" width="13.1796875" bestFit="1" customWidth="1"/>
    <col min="3" max="3" width="8.453125" bestFit="1" customWidth="1"/>
    <col min="4" max="4" width="7.7265625" bestFit="1" customWidth="1"/>
    <col min="5" max="5" width="7.26953125" hidden="1" customWidth="1"/>
    <col min="6" max="6" width="7.6328125" bestFit="1" customWidth="1"/>
    <col min="7" max="8" width="7.453125" bestFit="1" customWidth="1"/>
    <col min="9" max="9" width="9" bestFit="1" customWidth="1"/>
    <col min="10" max="10" width="9.26953125" bestFit="1" customWidth="1"/>
    <col min="11" max="11" width="8.1796875" bestFit="1" customWidth="1"/>
    <col min="12" max="13" width="6" bestFit="1" customWidth="1"/>
    <col min="14" max="14" width="7.54296875" bestFit="1" customWidth="1"/>
    <col min="15" max="15" width="7.81640625" bestFit="1" customWidth="1"/>
    <col min="16" max="16" width="6.7265625" bestFit="1" customWidth="1"/>
    <col min="17" max="17" width="6.90625" bestFit="1" customWidth="1"/>
  </cols>
  <sheetData>
    <row r="1" spans="2:17" ht="15" thickBot="1" x14ac:dyDescent="0.4">
      <c r="B1" s="91" t="s">
        <v>107</v>
      </c>
      <c r="C1" s="91" t="s">
        <v>58</v>
      </c>
      <c r="D1" s="91" t="s">
        <v>392</v>
      </c>
      <c r="E1" s="91" t="s">
        <v>393</v>
      </c>
      <c r="F1" s="91" t="s">
        <v>63</v>
      </c>
      <c r="G1" s="91" t="s">
        <v>659</v>
      </c>
      <c r="H1" s="91" t="s">
        <v>655</v>
      </c>
      <c r="I1" s="91" t="s">
        <v>660</v>
      </c>
      <c r="J1" s="91" t="s">
        <v>661</v>
      </c>
      <c r="K1" s="91" t="s">
        <v>653</v>
      </c>
      <c r="L1" s="107" t="s">
        <v>73</v>
      </c>
      <c r="M1" s="107" t="s">
        <v>74</v>
      </c>
      <c r="N1" s="107" t="s">
        <v>96</v>
      </c>
      <c r="O1" s="107" t="s">
        <v>19</v>
      </c>
      <c r="P1" s="107" t="s">
        <v>72</v>
      </c>
      <c r="Q1" s="107" t="s">
        <v>649</v>
      </c>
    </row>
    <row r="2" spans="2:17" x14ac:dyDescent="0.35">
      <c r="B2" s="6" t="s">
        <v>108</v>
      </c>
      <c r="C2" s="97" t="s">
        <v>0</v>
      </c>
      <c r="D2" s="97" t="s">
        <v>399</v>
      </c>
      <c r="E2" s="6">
        <v>1</v>
      </c>
      <c r="F2" s="97" t="str">
        <f>'2025'!$E$3</f>
        <v>n/a</v>
      </c>
      <c r="G2" s="94" t="e" cm="1">
        <f t="array" ref="G2">_xlfn.XLOOKUP(Table11782[[#This Row],[Opp]],Table14[DEF],'2024 fSZN'!$E$3:$E$34)</f>
        <v>#N/A</v>
      </c>
      <c r="H2" s="94" t="e" cm="1">
        <f t="array" ref="H2">_xlfn.XLOOKUP(Table11782[[#This Row],[Opp]],Table14[DEF],'2024 fSZN'!$F$3:$F$34)</f>
        <v>#N/A</v>
      </c>
      <c r="I2" s="94" t="e" cm="1">
        <f t="array" ref="I2">_xlfn.XLOOKUP(Table11782[[#This Row],[Opp]],Table14[DEF],'2024 fSZN'!$G$3:$G$34)</f>
        <v>#N/A</v>
      </c>
      <c r="J2" s="94" t="e" cm="1">
        <f t="array" ref="J2">_xlfn.XLOOKUP(Table11782[[#This Row],[Opp]],Table14[DEF],'2024 fSZN'!$H$3:$H$34)</f>
        <v>#N/A</v>
      </c>
      <c r="K2" s="94" t="e" cm="1">
        <f t="array" ref="K2">_xlfn.XLOOKUP(Table11782[[#This Row],[Opp]],Table14[DEF],'2024 fSZN'!$I$3:$I$34)</f>
        <v>#N/A</v>
      </c>
      <c r="L2" s="95" t="e">
        <f>_xlfn.XLOOKUP(Table11782[[#This Row],[Opp]],Table14[DEF],Table14[P])</f>
        <v>#N/A</v>
      </c>
      <c r="M2" s="95" t="e">
        <f>_xlfn.XLOOKUP(Table11782[[#This Row],[Opp]],Table14[DEF],Table14[R])</f>
        <v>#N/A</v>
      </c>
      <c r="N2" s="95" t="e">
        <f>_xlfn.XLOOKUP(Table11782[[#This Row],[Opp]],Table14[DEF],Table14[P+R])</f>
        <v>#N/A</v>
      </c>
      <c r="O2" s="96" t="e">
        <f>_xlfn.XLOOKUP(Table11782[[#This Row],[Opp]],Table14[DEF],Table14[P TD])</f>
        <v>#N/A</v>
      </c>
      <c r="P2" s="96" t="e">
        <f>_xlfn.XLOOKUP(Table11782[[#This Row],[Opp]],Table14[DEF],Table14[TD])</f>
        <v>#N/A</v>
      </c>
      <c r="Q2" s="94" t="e">
        <f>AVERAGE(Table11782[[#This Row],[*P*]:[*P TD*]])</f>
        <v>#N/A</v>
      </c>
    </row>
    <row r="3" spans="2:17" x14ac:dyDescent="0.35">
      <c r="B3" s="6" t="s">
        <v>553</v>
      </c>
      <c r="C3" s="97" t="s">
        <v>0</v>
      </c>
      <c r="D3" s="97" t="s">
        <v>405</v>
      </c>
      <c r="E3" s="6">
        <v>1</v>
      </c>
      <c r="F3" s="97" t="str">
        <f>'2025'!$E$3</f>
        <v>n/a</v>
      </c>
      <c r="G3" s="94" t="e" cm="1">
        <f t="array" ref="G3">_xlfn.XLOOKUP(Table11782[[#This Row],[Opp]],Table14[DEF],'2024 fSZN'!$E$3:$E$34)</f>
        <v>#N/A</v>
      </c>
      <c r="H3" s="94" t="e" cm="1">
        <f t="array" ref="H3">_xlfn.XLOOKUP(Table11782[[#This Row],[Opp]],Table14[DEF],'2024 fSZN'!$F$3:$F$34)</f>
        <v>#N/A</v>
      </c>
      <c r="I3" s="94" t="e" cm="1">
        <f t="array" ref="I3">_xlfn.XLOOKUP(Table11782[[#This Row],[Opp]],Table14[DEF],'2024 fSZN'!$G$3:$G$34)</f>
        <v>#N/A</v>
      </c>
      <c r="J3" s="94" t="e" cm="1">
        <f t="array" ref="J3">_xlfn.XLOOKUP(Table11782[[#This Row],[Opp]],Table14[DEF],'2024 fSZN'!$H$3:$H$34)</f>
        <v>#N/A</v>
      </c>
      <c r="K3" s="94" t="e" cm="1">
        <f t="array" ref="K3">_xlfn.XLOOKUP(Table11782[[#This Row],[Opp]],Table14[DEF],'2024 fSZN'!$I$3:$I$34)</f>
        <v>#N/A</v>
      </c>
      <c r="L3" s="95" t="e">
        <f>_xlfn.XLOOKUP(Table11782[[#This Row],[Opp]],Table14[DEF],Table14[P])</f>
        <v>#N/A</v>
      </c>
      <c r="M3" s="95" t="e">
        <f>_xlfn.XLOOKUP(Table11782[[#This Row],[Opp]],Table14[DEF],Table14[R])</f>
        <v>#N/A</v>
      </c>
      <c r="N3" s="95" t="e">
        <f>_xlfn.XLOOKUP(Table11782[[#This Row],[Opp]],Table14[DEF],Table14[P+R])</f>
        <v>#N/A</v>
      </c>
      <c r="O3" s="96" t="e">
        <f>_xlfn.XLOOKUP(Table11782[[#This Row],[Opp]],Table14[DEF],Table14[P TD])</f>
        <v>#N/A</v>
      </c>
      <c r="P3" s="96" t="e">
        <f>_xlfn.XLOOKUP(Table11782[[#This Row],[Opp]],Table14[DEF],Table14[TD])</f>
        <v>#N/A</v>
      </c>
      <c r="Q3" s="94" t="e">
        <f>AVERAGE(Table11782[[#This Row],[*P*]:[*TD*]])</f>
        <v>#N/A</v>
      </c>
    </row>
    <row r="4" spans="2:17" x14ac:dyDescent="0.35">
      <c r="B4" s="6" t="s">
        <v>109</v>
      </c>
      <c r="C4" s="97" t="s">
        <v>15</v>
      </c>
      <c r="D4" s="97" t="s">
        <v>399</v>
      </c>
      <c r="E4" s="6">
        <v>1</v>
      </c>
      <c r="F4" s="97" t="str">
        <f>'2025'!$E$4</f>
        <v>n/a</v>
      </c>
      <c r="G4" s="94" t="e" cm="1">
        <f t="array" ref="G4">_xlfn.XLOOKUP(Table11782[[#This Row],[Opp]],Table14[DEF],'2024 fSZN'!$E$3:$E$34)</f>
        <v>#N/A</v>
      </c>
      <c r="H4" s="94" t="e" cm="1">
        <f t="array" ref="H4">_xlfn.XLOOKUP(Table11782[[#This Row],[Opp]],Table14[DEF],'2024 fSZN'!$F$3:$F$34)</f>
        <v>#N/A</v>
      </c>
      <c r="I4" s="94" t="e" cm="1">
        <f t="array" ref="I4">_xlfn.XLOOKUP(Table11782[[#This Row],[Opp]],Table14[DEF],'2024 fSZN'!$G$3:$G$34)</f>
        <v>#N/A</v>
      </c>
      <c r="J4" s="94" t="e" cm="1">
        <f t="array" ref="J4">_xlfn.XLOOKUP(Table11782[[#This Row],[Opp]],Table14[DEF],'2024 fSZN'!$H$3:$H$34)</f>
        <v>#N/A</v>
      </c>
      <c r="K4" s="94" t="e" cm="1">
        <f t="array" ref="K4">_xlfn.XLOOKUP(Table11782[[#This Row],[Opp]],Table14[DEF],'2024 fSZN'!$I$3:$I$34)</f>
        <v>#N/A</v>
      </c>
      <c r="L4" s="95" t="e">
        <f>_xlfn.XLOOKUP(Table11782[[#This Row],[Opp]],Table14[DEF],Table14[P])</f>
        <v>#N/A</v>
      </c>
      <c r="M4" s="95" t="e">
        <f>_xlfn.XLOOKUP(Table11782[[#This Row],[Opp]],Table14[DEF],Table14[R])</f>
        <v>#N/A</v>
      </c>
      <c r="N4" s="95" t="e">
        <f>_xlfn.XLOOKUP(Table11782[[#This Row],[Opp]],Table14[DEF],Table14[P+R])</f>
        <v>#N/A</v>
      </c>
      <c r="O4" s="96" t="e">
        <f>_xlfn.XLOOKUP(Table11782[[#This Row],[Opp]],Table14[DEF],Table14[P TD])</f>
        <v>#N/A</v>
      </c>
      <c r="P4" s="96" t="e">
        <f>_xlfn.XLOOKUP(Table11782[[#This Row],[Opp]],Table14[DEF],Table14[TD])</f>
        <v>#N/A</v>
      </c>
      <c r="Q4" s="94" t="e">
        <f>AVERAGE(Table11782[[#This Row],[*P*]:[*P TD*]])</f>
        <v>#N/A</v>
      </c>
    </row>
    <row r="5" spans="2:17" x14ac:dyDescent="0.35">
      <c r="B5" s="6" t="s">
        <v>114</v>
      </c>
      <c r="C5" s="97" t="s">
        <v>15</v>
      </c>
      <c r="D5" s="97" t="s">
        <v>405</v>
      </c>
      <c r="E5" s="6">
        <v>1</v>
      </c>
      <c r="F5" s="97" t="str">
        <f>'2025'!$E$4</f>
        <v>n/a</v>
      </c>
      <c r="G5" s="94" t="e" cm="1">
        <f t="array" ref="G5">_xlfn.XLOOKUP(Table11782[[#This Row],[Opp]],Table14[DEF],'2024 fSZN'!$E$3:$E$34)</f>
        <v>#N/A</v>
      </c>
      <c r="H5" s="94" t="e" cm="1">
        <f t="array" ref="H5">_xlfn.XLOOKUP(Table11782[[#This Row],[Opp]],Table14[DEF],'2024 fSZN'!$F$3:$F$34)</f>
        <v>#N/A</v>
      </c>
      <c r="I5" s="94" t="e" cm="1">
        <f t="array" ref="I5">_xlfn.XLOOKUP(Table11782[[#This Row],[Opp]],Table14[DEF],'2024 fSZN'!$G$3:$G$34)</f>
        <v>#N/A</v>
      </c>
      <c r="J5" s="94" t="e" cm="1">
        <f t="array" ref="J5">_xlfn.XLOOKUP(Table11782[[#This Row],[Opp]],Table14[DEF],'2024 fSZN'!$H$3:$H$34)</f>
        <v>#N/A</v>
      </c>
      <c r="K5" s="94" t="e" cm="1">
        <f t="array" ref="K5">_xlfn.XLOOKUP(Table11782[[#This Row],[Opp]],Table14[DEF],'2024 fSZN'!$I$3:$I$34)</f>
        <v>#N/A</v>
      </c>
      <c r="L5" s="95" t="e">
        <f>_xlfn.XLOOKUP(Table11782[[#This Row],[Opp]],Table14[DEF],Table14[P])</f>
        <v>#N/A</v>
      </c>
      <c r="M5" s="95" t="e">
        <f>_xlfn.XLOOKUP(Table11782[[#This Row],[Opp]],Table14[DEF],Table14[R])</f>
        <v>#N/A</v>
      </c>
      <c r="N5" s="95" t="e">
        <f>_xlfn.XLOOKUP(Table11782[[#This Row],[Opp]],Table14[DEF],Table14[P+R])</f>
        <v>#N/A</v>
      </c>
      <c r="O5" s="96" t="e">
        <f>_xlfn.XLOOKUP(Table11782[[#This Row],[Opp]],Table14[DEF],Table14[P TD])</f>
        <v>#N/A</v>
      </c>
      <c r="P5" s="96" t="e">
        <f>_xlfn.XLOOKUP(Table11782[[#This Row],[Opp]],Table14[DEF],Table14[TD])</f>
        <v>#N/A</v>
      </c>
      <c r="Q5" s="94" t="e">
        <f>AVERAGE(Table11782[[#This Row],[*P*]:[*TD*]])</f>
        <v>#N/A</v>
      </c>
    </row>
    <row r="6" spans="2:17" x14ac:dyDescent="0.35">
      <c r="B6" s="6" t="s">
        <v>597</v>
      </c>
      <c r="C6" s="97" t="s">
        <v>15</v>
      </c>
      <c r="D6" s="97" t="s">
        <v>425</v>
      </c>
      <c r="E6" s="6">
        <v>-1</v>
      </c>
      <c r="F6" s="97" t="str">
        <f>'2025'!$E$4</f>
        <v>n/a</v>
      </c>
      <c r="G6" s="94" t="e" cm="1">
        <f t="array" ref="G6">_xlfn.XLOOKUP(Table11782[[#This Row],[Opp]],Table14[DEF],'2024 fSZN'!$E$3:$E$34)</f>
        <v>#N/A</v>
      </c>
      <c r="H6" s="94" t="e" cm="1">
        <f t="array" ref="H6">_xlfn.XLOOKUP(Table11782[[#This Row],[Opp]],Table14[DEF],'2024 fSZN'!$F$3:$F$34)</f>
        <v>#N/A</v>
      </c>
      <c r="I6" s="94" t="e" cm="1">
        <f t="array" ref="I6">_xlfn.XLOOKUP(Table11782[[#This Row],[Opp]],Table14[DEF],'2024 fSZN'!$G$3:$G$34)</f>
        <v>#N/A</v>
      </c>
      <c r="J6" s="94" t="e" cm="1">
        <f t="array" ref="J6">_xlfn.XLOOKUP(Table11782[[#This Row],[Opp]],Table14[DEF],'2024 fSZN'!$H$3:$H$34)</f>
        <v>#N/A</v>
      </c>
      <c r="K6" s="94" t="e" cm="1">
        <f t="array" ref="K6">_xlfn.XLOOKUP(Table11782[[#This Row],[Opp]],Table14[DEF],'2024 fSZN'!$I$3:$I$34)</f>
        <v>#N/A</v>
      </c>
      <c r="L6" s="95" t="e">
        <f>_xlfn.XLOOKUP(Table11782[[#This Row],[Opp]],Table14[DEF],Table14[P])</f>
        <v>#N/A</v>
      </c>
      <c r="M6" s="95" t="e">
        <f>_xlfn.XLOOKUP(Table11782[[#This Row],[Opp]],Table14[DEF],Table14[R])</f>
        <v>#N/A</v>
      </c>
      <c r="N6" s="95" t="e">
        <f>_xlfn.XLOOKUP(Table11782[[#This Row],[Opp]],Table14[DEF],Table14[P+R])</f>
        <v>#N/A</v>
      </c>
      <c r="O6" s="96" t="e">
        <f>_xlfn.XLOOKUP(Table11782[[#This Row],[Opp]],Table14[DEF],Table14[P TD])</f>
        <v>#N/A</v>
      </c>
      <c r="P6" s="96" t="e">
        <f>_xlfn.XLOOKUP(Table11782[[#This Row],[Opp]],Table14[DEF],Table14[TD])</f>
        <v>#N/A</v>
      </c>
      <c r="Q6" s="94" t="e">
        <f>AVERAGE(Table11782[[#This Row],[*P*]:[*TD*]])</f>
        <v>#N/A</v>
      </c>
    </row>
    <row r="7" spans="2:17" x14ac:dyDescent="0.35">
      <c r="B7" s="6" t="s">
        <v>110</v>
      </c>
      <c r="C7" s="97" t="s">
        <v>16</v>
      </c>
      <c r="D7" s="97" t="s">
        <v>399</v>
      </c>
      <c r="E7" s="6">
        <v>0</v>
      </c>
      <c r="F7" s="97" t="str">
        <f>'2025'!$E$5</f>
        <v>n/a</v>
      </c>
      <c r="G7" s="94" t="e" cm="1">
        <f t="array" ref="G7">_xlfn.XLOOKUP(Table11782[[#This Row],[Opp]],Table14[DEF],'2024 fSZN'!$E$3:$E$34)</f>
        <v>#N/A</v>
      </c>
      <c r="H7" s="94" t="e" cm="1">
        <f t="array" ref="H7">_xlfn.XLOOKUP(Table11782[[#This Row],[Opp]],Table14[DEF],'2024 fSZN'!$F$3:$F$34)</f>
        <v>#N/A</v>
      </c>
      <c r="I7" s="94" t="e" cm="1">
        <f t="array" ref="I7">_xlfn.XLOOKUP(Table11782[[#This Row],[Opp]],Table14[DEF],'2024 fSZN'!$G$3:$G$34)</f>
        <v>#N/A</v>
      </c>
      <c r="J7" s="94" t="e" cm="1">
        <f t="array" ref="J7">_xlfn.XLOOKUP(Table11782[[#This Row],[Opp]],Table14[DEF],'2024 fSZN'!$H$3:$H$34)</f>
        <v>#N/A</v>
      </c>
      <c r="K7" s="94" t="e" cm="1">
        <f t="array" ref="K7">_xlfn.XLOOKUP(Table11782[[#This Row],[Opp]],Table14[DEF],'2024 fSZN'!$I$3:$I$34)</f>
        <v>#N/A</v>
      </c>
      <c r="L7" s="95" t="e">
        <f>_xlfn.XLOOKUP(Table11782[[#This Row],[Opp]],Table14[DEF],Table14[P])</f>
        <v>#N/A</v>
      </c>
      <c r="M7" s="95" t="e">
        <f>_xlfn.XLOOKUP(Table11782[[#This Row],[Opp]],Table14[DEF],Table14[R])</f>
        <v>#N/A</v>
      </c>
      <c r="N7" s="95" t="e">
        <f>_xlfn.XLOOKUP(Table11782[[#This Row],[Opp]],Table14[DEF],Table14[P+R])</f>
        <v>#N/A</v>
      </c>
      <c r="O7" s="96" t="e">
        <f>_xlfn.XLOOKUP(Table11782[[#This Row],[Opp]],Table14[DEF],Table14[P TD])</f>
        <v>#N/A</v>
      </c>
      <c r="P7" s="96" t="e">
        <f>_xlfn.XLOOKUP(Table11782[[#This Row],[Opp]],Table14[DEF],Table14[TD])</f>
        <v>#N/A</v>
      </c>
      <c r="Q7" s="94" t="e">
        <f>AVERAGE(Table11782[[#This Row],[*P*]:[*P TD*]])</f>
        <v>#N/A</v>
      </c>
    </row>
    <row r="8" spans="2:17" x14ac:dyDescent="0.35">
      <c r="B8" s="6" t="s">
        <v>468</v>
      </c>
      <c r="C8" s="97" t="s">
        <v>16</v>
      </c>
      <c r="D8" s="97" t="s">
        <v>405</v>
      </c>
      <c r="E8" s="6">
        <v>1</v>
      </c>
      <c r="F8" s="97" t="str">
        <f>'2025'!$E$5</f>
        <v>n/a</v>
      </c>
      <c r="G8" s="94" t="e" cm="1">
        <f t="array" ref="G8">_xlfn.XLOOKUP(Table11782[[#This Row],[Opp]],Table14[DEF],'2024 fSZN'!$E$3:$E$34)</f>
        <v>#N/A</v>
      </c>
      <c r="H8" s="94" t="e" cm="1">
        <f t="array" ref="H8">_xlfn.XLOOKUP(Table11782[[#This Row],[Opp]],Table14[DEF],'2024 fSZN'!$F$3:$F$34)</f>
        <v>#N/A</v>
      </c>
      <c r="I8" s="94" t="e" cm="1">
        <f t="array" ref="I8">_xlfn.XLOOKUP(Table11782[[#This Row],[Opp]],Table14[DEF],'2024 fSZN'!$G$3:$G$34)</f>
        <v>#N/A</v>
      </c>
      <c r="J8" s="94" t="e" cm="1">
        <f t="array" ref="J8">_xlfn.XLOOKUP(Table11782[[#This Row],[Opp]],Table14[DEF],'2024 fSZN'!$H$3:$H$34)</f>
        <v>#N/A</v>
      </c>
      <c r="K8" s="94" t="e" cm="1">
        <f t="array" ref="K8">_xlfn.XLOOKUP(Table11782[[#This Row],[Opp]],Table14[DEF],'2024 fSZN'!$I$3:$I$34)</f>
        <v>#N/A</v>
      </c>
      <c r="L8" s="95" t="e">
        <f>_xlfn.XLOOKUP(Table11782[[#This Row],[Opp]],Table14[DEF],Table14[P])</f>
        <v>#N/A</v>
      </c>
      <c r="M8" s="95" t="e">
        <f>_xlfn.XLOOKUP(Table11782[[#This Row],[Opp]],Table14[DEF],Table14[R])</f>
        <v>#N/A</v>
      </c>
      <c r="N8" s="95" t="e">
        <f>_xlfn.XLOOKUP(Table11782[[#This Row],[Opp]],Table14[DEF],Table14[P+R])</f>
        <v>#N/A</v>
      </c>
      <c r="O8" s="96" t="e">
        <f>_xlfn.XLOOKUP(Table11782[[#This Row],[Opp]],Table14[DEF],Table14[P TD])</f>
        <v>#N/A</v>
      </c>
      <c r="P8" s="96" t="e">
        <f>_xlfn.XLOOKUP(Table11782[[#This Row],[Opp]],Table14[DEF],Table14[TD])</f>
        <v>#N/A</v>
      </c>
      <c r="Q8" s="94" t="e">
        <f>AVERAGE(Table11782[[#This Row],[*P*]:[*TD*]])</f>
        <v>#N/A</v>
      </c>
    </row>
    <row r="9" spans="2:17" x14ac:dyDescent="0.35">
      <c r="B9" s="6" t="s">
        <v>111</v>
      </c>
      <c r="C9" s="97" t="s">
        <v>17</v>
      </c>
      <c r="D9" s="97" t="s">
        <v>399</v>
      </c>
      <c r="E9" s="6">
        <v>1</v>
      </c>
      <c r="F9" s="97" t="str">
        <f>'2025'!$E$6</f>
        <v>n/a</v>
      </c>
      <c r="G9" s="94" t="e" cm="1">
        <f t="array" ref="G9">_xlfn.XLOOKUP(Table11782[[#This Row],[Opp]],Table14[DEF],'2024 fSZN'!$E$3:$E$34)</f>
        <v>#N/A</v>
      </c>
      <c r="H9" s="94" t="e" cm="1">
        <f t="array" ref="H9">_xlfn.XLOOKUP(Table11782[[#This Row],[Opp]],Table14[DEF],'2024 fSZN'!$F$3:$F$34)</f>
        <v>#N/A</v>
      </c>
      <c r="I9" s="94" t="e" cm="1">
        <f t="array" ref="I9">_xlfn.XLOOKUP(Table11782[[#This Row],[Opp]],Table14[DEF],'2024 fSZN'!$G$3:$G$34)</f>
        <v>#N/A</v>
      </c>
      <c r="J9" s="94" t="e" cm="1">
        <f t="array" ref="J9">_xlfn.XLOOKUP(Table11782[[#This Row],[Opp]],Table14[DEF],'2024 fSZN'!$H$3:$H$34)</f>
        <v>#N/A</v>
      </c>
      <c r="K9" s="94" t="e" cm="1">
        <f t="array" ref="K9">_xlfn.XLOOKUP(Table11782[[#This Row],[Opp]],Table14[DEF],'2024 fSZN'!$I$3:$I$34)</f>
        <v>#N/A</v>
      </c>
      <c r="L9" s="95" t="e">
        <f>_xlfn.XLOOKUP(Table11782[[#This Row],[Opp]],Table14[DEF],Table14[P])</f>
        <v>#N/A</v>
      </c>
      <c r="M9" s="95" t="e">
        <f>_xlfn.XLOOKUP(Table11782[[#This Row],[Opp]],Table14[DEF],Table14[R])</f>
        <v>#N/A</v>
      </c>
      <c r="N9" s="95" t="e">
        <f>_xlfn.XLOOKUP(Table11782[[#This Row],[Opp]],Table14[DEF],Table14[P+R])</f>
        <v>#N/A</v>
      </c>
      <c r="O9" s="96" t="e">
        <f>_xlfn.XLOOKUP(Table11782[[#This Row],[Opp]],Table14[DEF],Table14[P TD])</f>
        <v>#N/A</v>
      </c>
      <c r="P9" s="96" t="e">
        <f>_xlfn.XLOOKUP(Table11782[[#This Row],[Opp]],Table14[DEF],Table14[TD])</f>
        <v>#N/A</v>
      </c>
      <c r="Q9" s="94" t="e">
        <f>AVERAGE(Table11782[[#This Row],[*P*]:[*P TD*]])</f>
        <v>#N/A</v>
      </c>
    </row>
    <row r="10" spans="2:17" x14ac:dyDescent="0.35">
      <c r="B10" s="6" t="s">
        <v>404</v>
      </c>
      <c r="C10" s="97" t="s">
        <v>17</v>
      </c>
      <c r="D10" s="97" t="s">
        <v>405</v>
      </c>
      <c r="E10" s="6">
        <v>1</v>
      </c>
      <c r="F10" s="97" t="str">
        <f>'2025'!$E$6</f>
        <v>n/a</v>
      </c>
      <c r="G10" s="94" t="e" cm="1">
        <f t="array" ref="G10">_xlfn.XLOOKUP(Table11782[[#This Row],[Opp]],Table14[DEF],'2024 fSZN'!$E$3:$E$34)</f>
        <v>#N/A</v>
      </c>
      <c r="H10" s="94" t="e" cm="1">
        <f t="array" ref="H10">_xlfn.XLOOKUP(Table11782[[#This Row],[Opp]],Table14[DEF],'2024 fSZN'!$F$3:$F$34)</f>
        <v>#N/A</v>
      </c>
      <c r="I10" s="94" t="e" cm="1">
        <f t="array" ref="I10">_xlfn.XLOOKUP(Table11782[[#This Row],[Opp]],Table14[DEF],'2024 fSZN'!$G$3:$G$34)</f>
        <v>#N/A</v>
      </c>
      <c r="J10" s="94" t="e" cm="1">
        <f t="array" ref="J10">_xlfn.XLOOKUP(Table11782[[#This Row],[Opp]],Table14[DEF],'2024 fSZN'!$H$3:$H$34)</f>
        <v>#N/A</v>
      </c>
      <c r="K10" s="94" t="e" cm="1">
        <f t="array" ref="K10">_xlfn.XLOOKUP(Table11782[[#This Row],[Opp]],Table14[DEF],'2024 fSZN'!$I$3:$I$34)</f>
        <v>#N/A</v>
      </c>
      <c r="L10" s="95" t="e">
        <f>_xlfn.XLOOKUP(Table11782[[#This Row],[Opp]],Table14[DEF],Table14[P])</f>
        <v>#N/A</v>
      </c>
      <c r="M10" s="95" t="e">
        <f>_xlfn.XLOOKUP(Table11782[[#This Row],[Opp]],Table14[DEF],Table14[R])</f>
        <v>#N/A</v>
      </c>
      <c r="N10" s="95" t="e">
        <f>_xlfn.XLOOKUP(Table11782[[#This Row],[Opp]],Table14[DEF],Table14[P+R])</f>
        <v>#N/A</v>
      </c>
      <c r="O10" s="96" t="e">
        <f>_xlfn.XLOOKUP(Table11782[[#This Row],[Opp]],Table14[DEF],Table14[P TD])</f>
        <v>#N/A</v>
      </c>
      <c r="P10" s="96" t="e">
        <f>_xlfn.XLOOKUP(Table11782[[#This Row],[Opp]],Table14[DEF],Table14[TD])</f>
        <v>#N/A</v>
      </c>
      <c r="Q10" s="94" t="e">
        <f>AVERAGE(Table11782[[#This Row],[*P*]:[*TD*]])</f>
        <v>#N/A</v>
      </c>
    </row>
    <row r="11" spans="2:17" x14ac:dyDescent="0.35">
      <c r="B11" s="6" t="s">
        <v>112</v>
      </c>
      <c r="C11" s="97" t="s">
        <v>29</v>
      </c>
      <c r="D11" s="97" t="s">
        <v>399</v>
      </c>
      <c r="E11" s="6">
        <v>1</v>
      </c>
      <c r="F11" s="97" t="str">
        <f>'2025'!$E$7</f>
        <v>n/a</v>
      </c>
      <c r="G11" s="94" t="e" cm="1">
        <f t="array" ref="G11">_xlfn.XLOOKUP(Table11782[[#This Row],[Opp]],Table14[DEF],'2024 fSZN'!$E$3:$E$34)</f>
        <v>#N/A</v>
      </c>
      <c r="H11" s="94" t="e" cm="1">
        <f t="array" ref="H11">_xlfn.XLOOKUP(Table11782[[#This Row],[Opp]],Table14[DEF],'2024 fSZN'!$F$3:$F$34)</f>
        <v>#N/A</v>
      </c>
      <c r="I11" s="94" t="e" cm="1">
        <f t="array" ref="I11">_xlfn.XLOOKUP(Table11782[[#This Row],[Opp]],Table14[DEF],'2024 fSZN'!$G$3:$G$34)</f>
        <v>#N/A</v>
      </c>
      <c r="J11" s="94" t="e" cm="1">
        <f t="array" ref="J11">_xlfn.XLOOKUP(Table11782[[#This Row],[Opp]],Table14[DEF],'2024 fSZN'!$H$3:$H$34)</f>
        <v>#N/A</v>
      </c>
      <c r="K11" s="94" t="e" cm="1">
        <f t="array" ref="K11">_xlfn.XLOOKUP(Table11782[[#This Row],[Opp]],Table14[DEF],'2024 fSZN'!$I$3:$I$34)</f>
        <v>#N/A</v>
      </c>
      <c r="L11" s="95" t="e">
        <f>_xlfn.XLOOKUP(Table11782[[#This Row],[Opp]],Table14[DEF],Table14[P])</f>
        <v>#N/A</v>
      </c>
      <c r="M11" s="95" t="e">
        <f>_xlfn.XLOOKUP(Table11782[[#This Row],[Opp]],Table14[DEF],Table14[R])</f>
        <v>#N/A</v>
      </c>
      <c r="N11" s="95" t="e">
        <f>_xlfn.XLOOKUP(Table11782[[#This Row],[Opp]],Table14[DEF],Table14[P+R])</f>
        <v>#N/A</v>
      </c>
      <c r="O11" s="96" t="e">
        <f>_xlfn.XLOOKUP(Table11782[[#This Row],[Opp]],Table14[DEF],Table14[P TD])</f>
        <v>#N/A</v>
      </c>
      <c r="P11" s="96" t="e">
        <f>_xlfn.XLOOKUP(Table11782[[#This Row],[Opp]],Table14[DEF],Table14[TD])</f>
        <v>#N/A</v>
      </c>
      <c r="Q11" s="94" t="e">
        <f>AVERAGE(Table11782[[#This Row],[*P*]:[*P TD*]])</f>
        <v>#N/A</v>
      </c>
    </row>
    <row r="12" spans="2:17" x14ac:dyDescent="0.35">
      <c r="B12" s="6" t="s">
        <v>607</v>
      </c>
      <c r="C12" s="97" t="s">
        <v>29</v>
      </c>
      <c r="D12" s="97" t="s">
        <v>405</v>
      </c>
      <c r="E12" s="6">
        <v>0</v>
      </c>
      <c r="F12" s="97" t="str">
        <f>'2025'!$E$7</f>
        <v>n/a</v>
      </c>
      <c r="G12" s="94" t="e" cm="1">
        <f t="array" ref="G12">_xlfn.XLOOKUP(Table11782[[#This Row],[Opp]],Table14[DEF],'2024 fSZN'!$E$3:$E$34)</f>
        <v>#N/A</v>
      </c>
      <c r="H12" s="94" t="e" cm="1">
        <f t="array" ref="H12">_xlfn.XLOOKUP(Table11782[[#This Row],[Opp]],Table14[DEF],'2024 fSZN'!$F$3:$F$34)</f>
        <v>#N/A</v>
      </c>
      <c r="I12" s="94" t="e" cm="1">
        <f t="array" ref="I12">_xlfn.XLOOKUP(Table11782[[#This Row],[Opp]],Table14[DEF],'2024 fSZN'!$G$3:$G$34)</f>
        <v>#N/A</v>
      </c>
      <c r="J12" s="94" t="e" cm="1">
        <f t="array" ref="J12">_xlfn.XLOOKUP(Table11782[[#This Row],[Opp]],Table14[DEF],'2024 fSZN'!$H$3:$H$34)</f>
        <v>#N/A</v>
      </c>
      <c r="K12" s="94" t="e" cm="1">
        <f t="array" ref="K12">_xlfn.XLOOKUP(Table11782[[#This Row],[Opp]],Table14[DEF],'2024 fSZN'!$I$3:$I$34)</f>
        <v>#N/A</v>
      </c>
      <c r="L12" s="95" t="e">
        <f>_xlfn.XLOOKUP(Table11782[[#This Row],[Opp]],Table14[DEF],Table14[P])</f>
        <v>#N/A</v>
      </c>
      <c r="M12" s="95" t="e">
        <f>_xlfn.XLOOKUP(Table11782[[#This Row],[Opp]],Table14[DEF],Table14[R])</f>
        <v>#N/A</v>
      </c>
      <c r="N12" s="95" t="e">
        <f>_xlfn.XLOOKUP(Table11782[[#This Row],[Opp]],Table14[DEF],Table14[P+R])</f>
        <v>#N/A</v>
      </c>
      <c r="O12" s="96" t="e">
        <f>_xlfn.XLOOKUP(Table11782[[#This Row],[Opp]],Table14[DEF],Table14[P TD])</f>
        <v>#N/A</v>
      </c>
      <c r="P12" s="96" t="e">
        <f>_xlfn.XLOOKUP(Table11782[[#This Row],[Opp]],Table14[DEF],Table14[TD])</f>
        <v>#N/A</v>
      </c>
      <c r="Q12" s="94" t="e">
        <f>AVERAGE(Table11782[[#This Row],[*P*]:[*TD*]])</f>
        <v>#N/A</v>
      </c>
    </row>
    <row r="13" spans="2:17" x14ac:dyDescent="0.35">
      <c r="B13" s="6" t="s">
        <v>150</v>
      </c>
      <c r="C13" s="97" t="s">
        <v>30</v>
      </c>
      <c r="D13" s="97" t="s">
        <v>399</v>
      </c>
      <c r="E13" s="6">
        <v>1</v>
      </c>
      <c r="F13" s="97" t="str">
        <f>'2025'!$E$8</f>
        <v>n/a</v>
      </c>
      <c r="G13" s="94" t="e" cm="1">
        <f t="array" ref="G13">_xlfn.XLOOKUP(Table11782[[#This Row],[Opp]],Table14[DEF],'2024 fSZN'!$E$3:$E$34)</f>
        <v>#N/A</v>
      </c>
      <c r="H13" s="94" t="e" cm="1">
        <f t="array" ref="H13">_xlfn.XLOOKUP(Table11782[[#This Row],[Opp]],Table14[DEF],'2024 fSZN'!$F$3:$F$34)</f>
        <v>#N/A</v>
      </c>
      <c r="I13" s="94" t="e" cm="1">
        <f t="array" ref="I13">_xlfn.XLOOKUP(Table11782[[#This Row],[Opp]],Table14[DEF],'2024 fSZN'!$G$3:$G$34)</f>
        <v>#N/A</v>
      </c>
      <c r="J13" s="94" t="e" cm="1">
        <f t="array" ref="J13">_xlfn.XLOOKUP(Table11782[[#This Row],[Opp]],Table14[DEF],'2024 fSZN'!$H$3:$H$34)</f>
        <v>#N/A</v>
      </c>
      <c r="K13" s="94" t="e" cm="1">
        <f t="array" ref="K13">_xlfn.XLOOKUP(Table11782[[#This Row],[Opp]],Table14[DEF],'2024 fSZN'!$I$3:$I$34)</f>
        <v>#N/A</v>
      </c>
      <c r="L13" s="95" t="e">
        <f>_xlfn.XLOOKUP(Table11782[[#This Row],[Opp]],Table14[DEF],Table14[P])</f>
        <v>#N/A</v>
      </c>
      <c r="M13" s="95" t="e">
        <f>_xlfn.XLOOKUP(Table11782[[#This Row],[Opp]],Table14[DEF],Table14[R])</f>
        <v>#N/A</v>
      </c>
      <c r="N13" s="95" t="e">
        <f>_xlfn.XLOOKUP(Table11782[[#This Row],[Opp]],Table14[DEF],Table14[P+R])</f>
        <v>#N/A</v>
      </c>
      <c r="O13" s="96" t="e">
        <f>_xlfn.XLOOKUP(Table11782[[#This Row],[Opp]],Table14[DEF],Table14[P TD])</f>
        <v>#N/A</v>
      </c>
      <c r="P13" s="96" t="e">
        <f>_xlfn.XLOOKUP(Table11782[[#This Row],[Opp]],Table14[DEF],Table14[TD])</f>
        <v>#N/A</v>
      </c>
      <c r="Q13" s="94" t="e">
        <f>AVERAGE(Table11782[[#This Row],[*P*]:[*P TD*]])</f>
        <v>#N/A</v>
      </c>
    </row>
    <row r="14" spans="2:17" x14ac:dyDescent="0.35">
      <c r="B14" s="6" t="s">
        <v>496</v>
      </c>
      <c r="C14" s="97" t="s">
        <v>30</v>
      </c>
      <c r="D14" s="97" t="s">
        <v>405</v>
      </c>
      <c r="E14" s="6">
        <v>1</v>
      </c>
      <c r="F14" s="97" t="str">
        <f>'2025'!$E$8</f>
        <v>n/a</v>
      </c>
      <c r="G14" s="94" t="e" cm="1">
        <f t="array" ref="G14">_xlfn.XLOOKUP(Table11782[[#This Row],[Opp]],Table14[DEF],'2024 fSZN'!$E$3:$E$34)</f>
        <v>#N/A</v>
      </c>
      <c r="H14" s="94" t="e" cm="1">
        <f t="array" ref="H14">_xlfn.XLOOKUP(Table11782[[#This Row],[Opp]],Table14[DEF],'2024 fSZN'!$F$3:$F$34)</f>
        <v>#N/A</v>
      </c>
      <c r="I14" s="94" t="e" cm="1">
        <f t="array" ref="I14">_xlfn.XLOOKUP(Table11782[[#This Row],[Opp]],Table14[DEF],'2024 fSZN'!$G$3:$G$34)</f>
        <v>#N/A</v>
      </c>
      <c r="J14" s="94" t="e" cm="1">
        <f t="array" ref="J14">_xlfn.XLOOKUP(Table11782[[#This Row],[Opp]],Table14[DEF],'2024 fSZN'!$H$3:$H$34)</f>
        <v>#N/A</v>
      </c>
      <c r="K14" s="94" t="e" cm="1">
        <f t="array" ref="K14">_xlfn.XLOOKUP(Table11782[[#This Row],[Opp]],Table14[DEF],'2024 fSZN'!$I$3:$I$34)</f>
        <v>#N/A</v>
      </c>
      <c r="L14" s="95" t="e">
        <f>_xlfn.XLOOKUP(Table11782[[#This Row],[Opp]],Table14[DEF],Table14[P])</f>
        <v>#N/A</v>
      </c>
      <c r="M14" s="95" t="e">
        <f>_xlfn.XLOOKUP(Table11782[[#This Row],[Opp]],Table14[DEF],Table14[R])</f>
        <v>#N/A</v>
      </c>
      <c r="N14" s="95" t="e">
        <f>_xlfn.XLOOKUP(Table11782[[#This Row],[Opp]],Table14[DEF],Table14[P+R])</f>
        <v>#N/A</v>
      </c>
      <c r="O14" s="96" t="e">
        <f>_xlfn.XLOOKUP(Table11782[[#This Row],[Opp]],Table14[DEF],Table14[P TD])</f>
        <v>#N/A</v>
      </c>
      <c r="P14" s="96" t="e">
        <f>_xlfn.XLOOKUP(Table11782[[#This Row],[Opp]],Table14[DEF],Table14[TD])</f>
        <v>#N/A</v>
      </c>
      <c r="Q14" s="94" t="e">
        <f>AVERAGE(Table11782[[#This Row],[*P*]:[*TD*]])</f>
        <v>#N/A</v>
      </c>
    </row>
    <row r="15" spans="2:17" x14ac:dyDescent="0.35">
      <c r="B15" s="6" t="s">
        <v>497</v>
      </c>
      <c r="C15" s="97" t="s">
        <v>30</v>
      </c>
      <c r="D15" s="97" t="s">
        <v>425</v>
      </c>
      <c r="E15" s="6">
        <v>0</v>
      </c>
      <c r="F15" s="97" t="str">
        <f>'2025'!$E$8</f>
        <v>n/a</v>
      </c>
      <c r="G15" s="94" t="e" cm="1">
        <f t="array" ref="G15">_xlfn.XLOOKUP(Table11782[[#This Row],[Opp]],Table14[DEF],'2024 fSZN'!$E$3:$E$34)</f>
        <v>#N/A</v>
      </c>
      <c r="H15" s="94" t="e" cm="1">
        <f t="array" ref="H15">_xlfn.XLOOKUP(Table11782[[#This Row],[Opp]],Table14[DEF],'2024 fSZN'!$F$3:$F$34)</f>
        <v>#N/A</v>
      </c>
      <c r="I15" s="94" t="e" cm="1">
        <f t="array" ref="I15">_xlfn.XLOOKUP(Table11782[[#This Row],[Opp]],Table14[DEF],'2024 fSZN'!$G$3:$G$34)</f>
        <v>#N/A</v>
      </c>
      <c r="J15" s="94" t="e" cm="1">
        <f t="array" ref="J15">_xlfn.XLOOKUP(Table11782[[#This Row],[Opp]],Table14[DEF],'2024 fSZN'!$H$3:$H$34)</f>
        <v>#N/A</v>
      </c>
      <c r="K15" s="94" t="e" cm="1">
        <f t="array" ref="K15">_xlfn.XLOOKUP(Table11782[[#This Row],[Opp]],Table14[DEF],'2024 fSZN'!$I$3:$I$34)</f>
        <v>#N/A</v>
      </c>
      <c r="L15" s="95" t="e">
        <f>_xlfn.XLOOKUP(Table11782[[#This Row],[Opp]],Table14[DEF],Table14[P])</f>
        <v>#N/A</v>
      </c>
      <c r="M15" s="95" t="e">
        <f>_xlfn.XLOOKUP(Table11782[[#This Row],[Opp]],Table14[DEF],Table14[R])</f>
        <v>#N/A</v>
      </c>
      <c r="N15" s="95" t="e">
        <f>_xlfn.XLOOKUP(Table11782[[#This Row],[Opp]],Table14[DEF],Table14[P+R])</f>
        <v>#N/A</v>
      </c>
      <c r="O15" s="96" t="e">
        <f>_xlfn.XLOOKUP(Table11782[[#This Row],[Opp]],Table14[DEF],Table14[P TD])</f>
        <v>#N/A</v>
      </c>
      <c r="P15" s="96" t="e">
        <f>_xlfn.XLOOKUP(Table11782[[#This Row],[Opp]],Table14[DEF],Table14[TD])</f>
        <v>#N/A</v>
      </c>
      <c r="Q15" s="94" t="e">
        <f>AVERAGE(Table11782[[#This Row],[*P*]:[*TD*]])</f>
        <v>#N/A</v>
      </c>
    </row>
    <row r="16" spans="2:17" x14ac:dyDescent="0.35">
      <c r="B16" s="6" t="s">
        <v>159</v>
      </c>
      <c r="C16" s="97" t="s">
        <v>31</v>
      </c>
      <c r="D16" s="97" t="s">
        <v>399</v>
      </c>
      <c r="E16" s="6">
        <v>1</v>
      </c>
      <c r="F16" s="97" t="str">
        <f>'2025'!$E$9</f>
        <v>n/a</v>
      </c>
      <c r="G16" s="94" t="e" cm="1">
        <f t="array" ref="G16">_xlfn.XLOOKUP(Table11782[[#This Row],[Opp]],Table14[DEF],'2024 fSZN'!$E$3:$E$34)</f>
        <v>#N/A</v>
      </c>
      <c r="H16" s="94" t="e" cm="1">
        <f t="array" ref="H16">_xlfn.XLOOKUP(Table11782[[#This Row],[Opp]],Table14[DEF],'2024 fSZN'!$F$3:$F$34)</f>
        <v>#N/A</v>
      </c>
      <c r="I16" s="94" t="e" cm="1">
        <f t="array" ref="I16">_xlfn.XLOOKUP(Table11782[[#This Row],[Opp]],Table14[DEF],'2024 fSZN'!$G$3:$G$34)</f>
        <v>#N/A</v>
      </c>
      <c r="J16" s="94" t="e" cm="1">
        <f t="array" ref="J16">_xlfn.XLOOKUP(Table11782[[#This Row],[Opp]],Table14[DEF],'2024 fSZN'!$H$3:$H$34)</f>
        <v>#N/A</v>
      </c>
      <c r="K16" s="94" t="e" cm="1">
        <f t="array" ref="K16">_xlfn.XLOOKUP(Table11782[[#This Row],[Opp]],Table14[DEF],'2024 fSZN'!$I$3:$I$34)</f>
        <v>#N/A</v>
      </c>
      <c r="L16" s="95" t="e">
        <f>_xlfn.XLOOKUP(Table11782[[#This Row],[Opp]],Table14[DEF],Table14[P])</f>
        <v>#N/A</v>
      </c>
      <c r="M16" s="95" t="e">
        <f>_xlfn.XLOOKUP(Table11782[[#This Row],[Opp]],Table14[DEF],Table14[R])</f>
        <v>#N/A</v>
      </c>
      <c r="N16" s="95" t="e">
        <f>_xlfn.XLOOKUP(Table11782[[#This Row],[Opp]],Table14[DEF],Table14[P+R])</f>
        <v>#N/A</v>
      </c>
      <c r="O16" s="96" t="e">
        <f>_xlfn.XLOOKUP(Table11782[[#This Row],[Opp]],Table14[DEF],Table14[P TD])</f>
        <v>#N/A</v>
      </c>
      <c r="P16" s="96" t="e">
        <f>_xlfn.XLOOKUP(Table11782[[#This Row],[Opp]],Table14[DEF],Table14[TD])</f>
        <v>#N/A</v>
      </c>
      <c r="Q16" s="94" t="e">
        <f>AVERAGE(Table11782[[#This Row],[*P*]:[*P TD*]])</f>
        <v>#N/A</v>
      </c>
    </row>
    <row r="17" spans="2:17" x14ac:dyDescent="0.35">
      <c r="B17" s="6" t="s">
        <v>160</v>
      </c>
      <c r="C17" s="97" t="s">
        <v>31</v>
      </c>
      <c r="D17" s="97" t="s">
        <v>405</v>
      </c>
      <c r="E17" s="6">
        <v>1</v>
      </c>
      <c r="F17" s="97" t="str">
        <f>'2025'!$E$9</f>
        <v>n/a</v>
      </c>
      <c r="G17" s="94" t="e" cm="1">
        <f t="array" ref="G17">_xlfn.XLOOKUP(Table11782[[#This Row],[Opp]],Table14[DEF],'2024 fSZN'!$E$3:$E$34)</f>
        <v>#N/A</v>
      </c>
      <c r="H17" s="94" t="e" cm="1">
        <f t="array" ref="H17">_xlfn.XLOOKUP(Table11782[[#This Row],[Opp]],Table14[DEF],'2024 fSZN'!$F$3:$F$34)</f>
        <v>#N/A</v>
      </c>
      <c r="I17" s="94" t="e" cm="1">
        <f t="array" ref="I17">_xlfn.XLOOKUP(Table11782[[#This Row],[Opp]],Table14[DEF],'2024 fSZN'!$G$3:$G$34)</f>
        <v>#N/A</v>
      </c>
      <c r="J17" s="94" t="e" cm="1">
        <f t="array" ref="J17">_xlfn.XLOOKUP(Table11782[[#This Row],[Opp]],Table14[DEF],'2024 fSZN'!$H$3:$H$34)</f>
        <v>#N/A</v>
      </c>
      <c r="K17" s="94" t="e" cm="1">
        <f t="array" ref="K17">_xlfn.XLOOKUP(Table11782[[#This Row],[Opp]],Table14[DEF],'2024 fSZN'!$I$3:$I$34)</f>
        <v>#N/A</v>
      </c>
      <c r="L17" s="95" t="e">
        <f>_xlfn.XLOOKUP(Table11782[[#This Row],[Opp]],Table14[DEF],Table14[P])</f>
        <v>#N/A</v>
      </c>
      <c r="M17" s="95" t="e">
        <f>_xlfn.XLOOKUP(Table11782[[#This Row],[Opp]],Table14[DEF],Table14[R])</f>
        <v>#N/A</v>
      </c>
      <c r="N17" s="95" t="e">
        <f>_xlfn.XLOOKUP(Table11782[[#This Row],[Opp]],Table14[DEF],Table14[P+R])</f>
        <v>#N/A</v>
      </c>
      <c r="O17" s="96" t="e">
        <f>_xlfn.XLOOKUP(Table11782[[#This Row],[Opp]],Table14[DEF],Table14[P TD])</f>
        <v>#N/A</v>
      </c>
      <c r="P17" s="96" t="e">
        <f>_xlfn.XLOOKUP(Table11782[[#This Row],[Opp]],Table14[DEF],Table14[TD])</f>
        <v>#N/A</v>
      </c>
      <c r="Q17" s="94" t="e">
        <f>AVERAGE(Table11782[[#This Row],[*P*]:[*TD*]])</f>
        <v>#N/A</v>
      </c>
    </row>
    <row r="18" spans="2:17" x14ac:dyDescent="0.35">
      <c r="B18" s="6" t="s">
        <v>170</v>
      </c>
      <c r="C18" s="97" t="s">
        <v>32</v>
      </c>
      <c r="D18" s="97" t="s">
        <v>399</v>
      </c>
      <c r="E18" s="6">
        <v>1</v>
      </c>
      <c r="F18" s="97" t="str">
        <f>'2025'!$E$10</f>
        <v>n/a</v>
      </c>
      <c r="G18" s="94" t="e" cm="1">
        <f t="array" ref="G18">_xlfn.XLOOKUP(Table11782[[#This Row],[Opp]],Table14[DEF],'2024 fSZN'!$E$3:$E$34)</f>
        <v>#N/A</v>
      </c>
      <c r="H18" s="94" t="e" cm="1">
        <f t="array" ref="H18">_xlfn.XLOOKUP(Table11782[[#This Row],[Opp]],Table14[DEF],'2024 fSZN'!$F$3:$F$34)</f>
        <v>#N/A</v>
      </c>
      <c r="I18" s="94" t="e" cm="1">
        <f t="array" ref="I18">_xlfn.XLOOKUP(Table11782[[#This Row],[Opp]],Table14[DEF],'2024 fSZN'!$G$3:$G$34)</f>
        <v>#N/A</v>
      </c>
      <c r="J18" s="94" t="e" cm="1">
        <f t="array" ref="J18">_xlfn.XLOOKUP(Table11782[[#This Row],[Opp]],Table14[DEF],'2024 fSZN'!$H$3:$H$34)</f>
        <v>#N/A</v>
      </c>
      <c r="K18" s="94" t="e" cm="1">
        <f t="array" ref="K18">_xlfn.XLOOKUP(Table11782[[#This Row],[Opp]],Table14[DEF],'2024 fSZN'!$I$3:$I$34)</f>
        <v>#N/A</v>
      </c>
      <c r="L18" s="95" t="e">
        <f>_xlfn.XLOOKUP(Table11782[[#This Row],[Opp]],Table14[DEF],Table14[P])</f>
        <v>#N/A</v>
      </c>
      <c r="M18" s="95" t="e">
        <f>_xlfn.XLOOKUP(Table11782[[#This Row],[Opp]],Table14[DEF],Table14[R])</f>
        <v>#N/A</v>
      </c>
      <c r="N18" s="95" t="e">
        <f>_xlfn.XLOOKUP(Table11782[[#This Row],[Opp]],Table14[DEF],Table14[P+R])</f>
        <v>#N/A</v>
      </c>
      <c r="O18" s="96" t="e">
        <f>_xlfn.XLOOKUP(Table11782[[#This Row],[Opp]],Table14[DEF],Table14[P TD])</f>
        <v>#N/A</v>
      </c>
      <c r="P18" s="96" t="e">
        <f>_xlfn.XLOOKUP(Table11782[[#This Row],[Opp]],Table14[DEF],Table14[TD])</f>
        <v>#N/A</v>
      </c>
      <c r="Q18" s="94" t="e">
        <f>AVERAGE(Table11782[[#This Row],[*P*]:[*P TD*]])</f>
        <v>#N/A</v>
      </c>
    </row>
    <row r="19" spans="2:17" x14ac:dyDescent="0.35">
      <c r="B19" s="6" t="s">
        <v>173</v>
      </c>
      <c r="C19" s="97" t="s">
        <v>32</v>
      </c>
      <c r="D19" s="97" t="s">
        <v>405</v>
      </c>
      <c r="E19" s="6">
        <v>1</v>
      </c>
      <c r="F19" s="97" t="str">
        <f>'2025'!$E$10</f>
        <v>n/a</v>
      </c>
      <c r="G19" s="94" t="e" cm="1">
        <f t="array" ref="G19">_xlfn.XLOOKUP(Table11782[[#This Row],[Opp]],Table14[DEF],'2024 fSZN'!$E$3:$E$34)</f>
        <v>#N/A</v>
      </c>
      <c r="H19" s="94" t="e" cm="1">
        <f t="array" ref="H19">_xlfn.XLOOKUP(Table11782[[#This Row],[Opp]],Table14[DEF],'2024 fSZN'!$F$3:$F$34)</f>
        <v>#N/A</v>
      </c>
      <c r="I19" s="94" t="e" cm="1">
        <f t="array" ref="I19">_xlfn.XLOOKUP(Table11782[[#This Row],[Opp]],Table14[DEF],'2024 fSZN'!$G$3:$G$34)</f>
        <v>#N/A</v>
      </c>
      <c r="J19" s="94" t="e" cm="1">
        <f t="array" ref="J19">_xlfn.XLOOKUP(Table11782[[#This Row],[Opp]],Table14[DEF],'2024 fSZN'!$H$3:$H$34)</f>
        <v>#N/A</v>
      </c>
      <c r="K19" s="94" t="e" cm="1">
        <f t="array" ref="K19">_xlfn.XLOOKUP(Table11782[[#This Row],[Opp]],Table14[DEF],'2024 fSZN'!$I$3:$I$34)</f>
        <v>#N/A</v>
      </c>
      <c r="L19" s="95" t="e">
        <f>_xlfn.XLOOKUP(Table11782[[#This Row],[Opp]],Table14[DEF],Table14[P])</f>
        <v>#N/A</v>
      </c>
      <c r="M19" s="95" t="e">
        <f>_xlfn.XLOOKUP(Table11782[[#This Row],[Opp]],Table14[DEF],Table14[R])</f>
        <v>#N/A</v>
      </c>
      <c r="N19" s="95" t="e">
        <f>_xlfn.XLOOKUP(Table11782[[#This Row],[Opp]],Table14[DEF],Table14[P+R])</f>
        <v>#N/A</v>
      </c>
      <c r="O19" s="96" t="e">
        <f>_xlfn.XLOOKUP(Table11782[[#This Row],[Opp]],Table14[DEF],Table14[P TD])</f>
        <v>#N/A</v>
      </c>
      <c r="P19" s="96" t="e">
        <f>_xlfn.XLOOKUP(Table11782[[#This Row],[Opp]],Table14[DEF],Table14[TD])</f>
        <v>#N/A</v>
      </c>
      <c r="Q19" s="94" t="e">
        <f>AVERAGE(Table11782[[#This Row],[*P*]:[*TD*]])</f>
        <v>#N/A</v>
      </c>
    </row>
    <row r="20" spans="2:17" x14ac:dyDescent="0.35">
      <c r="B20" s="6" t="s">
        <v>169</v>
      </c>
      <c r="C20" s="97" t="s">
        <v>32</v>
      </c>
      <c r="D20" s="97" t="s">
        <v>425</v>
      </c>
      <c r="E20" s="6">
        <v>1</v>
      </c>
      <c r="F20" s="97" t="str">
        <f>'2025'!$E$10</f>
        <v>n/a</v>
      </c>
      <c r="G20" s="94" t="e" cm="1">
        <f t="array" ref="G20">_xlfn.XLOOKUP(Table11782[[#This Row],[Opp]],Table14[DEF],'2024 fSZN'!$E$3:$E$34)</f>
        <v>#N/A</v>
      </c>
      <c r="H20" s="94" t="e" cm="1">
        <f t="array" ref="H20">_xlfn.XLOOKUP(Table11782[[#This Row],[Opp]],Table14[DEF],'2024 fSZN'!$F$3:$F$34)</f>
        <v>#N/A</v>
      </c>
      <c r="I20" s="94" t="e" cm="1">
        <f t="array" ref="I20">_xlfn.XLOOKUP(Table11782[[#This Row],[Opp]],Table14[DEF],'2024 fSZN'!$G$3:$G$34)</f>
        <v>#N/A</v>
      </c>
      <c r="J20" s="94" t="e" cm="1">
        <f t="array" ref="J20">_xlfn.XLOOKUP(Table11782[[#This Row],[Opp]],Table14[DEF],'2024 fSZN'!$H$3:$H$34)</f>
        <v>#N/A</v>
      </c>
      <c r="K20" s="94" t="e" cm="1">
        <f t="array" ref="K20">_xlfn.XLOOKUP(Table11782[[#This Row],[Opp]],Table14[DEF],'2024 fSZN'!$I$3:$I$34)</f>
        <v>#N/A</v>
      </c>
      <c r="L20" s="95" t="e">
        <f>_xlfn.XLOOKUP(Table11782[[#This Row],[Opp]],Table14[DEF],Table14[P])</f>
        <v>#N/A</v>
      </c>
      <c r="M20" s="95" t="e">
        <f>_xlfn.XLOOKUP(Table11782[[#This Row],[Opp]],Table14[DEF],Table14[R])</f>
        <v>#N/A</v>
      </c>
      <c r="N20" s="95" t="e">
        <f>_xlfn.XLOOKUP(Table11782[[#This Row],[Opp]],Table14[DEF],Table14[P+R])</f>
        <v>#N/A</v>
      </c>
      <c r="O20" s="96" t="e">
        <f>_xlfn.XLOOKUP(Table11782[[#This Row],[Opp]],Table14[DEF],Table14[P TD])</f>
        <v>#N/A</v>
      </c>
      <c r="P20" s="96" t="e">
        <f>_xlfn.XLOOKUP(Table11782[[#This Row],[Opp]],Table14[DEF],Table14[TD])</f>
        <v>#N/A</v>
      </c>
      <c r="Q20" s="94" t="e">
        <f>AVERAGE(Table11782[[#This Row],[*P*]:[*TD*]])</f>
        <v>#N/A</v>
      </c>
    </row>
    <row r="21" spans="2:17" x14ac:dyDescent="0.35">
      <c r="B21" s="6" t="s">
        <v>171</v>
      </c>
      <c r="C21" s="97" t="s">
        <v>32</v>
      </c>
      <c r="D21" s="97" t="s">
        <v>480</v>
      </c>
      <c r="E21" s="6">
        <v>-1</v>
      </c>
      <c r="F21" s="97" t="str">
        <f>'2025'!$E$10</f>
        <v>n/a</v>
      </c>
      <c r="G21" s="94" t="e" cm="1">
        <f t="array" ref="G21">_xlfn.XLOOKUP(Table11782[[#This Row],[Opp]],Table14[DEF],'2024 fSZN'!$E$3:$E$34)</f>
        <v>#N/A</v>
      </c>
      <c r="H21" s="94" t="e" cm="1">
        <f t="array" ref="H21">_xlfn.XLOOKUP(Table11782[[#This Row],[Opp]],Table14[DEF],'2024 fSZN'!$F$3:$F$34)</f>
        <v>#N/A</v>
      </c>
      <c r="I21" s="94" t="e" cm="1">
        <f t="array" ref="I21">_xlfn.XLOOKUP(Table11782[[#This Row],[Opp]],Table14[DEF],'2024 fSZN'!$G$3:$G$34)</f>
        <v>#N/A</v>
      </c>
      <c r="J21" s="94" t="e" cm="1">
        <f t="array" ref="J21">_xlfn.XLOOKUP(Table11782[[#This Row],[Opp]],Table14[DEF],'2024 fSZN'!$H$3:$H$34)</f>
        <v>#N/A</v>
      </c>
      <c r="K21" s="94" t="e" cm="1">
        <f t="array" ref="K21">_xlfn.XLOOKUP(Table11782[[#This Row],[Opp]],Table14[DEF],'2024 fSZN'!$I$3:$I$34)</f>
        <v>#N/A</v>
      </c>
      <c r="L21" s="95" t="e">
        <f>_xlfn.XLOOKUP(Table11782[[#This Row],[Opp]],Table14[DEF],Table14[P])</f>
        <v>#N/A</v>
      </c>
      <c r="M21" s="95" t="e">
        <f>_xlfn.XLOOKUP(Table11782[[#This Row],[Opp]],Table14[DEF],Table14[R])</f>
        <v>#N/A</v>
      </c>
      <c r="N21" s="95" t="e">
        <f>_xlfn.XLOOKUP(Table11782[[#This Row],[Opp]],Table14[DEF],Table14[P+R])</f>
        <v>#N/A</v>
      </c>
      <c r="O21" s="96" t="e">
        <f>_xlfn.XLOOKUP(Table11782[[#This Row],[Opp]],Table14[DEF],Table14[P TD])</f>
        <v>#N/A</v>
      </c>
      <c r="P21" s="96" t="e">
        <f>_xlfn.XLOOKUP(Table11782[[#This Row],[Opp]],Table14[DEF],Table14[TD])</f>
        <v>#N/A</v>
      </c>
      <c r="Q21" s="94" t="e">
        <f>AVERAGE(Table11782[[#This Row],[*P*]:[*TD*]])</f>
        <v>#N/A</v>
      </c>
    </row>
    <row r="22" spans="2:17" x14ac:dyDescent="0.35">
      <c r="B22" s="6" t="s">
        <v>181</v>
      </c>
      <c r="C22" s="97" t="s">
        <v>33</v>
      </c>
      <c r="D22" s="97" t="s">
        <v>399</v>
      </c>
      <c r="E22" s="6">
        <v>1</v>
      </c>
      <c r="F22" s="97" t="str">
        <f>'2025'!$E$11</f>
        <v>n/a</v>
      </c>
      <c r="G22" s="94" t="e" cm="1">
        <f t="array" ref="G22">_xlfn.XLOOKUP(Table11782[[#This Row],[Opp]],Table14[DEF],'2024 fSZN'!$E$3:$E$34)</f>
        <v>#N/A</v>
      </c>
      <c r="H22" s="94" t="e" cm="1">
        <f t="array" ref="H22">_xlfn.XLOOKUP(Table11782[[#This Row],[Opp]],Table14[DEF],'2024 fSZN'!$F$3:$F$34)</f>
        <v>#N/A</v>
      </c>
      <c r="I22" s="94" t="e" cm="1">
        <f t="array" ref="I22">_xlfn.XLOOKUP(Table11782[[#This Row],[Opp]],Table14[DEF],'2024 fSZN'!$G$3:$G$34)</f>
        <v>#N/A</v>
      </c>
      <c r="J22" s="94" t="e" cm="1">
        <f t="array" ref="J22">_xlfn.XLOOKUP(Table11782[[#This Row],[Opp]],Table14[DEF],'2024 fSZN'!$H$3:$H$34)</f>
        <v>#N/A</v>
      </c>
      <c r="K22" s="94" t="e" cm="1">
        <f t="array" ref="K22">_xlfn.XLOOKUP(Table11782[[#This Row],[Opp]],Table14[DEF],'2024 fSZN'!$I$3:$I$34)</f>
        <v>#N/A</v>
      </c>
      <c r="L22" s="95" t="e">
        <f>_xlfn.XLOOKUP(Table11782[[#This Row],[Opp]],Table14[DEF],Table14[P])</f>
        <v>#N/A</v>
      </c>
      <c r="M22" s="95" t="e">
        <f>_xlfn.XLOOKUP(Table11782[[#This Row],[Opp]],Table14[DEF],Table14[R])</f>
        <v>#N/A</v>
      </c>
      <c r="N22" s="95" t="e">
        <f>_xlfn.XLOOKUP(Table11782[[#This Row],[Opp]],Table14[DEF],Table14[P+R])</f>
        <v>#N/A</v>
      </c>
      <c r="O22" s="96" t="e">
        <f>_xlfn.XLOOKUP(Table11782[[#This Row],[Opp]],Table14[DEF],Table14[P TD])</f>
        <v>#N/A</v>
      </c>
      <c r="P22" s="96" t="e">
        <f>_xlfn.XLOOKUP(Table11782[[#This Row],[Opp]],Table14[DEF],Table14[TD])</f>
        <v>#N/A</v>
      </c>
      <c r="Q22" s="94" t="e">
        <f>AVERAGE(Table11782[[#This Row],[*P*]:[*TD*]])</f>
        <v>#N/A</v>
      </c>
    </row>
    <row r="23" spans="2:17" x14ac:dyDescent="0.35">
      <c r="B23" s="6" t="s">
        <v>182</v>
      </c>
      <c r="C23" s="97" t="s">
        <v>33</v>
      </c>
      <c r="D23" s="97" t="s">
        <v>405</v>
      </c>
      <c r="E23" s="6">
        <v>1</v>
      </c>
      <c r="F23" s="97" t="str">
        <f>'2025'!$E$11</f>
        <v>n/a</v>
      </c>
      <c r="G23" s="94" t="e" cm="1">
        <f t="array" ref="G23">_xlfn.XLOOKUP(Table11782[[#This Row],[Opp]],Table14[DEF],'2024 fSZN'!$E$3:$E$34)</f>
        <v>#N/A</v>
      </c>
      <c r="H23" s="94" t="e" cm="1">
        <f t="array" ref="H23">_xlfn.XLOOKUP(Table11782[[#This Row],[Opp]],Table14[DEF],'2024 fSZN'!$F$3:$F$34)</f>
        <v>#N/A</v>
      </c>
      <c r="I23" s="94" t="e" cm="1">
        <f t="array" ref="I23">_xlfn.XLOOKUP(Table11782[[#This Row],[Opp]],Table14[DEF],'2024 fSZN'!$G$3:$G$34)</f>
        <v>#N/A</v>
      </c>
      <c r="J23" s="94" t="e" cm="1">
        <f t="array" ref="J23">_xlfn.XLOOKUP(Table11782[[#This Row],[Opp]],Table14[DEF],'2024 fSZN'!$H$3:$H$34)</f>
        <v>#N/A</v>
      </c>
      <c r="K23" s="94" t="e" cm="1">
        <f t="array" ref="K23">_xlfn.XLOOKUP(Table11782[[#This Row],[Opp]],Table14[DEF],'2024 fSZN'!$I$3:$I$34)</f>
        <v>#N/A</v>
      </c>
      <c r="L23" s="95" t="e">
        <f>_xlfn.XLOOKUP(Table11782[[#This Row],[Opp]],Table14[DEF],Table14[P])</f>
        <v>#N/A</v>
      </c>
      <c r="M23" s="95" t="e">
        <f>_xlfn.XLOOKUP(Table11782[[#This Row],[Opp]],Table14[DEF],Table14[R])</f>
        <v>#N/A</v>
      </c>
      <c r="N23" s="95" t="e">
        <f>_xlfn.XLOOKUP(Table11782[[#This Row],[Opp]],Table14[DEF],Table14[P+R])</f>
        <v>#N/A</v>
      </c>
      <c r="O23" s="96" t="e">
        <f>_xlfn.XLOOKUP(Table11782[[#This Row],[Opp]],Table14[DEF],Table14[P TD])</f>
        <v>#N/A</v>
      </c>
      <c r="P23" s="96" t="e">
        <f>_xlfn.XLOOKUP(Table11782[[#This Row],[Opp]],Table14[DEF],Table14[TD])</f>
        <v>#N/A</v>
      </c>
      <c r="Q23" s="94" t="e">
        <f>AVERAGE(Table11782[[#This Row],[*P*]:[*TD*]])</f>
        <v>#N/A</v>
      </c>
    </row>
    <row r="24" spans="2:17" x14ac:dyDescent="0.35">
      <c r="B24" s="6" t="s">
        <v>191</v>
      </c>
      <c r="C24" s="97" t="s">
        <v>34</v>
      </c>
      <c r="D24" s="97" t="s">
        <v>399</v>
      </c>
      <c r="E24" s="6">
        <v>1</v>
      </c>
      <c r="F24" s="97" t="str">
        <f>'2025'!$E$12</f>
        <v>n/a</v>
      </c>
      <c r="G24" s="94" t="e" cm="1">
        <f t="array" ref="G24">_xlfn.XLOOKUP(Table11782[[#This Row],[Opp]],Table14[DEF],'2024 fSZN'!$E$3:$E$34)</f>
        <v>#N/A</v>
      </c>
      <c r="H24" s="94" t="e" cm="1">
        <f t="array" ref="H24">_xlfn.XLOOKUP(Table11782[[#This Row],[Opp]],Table14[DEF],'2024 fSZN'!$F$3:$F$34)</f>
        <v>#N/A</v>
      </c>
      <c r="I24" s="94" t="e" cm="1">
        <f t="array" ref="I24">_xlfn.XLOOKUP(Table11782[[#This Row],[Opp]],Table14[DEF],'2024 fSZN'!$G$3:$G$34)</f>
        <v>#N/A</v>
      </c>
      <c r="J24" s="94" t="e" cm="1">
        <f t="array" ref="J24">_xlfn.XLOOKUP(Table11782[[#This Row],[Opp]],Table14[DEF],'2024 fSZN'!$H$3:$H$34)</f>
        <v>#N/A</v>
      </c>
      <c r="K24" s="94" t="e" cm="1">
        <f t="array" ref="K24">_xlfn.XLOOKUP(Table11782[[#This Row],[Opp]],Table14[DEF],'2024 fSZN'!$I$3:$I$34)</f>
        <v>#N/A</v>
      </c>
      <c r="L24" s="95" t="e">
        <f>_xlfn.XLOOKUP(Table11782[[#This Row],[Opp]],Table14[DEF],Table14[P])</f>
        <v>#N/A</v>
      </c>
      <c r="M24" s="95" t="e">
        <f>_xlfn.XLOOKUP(Table11782[[#This Row],[Opp]],Table14[DEF],Table14[R])</f>
        <v>#N/A</v>
      </c>
      <c r="N24" s="95" t="e">
        <f>_xlfn.XLOOKUP(Table11782[[#This Row],[Opp]],Table14[DEF],Table14[P+R])</f>
        <v>#N/A</v>
      </c>
      <c r="O24" s="96" t="e">
        <f>_xlfn.XLOOKUP(Table11782[[#This Row],[Opp]],Table14[DEF],Table14[P TD])</f>
        <v>#N/A</v>
      </c>
      <c r="P24" s="96" t="e">
        <f>_xlfn.XLOOKUP(Table11782[[#This Row],[Opp]],Table14[DEF],Table14[TD])</f>
        <v>#N/A</v>
      </c>
      <c r="Q24" s="94" t="e">
        <f>AVERAGE(Table11782[[#This Row],[*P*]:[*P TD*]])</f>
        <v>#N/A</v>
      </c>
    </row>
    <row r="25" spans="2:17" x14ac:dyDescent="0.35">
      <c r="B25" s="6" t="s">
        <v>576</v>
      </c>
      <c r="C25" s="97" t="s">
        <v>34</v>
      </c>
      <c r="D25" s="97" t="s">
        <v>405</v>
      </c>
      <c r="E25" s="6">
        <v>1</v>
      </c>
      <c r="F25" s="97" t="str">
        <f>'2025'!$E$12</f>
        <v>n/a</v>
      </c>
      <c r="G25" s="94" t="e" cm="1">
        <f t="array" ref="G25">_xlfn.XLOOKUP(Table11782[[#This Row],[Opp]],Table14[DEF],'2024 fSZN'!$E$3:$E$34)</f>
        <v>#N/A</v>
      </c>
      <c r="H25" s="94" t="e" cm="1">
        <f t="array" ref="H25">_xlfn.XLOOKUP(Table11782[[#This Row],[Opp]],Table14[DEF],'2024 fSZN'!$F$3:$F$34)</f>
        <v>#N/A</v>
      </c>
      <c r="I25" s="94" t="e" cm="1">
        <f t="array" ref="I25">_xlfn.XLOOKUP(Table11782[[#This Row],[Opp]],Table14[DEF],'2024 fSZN'!$G$3:$G$34)</f>
        <v>#N/A</v>
      </c>
      <c r="J25" s="94" t="e" cm="1">
        <f t="array" ref="J25">_xlfn.XLOOKUP(Table11782[[#This Row],[Opp]],Table14[DEF],'2024 fSZN'!$H$3:$H$34)</f>
        <v>#N/A</v>
      </c>
      <c r="K25" s="94" t="e" cm="1">
        <f t="array" ref="K25">_xlfn.XLOOKUP(Table11782[[#This Row],[Opp]],Table14[DEF],'2024 fSZN'!$I$3:$I$34)</f>
        <v>#N/A</v>
      </c>
      <c r="L25" s="95" t="e">
        <f>_xlfn.XLOOKUP(Table11782[[#This Row],[Opp]],Table14[DEF],Table14[P])</f>
        <v>#N/A</v>
      </c>
      <c r="M25" s="95" t="e">
        <f>_xlfn.XLOOKUP(Table11782[[#This Row],[Opp]],Table14[DEF],Table14[R])</f>
        <v>#N/A</v>
      </c>
      <c r="N25" s="95" t="e">
        <f>_xlfn.XLOOKUP(Table11782[[#This Row],[Opp]],Table14[DEF],Table14[P+R])</f>
        <v>#N/A</v>
      </c>
      <c r="O25" s="96" t="e">
        <f>_xlfn.XLOOKUP(Table11782[[#This Row],[Opp]],Table14[DEF],Table14[P TD])</f>
        <v>#N/A</v>
      </c>
      <c r="P25" s="96" t="e">
        <f>_xlfn.XLOOKUP(Table11782[[#This Row],[Opp]],Table14[DEF],Table14[TD])</f>
        <v>#N/A</v>
      </c>
      <c r="Q25" s="94" t="e">
        <f>AVERAGE(Table11782[[#This Row],[*P*]:[*TD*]])</f>
        <v>#N/A</v>
      </c>
    </row>
    <row r="26" spans="2:17" x14ac:dyDescent="0.35">
      <c r="B26" s="6" t="s">
        <v>199</v>
      </c>
      <c r="C26" s="97" t="s">
        <v>35</v>
      </c>
      <c r="D26" s="97" t="s">
        <v>399</v>
      </c>
      <c r="E26" s="6">
        <v>1</v>
      </c>
      <c r="F26" s="97" t="str">
        <f>'2025'!$E$13</f>
        <v>n/a</v>
      </c>
      <c r="G26" s="94" t="e" cm="1">
        <f t="array" ref="G26">_xlfn.XLOOKUP(Table11782[[#This Row],[Opp]],Table14[DEF],'2024 fSZN'!$E$3:$E$34)</f>
        <v>#N/A</v>
      </c>
      <c r="H26" s="94" t="e" cm="1">
        <f t="array" ref="H26">_xlfn.XLOOKUP(Table11782[[#This Row],[Opp]],Table14[DEF],'2024 fSZN'!$F$3:$F$34)</f>
        <v>#N/A</v>
      </c>
      <c r="I26" s="94" t="e" cm="1">
        <f t="array" ref="I26">_xlfn.XLOOKUP(Table11782[[#This Row],[Opp]],Table14[DEF],'2024 fSZN'!$G$3:$G$34)</f>
        <v>#N/A</v>
      </c>
      <c r="J26" s="94" t="e" cm="1">
        <f t="array" ref="J26">_xlfn.XLOOKUP(Table11782[[#This Row],[Opp]],Table14[DEF],'2024 fSZN'!$H$3:$H$34)</f>
        <v>#N/A</v>
      </c>
      <c r="K26" s="94" t="e" cm="1">
        <f t="array" ref="K26">_xlfn.XLOOKUP(Table11782[[#This Row],[Opp]],Table14[DEF],'2024 fSZN'!$I$3:$I$34)</f>
        <v>#N/A</v>
      </c>
      <c r="L26" s="95" t="e">
        <f>_xlfn.XLOOKUP(Table11782[[#This Row],[Opp]],Table14[DEF],Table14[P])</f>
        <v>#N/A</v>
      </c>
      <c r="M26" s="95" t="e">
        <f>_xlfn.XLOOKUP(Table11782[[#This Row],[Opp]],Table14[DEF],Table14[R])</f>
        <v>#N/A</v>
      </c>
      <c r="N26" s="95" t="e">
        <f>_xlfn.XLOOKUP(Table11782[[#This Row],[Opp]],Table14[DEF],Table14[P+R])</f>
        <v>#N/A</v>
      </c>
      <c r="O26" s="96" t="e">
        <f>_xlfn.XLOOKUP(Table11782[[#This Row],[Opp]],Table14[DEF],Table14[P TD])</f>
        <v>#N/A</v>
      </c>
      <c r="P26" s="96" t="e">
        <f>_xlfn.XLOOKUP(Table11782[[#This Row],[Opp]],Table14[DEF],Table14[TD])</f>
        <v>#N/A</v>
      </c>
      <c r="Q26" s="94" t="e">
        <f>AVERAGE(Table11782[[#This Row],[*P*]:[*P TD*]])</f>
        <v>#N/A</v>
      </c>
    </row>
    <row r="27" spans="2:17" x14ac:dyDescent="0.35">
      <c r="B27" s="6" t="s">
        <v>261</v>
      </c>
      <c r="C27" s="97" t="s">
        <v>35</v>
      </c>
      <c r="D27" s="97" t="s">
        <v>405</v>
      </c>
      <c r="E27" s="6">
        <v>1</v>
      </c>
      <c r="F27" s="97" t="str">
        <f>'2025'!$E$13</f>
        <v>n/a</v>
      </c>
      <c r="G27" s="94" t="e" cm="1">
        <f t="array" ref="G27">_xlfn.XLOOKUP(Table11782[[#This Row],[Opp]],Table14[DEF],'2024 fSZN'!$E$3:$E$34)</f>
        <v>#N/A</v>
      </c>
      <c r="H27" s="94" t="e" cm="1">
        <f t="array" ref="H27">_xlfn.XLOOKUP(Table11782[[#This Row],[Opp]],Table14[DEF],'2024 fSZN'!$F$3:$F$34)</f>
        <v>#N/A</v>
      </c>
      <c r="I27" s="94" t="e" cm="1">
        <f t="array" ref="I27">_xlfn.XLOOKUP(Table11782[[#This Row],[Opp]],Table14[DEF],'2024 fSZN'!$G$3:$G$34)</f>
        <v>#N/A</v>
      </c>
      <c r="J27" s="94" t="e" cm="1">
        <f t="array" ref="J27">_xlfn.XLOOKUP(Table11782[[#This Row],[Opp]],Table14[DEF],'2024 fSZN'!$H$3:$H$34)</f>
        <v>#N/A</v>
      </c>
      <c r="K27" s="94" t="e" cm="1">
        <f t="array" ref="K27">_xlfn.XLOOKUP(Table11782[[#This Row],[Opp]],Table14[DEF],'2024 fSZN'!$I$3:$I$34)</f>
        <v>#N/A</v>
      </c>
      <c r="L27" s="95" t="e">
        <f>_xlfn.XLOOKUP(Table11782[[#This Row],[Opp]],Table14[DEF],Table14[P])</f>
        <v>#N/A</v>
      </c>
      <c r="M27" s="95" t="e">
        <f>_xlfn.XLOOKUP(Table11782[[#This Row],[Opp]],Table14[DEF],Table14[R])</f>
        <v>#N/A</v>
      </c>
      <c r="N27" s="95" t="e">
        <f>_xlfn.XLOOKUP(Table11782[[#This Row],[Opp]],Table14[DEF],Table14[P+R])</f>
        <v>#N/A</v>
      </c>
      <c r="O27" s="96" t="e">
        <f>_xlfn.XLOOKUP(Table11782[[#This Row],[Opp]],Table14[DEF],Table14[P TD])</f>
        <v>#N/A</v>
      </c>
      <c r="P27" s="96" t="e">
        <f>_xlfn.XLOOKUP(Table11782[[#This Row],[Opp]],Table14[DEF],Table14[TD])</f>
        <v>#N/A</v>
      </c>
      <c r="Q27" s="94" t="e">
        <f>AVERAGE(Table11782[[#This Row],[*P*]:[*TD*]])</f>
        <v>#N/A</v>
      </c>
    </row>
    <row r="28" spans="2:17" x14ac:dyDescent="0.35">
      <c r="B28" s="6" t="s">
        <v>204</v>
      </c>
      <c r="C28" s="97" t="s">
        <v>36</v>
      </c>
      <c r="D28" s="97" t="s">
        <v>399</v>
      </c>
      <c r="E28" s="6">
        <v>1</v>
      </c>
      <c r="F28" s="97" t="str">
        <f>'2025'!$E$14</f>
        <v>n/a</v>
      </c>
      <c r="G28" s="94" t="e" cm="1">
        <f t="array" ref="G28">_xlfn.XLOOKUP(Table11782[[#This Row],[Opp]],Table14[DEF],'2024 fSZN'!$E$3:$E$34)</f>
        <v>#N/A</v>
      </c>
      <c r="H28" s="94" t="e" cm="1">
        <f t="array" ref="H28">_xlfn.XLOOKUP(Table11782[[#This Row],[Opp]],Table14[DEF],'2024 fSZN'!$F$3:$F$34)</f>
        <v>#N/A</v>
      </c>
      <c r="I28" s="94" t="e" cm="1">
        <f t="array" ref="I28">_xlfn.XLOOKUP(Table11782[[#This Row],[Opp]],Table14[DEF],'2024 fSZN'!$G$3:$G$34)</f>
        <v>#N/A</v>
      </c>
      <c r="J28" s="94" t="e" cm="1">
        <f t="array" ref="J28">_xlfn.XLOOKUP(Table11782[[#This Row],[Opp]],Table14[DEF],'2024 fSZN'!$H$3:$H$34)</f>
        <v>#N/A</v>
      </c>
      <c r="K28" s="94" t="e" cm="1">
        <f t="array" ref="K28">_xlfn.XLOOKUP(Table11782[[#This Row],[Opp]],Table14[DEF],'2024 fSZN'!$I$3:$I$34)</f>
        <v>#N/A</v>
      </c>
      <c r="L28" s="95" t="e">
        <f>_xlfn.XLOOKUP(Table11782[[#This Row],[Opp]],Table14[DEF],Table14[P])</f>
        <v>#N/A</v>
      </c>
      <c r="M28" s="95" t="e">
        <f>_xlfn.XLOOKUP(Table11782[[#This Row],[Opp]],Table14[DEF],Table14[R])</f>
        <v>#N/A</v>
      </c>
      <c r="N28" s="95" t="e">
        <f>_xlfn.XLOOKUP(Table11782[[#This Row],[Opp]],Table14[DEF],Table14[P+R])</f>
        <v>#N/A</v>
      </c>
      <c r="O28" s="96" t="e">
        <f>_xlfn.XLOOKUP(Table11782[[#This Row],[Opp]],Table14[DEF],Table14[P TD])</f>
        <v>#N/A</v>
      </c>
      <c r="P28" s="96" t="e">
        <f>_xlfn.XLOOKUP(Table11782[[#This Row],[Opp]],Table14[DEF],Table14[TD])</f>
        <v>#N/A</v>
      </c>
      <c r="Q28" s="94" t="e">
        <f>AVERAGE(Table11782[[#This Row],[*P*]:[*P TD*]])</f>
        <v>#N/A</v>
      </c>
    </row>
    <row r="29" spans="2:17" x14ac:dyDescent="0.35">
      <c r="B29" s="6" t="s">
        <v>205</v>
      </c>
      <c r="C29" s="97" t="s">
        <v>36</v>
      </c>
      <c r="D29" s="97" t="s">
        <v>405</v>
      </c>
      <c r="E29" s="6">
        <v>1</v>
      </c>
      <c r="F29" s="97" t="str">
        <f>'2025'!$E$14</f>
        <v>n/a</v>
      </c>
      <c r="G29" s="94" t="e" cm="1">
        <f t="array" ref="G29">_xlfn.XLOOKUP(Table11782[[#This Row],[Opp]],Table14[DEF],'2024 fSZN'!$E$3:$E$34)</f>
        <v>#N/A</v>
      </c>
      <c r="H29" s="94" t="e" cm="1">
        <f t="array" ref="H29">_xlfn.XLOOKUP(Table11782[[#This Row],[Opp]],Table14[DEF],'2024 fSZN'!$F$3:$F$34)</f>
        <v>#N/A</v>
      </c>
      <c r="I29" s="94" t="e" cm="1">
        <f t="array" ref="I29">_xlfn.XLOOKUP(Table11782[[#This Row],[Opp]],Table14[DEF],'2024 fSZN'!$G$3:$G$34)</f>
        <v>#N/A</v>
      </c>
      <c r="J29" s="94" t="e" cm="1">
        <f t="array" ref="J29">_xlfn.XLOOKUP(Table11782[[#This Row],[Opp]],Table14[DEF],'2024 fSZN'!$H$3:$H$34)</f>
        <v>#N/A</v>
      </c>
      <c r="K29" s="94" t="e" cm="1">
        <f t="array" ref="K29">_xlfn.XLOOKUP(Table11782[[#This Row],[Opp]],Table14[DEF],'2024 fSZN'!$I$3:$I$34)</f>
        <v>#N/A</v>
      </c>
      <c r="L29" s="95" t="e">
        <f>_xlfn.XLOOKUP(Table11782[[#This Row],[Opp]],Table14[DEF],Table14[P])</f>
        <v>#N/A</v>
      </c>
      <c r="M29" s="95" t="e">
        <f>_xlfn.XLOOKUP(Table11782[[#This Row],[Opp]],Table14[DEF],Table14[R])</f>
        <v>#N/A</v>
      </c>
      <c r="N29" s="95" t="e">
        <f>_xlfn.XLOOKUP(Table11782[[#This Row],[Opp]],Table14[DEF],Table14[P+R])</f>
        <v>#N/A</v>
      </c>
      <c r="O29" s="96" t="e">
        <f>_xlfn.XLOOKUP(Table11782[[#This Row],[Opp]],Table14[DEF],Table14[P TD])</f>
        <v>#N/A</v>
      </c>
      <c r="P29" s="96" t="e">
        <f>_xlfn.XLOOKUP(Table11782[[#This Row],[Opp]],Table14[DEF],Table14[TD])</f>
        <v>#N/A</v>
      </c>
      <c r="Q29" s="94" t="e">
        <f>AVERAGE(Table11782[[#This Row],[*P*]:[*TD*]])</f>
        <v>#N/A</v>
      </c>
    </row>
    <row r="30" spans="2:17" x14ac:dyDescent="0.35">
      <c r="B30" s="6" t="s">
        <v>215</v>
      </c>
      <c r="C30" s="97" t="s">
        <v>37</v>
      </c>
      <c r="D30" s="97" t="s">
        <v>399</v>
      </c>
      <c r="E30" s="6">
        <v>1</v>
      </c>
      <c r="F30" s="97" t="str">
        <f>'2025'!$E$15</f>
        <v>n/a</v>
      </c>
      <c r="G30" s="94" t="e" cm="1">
        <f t="array" ref="G30">_xlfn.XLOOKUP(Table11782[[#This Row],[Opp]],Table14[DEF],'2024 fSZN'!$E$3:$E$34)</f>
        <v>#N/A</v>
      </c>
      <c r="H30" s="94" t="e" cm="1">
        <f t="array" ref="H30">_xlfn.XLOOKUP(Table11782[[#This Row],[Opp]],Table14[DEF],'2024 fSZN'!$F$3:$F$34)</f>
        <v>#N/A</v>
      </c>
      <c r="I30" s="94" t="e" cm="1">
        <f t="array" ref="I30">_xlfn.XLOOKUP(Table11782[[#This Row],[Opp]],Table14[DEF],'2024 fSZN'!$G$3:$G$34)</f>
        <v>#N/A</v>
      </c>
      <c r="J30" s="94" t="e" cm="1">
        <f t="array" ref="J30">_xlfn.XLOOKUP(Table11782[[#This Row],[Opp]],Table14[DEF],'2024 fSZN'!$H$3:$H$34)</f>
        <v>#N/A</v>
      </c>
      <c r="K30" s="94" t="e" cm="1">
        <f t="array" ref="K30">_xlfn.XLOOKUP(Table11782[[#This Row],[Opp]],Table14[DEF],'2024 fSZN'!$I$3:$I$34)</f>
        <v>#N/A</v>
      </c>
      <c r="L30" s="95" t="e">
        <f>_xlfn.XLOOKUP(Table11782[[#This Row],[Opp]],Table14[DEF],Table14[P])</f>
        <v>#N/A</v>
      </c>
      <c r="M30" s="95" t="e">
        <f>_xlfn.XLOOKUP(Table11782[[#This Row],[Opp]],Table14[DEF],Table14[R])</f>
        <v>#N/A</v>
      </c>
      <c r="N30" s="95" t="e">
        <f>_xlfn.XLOOKUP(Table11782[[#This Row],[Opp]],Table14[DEF],Table14[P+R])</f>
        <v>#N/A</v>
      </c>
      <c r="O30" s="96" t="e">
        <f>_xlfn.XLOOKUP(Table11782[[#This Row],[Opp]],Table14[DEF],Table14[P TD])</f>
        <v>#N/A</v>
      </c>
      <c r="P30" s="96" t="e">
        <f>_xlfn.XLOOKUP(Table11782[[#This Row],[Opp]],Table14[DEF],Table14[TD])</f>
        <v>#N/A</v>
      </c>
      <c r="Q30" s="94" t="e">
        <f>AVERAGE(Table11782[[#This Row],[*P*]:[*P TD*]])</f>
        <v>#N/A</v>
      </c>
    </row>
    <row r="31" spans="2:17" x14ac:dyDescent="0.35">
      <c r="B31" s="6" t="s">
        <v>630</v>
      </c>
      <c r="C31" s="97" t="s">
        <v>37</v>
      </c>
      <c r="D31" s="97" t="s">
        <v>405</v>
      </c>
      <c r="E31" s="6">
        <v>1</v>
      </c>
      <c r="F31" s="97" t="str">
        <f>'2025'!$E$15</f>
        <v>n/a</v>
      </c>
      <c r="G31" s="94" t="e" cm="1">
        <f t="array" ref="G31">_xlfn.XLOOKUP(Table11782[[#This Row],[Opp]],Table14[DEF],'2024 fSZN'!$E$3:$E$34)</f>
        <v>#N/A</v>
      </c>
      <c r="H31" s="94" t="e" cm="1">
        <f t="array" ref="H31">_xlfn.XLOOKUP(Table11782[[#This Row],[Opp]],Table14[DEF],'2024 fSZN'!$F$3:$F$34)</f>
        <v>#N/A</v>
      </c>
      <c r="I31" s="94" t="e" cm="1">
        <f t="array" ref="I31">_xlfn.XLOOKUP(Table11782[[#This Row],[Opp]],Table14[DEF],'2024 fSZN'!$G$3:$G$34)</f>
        <v>#N/A</v>
      </c>
      <c r="J31" s="94" t="e" cm="1">
        <f t="array" ref="J31">_xlfn.XLOOKUP(Table11782[[#This Row],[Opp]],Table14[DEF],'2024 fSZN'!$H$3:$H$34)</f>
        <v>#N/A</v>
      </c>
      <c r="K31" s="94" t="e" cm="1">
        <f t="array" ref="K31">_xlfn.XLOOKUP(Table11782[[#This Row],[Opp]],Table14[DEF],'2024 fSZN'!$I$3:$I$34)</f>
        <v>#N/A</v>
      </c>
      <c r="L31" s="95" t="e">
        <f>_xlfn.XLOOKUP(Table11782[[#This Row],[Opp]],Table14[DEF],Table14[P])</f>
        <v>#N/A</v>
      </c>
      <c r="M31" s="95" t="e">
        <f>_xlfn.XLOOKUP(Table11782[[#This Row],[Opp]],Table14[DEF],Table14[R])</f>
        <v>#N/A</v>
      </c>
      <c r="N31" s="95" t="e">
        <f>_xlfn.XLOOKUP(Table11782[[#This Row],[Opp]],Table14[DEF],Table14[P+R])</f>
        <v>#N/A</v>
      </c>
      <c r="O31" s="96" t="e">
        <f>_xlfn.XLOOKUP(Table11782[[#This Row],[Opp]],Table14[DEF],Table14[P TD])</f>
        <v>#N/A</v>
      </c>
      <c r="P31" s="96" t="e">
        <f>_xlfn.XLOOKUP(Table11782[[#This Row],[Opp]],Table14[DEF],Table14[TD])</f>
        <v>#N/A</v>
      </c>
      <c r="Q31" s="94" t="e">
        <f>AVERAGE(Table11782[[#This Row],[*P*]:[*TD*]])</f>
        <v>#N/A</v>
      </c>
    </row>
    <row r="32" spans="2:17" x14ac:dyDescent="0.35">
      <c r="B32" s="6" t="s">
        <v>631</v>
      </c>
      <c r="C32" s="97" t="s">
        <v>37</v>
      </c>
      <c r="D32" s="97" t="s">
        <v>425</v>
      </c>
      <c r="E32" s="6">
        <v>1</v>
      </c>
      <c r="F32" s="97" t="str">
        <f>'2025'!$E$15</f>
        <v>n/a</v>
      </c>
      <c r="G32" s="94" t="e" cm="1">
        <f t="array" ref="G32">_xlfn.XLOOKUP(Table11782[[#This Row],[Opp]],Table14[DEF],'2024 fSZN'!$E$3:$E$34)</f>
        <v>#N/A</v>
      </c>
      <c r="H32" s="94" t="e" cm="1">
        <f t="array" ref="H32">_xlfn.XLOOKUP(Table11782[[#This Row],[Opp]],Table14[DEF],'2024 fSZN'!$F$3:$F$34)</f>
        <v>#N/A</v>
      </c>
      <c r="I32" s="94" t="e" cm="1">
        <f t="array" ref="I32">_xlfn.XLOOKUP(Table11782[[#This Row],[Opp]],Table14[DEF],'2024 fSZN'!$G$3:$G$34)</f>
        <v>#N/A</v>
      </c>
      <c r="J32" s="94" t="e" cm="1">
        <f t="array" ref="J32">_xlfn.XLOOKUP(Table11782[[#This Row],[Opp]],Table14[DEF],'2024 fSZN'!$H$3:$H$34)</f>
        <v>#N/A</v>
      </c>
      <c r="K32" s="94" t="e" cm="1">
        <f t="array" ref="K32">_xlfn.XLOOKUP(Table11782[[#This Row],[Opp]],Table14[DEF],'2024 fSZN'!$I$3:$I$34)</f>
        <v>#N/A</v>
      </c>
      <c r="L32" s="95" t="e">
        <f>_xlfn.XLOOKUP(Table11782[[#This Row],[Opp]],Table14[DEF],Table14[P])</f>
        <v>#N/A</v>
      </c>
      <c r="M32" s="95" t="e">
        <f>_xlfn.XLOOKUP(Table11782[[#This Row],[Opp]],Table14[DEF],Table14[R])</f>
        <v>#N/A</v>
      </c>
      <c r="N32" s="95" t="e">
        <f>_xlfn.XLOOKUP(Table11782[[#This Row],[Opp]],Table14[DEF],Table14[P+R])</f>
        <v>#N/A</v>
      </c>
      <c r="O32" s="96" t="e">
        <f>_xlfn.XLOOKUP(Table11782[[#This Row],[Opp]],Table14[DEF],Table14[P TD])</f>
        <v>#N/A</v>
      </c>
      <c r="P32" s="96" t="e">
        <f>_xlfn.XLOOKUP(Table11782[[#This Row],[Opp]],Table14[DEF],Table14[TD])</f>
        <v>#N/A</v>
      </c>
      <c r="Q32" s="94" t="e">
        <f>AVERAGE(Table11782[[#This Row],[*P*]:[*TD*]])</f>
        <v>#N/A</v>
      </c>
    </row>
    <row r="33" spans="2:17" x14ac:dyDescent="0.35">
      <c r="B33" s="6" t="s">
        <v>226</v>
      </c>
      <c r="C33" s="97" t="s">
        <v>38</v>
      </c>
      <c r="D33" s="97" t="s">
        <v>399</v>
      </c>
      <c r="E33" s="6">
        <v>1</v>
      </c>
      <c r="F33" s="97" t="str">
        <f>'2025'!$E$16</f>
        <v>n/a</v>
      </c>
      <c r="G33" s="94" t="e" cm="1">
        <f t="array" ref="G33">_xlfn.XLOOKUP(Table11782[[#This Row],[Opp]],Table14[DEF],'2024 fSZN'!$E$3:$E$34)</f>
        <v>#N/A</v>
      </c>
      <c r="H33" s="94" t="e" cm="1">
        <f t="array" ref="H33">_xlfn.XLOOKUP(Table11782[[#This Row],[Opp]],Table14[DEF],'2024 fSZN'!$F$3:$F$34)</f>
        <v>#N/A</v>
      </c>
      <c r="I33" s="94" t="e" cm="1">
        <f t="array" ref="I33">_xlfn.XLOOKUP(Table11782[[#This Row],[Opp]],Table14[DEF],'2024 fSZN'!$G$3:$G$34)</f>
        <v>#N/A</v>
      </c>
      <c r="J33" s="94" t="e" cm="1">
        <f t="array" ref="J33">_xlfn.XLOOKUP(Table11782[[#This Row],[Opp]],Table14[DEF],'2024 fSZN'!$H$3:$H$34)</f>
        <v>#N/A</v>
      </c>
      <c r="K33" s="94" t="e" cm="1">
        <f t="array" ref="K33">_xlfn.XLOOKUP(Table11782[[#This Row],[Opp]],Table14[DEF],'2024 fSZN'!$I$3:$I$34)</f>
        <v>#N/A</v>
      </c>
      <c r="L33" s="95" t="e">
        <f>_xlfn.XLOOKUP(Table11782[[#This Row],[Opp]],Table14[DEF],Table14[P])</f>
        <v>#N/A</v>
      </c>
      <c r="M33" s="95" t="e">
        <f>_xlfn.XLOOKUP(Table11782[[#This Row],[Opp]],Table14[DEF],Table14[R])</f>
        <v>#N/A</v>
      </c>
      <c r="N33" s="95" t="e">
        <f>_xlfn.XLOOKUP(Table11782[[#This Row],[Opp]],Table14[DEF],Table14[P+R])</f>
        <v>#N/A</v>
      </c>
      <c r="O33" s="96" t="e">
        <f>_xlfn.XLOOKUP(Table11782[[#This Row],[Opp]],Table14[DEF],Table14[P TD])</f>
        <v>#N/A</v>
      </c>
      <c r="P33" s="96" t="e">
        <f>_xlfn.XLOOKUP(Table11782[[#This Row],[Opp]],Table14[DEF],Table14[TD])</f>
        <v>#N/A</v>
      </c>
      <c r="Q33" s="94" t="e">
        <f>AVERAGE(Table11782[[#This Row],[*P*]:[*P TD*]])</f>
        <v>#N/A</v>
      </c>
    </row>
    <row r="34" spans="2:17" x14ac:dyDescent="0.35">
      <c r="B34" s="6" t="s">
        <v>639</v>
      </c>
      <c r="C34" s="97" t="s">
        <v>38</v>
      </c>
      <c r="D34" s="97" t="s">
        <v>405</v>
      </c>
      <c r="E34" s="6">
        <v>1</v>
      </c>
      <c r="F34" s="97" t="str">
        <f>'2025'!$E$16</f>
        <v>n/a</v>
      </c>
      <c r="G34" s="94" t="e" cm="1">
        <f t="array" ref="G34">_xlfn.XLOOKUP(Table11782[[#This Row],[Opp]],Table14[DEF],'2024 fSZN'!$E$3:$E$34)</f>
        <v>#N/A</v>
      </c>
      <c r="H34" s="94" t="e" cm="1">
        <f t="array" ref="H34">_xlfn.XLOOKUP(Table11782[[#This Row],[Opp]],Table14[DEF],'2024 fSZN'!$F$3:$F$34)</f>
        <v>#N/A</v>
      </c>
      <c r="I34" s="94" t="e" cm="1">
        <f t="array" ref="I34">_xlfn.XLOOKUP(Table11782[[#This Row],[Opp]],Table14[DEF],'2024 fSZN'!$G$3:$G$34)</f>
        <v>#N/A</v>
      </c>
      <c r="J34" s="94" t="e" cm="1">
        <f t="array" ref="J34">_xlfn.XLOOKUP(Table11782[[#This Row],[Opp]],Table14[DEF],'2024 fSZN'!$H$3:$H$34)</f>
        <v>#N/A</v>
      </c>
      <c r="K34" s="94" t="e" cm="1">
        <f t="array" ref="K34">_xlfn.XLOOKUP(Table11782[[#This Row],[Opp]],Table14[DEF],'2024 fSZN'!$I$3:$I$34)</f>
        <v>#N/A</v>
      </c>
      <c r="L34" s="95" t="e">
        <f>_xlfn.XLOOKUP(Table11782[[#This Row],[Opp]],Table14[DEF],Table14[P])</f>
        <v>#N/A</v>
      </c>
      <c r="M34" s="95" t="e">
        <f>_xlfn.XLOOKUP(Table11782[[#This Row],[Opp]],Table14[DEF],Table14[R])</f>
        <v>#N/A</v>
      </c>
      <c r="N34" s="95" t="e">
        <f>_xlfn.XLOOKUP(Table11782[[#This Row],[Opp]],Table14[DEF],Table14[P+R])</f>
        <v>#N/A</v>
      </c>
      <c r="O34" s="96" t="e">
        <f>_xlfn.XLOOKUP(Table11782[[#This Row],[Opp]],Table14[DEF],Table14[P TD])</f>
        <v>#N/A</v>
      </c>
      <c r="P34" s="96" t="e">
        <f>_xlfn.XLOOKUP(Table11782[[#This Row],[Opp]],Table14[DEF],Table14[TD])</f>
        <v>#N/A</v>
      </c>
      <c r="Q34" s="94" t="e">
        <f>AVERAGE(Table11782[[#This Row],[*P*]:[*TD*]])</f>
        <v>#N/A</v>
      </c>
    </row>
    <row r="35" spans="2:17" x14ac:dyDescent="0.35">
      <c r="B35" s="6" t="s">
        <v>641</v>
      </c>
      <c r="C35" s="97" t="s">
        <v>38</v>
      </c>
      <c r="D35" s="97" t="s">
        <v>425</v>
      </c>
      <c r="E35" s="6">
        <v>1</v>
      </c>
      <c r="F35" s="97" t="str">
        <f>'2025'!$E$16</f>
        <v>n/a</v>
      </c>
      <c r="G35" s="94" t="e" cm="1">
        <f t="array" ref="G35">_xlfn.XLOOKUP(Table11782[[#This Row],[Opp]],Table14[DEF],'2024 fSZN'!$E$3:$E$34)</f>
        <v>#N/A</v>
      </c>
      <c r="H35" s="94" t="e" cm="1">
        <f t="array" ref="H35">_xlfn.XLOOKUP(Table11782[[#This Row],[Opp]],Table14[DEF],'2024 fSZN'!$F$3:$F$34)</f>
        <v>#N/A</v>
      </c>
      <c r="I35" s="94" t="e" cm="1">
        <f t="array" ref="I35">_xlfn.XLOOKUP(Table11782[[#This Row],[Opp]],Table14[DEF],'2024 fSZN'!$G$3:$G$34)</f>
        <v>#N/A</v>
      </c>
      <c r="J35" s="94" t="e" cm="1">
        <f t="array" ref="J35">_xlfn.XLOOKUP(Table11782[[#This Row],[Opp]],Table14[DEF],'2024 fSZN'!$H$3:$H$34)</f>
        <v>#N/A</v>
      </c>
      <c r="K35" s="94" t="e" cm="1">
        <f t="array" ref="K35">_xlfn.XLOOKUP(Table11782[[#This Row],[Opp]],Table14[DEF],'2024 fSZN'!$I$3:$I$34)</f>
        <v>#N/A</v>
      </c>
      <c r="L35" s="95" t="e">
        <f>_xlfn.XLOOKUP(Table11782[[#This Row],[Opp]],Table14[DEF],Table14[P])</f>
        <v>#N/A</v>
      </c>
      <c r="M35" s="95" t="e">
        <f>_xlfn.XLOOKUP(Table11782[[#This Row],[Opp]],Table14[DEF],Table14[R])</f>
        <v>#N/A</v>
      </c>
      <c r="N35" s="95" t="e">
        <f>_xlfn.XLOOKUP(Table11782[[#This Row],[Opp]],Table14[DEF],Table14[P+R])</f>
        <v>#N/A</v>
      </c>
      <c r="O35" s="96" t="e">
        <f>_xlfn.XLOOKUP(Table11782[[#This Row],[Opp]],Table14[DEF],Table14[P TD])</f>
        <v>#N/A</v>
      </c>
      <c r="P35" s="96" t="e">
        <f>_xlfn.XLOOKUP(Table11782[[#This Row],[Opp]],Table14[DEF],Table14[TD])</f>
        <v>#N/A</v>
      </c>
      <c r="Q35" s="94" t="e">
        <f>AVERAGE(Table11782[[#This Row],[*P*]:[*TD*]])</f>
        <v>#N/A</v>
      </c>
    </row>
    <row r="36" spans="2:17" x14ac:dyDescent="0.35">
      <c r="B36" s="6" t="s">
        <v>234</v>
      </c>
      <c r="C36" s="97" t="s">
        <v>39</v>
      </c>
      <c r="D36" s="97" t="s">
        <v>399</v>
      </c>
      <c r="E36" s="6">
        <v>1</v>
      </c>
      <c r="F36" s="97" t="str">
        <f>'2025'!$E$17</f>
        <v>n/a</v>
      </c>
      <c r="G36" s="94" t="e" cm="1">
        <f t="array" ref="G36">_xlfn.XLOOKUP(Table11782[[#This Row],[Opp]],Table14[DEF],'2024 fSZN'!$E$3:$E$34)</f>
        <v>#N/A</v>
      </c>
      <c r="H36" s="94" t="e" cm="1">
        <f t="array" ref="H36">_xlfn.XLOOKUP(Table11782[[#This Row],[Opp]],Table14[DEF],'2024 fSZN'!$F$3:$F$34)</f>
        <v>#N/A</v>
      </c>
      <c r="I36" s="94" t="e" cm="1">
        <f t="array" ref="I36">_xlfn.XLOOKUP(Table11782[[#This Row],[Opp]],Table14[DEF],'2024 fSZN'!$G$3:$G$34)</f>
        <v>#N/A</v>
      </c>
      <c r="J36" s="94" t="e" cm="1">
        <f t="array" ref="J36">_xlfn.XLOOKUP(Table11782[[#This Row],[Opp]],Table14[DEF],'2024 fSZN'!$H$3:$H$34)</f>
        <v>#N/A</v>
      </c>
      <c r="K36" s="94" t="e" cm="1">
        <f t="array" ref="K36">_xlfn.XLOOKUP(Table11782[[#This Row],[Opp]],Table14[DEF],'2024 fSZN'!$I$3:$I$34)</f>
        <v>#N/A</v>
      </c>
      <c r="L36" s="95" t="e">
        <f>_xlfn.XLOOKUP(Table11782[[#This Row],[Opp]],Table14[DEF],Table14[P])</f>
        <v>#N/A</v>
      </c>
      <c r="M36" s="95" t="e">
        <f>_xlfn.XLOOKUP(Table11782[[#This Row],[Opp]],Table14[DEF],Table14[R])</f>
        <v>#N/A</v>
      </c>
      <c r="N36" s="95" t="e">
        <f>_xlfn.XLOOKUP(Table11782[[#This Row],[Opp]],Table14[DEF],Table14[P+R])</f>
        <v>#N/A</v>
      </c>
      <c r="O36" s="96" t="e">
        <f>_xlfn.XLOOKUP(Table11782[[#This Row],[Opp]],Table14[DEF],Table14[P TD])</f>
        <v>#N/A</v>
      </c>
      <c r="P36" s="96" t="e">
        <f>_xlfn.XLOOKUP(Table11782[[#This Row],[Opp]],Table14[DEF],Table14[TD])</f>
        <v>#N/A</v>
      </c>
      <c r="Q36" s="94" t="e">
        <f>AVERAGE(Table11782[[#This Row],[*P*]:[*P TD*]])</f>
        <v>#N/A</v>
      </c>
    </row>
    <row r="37" spans="2:17" x14ac:dyDescent="0.35">
      <c r="B37" s="6" t="s">
        <v>235</v>
      </c>
      <c r="C37" s="97" t="s">
        <v>39</v>
      </c>
      <c r="D37" s="97" t="s">
        <v>405</v>
      </c>
      <c r="E37" s="6">
        <v>1</v>
      </c>
      <c r="F37" s="97" t="str">
        <f>'2025'!$E$17</f>
        <v>n/a</v>
      </c>
      <c r="G37" s="94" t="e" cm="1">
        <f t="array" ref="G37">_xlfn.XLOOKUP(Table11782[[#This Row],[Opp]],Table14[DEF],'2024 fSZN'!$E$3:$E$34)</f>
        <v>#N/A</v>
      </c>
      <c r="H37" s="94" t="e" cm="1">
        <f t="array" ref="H37">_xlfn.XLOOKUP(Table11782[[#This Row],[Opp]],Table14[DEF],'2024 fSZN'!$F$3:$F$34)</f>
        <v>#N/A</v>
      </c>
      <c r="I37" s="94" t="e" cm="1">
        <f t="array" ref="I37">_xlfn.XLOOKUP(Table11782[[#This Row],[Opp]],Table14[DEF],'2024 fSZN'!$G$3:$G$34)</f>
        <v>#N/A</v>
      </c>
      <c r="J37" s="94" t="e" cm="1">
        <f t="array" ref="J37">_xlfn.XLOOKUP(Table11782[[#This Row],[Opp]],Table14[DEF],'2024 fSZN'!$H$3:$H$34)</f>
        <v>#N/A</v>
      </c>
      <c r="K37" s="94" t="e" cm="1">
        <f t="array" ref="K37">_xlfn.XLOOKUP(Table11782[[#This Row],[Opp]],Table14[DEF],'2024 fSZN'!$I$3:$I$34)</f>
        <v>#N/A</v>
      </c>
      <c r="L37" s="95" t="e">
        <f>_xlfn.XLOOKUP(Table11782[[#This Row],[Opp]],Table14[DEF],Table14[P])</f>
        <v>#N/A</v>
      </c>
      <c r="M37" s="95" t="e">
        <f>_xlfn.XLOOKUP(Table11782[[#This Row],[Opp]],Table14[DEF],Table14[R])</f>
        <v>#N/A</v>
      </c>
      <c r="N37" s="95" t="e">
        <f>_xlfn.XLOOKUP(Table11782[[#This Row],[Opp]],Table14[DEF],Table14[P+R])</f>
        <v>#N/A</v>
      </c>
      <c r="O37" s="96" t="e">
        <f>_xlfn.XLOOKUP(Table11782[[#This Row],[Opp]],Table14[DEF],Table14[P TD])</f>
        <v>#N/A</v>
      </c>
      <c r="P37" s="96" t="e">
        <f>_xlfn.XLOOKUP(Table11782[[#This Row],[Opp]],Table14[DEF],Table14[TD])</f>
        <v>#N/A</v>
      </c>
      <c r="Q37" s="94" t="e">
        <f>AVERAGE(Table11782[[#This Row],[*P*]:[*TD*]])</f>
        <v>#N/A</v>
      </c>
    </row>
    <row r="38" spans="2:17" x14ac:dyDescent="0.35">
      <c r="B38" s="6" t="s">
        <v>243</v>
      </c>
      <c r="C38" s="97" t="s">
        <v>40</v>
      </c>
      <c r="D38" s="97" t="s">
        <v>399</v>
      </c>
      <c r="E38" s="6">
        <v>1</v>
      </c>
      <c r="F38" s="97" t="str">
        <f>'2025'!$E$18</f>
        <v>n/a</v>
      </c>
      <c r="G38" s="94" t="e" cm="1">
        <f t="array" ref="G38">_xlfn.XLOOKUP(Table11782[[#This Row],[Opp]],Table14[DEF],'2024 fSZN'!$E$3:$E$34)</f>
        <v>#N/A</v>
      </c>
      <c r="H38" s="94" t="e" cm="1">
        <f t="array" ref="H38">_xlfn.XLOOKUP(Table11782[[#This Row],[Opp]],Table14[DEF],'2024 fSZN'!$F$3:$F$34)</f>
        <v>#N/A</v>
      </c>
      <c r="I38" s="94" t="e" cm="1">
        <f t="array" ref="I38">_xlfn.XLOOKUP(Table11782[[#This Row],[Opp]],Table14[DEF],'2024 fSZN'!$G$3:$G$34)</f>
        <v>#N/A</v>
      </c>
      <c r="J38" s="94" t="e" cm="1">
        <f t="array" ref="J38">_xlfn.XLOOKUP(Table11782[[#This Row],[Opp]],Table14[DEF],'2024 fSZN'!$H$3:$H$34)</f>
        <v>#N/A</v>
      </c>
      <c r="K38" s="94" t="e" cm="1">
        <f t="array" ref="K38">_xlfn.XLOOKUP(Table11782[[#This Row],[Opp]],Table14[DEF],'2024 fSZN'!$I$3:$I$34)</f>
        <v>#N/A</v>
      </c>
      <c r="L38" s="95" t="e">
        <f>_xlfn.XLOOKUP(Table11782[[#This Row],[Opp]],Table14[DEF],Table14[P])</f>
        <v>#N/A</v>
      </c>
      <c r="M38" s="95" t="e">
        <f>_xlfn.XLOOKUP(Table11782[[#This Row],[Opp]],Table14[DEF],Table14[R])</f>
        <v>#N/A</v>
      </c>
      <c r="N38" s="95" t="e">
        <f>_xlfn.XLOOKUP(Table11782[[#This Row],[Opp]],Table14[DEF],Table14[P+R])</f>
        <v>#N/A</v>
      </c>
      <c r="O38" s="96" t="e">
        <f>_xlfn.XLOOKUP(Table11782[[#This Row],[Opp]],Table14[DEF],Table14[P TD])</f>
        <v>#N/A</v>
      </c>
      <c r="P38" s="96" t="e">
        <f>_xlfn.XLOOKUP(Table11782[[#This Row],[Opp]],Table14[DEF],Table14[TD])</f>
        <v>#N/A</v>
      </c>
      <c r="Q38" s="94" t="e">
        <f>AVERAGE(Table11782[[#This Row],[*P*]:[*TD*]])</f>
        <v>#N/A</v>
      </c>
    </row>
    <row r="39" spans="2:17" x14ac:dyDescent="0.35">
      <c r="B39" s="6" t="s">
        <v>244</v>
      </c>
      <c r="C39" s="97" t="s">
        <v>40</v>
      </c>
      <c r="D39" s="97" t="s">
        <v>405</v>
      </c>
      <c r="E39" s="6">
        <v>1</v>
      </c>
      <c r="F39" s="97" t="str">
        <f>'2025'!$E$18</f>
        <v>n/a</v>
      </c>
      <c r="G39" s="94" t="e" cm="1">
        <f t="array" ref="G39">_xlfn.XLOOKUP(Table11782[[#This Row],[Opp]],Table14[DEF],'2024 fSZN'!$E$3:$E$34)</f>
        <v>#N/A</v>
      </c>
      <c r="H39" s="94" t="e" cm="1">
        <f t="array" ref="H39">_xlfn.XLOOKUP(Table11782[[#This Row],[Opp]],Table14[DEF],'2024 fSZN'!$F$3:$F$34)</f>
        <v>#N/A</v>
      </c>
      <c r="I39" s="94" t="e" cm="1">
        <f t="array" ref="I39">_xlfn.XLOOKUP(Table11782[[#This Row],[Opp]],Table14[DEF],'2024 fSZN'!$G$3:$G$34)</f>
        <v>#N/A</v>
      </c>
      <c r="J39" s="94" t="e" cm="1">
        <f t="array" ref="J39">_xlfn.XLOOKUP(Table11782[[#This Row],[Opp]],Table14[DEF],'2024 fSZN'!$H$3:$H$34)</f>
        <v>#N/A</v>
      </c>
      <c r="K39" s="94" t="e" cm="1">
        <f t="array" ref="K39">_xlfn.XLOOKUP(Table11782[[#This Row],[Opp]],Table14[DEF],'2024 fSZN'!$I$3:$I$34)</f>
        <v>#N/A</v>
      </c>
      <c r="L39" s="95" t="e">
        <f>_xlfn.XLOOKUP(Table11782[[#This Row],[Opp]],Table14[DEF],Table14[P])</f>
        <v>#N/A</v>
      </c>
      <c r="M39" s="95" t="e">
        <f>_xlfn.XLOOKUP(Table11782[[#This Row],[Opp]],Table14[DEF],Table14[R])</f>
        <v>#N/A</v>
      </c>
      <c r="N39" s="95" t="e">
        <f>_xlfn.XLOOKUP(Table11782[[#This Row],[Opp]],Table14[DEF],Table14[P+R])</f>
        <v>#N/A</v>
      </c>
      <c r="O39" s="96" t="e">
        <f>_xlfn.XLOOKUP(Table11782[[#This Row],[Opp]],Table14[DEF],Table14[P TD])</f>
        <v>#N/A</v>
      </c>
      <c r="P39" s="96" t="e">
        <f>_xlfn.XLOOKUP(Table11782[[#This Row],[Opp]],Table14[DEF],Table14[TD])</f>
        <v>#N/A</v>
      </c>
      <c r="Q39" s="94" t="e">
        <f>AVERAGE(Table11782[[#This Row],[*P*]:[*TD*]])</f>
        <v>#N/A</v>
      </c>
    </row>
    <row r="40" spans="2:17" x14ac:dyDescent="0.35">
      <c r="B40" s="6" t="s">
        <v>255</v>
      </c>
      <c r="C40" s="97" t="s">
        <v>41</v>
      </c>
      <c r="D40" s="97" t="s">
        <v>399</v>
      </c>
      <c r="E40" s="6">
        <v>1</v>
      </c>
      <c r="F40" s="97" t="str">
        <f>'2025'!$E$19</f>
        <v>n/a</v>
      </c>
      <c r="G40" s="94" t="e" cm="1">
        <f t="array" ref="G40">_xlfn.XLOOKUP(Table11782[[#This Row],[Opp]],Table14[DEF],'2024 fSZN'!$E$3:$E$34)</f>
        <v>#N/A</v>
      </c>
      <c r="H40" s="94" t="e" cm="1">
        <f t="array" ref="H40">_xlfn.XLOOKUP(Table11782[[#This Row],[Opp]],Table14[DEF],'2024 fSZN'!$F$3:$F$34)</f>
        <v>#N/A</v>
      </c>
      <c r="I40" s="94" t="e" cm="1">
        <f t="array" ref="I40">_xlfn.XLOOKUP(Table11782[[#This Row],[Opp]],Table14[DEF],'2024 fSZN'!$G$3:$G$34)</f>
        <v>#N/A</v>
      </c>
      <c r="J40" s="94" t="e" cm="1">
        <f t="array" ref="J40">_xlfn.XLOOKUP(Table11782[[#This Row],[Opp]],Table14[DEF],'2024 fSZN'!$H$3:$H$34)</f>
        <v>#N/A</v>
      </c>
      <c r="K40" s="94" t="e" cm="1">
        <f t="array" ref="K40">_xlfn.XLOOKUP(Table11782[[#This Row],[Opp]],Table14[DEF],'2024 fSZN'!$I$3:$I$34)</f>
        <v>#N/A</v>
      </c>
      <c r="L40" s="95" t="e">
        <f>_xlfn.XLOOKUP(Table11782[[#This Row],[Opp]],Table14[DEF],Table14[P])</f>
        <v>#N/A</v>
      </c>
      <c r="M40" s="95" t="e">
        <f>_xlfn.XLOOKUP(Table11782[[#This Row],[Opp]],Table14[DEF],Table14[R])</f>
        <v>#N/A</v>
      </c>
      <c r="N40" s="95" t="e">
        <f>_xlfn.XLOOKUP(Table11782[[#This Row],[Opp]],Table14[DEF],Table14[P+R])</f>
        <v>#N/A</v>
      </c>
      <c r="O40" s="96" t="e">
        <f>_xlfn.XLOOKUP(Table11782[[#This Row],[Opp]],Table14[DEF],Table14[P TD])</f>
        <v>#N/A</v>
      </c>
      <c r="P40" s="96" t="e">
        <f>_xlfn.XLOOKUP(Table11782[[#This Row],[Opp]],Table14[DEF],Table14[TD])</f>
        <v>#N/A</v>
      </c>
      <c r="Q40" s="94" t="e">
        <f>AVERAGE(Table11782[[#This Row],[*P*]:[*TD*]])</f>
        <v>#N/A</v>
      </c>
    </row>
    <row r="41" spans="2:17" x14ac:dyDescent="0.35">
      <c r="B41" s="6" t="s">
        <v>256</v>
      </c>
      <c r="C41" s="97" t="s">
        <v>41</v>
      </c>
      <c r="D41" s="97" t="s">
        <v>405</v>
      </c>
      <c r="E41" s="6">
        <v>1</v>
      </c>
      <c r="F41" s="97" t="str">
        <f>'2025'!$E$19</f>
        <v>n/a</v>
      </c>
      <c r="G41" s="94" t="e" cm="1">
        <f t="array" ref="G41">_xlfn.XLOOKUP(Table11782[[#This Row],[Opp]],Table14[DEF],'2024 fSZN'!$E$3:$E$34)</f>
        <v>#N/A</v>
      </c>
      <c r="H41" s="94" t="e" cm="1">
        <f t="array" ref="H41">_xlfn.XLOOKUP(Table11782[[#This Row],[Opp]],Table14[DEF],'2024 fSZN'!$F$3:$F$34)</f>
        <v>#N/A</v>
      </c>
      <c r="I41" s="94" t="e" cm="1">
        <f t="array" ref="I41">_xlfn.XLOOKUP(Table11782[[#This Row],[Opp]],Table14[DEF],'2024 fSZN'!$G$3:$G$34)</f>
        <v>#N/A</v>
      </c>
      <c r="J41" s="94" t="e" cm="1">
        <f t="array" ref="J41">_xlfn.XLOOKUP(Table11782[[#This Row],[Opp]],Table14[DEF],'2024 fSZN'!$H$3:$H$34)</f>
        <v>#N/A</v>
      </c>
      <c r="K41" s="94" t="e" cm="1">
        <f t="array" ref="K41">_xlfn.XLOOKUP(Table11782[[#This Row],[Opp]],Table14[DEF],'2024 fSZN'!$I$3:$I$34)</f>
        <v>#N/A</v>
      </c>
      <c r="L41" s="95" t="e">
        <f>_xlfn.XLOOKUP(Table11782[[#This Row],[Opp]],Table14[DEF],Table14[P])</f>
        <v>#N/A</v>
      </c>
      <c r="M41" s="95" t="e">
        <f>_xlfn.XLOOKUP(Table11782[[#This Row],[Opp]],Table14[DEF],Table14[R])</f>
        <v>#N/A</v>
      </c>
      <c r="N41" s="95" t="e">
        <f>_xlfn.XLOOKUP(Table11782[[#This Row],[Opp]],Table14[DEF],Table14[P+R])</f>
        <v>#N/A</v>
      </c>
      <c r="O41" s="96" t="e">
        <f>_xlfn.XLOOKUP(Table11782[[#This Row],[Opp]],Table14[DEF],Table14[P TD])</f>
        <v>#N/A</v>
      </c>
      <c r="P41" s="96" t="e">
        <f>_xlfn.XLOOKUP(Table11782[[#This Row],[Opp]],Table14[DEF],Table14[TD])</f>
        <v>#N/A</v>
      </c>
      <c r="Q41" s="94" t="e">
        <f>AVERAGE(Table11782[[#This Row],[*P*]:[*TD*]])</f>
        <v>#N/A</v>
      </c>
    </row>
    <row r="42" spans="2:17" x14ac:dyDescent="0.35">
      <c r="B42" s="6" t="s">
        <v>265</v>
      </c>
      <c r="C42" s="97" t="s">
        <v>42</v>
      </c>
      <c r="D42" s="97" t="s">
        <v>399</v>
      </c>
      <c r="E42" s="6">
        <v>1</v>
      </c>
      <c r="F42" s="97" t="str">
        <f>'2025'!$E$20</f>
        <v>n/a</v>
      </c>
      <c r="G42" s="94" t="e" cm="1">
        <f t="array" ref="G42">_xlfn.XLOOKUP(Table11782[[#This Row],[Opp]],Table14[DEF],'2024 fSZN'!$E$3:$E$34)</f>
        <v>#N/A</v>
      </c>
      <c r="H42" s="94" t="e" cm="1">
        <f t="array" ref="H42">_xlfn.XLOOKUP(Table11782[[#This Row],[Opp]],Table14[DEF],'2024 fSZN'!$F$3:$F$34)</f>
        <v>#N/A</v>
      </c>
      <c r="I42" s="94" t="e" cm="1">
        <f t="array" ref="I42">_xlfn.XLOOKUP(Table11782[[#This Row],[Opp]],Table14[DEF],'2024 fSZN'!$G$3:$G$34)</f>
        <v>#N/A</v>
      </c>
      <c r="J42" s="94" t="e" cm="1">
        <f t="array" ref="J42">_xlfn.XLOOKUP(Table11782[[#This Row],[Opp]],Table14[DEF],'2024 fSZN'!$H$3:$H$34)</f>
        <v>#N/A</v>
      </c>
      <c r="K42" s="94" t="e" cm="1">
        <f t="array" ref="K42">_xlfn.XLOOKUP(Table11782[[#This Row],[Opp]],Table14[DEF],'2024 fSZN'!$I$3:$I$34)</f>
        <v>#N/A</v>
      </c>
      <c r="L42" s="95" t="e">
        <f>_xlfn.XLOOKUP(Table11782[[#This Row],[Opp]],Table14[DEF],Table14[P])</f>
        <v>#N/A</v>
      </c>
      <c r="M42" s="95" t="e">
        <f>_xlfn.XLOOKUP(Table11782[[#This Row],[Opp]],Table14[DEF],Table14[R])</f>
        <v>#N/A</v>
      </c>
      <c r="N42" s="95" t="e">
        <f>_xlfn.XLOOKUP(Table11782[[#This Row],[Opp]],Table14[DEF],Table14[P+R])</f>
        <v>#N/A</v>
      </c>
      <c r="O42" s="96" t="e">
        <f>_xlfn.XLOOKUP(Table11782[[#This Row],[Opp]],Table14[DEF],Table14[P TD])</f>
        <v>#N/A</v>
      </c>
      <c r="P42" s="96" t="e">
        <f>_xlfn.XLOOKUP(Table11782[[#This Row],[Opp]],Table14[DEF],Table14[TD])</f>
        <v>#N/A</v>
      </c>
      <c r="Q42" s="94" t="e">
        <f>AVERAGE(Table11782[[#This Row],[*P*]:[*P TD*]])</f>
        <v>#N/A</v>
      </c>
    </row>
    <row r="43" spans="2:17" x14ac:dyDescent="0.35">
      <c r="B43" s="6" t="s">
        <v>547</v>
      </c>
      <c r="C43" s="97" t="s">
        <v>42</v>
      </c>
      <c r="D43" s="97" t="s">
        <v>405</v>
      </c>
      <c r="E43" s="6">
        <v>1</v>
      </c>
      <c r="F43" s="97" t="str">
        <f>'2025'!$E$20</f>
        <v>n/a</v>
      </c>
      <c r="G43" s="94" t="e" cm="1">
        <f t="array" ref="G43">_xlfn.XLOOKUP(Table11782[[#This Row],[Opp]],Table14[DEF],'2024 fSZN'!$E$3:$E$34)</f>
        <v>#N/A</v>
      </c>
      <c r="H43" s="94" t="e" cm="1">
        <f t="array" ref="H43">_xlfn.XLOOKUP(Table11782[[#This Row],[Opp]],Table14[DEF],'2024 fSZN'!$F$3:$F$34)</f>
        <v>#N/A</v>
      </c>
      <c r="I43" s="94" t="e" cm="1">
        <f t="array" ref="I43">_xlfn.XLOOKUP(Table11782[[#This Row],[Opp]],Table14[DEF],'2024 fSZN'!$G$3:$G$34)</f>
        <v>#N/A</v>
      </c>
      <c r="J43" s="94" t="e" cm="1">
        <f t="array" ref="J43">_xlfn.XLOOKUP(Table11782[[#This Row],[Opp]],Table14[DEF],'2024 fSZN'!$H$3:$H$34)</f>
        <v>#N/A</v>
      </c>
      <c r="K43" s="94" t="e" cm="1">
        <f t="array" ref="K43">_xlfn.XLOOKUP(Table11782[[#This Row],[Opp]],Table14[DEF],'2024 fSZN'!$I$3:$I$34)</f>
        <v>#N/A</v>
      </c>
      <c r="L43" s="95" t="e">
        <f>_xlfn.XLOOKUP(Table11782[[#This Row],[Opp]],Table14[DEF],Table14[P])</f>
        <v>#N/A</v>
      </c>
      <c r="M43" s="95" t="e">
        <f>_xlfn.XLOOKUP(Table11782[[#This Row],[Opp]],Table14[DEF],Table14[R])</f>
        <v>#N/A</v>
      </c>
      <c r="N43" s="95" t="e">
        <f>_xlfn.XLOOKUP(Table11782[[#This Row],[Opp]],Table14[DEF],Table14[P+R])</f>
        <v>#N/A</v>
      </c>
      <c r="O43" s="96" t="e">
        <f>_xlfn.XLOOKUP(Table11782[[#This Row],[Opp]],Table14[DEF],Table14[P TD])</f>
        <v>#N/A</v>
      </c>
      <c r="P43" s="96" t="e">
        <f>_xlfn.XLOOKUP(Table11782[[#This Row],[Opp]],Table14[DEF],Table14[TD])</f>
        <v>#N/A</v>
      </c>
      <c r="Q43" s="94" t="e">
        <f>AVERAGE(Table11782[[#This Row],[*P*]:[*TD*]])</f>
        <v>#N/A</v>
      </c>
    </row>
    <row r="44" spans="2:17" x14ac:dyDescent="0.35">
      <c r="B44" s="6" t="s">
        <v>548</v>
      </c>
      <c r="C44" s="97" t="s">
        <v>42</v>
      </c>
      <c r="D44" s="97" t="s">
        <v>425</v>
      </c>
      <c r="E44" s="6">
        <v>1</v>
      </c>
      <c r="F44" s="97" t="str">
        <f>'2025'!$E$20</f>
        <v>n/a</v>
      </c>
      <c r="G44" s="94" t="e" cm="1">
        <f t="array" ref="G44">_xlfn.XLOOKUP(Table11782[[#This Row],[Opp]],Table14[DEF],'2024 fSZN'!$E$3:$E$34)</f>
        <v>#N/A</v>
      </c>
      <c r="H44" s="94" t="e" cm="1">
        <f t="array" ref="H44">_xlfn.XLOOKUP(Table11782[[#This Row],[Opp]],Table14[DEF],'2024 fSZN'!$F$3:$F$34)</f>
        <v>#N/A</v>
      </c>
      <c r="I44" s="94" t="e" cm="1">
        <f t="array" ref="I44">_xlfn.XLOOKUP(Table11782[[#This Row],[Opp]],Table14[DEF],'2024 fSZN'!$G$3:$G$34)</f>
        <v>#N/A</v>
      </c>
      <c r="J44" s="94" t="e" cm="1">
        <f t="array" ref="J44">_xlfn.XLOOKUP(Table11782[[#This Row],[Opp]],Table14[DEF],'2024 fSZN'!$H$3:$H$34)</f>
        <v>#N/A</v>
      </c>
      <c r="K44" s="94" t="e" cm="1">
        <f t="array" ref="K44">_xlfn.XLOOKUP(Table11782[[#This Row],[Opp]],Table14[DEF],'2024 fSZN'!$I$3:$I$34)</f>
        <v>#N/A</v>
      </c>
      <c r="L44" s="95" t="e">
        <f>_xlfn.XLOOKUP(Table11782[[#This Row],[Opp]],Table14[DEF],Table14[P])</f>
        <v>#N/A</v>
      </c>
      <c r="M44" s="95" t="e">
        <f>_xlfn.XLOOKUP(Table11782[[#This Row],[Opp]],Table14[DEF],Table14[R])</f>
        <v>#N/A</v>
      </c>
      <c r="N44" s="95" t="e">
        <f>_xlfn.XLOOKUP(Table11782[[#This Row],[Opp]],Table14[DEF],Table14[P+R])</f>
        <v>#N/A</v>
      </c>
      <c r="O44" s="96" t="e">
        <f>_xlfn.XLOOKUP(Table11782[[#This Row],[Opp]],Table14[DEF],Table14[P TD])</f>
        <v>#N/A</v>
      </c>
      <c r="P44" s="96" t="e">
        <f>_xlfn.XLOOKUP(Table11782[[#This Row],[Opp]],Table14[DEF],Table14[TD])</f>
        <v>#N/A</v>
      </c>
      <c r="Q44" s="94" t="e">
        <f>AVERAGE(Table11782[[#This Row],[*P*]:[*TD*]])</f>
        <v>#N/A</v>
      </c>
    </row>
    <row r="45" spans="2:17" x14ac:dyDescent="0.35">
      <c r="B45" s="6" t="s">
        <v>275</v>
      </c>
      <c r="C45" s="97" t="s">
        <v>43</v>
      </c>
      <c r="D45" s="97" t="s">
        <v>399</v>
      </c>
      <c r="E45" s="6">
        <v>1</v>
      </c>
      <c r="F45" s="97" t="str">
        <f>'2025'!$E$21</f>
        <v>n/a</v>
      </c>
      <c r="G45" s="94" t="e" cm="1">
        <f t="array" ref="G45">_xlfn.XLOOKUP(Table11782[[#This Row],[Opp]],Table14[DEF],'2024 fSZN'!$E$3:$E$34)</f>
        <v>#N/A</v>
      </c>
      <c r="H45" s="94" t="e" cm="1">
        <f t="array" ref="H45">_xlfn.XLOOKUP(Table11782[[#This Row],[Opp]],Table14[DEF],'2024 fSZN'!$F$3:$F$34)</f>
        <v>#N/A</v>
      </c>
      <c r="I45" s="94" t="e" cm="1">
        <f t="array" ref="I45">_xlfn.XLOOKUP(Table11782[[#This Row],[Opp]],Table14[DEF],'2024 fSZN'!$G$3:$G$34)</f>
        <v>#N/A</v>
      </c>
      <c r="J45" s="94" t="e" cm="1">
        <f t="array" ref="J45">_xlfn.XLOOKUP(Table11782[[#This Row],[Opp]],Table14[DEF],'2024 fSZN'!$H$3:$H$34)</f>
        <v>#N/A</v>
      </c>
      <c r="K45" s="94" t="e" cm="1">
        <f t="array" ref="K45">_xlfn.XLOOKUP(Table11782[[#This Row],[Opp]],Table14[DEF],'2024 fSZN'!$I$3:$I$34)</f>
        <v>#N/A</v>
      </c>
      <c r="L45" s="95" t="e">
        <f>_xlfn.XLOOKUP(Table11782[[#This Row],[Opp]],Table14[DEF],Table14[P])</f>
        <v>#N/A</v>
      </c>
      <c r="M45" s="95" t="e">
        <f>_xlfn.XLOOKUP(Table11782[[#This Row],[Opp]],Table14[DEF],Table14[R])</f>
        <v>#N/A</v>
      </c>
      <c r="N45" s="95" t="e">
        <f>_xlfn.XLOOKUP(Table11782[[#This Row],[Opp]],Table14[DEF],Table14[P+R])</f>
        <v>#N/A</v>
      </c>
      <c r="O45" s="96" t="e">
        <f>_xlfn.XLOOKUP(Table11782[[#This Row],[Opp]],Table14[DEF],Table14[P TD])</f>
        <v>#N/A</v>
      </c>
      <c r="P45" s="96" t="e">
        <f>_xlfn.XLOOKUP(Table11782[[#This Row],[Opp]],Table14[DEF],Table14[TD])</f>
        <v>#N/A</v>
      </c>
      <c r="Q45" s="94" t="e">
        <f>AVERAGE(Table11782[[#This Row],[*P*]:[*P TD*]])</f>
        <v>#N/A</v>
      </c>
    </row>
    <row r="46" spans="2:17" x14ac:dyDescent="0.35">
      <c r="B46" s="6" t="s">
        <v>172</v>
      </c>
      <c r="C46" s="97" t="s">
        <v>43</v>
      </c>
      <c r="D46" s="97" t="s">
        <v>405</v>
      </c>
      <c r="E46" s="6">
        <v>0</v>
      </c>
      <c r="F46" s="97" t="str">
        <f>'2025'!$E$21</f>
        <v>n/a</v>
      </c>
      <c r="G46" s="94" t="e" cm="1">
        <f t="array" ref="G46">_xlfn.XLOOKUP(Table11782[[#This Row],[Opp]],Table14[DEF],'2024 fSZN'!$E$3:$E$34)</f>
        <v>#N/A</v>
      </c>
      <c r="H46" s="94" t="e" cm="1">
        <f t="array" ref="H46">_xlfn.XLOOKUP(Table11782[[#This Row],[Opp]],Table14[DEF],'2024 fSZN'!$F$3:$F$34)</f>
        <v>#N/A</v>
      </c>
      <c r="I46" s="94" t="e" cm="1">
        <f t="array" ref="I46">_xlfn.XLOOKUP(Table11782[[#This Row],[Opp]],Table14[DEF],'2024 fSZN'!$G$3:$G$34)</f>
        <v>#N/A</v>
      </c>
      <c r="J46" s="94" t="e" cm="1">
        <f t="array" ref="J46">_xlfn.XLOOKUP(Table11782[[#This Row],[Opp]],Table14[DEF],'2024 fSZN'!$H$3:$H$34)</f>
        <v>#N/A</v>
      </c>
      <c r="K46" s="94" t="e" cm="1">
        <f t="array" ref="K46">_xlfn.XLOOKUP(Table11782[[#This Row],[Opp]],Table14[DEF],'2024 fSZN'!$I$3:$I$34)</f>
        <v>#N/A</v>
      </c>
      <c r="L46" s="95" t="e">
        <f>_xlfn.XLOOKUP(Table11782[[#This Row],[Opp]],Table14[DEF],Table14[P])</f>
        <v>#N/A</v>
      </c>
      <c r="M46" s="95" t="e">
        <f>_xlfn.XLOOKUP(Table11782[[#This Row],[Opp]],Table14[DEF],Table14[R])</f>
        <v>#N/A</v>
      </c>
      <c r="N46" s="95" t="e">
        <f>_xlfn.XLOOKUP(Table11782[[#This Row],[Opp]],Table14[DEF],Table14[P+R])</f>
        <v>#N/A</v>
      </c>
      <c r="O46" s="96" t="e">
        <f>_xlfn.XLOOKUP(Table11782[[#This Row],[Opp]],Table14[DEF],Table14[P TD])</f>
        <v>#N/A</v>
      </c>
      <c r="P46" s="96" t="e">
        <f>_xlfn.XLOOKUP(Table11782[[#This Row],[Opp]],Table14[DEF],Table14[TD])</f>
        <v>#N/A</v>
      </c>
      <c r="Q46" s="94" t="e">
        <f>AVERAGE(Table11782[[#This Row],[*P*]:[*TD*]])</f>
        <v>#N/A</v>
      </c>
    </row>
    <row r="47" spans="2:17" x14ac:dyDescent="0.35">
      <c r="B47" s="6" t="s">
        <v>565</v>
      </c>
      <c r="C47" s="97" t="s">
        <v>43</v>
      </c>
      <c r="D47" s="97" t="s">
        <v>425</v>
      </c>
      <c r="E47" s="6">
        <v>-1</v>
      </c>
      <c r="F47" s="97" t="str">
        <f>'2025'!$E$21</f>
        <v>n/a</v>
      </c>
      <c r="G47" s="94" t="e" cm="1">
        <f t="array" ref="G47">_xlfn.XLOOKUP(Table11782[[#This Row],[Opp]],Table14[DEF],'2024 fSZN'!$E$3:$E$34)</f>
        <v>#N/A</v>
      </c>
      <c r="H47" s="94" t="e" cm="1">
        <f t="array" ref="H47">_xlfn.XLOOKUP(Table11782[[#This Row],[Opp]],Table14[DEF],'2024 fSZN'!$F$3:$F$34)</f>
        <v>#N/A</v>
      </c>
      <c r="I47" s="94" t="e" cm="1">
        <f t="array" ref="I47">_xlfn.XLOOKUP(Table11782[[#This Row],[Opp]],Table14[DEF],'2024 fSZN'!$G$3:$G$34)</f>
        <v>#N/A</v>
      </c>
      <c r="J47" s="94" t="e" cm="1">
        <f t="array" ref="J47">_xlfn.XLOOKUP(Table11782[[#This Row],[Opp]],Table14[DEF],'2024 fSZN'!$H$3:$H$34)</f>
        <v>#N/A</v>
      </c>
      <c r="K47" s="94" t="e" cm="1">
        <f t="array" ref="K47">_xlfn.XLOOKUP(Table11782[[#This Row],[Opp]],Table14[DEF],'2024 fSZN'!$I$3:$I$34)</f>
        <v>#N/A</v>
      </c>
      <c r="L47" s="95" t="e">
        <f>_xlfn.XLOOKUP(Table11782[[#This Row],[Opp]],Table14[DEF],Table14[P])</f>
        <v>#N/A</v>
      </c>
      <c r="M47" s="95" t="e">
        <f>_xlfn.XLOOKUP(Table11782[[#This Row],[Opp]],Table14[DEF],Table14[R])</f>
        <v>#N/A</v>
      </c>
      <c r="N47" s="95" t="e">
        <f>_xlfn.XLOOKUP(Table11782[[#This Row],[Opp]],Table14[DEF],Table14[P+R])</f>
        <v>#N/A</v>
      </c>
      <c r="O47" s="96" t="e">
        <f>_xlfn.XLOOKUP(Table11782[[#This Row],[Opp]],Table14[DEF],Table14[P TD])</f>
        <v>#N/A</v>
      </c>
      <c r="P47" s="96" t="e">
        <f>_xlfn.XLOOKUP(Table11782[[#This Row],[Opp]],Table14[DEF],Table14[TD])</f>
        <v>#N/A</v>
      </c>
      <c r="Q47" s="94" t="e">
        <f>AVERAGE(Table11782[[#This Row],[*P*]:[*TD*]])</f>
        <v>#N/A</v>
      </c>
    </row>
    <row r="48" spans="2:17" x14ac:dyDescent="0.35">
      <c r="B48" s="6" t="s">
        <v>284</v>
      </c>
      <c r="C48" s="97" t="s">
        <v>44</v>
      </c>
      <c r="D48" s="97" t="s">
        <v>399</v>
      </c>
      <c r="E48" s="6">
        <v>1</v>
      </c>
      <c r="F48" s="97" t="str">
        <f>'2025'!$E$22</f>
        <v>n/a</v>
      </c>
      <c r="G48" s="94" t="e" cm="1">
        <f t="array" ref="G48">_xlfn.XLOOKUP(Table11782[[#This Row],[Opp]],Table14[DEF],'2024 fSZN'!$E$3:$E$34)</f>
        <v>#N/A</v>
      </c>
      <c r="H48" s="94" t="e" cm="1">
        <f t="array" ref="H48">_xlfn.XLOOKUP(Table11782[[#This Row],[Opp]],Table14[DEF],'2024 fSZN'!$F$3:$F$34)</f>
        <v>#N/A</v>
      </c>
      <c r="I48" s="94" t="e" cm="1">
        <f t="array" ref="I48">_xlfn.XLOOKUP(Table11782[[#This Row],[Opp]],Table14[DEF],'2024 fSZN'!$G$3:$G$34)</f>
        <v>#N/A</v>
      </c>
      <c r="J48" s="94" t="e" cm="1">
        <f t="array" ref="J48">_xlfn.XLOOKUP(Table11782[[#This Row],[Opp]],Table14[DEF],'2024 fSZN'!$H$3:$H$34)</f>
        <v>#N/A</v>
      </c>
      <c r="K48" s="94" t="e" cm="1">
        <f t="array" ref="K48">_xlfn.XLOOKUP(Table11782[[#This Row],[Opp]],Table14[DEF],'2024 fSZN'!$I$3:$I$34)</f>
        <v>#N/A</v>
      </c>
      <c r="L48" s="95" t="e">
        <f>_xlfn.XLOOKUP(Table11782[[#This Row],[Opp]],Table14[DEF],Table14[P])</f>
        <v>#N/A</v>
      </c>
      <c r="M48" s="95" t="e">
        <f>_xlfn.XLOOKUP(Table11782[[#This Row],[Opp]],Table14[DEF],Table14[R])</f>
        <v>#N/A</v>
      </c>
      <c r="N48" s="95" t="e">
        <f>_xlfn.XLOOKUP(Table11782[[#This Row],[Opp]],Table14[DEF],Table14[P+R])</f>
        <v>#N/A</v>
      </c>
      <c r="O48" s="96" t="e">
        <f>_xlfn.XLOOKUP(Table11782[[#This Row],[Opp]],Table14[DEF],Table14[P TD])</f>
        <v>#N/A</v>
      </c>
      <c r="P48" s="96" t="e">
        <f>_xlfn.XLOOKUP(Table11782[[#This Row],[Opp]],Table14[DEF],Table14[TD])</f>
        <v>#N/A</v>
      </c>
      <c r="Q48" s="94" t="e">
        <f>AVERAGE(Table11782[[#This Row],[*P*]:[*P TD*]])</f>
        <v>#N/A</v>
      </c>
    </row>
    <row r="49" spans="2:17" x14ac:dyDescent="0.35">
      <c r="B49" s="6" t="s">
        <v>406</v>
      </c>
      <c r="C49" s="97" t="s">
        <v>44</v>
      </c>
      <c r="D49" s="98" t="s">
        <v>405</v>
      </c>
      <c r="E49" s="6">
        <v>1</v>
      </c>
      <c r="F49" s="97" t="str">
        <f>'2025'!$E$22</f>
        <v>n/a</v>
      </c>
      <c r="G49" s="94" t="e" cm="1">
        <f t="array" ref="G49">_xlfn.XLOOKUP(Table11782[[#This Row],[Opp]],Table14[DEF],'2024 fSZN'!$E$3:$E$34)</f>
        <v>#N/A</v>
      </c>
      <c r="H49" s="94" t="e" cm="1">
        <f t="array" ref="H49">_xlfn.XLOOKUP(Table11782[[#This Row],[Opp]],Table14[DEF],'2024 fSZN'!$F$3:$F$34)</f>
        <v>#N/A</v>
      </c>
      <c r="I49" s="94" t="e" cm="1">
        <f t="array" ref="I49">_xlfn.XLOOKUP(Table11782[[#This Row],[Opp]],Table14[DEF],'2024 fSZN'!$G$3:$G$34)</f>
        <v>#N/A</v>
      </c>
      <c r="J49" s="94" t="e" cm="1">
        <f t="array" ref="J49">_xlfn.XLOOKUP(Table11782[[#This Row],[Opp]],Table14[DEF],'2024 fSZN'!$H$3:$H$34)</f>
        <v>#N/A</v>
      </c>
      <c r="K49" s="94" t="e" cm="1">
        <f t="array" ref="K49">_xlfn.XLOOKUP(Table11782[[#This Row],[Opp]],Table14[DEF],'2024 fSZN'!$I$3:$I$34)</f>
        <v>#N/A</v>
      </c>
      <c r="L49" s="95" t="e">
        <f>_xlfn.XLOOKUP(Table11782[[#This Row],[Opp]],Table14[DEF],Table14[P])</f>
        <v>#N/A</v>
      </c>
      <c r="M49" s="95" t="e">
        <f>_xlfn.XLOOKUP(Table11782[[#This Row],[Opp]],Table14[DEF],Table14[R])</f>
        <v>#N/A</v>
      </c>
      <c r="N49" s="95" t="e">
        <f>_xlfn.XLOOKUP(Table11782[[#This Row],[Opp]],Table14[DEF],Table14[P+R])</f>
        <v>#N/A</v>
      </c>
      <c r="O49" s="96" t="e">
        <f>_xlfn.XLOOKUP(Table11782[[#This Row],[Opp]],Table14[DEF],Table14[P TD])</f>
        <v>#N/A</v>
      </c>
      <c r="P49" s="96" t="e">
        <f>_xlfn.XLOOKUP(Table11782[[#This Row],[Opp]],Table14[DEF],Table14[TD])</f>
        <v>#N/A</v>
      </c>
      <c r="Q49" s="94" t="e">
        <f>AVERAGE(Table11782[[#This Row],[*P*]:[*TD*]])</f>
        <v>#N/A</v>
      </c>
    </row>
    <row r="50" spans="2:17" x14ac:dyDescent="0.35">
      <c r="B50" s="6" t="s">
        <v>433</v>
      </c>
      <c r="C50" s="97" t="s">
        <v>44</v>
      </c>
      <c r="D50" s="97" t="s">
        <v>425</v>
      </c>
      <c r="E50" s="6">
        <v>1</v>
      </c>
      <c r="F50" s="97" t="str">
        <f>'2025'!$E$22</f>
        <v>n/a</v>
      </c>
      <c r="G50" s="94" t="e" cm="1">
        <f t="array" ref="G50">_xlfn.XLOOKUP(Table11782[[#This Row],[Opp]],Table14[DEF],'2024 fSZN'!$E$3:$E$34)</f>
        <v>#N/A</v>
      </c>
      <c r="H50" s="94" t="e" cm="1">
        <f t="array" ref="H50">_xlfn.XLOOKUP(Table11782[[#This Row],[Opp]],Table14[DEF],'2024 fSZN'!$F$3:$F$34)</f>
        <v>#N/A</v>
      </c>
      <c r="I50" s="94" t="e" cm="1">
        <f t="array" ref="I50">_xlfn.XLOOKUP(Table11782[[#This Row],[Opp]],Table14[DEF],'2024 fSZN'!$G$3:$G$34)</f>
        <v>#N/A</v>
      </c>
      <c r="J50" s="94" t="e" cm="1">
        <f t="array" ref="J50">_xlfn.XLOOKUP(Table11782[[#This Row],[Opp]],Table14[DEF],'2024 fSZN'!$H$3:$H$34)</f>
        <v>#N/A</v>
      </c>
      <c r="K50" s="94" t="e" cm="1">
        <f t="array" ref="K50">_xlfn.XLOOKUP(Table11782[[#This Row],[Opp]],Table14[DEF],'2024 fSZN'!$I$3:$I$34)</f>
        <v>#N/A</v>
      </c>
      <c r="L50" s="95" t="e">
        <f>_xlfn.XLOOKUP(Table11782[[#This Row],[Opp]],Table14[DEF],Table14[P])</f>
        <v>#N/A</v>
      </c>
      <c r="M50" s="95" t="e">
        <f>_xlfn.XLOOKUP(Table11782[[#This Row],[Opp]],Table14[DEF],Table14[R])</f>
        <v>#N/A</v>
      </c>
      <c r="N50" s="95" t="e">
        <f>_xlfn.XLOOKUP(Table11782[[#This Row],[Opp]],Table14[DEF],Table14[P+R])</f>
        <v>#N/A</v>
      </c>
      <c r="O50" s="96" t="e">
        <f>_xlfn.XLOOKUP(Table11782[[#This Row],[Opp]],Table14[DEF],Table14[P TD])</f>
        <v>#N/A</v>
      </c>
      <c r="P50" s="96" t="e">
        <f>_xlfn.XLOOKUP(Table11782[[#This Row],[Opp]],Table14[DEF],Table14[TD])</f>
        <v>#N/A</v>
      </c>
      <c r="Q50" s="94" t="e">
        <f>AVERAGE(Table11782[[#This Row],[*P*]:[*TD*]])</f>
        <v>#N/A</v>
      </c>
    </row>
    <row r="51" spans="2:17" x14ac:dyDescent="0.35">
      <c r="B51" s="6" t="s">
        <v>293</v>
      </c>
      <c r="C51" s="97" t="s">
        <v>45</v>
      </c>
      <c r="D51" s="97" t="s">
        <v>399</v>
      </c>
      <c r="E51" s="6">
        <v>1</v>
      </c>
      <c r="F51" s="97" t="str">
        <f>'2025'!$E$23</f>
        <v>n/a</v>
      </c>
      <c r="G51" s="94" t="e" cm="1">
        <f t="array" ref="G51">_xlfn.XLOOKUP(Table11782[[#This Row],[Opp]],Table14[DEF],'2024 fSZN'!$E$3:$E$34)</f>
        <v>#N/A</v>
      </c>
      <c r="H51" s="94" t="e" cm="1">
        <f t="array" ref="H51">_xlfn.XLOOKUP(Table11782[[#This Row],[Opp]],Table14[DEF],'2024 fSZN'!$F$3:$F$34)</f>
        <v>#N/A</v>
      </c>
      <c r="I51" s="94" t="e" cm="1">
        <f t="array" ref="I51">_xlfn.XLOOKUP(Table11782[[#This Row],[Opp]],Table14[DEF],'2024 fSZN'!$G$3:$G$34)</f>
        <v>#N/A</v>
      </c>
      <c r="J51" s="94" t="e" cm="1">
        <f t="array" ref="J51">_xlfn.XLOOKUP(Table11782[[#This Row],[Opp]],Table14[DEF],'2024 fSZN'!$H$3:$H$34)</f>
        <v>#N/A</v>
      </c>
      <c r="K51" s="94" t="e" cm="1">
        <f t="array" ref="K51">_xlfn.XLOOKUP(Table11782[[#This Row],[Opp]],Table14[DEF],'2024 fSZN'!$I$3:$I$34)</f>
        <v>#N/A</v>
      </c>
      <c r="L51" s="95" t="e">
        <f>_xlfn.XLOOKUP(Table11782[[#This Row],[Opp]],Table14[DEF],Table14[P])</f>
        <v>#N/A</v>
      </c>
      <c r="M51" s="95" t="e">
        <f>_xlfn.XLOOKUP(Table11782[[#This Row],[Opp]],Table14[DEF],Table14[R])</f>
        <v>#N/A</v>
      </c>
      <c r="N51" s="95" t="e">
        <f>_xlfn.XLOOKUP(Table11782[[#This Row],[Opp]],Table14[DEF],Table14[P+R])</f>
        <v>#N/A</v>
      </c>
      <c r="O51" s="96" t="e">
        <f>_xlfn.XLOOKUP(Table11782[[#This Row],[Opp]],Table14[DEF],Table14[P TD])</f>
        <v>#N/A</v>
      </c>
      <c r="P51" s="96" t="e">
        <f>_xlfn.XLOOKUP(Table11782[[#This Row],[Opp]],Table14[DEF],Table14[TD])</f>
        <v>#N/A</v>
      </c>
      <c r="Q51" s="94" t="e">
        <f>AVERAGE(Table11782[[#This Row],[*P*]:[*P TD*]])</f>
        <v>#N/A</v>
      </c>
    </row>
    <row r="52" spans="2:17" x14ac:dyDescent="0.35">
      <c r="B52" s="6" t="s">
        <v>517</v>
      </c>
      <c r="C52" s="97" t="s">
        <v>45</v>
      </c>
      <c r="D52" s="97" t="s">
        <v>405</v>
      </c>
      <c r="E52" s="6">
        <v>1</v>
      </c>
      <c r="F52" s="97" t="str">
        <f>'2025'!$E$23</f>
        <v>n/a</v>
      </c>
      <c r="G52" s="94" t="e" cm="1">
        <f t="array" ref="G52">_xlfn.XLOOKUP(Table11782[[#This Row],[Opp]],Table14[DEF],'2024 fSZN'!$E$3:$E$34)</f>
        <v>#N/A</v>
      </c>
      <c r="H52" s="94" t="e" cm="1">
        <f t="array" ref="H52">_xlfn.XLOOKUP(Table11782[[#This Row],[Opp]],Table14[DEF],'2024 fSZN'!$F$3:$F$34)</f>
        <v>#N/A</v>
      </c>
      <c r="I52" s="94" t="e" cm="1">
        <f t="array" ref="I52">_xlfn.XLOOKUP(Table11782[[#This Row],[Opp]],Table14[DEF],'2024 fSZN'!$G$3:$G$34)</f>
        <v>#N/A</v>
      </c>
      <c r="J52" s="94" t="e" cm="1">
        <f t="array" ref="J52">_xlfn.XLOOKUP(Table11782[[#This Row],[Opp]],Table14[DEF],'2024 fSZN'!$H$3:$H$34)</f>
        <v>#N/A</v>
      </c>
      <c r="K52" s="94" t="e" cm="1">
        <f t="array" ref="K52">_xlfn.XLOOKUP(Table11782[[#This Row],[Opp]],Table14[DEF],'2024 fSZN'!$I$3:$I$34)</f>
        <v>#N/A</v>
      </c>
      <c r="L52" s="95" t="e">
        <f>_xlfn.XLOOKUP(Table11782[[#This Row],[Opp]],Table14[DEF],Table14[P])</f>
        <v>#N/A</v>
      </c>
      <c r="M52" s="95" t="e">
        <f>_xlfn.XLOOKUP(Table11782[[#This Row],[Opp]],Table14[DEF],Table14[R])</f>
        <v>#N/A</v>
      </c>
      <c r="N52" s="95" t="e">
        <f>_xlfn.XLOOKUP(Table11782[[#This Row],[Opp]],Table14[DEF],Table14[P+R])</f>
        <v>#N/A</v>
      </c>
      <c r="O52" s="96" t="e">
        <f>_xlfn.XLOOKUP(Table11782[[#This Row],[Opp]],Table14[DEF],Table14[P TD])</f>
        <v>#N/A</v>
      </c>
      <c r="P52" s="96" t="e">
        <f>_xlfn.XLOOKUP(Table11782[[#This Row],[Opp]],Table14[DEF],Table14[TD])</f>
        <v>#N/A</v>
      </c>
      <c r="Q52" s="94" t="e">
        <f>AVERAGE(Table11782[[#This Row],[*P*]:[*TD*]])</f>
        <v>#N/A</v>
      </c>
    </row>
    <row r="53" spans="2:17" x14ac:dyDescent="0.35">
      <c r="B53" s="6" t="s">
        <v>518</v>
      </c>
      <c r="C53" s="97" t="s">
        <v>45</v>
      </c>
      <c r="D53" s="97" t="s">
        <v>425</v>
      </c>
      <c r="E53" s="6">
        <v>1</v>
      </c>
      <c r="F53" s="97" t="str">
        <f>'2025'!$E$23</f>
        <v>n/a</v>
      </c>
      <c r="G53" s="94" t="e" cm="1">
        <f t="array" ref="G53">_xlfn.XLOOKUP(Table11782[[#This Row],[Opp]],Table14[DEF],'2024 fSZN'!$E$3:$E$34)</f>
        <v>#N/A</v>
      </c>
      <c r="H53" s="94" t="e" cm="1">
        <f t="array" ref="H53">_xlfn.XLOOKUP(Table11782[[#This Row],[Opp]],Table14[DEF],'2024 fSZN'!$F$3:$F$34)</f>
        <v>#N/A</v>
      </c>
      <c r="I53" s="94" t="e" cm="1">
        <f t="array" ref="I53">_xlfn.XLOOKUP(Table11782[[#This Row],[Opp]],Table14[DEF],'2024 fSZN'!$G$3:$G$34)</f>
        <v>#N/A</v>
      </c>
      <c r="J53" s="94" t="e" cm="1">
        <f t="array" ref="J53">_xlfn.XLOOKUP(Table11782[[#This Row],[Opp]],Table14[DEF],'2024 fSZN'!$H$3:$H$34)</f>
        <v>#N/A</v>
      </c>
      <c r="K53" s="94" t="e" cm="1">
        <f t="array" ref="K53">_xlfn.XLOOKUP(Table11782[[#This Row],[Opp]],Table14[DEF],'2024 fSZN'!$I$3:$I$34)</f>
        <v>#N/A</v>
      </c>
      <c r="L53" s="95" t="e">
        <f>_xlfn.XLOOKUP(Table11782[[#This Row],[Opp]],Table14[DEF],Table14[P])</f>
        <v>#N/A</v>
      </c>
      <c r="M53" s="95" t="e">
        <f>_xlfn.XLOOKUP(Table11782[[#This Row],[Opp]],Table14[DEF],Table14[R])</f>
        <v>#N/A</v>
      </c>
      <c r="N53" s="95" t="e">
        <f>_xlfn.XLOOKUP(Table11782[[#This Row],[Opp]],Table14[DEF],Table14[P+R])</f>
        <v>#N/A</v>
      </c>
      <c r="O53" s="96" t="e">
        <f>_xlfn.XLOOKUP(Table11782[[#This Row],[Opp]],Table14[DEF],Table14[P TD])</f>
        <v>#N/A</v>
      </c>
      <c r="P53" s="96" t="e">
        <f>_xlfn.XLOOKUP(Table11782[[#This Row],[Opp]],Table14[DEF],Table14[TD])</f>
        <v>#N/A</v>
      </c>
      <c r="Q53" s="94" t="e">
        <f>AVERAGE(Table11782[[#This Row],[*P*]:[*TD*]])</f>
        <v>#N/A</v>
      </c>
    </row>
    <row r="54" spans="2:17" x14ac:dyDescent="0.35">
      <c r="B54" s="6" t="s">
        <v>302</v>
      </c>
      <c r="C54" s="97" t="s">
        <v>46</v>
      </c>
      <c r="D54" s="97" t="s">
        <v>399</v>
      </c>
      <c r="E54" s="6">
        <v>1</v>
      </c>
      <c r="F54" s="97" t="str">
        <f>'2025'!$E$24</f>
        <v>SEA</v>
      </c>
      <c r="G54" s="94" cm="1">
        <f t="array" ref="G54">_xlfn.XLOOKUP(Table11782[[#This Row],[Opp]],Table14[DEF],'2024 fSZN'!$E$3:$E$34)</f>
        <v>20.5</v>
      </c>
      <c r="H54" s="94" cm="1">
        <f t="array" ref="H54">_xlfn.XLOOKUP(Table11782[[#This Row],[Opp]],Table14[DEF],'2024 fSZN'!$F$3:$F$34)</f>
        <v>26</v>
      </c>
      <c r="I54" s="94" cm="1">
        <f t="array" ref="I54">_xlfn.XLOOKUP(Table11782[[#This Row],[Opp]],Table14[DEF],'2024 fSZN'!$G$3:$G$34)</f>
        <v>22</v>
      </c>
      <c r="J54" s="94" cm="1">
        <f t="array" ref="J54">_xlfn.XLOOKUP(Table11782[[#This Row],[Opp]],Table14[DEF],'2024 fSZN'!$H$3:$H$34)</f>
        <v>15.5</v>
      </c>
      <c r="K54" s="94" cm="1">
        <f t="array" ref="K54">_xlfn.XLOOKUP(Table11782[[#This Row],[Opp]],Table14[DEF],'2024 fSZN'!$I$3:$I$34)</f>
        <v>18</v>
      </c>
      <c r="L54" s="95">
        <f>_xlfn.XLOOKUP(Table11782[[#This Row],[Opp]],Table14[DEF],Table14[P])</f>
        <v>231.1764705882353</v>
      </c>
      <c r="M54" s="95">
        <f>_xlfn.XLOOKUP(Table11782[[#This Row],[Opp]],Table14[DEF],Table14[R])</f>
        <v>14.764705882352942</v>
      </c>
      <c r="N54" s="95">
        <f>_xlfn.XLOOKUP(Table11782[[#This Row],[Opp]],Table14[DEF],Table14[P+R])</f>
        <v>245.94117647058823</v>
      </c>
      <c r="O54" s="96">
        <f>_xlfn.XLOOKUP(Table11782[[#This Row],[Opp]],Table14[DEF],Table14[P TD])</f>
        <v>1.5294117647058822</v>
      </c>
      <c r="P54" s="96">
        <f>_xlfn.XLOOKUP(Table11782[[#This Row],[Opp]],Table14[DEF],Table14[TD])</f>
        <v>0.17647058823529413</v>
      </c>
      <c r="Q54" s="94">
        <f>AVERAGE(Table11782[[#This Row],[*P*]:[*P TD*]])</f>
        <v>21</v>
      </c>
    </row>
    <row r="55" spans="2:17" x14ac:dyDescent="0.35">
      <c r="B55" s="6" t="s">
        <v>303</v>
      </c>
      <c r="C55" s="97" t="s">
        <v>46</v>
      </c>
      <c r="D55" s="97" t="s">
        <v>405</v>
      </c>
      <c r="E55" s="6">
        <v>1</v>
      </c>
      <c r="F55" s="97" t="str">
        <f>'2025'!$E$24</f>
        <v>SEA</v>
      </c>
      <c r="G55" s="94" cm="1">
        <f t="array" ref="G55">_xlfn.XLOOKUP(Table11782[[#This Row],[Opp]],Table14[DEF],'2024 fSZN'!$E$3:$E$34)</f>
        <v>20.5</v>
      </c>
      <c r="H55" s="94" cm="1">
        <f t="array" ref="H55">_xlfn.XLOOKUP(Table11782[[#This Row],[Opp]],Table14[DEF],'2024 fSZN'!$F$3:$F$34)</f>
        <v>26</v>
      </c>
      <c r="I55" s="94" cm="1">
        <f t="array" ref="I55">_xlfn.XLOOKUP(Table11782[[#This Row],[Opp]],Table14[DEF],'2024 fSZN'!$G$3:$G$34)</f>
        <v>22</v>
      </c>
      <c r="J55" s="94" cm="1">
        <f t="array" ref="J55">_xlfn.XLOOKUP(Table11782[[#This Row],[Opp]],Table14[DEF],'2024 fSZN'!$H$3:$H$34)</f>
        <v>15.5</v>
      </c>
      <c r="K55" s="94" cm="1">
        <f t="array" ref="K55">_xlfn.XLOOKUP(Table11782[[#This Row],[Opp]],Table14[DEF],'2024 fSZN'!$I$3:$I$34)</f>
        <v>18</v>
      </c>
      <c r="L55" s="95">
        <f>_xlfn.XLOOKUP(Table11782[[#This Row],[Opp]],Table14[DEF],Table14[P])</f>
        <v>231.1764705882353</v>
      </c>
      <c r="M55" s="95">
        <f>_xlfn.XLOOKUP(Table11782[[#This Row],[Opp]],Table14[DEF],Table14[R])</f>
        <v>14.764705882352942</v>
      </c>
      <c r="N55" s="95">
        <f>_xlfn.XLOOKUP(Table11782[[#This Row],[Opp]],Table14[DEF],Table14[P+R])</f>
        <v>245.94117647058823</v>
      </c>
      <c r="O55" s="96">
        <f>_xlfn.XLOOKUP(Table11782[[#This Row],[Opp]],Table14[DEF],Table14[P TD])</f>
        <v>1.5294117647058822</v>
      </c>
      <c r="P55" s="96">
        <f>_xlfn.XLOOKUP(Table11782[[#This Row],[Opp]],Table14[DEF],Table14[TD])</f>
        <v>0.17647058823529413</v>
      </c>
      <c r="Q55" s="94">
        <f>AVERAGE(Table11782[[#This Row],[*P*]:[*TD*]])</f>
        <v>20.399999999999999</v>
      </c>
    </row>
    <row r="56" spans="2:17" x14ac:dyDescent="0.35">
      <c r="B56" s="6" t="s">
        <v>448</v>
      </c>
      <c r="C56" s="97" t="s">
        <v>46</v>
      </c>
      <c r="D56" s="97" t="s">
        <v>425</v>
      </c>
      <c r="E56" s="6">
        <v>1</v>
      </c>
      <c r="F56" s="97" t="str">
        <f>'2025'!$E$24</f>
        <v>SEA</v>
      </c>
      <c r="G56" s="94" cm="1">
        <f t="array" ref="G56">_xlfn.XLOOKUP(Table11782[[#This Row],[Opp]],Table14[DEF],'2024 fSZN'!$E$3:$E$34)</f>
        <v>20.5</v>
      </c>
      <c r="H56" s="94" cm="1">
        <f t="array" ref="H56">_xlfn.XLOOKUP(Table11782[[#This Row],[Opp]],Table14[DEF],'2024 fSZN'!$F$3:$F$34)</f>
        <v>26</v>
      </c>
      <c r="I56" s="94" cm="1">
        <f t="array" ref="I56">_xlfn.XLOOKUP(Table11782[[#This Row],[Opp]],Table14[DEF],'2024 fSZN'!$G$3:$G$34)</f>
        <v>22</v>
      </c>
      <c r="J56" s="94" cm="1">
        <f t="array" ref="J56">_xlfn.XLOOKUP(Table11782[[#This Row],[Opp]],Table14[DEF],'2024 fSZN'!$H$3:$H$34)</f>
        <v>15.5</v>
      </c>
      <c r="K56" s="94" cm="1">
        <f t="array" ref="K56">_xlfn.XLOOKUP(Table11782[[#This Row],[Opp]],Table14[DEF],'2024 fSZN'!$I$3:$I$34)</f>
        <v>18</v>
      </c>
      <c r="L56" s="95">
        <f>_xlfn.XLOOKUP(Table11782[[#This Row],[Opp]],Table14[DEF],Table14[P])</f>
        <v>231.1764705882353</v>
      </c>
      <c r="M56" s="95">
        <f>_xlfn.XLOOKUP(Table11782[[#This Row],[Opp]],Table14[DEF],Table14[R])</f>
        <v>14.764705882352942</v>
      </c>
      <c r="N56" s="95">
        <f>_xlfn.XLOOKUP(Table11782[[#This Row],[Opp]],Table14[DEF],Table14[P+R])</f>
        <v>245.94117647058823</v>
      </c>
      <c r="O56" s="96">
        <f>_xlfn.XLOOKUP(Table11782[[#This Row],[Opp]],Table14[DEF],Table14[P TD])</f>
        <v>1.5294117647058822</v>
      </c>
      <c r="P56" s="96">
        <f>_xlfn.XLOOKUP(Table11782[[#This Row],[Opp]],Table14[DEF],Table14[TD])</f>
        <v>0.17647058823529413</v>
      </c>
      <c r="Q56" s="94">
        <f>AVERAGE(Table11782[[#This Row],[*P*]:[*TD*]])</f>
        <v>20.399999999999999</v>
      </c>
    </row>
    <row r="57" spans="2:17" x14ac:dyDescent="0.35">
      <c r="B57" s="6" t="s">
        <v>313</v>
      </c>
      <c r="C57" s="97" t="s">
        <v>47</v>
      </c>
      <c r="D57" s="97" t="s">
        <v>399</v>
      </c>
      <c r="E57" s="6">
        <v>1</v>
      </c>
      <c r="F57" s="97" t="str">
        <f>'2025'!$E$25</f>
        <v>n/a</v>
      </c>
      <c r="G57" s="94" t="e" cm="1">
        <f t="array" ref="G57">_xlfn.XLOOKUP(Table11782[[#This Row],[Opp]],Table14[DEF],'2024 fSZN'!$E$3:$E$34)</f>
        <v>#N/A</v>
      </c>
      <c r="H57" s="94" t="e" cm="1">
        <f t="array" ref="H57">_xlfn.XLOOKUP(Table11782[[#This Row],[Opp]],Table14[DEF],'2024 fSZN'!$F$3:$F$34)</f>
        <v>#N/A</v>
      </c>
      <c r="I57" s="94" t="e" cm="1">
        <f t="array" ref="I57">_xlfn.XLOOKUP(Table11782[[#This Row],[Opp]],Table14[DEF],'2024 fSZN'!$G$3:$G$34)</f>
        <v>#N/A</v>
      </c>
      <c r="J57" s="94" t="e" cm="1">
        <f t="array" ref="J57">_xlfn.XLOOKUP(Table11782[[#This Row],[Opp]],Table14[DEF],'2024 fSZN'!$H$3:$H$34)</f>
        <v>#N/A</v>
      </c>
      <c r="K57" s="94" t="e" cm="1">
        <f t="array" ref="K57">_xlfn.XLOOKUP(Table11782[[#This Row],[Opp]],Table14[DEF],'2024 fSZN'!$I$3:$I$34)</f>
        <v>#N/A</v>
      </c>
      <c r="L57" s="95" t="e">
        <f>_xlfn.XLOOKUP(Table11782[[#This Row],[Opp]],Table14[DEF],Table14[P])</f>
        <v>#N/A</v>
      </c>
      <c r="M57" s="95" t="e">
        <f>_xlfn.XLOOKUP(Table11782[[#This Row],[Opp]],Table14[DEF],Table14[R])</f>
        <v>#N/A</v>
      </c>
      <c r="N57" s="95" t="e">
        <f>_xlfn.XLOOKUP(Table11782[[#This Row],[Opp]],Table14[DEF],Table14[P+R])</f>
        <v>#N/A</v>
      </c>
      <c r="O57" s="96" t="e">
        <f>_xlfn.XLOOKUP(Table11782[[#This Row],[Opp]],Table14[DEF],Table14[P TD])</f>
        <v>#N/A</v>
      </c>
      <c r="P57" s="96" t="e">
        <f>_xlfn.XLOOKUP(Table11782[[#This Row],[Opp]],Table14[DEF],Table14[TD])</f>
        <v>#N/A</v>
      </c>
      <c r="Q57" s="94" t="e">
        <f>AVERAGE(Table11782[[#This Row],[*P*]:[*P TD*]])</f>
        <v>#N/A</v>
      </c>
    </row>
    <row r="58" spans="2:17" x14ac:dyDescent="0.35">
      <c r="B58" s="6" t="s">
        <v>312</v>
      </c>
      <c r="C58" s="97" t="s">
        <v>47</v>
      </c>
      <c r="D58" s="97" t="s">
        <v>405</v>
      </c>
      <c r="E58" s="6">
        <v>1</v>
      </c>
      <c r="F58" s="97" t="str">
        <f>'2025'!$E$25</f>
        <v>n/a</v>
      </c>
      <c r="G58" s="94" t="e" cm="1">
        <f t="array" ref="G58">_xlfn.XLOOKUP(Table11782[[#This Row],[Opp]],Table14[DEF],'2024 fSZN'!$E$3:$E$34)</f>
        <v>#N/A</v>
      </c>
      <c r="H58" s="94" t="e" cm="1">
        <f t="array" ref="H58">_xlfn.XLOOKUP(Table11782[[#This Row],[Opp]],Table14[DEF],'2024 fSZN'!$F$3:$F$34)</f>
        <v>#N/A</v>
      </c>
      <c r="I58" s="94" t="e" cm="1">
        <f t="array" ref="I58">_xlfn.XLOOKUP(Table11782[[#This Row],[Opp]],Table14[DEF],'2024 fSZN'!$G$3:$G$34)</f>
        <v>#N/A</v>
      </c>
      <c r="J58" s="94" t="e" cm="1">
        <f t="array" ref="J58">_xlfn.XLOOKUP(Table11782[[#This Row],[Opp]],Table14[DEF],'2024 fSZN'!$H$3:$H$34)</f>
        <v>#N/A</v>
      </c>
      <c r="K58" s="94" t="e" cm="1">
        <f t="array" ref="K58">_xlfn.XLOOKUP(Table11782[[#This Row],[Opp]],Table14[DEF],'2024 fSZN'!$I$3:$I$34)</f>
        <v>#N/A</v>
      </c>
      <c r="L58" s="95" t="e">
        <f>_xlfn.XLOOKUP(Table11782[[#This Row],[Opp]],Table14[DEF],Table14[P])</f>
        <v>#N/A</v>
      </c>
      <c r="M58" s="95" t="e">
        <f>_xlfn.XLOOKUP(Table11782[[#This Row],[Opp]],Table14[DEF],Table14[R])</f>
        <v>#N/A</v>
      </c>
      <c r="N58" s="95" t="e">
        <f>_xlfn.XLOOKUP(Table11782[[#This Row],[Opp]],Table14[DEF],Table14[P+R])</f>
        <v>#N/A</v>
      </c>
      <c r="O58" s="96" t="e">
        <f>_xlfn.XLOOKUP(Table11782[[#This Row],[Opp]],Table14[DEF],Table14[P TD])</f>
        <v>#N/A</v>
      </c>
      <c r="P58" s="96" t="e">
        <f>_xlfn.XLOOKUP(Table11782[[#This Row],[Opp]],Table14[DEF],Table14[TD])</f>
        <v>#N/A</v>
      </c>
      <c r="Q58" s="94" t="e">
        <f>AVERAGE(Table11782[[#This Row],[*P*]:[*TD*]])</f>
        <v>#N/A</v>
      </c>
    </row>
    <row r="59" spans="2:17" x14ac:dyDescent="0.35">
      <c r="B59" s="6" t="s">
        <v>617</v>
      </c>
      <c r="C59" s="97" t="s">
        <v>47</v>
      </c>
      <c r="D59" s="97" t="s">
        <v>425</v>
      </c>
      <c r="E59" s="6">
        <v>1</v>
      </c>
      <c r="F59" s="97" t="str">
        <f>'2025'!$E$25</f>
        <v>n/a</v>
      </c>
      <c r="G59" s="94" t="e" cm="1">
        <f t="array" ref="G59">_xlfn.XLOOKUP(Table11782[[#This Row],[Opp]],Table14[DEF],'2024 fSZN'!$E$3:$E$34)</f>
        <v>#N/A</v>
      </c>
      <c r="H59" s="94" t="e" cm="1">
        <f t="array" ref="H59">_xlfn.XLOOKUP(Table11782[[#This Row],[Opp]],Table14[DEF],'2024 fSZN'!$F$3:$F$34)</f>
        <v>#N/A</v>
      </c>
      <c r="I59" s="94" t="e" cm="1">
        <f t="array" ref="I59">_xlfn.XLOOKUP(Table11782[[#This Row],[Opp]],Table14[DEF],'2024 fSZN'!$G$3:$G$34)</f>
        <v>#N/A</v>
      </c>
      <c r="J59" s="94" t="e" cm="1">
        <f t="array" ref="J59">_xlfn.XLOOKUP(Table11782[[#This Row],[Opp]],Table14[DEF],'2024 fSZN'!$H$3:$H$34)</f>
        <v>#N/A</v>
      </c>
      <c r="K59" s="94" t="e" cm="1">
        <f t="array" ref="K59">_xlfn.XLOOKUP(Table11782[[#This Row],[Opp]],Table14[DEF],'2024 fSZN'!$I$3:$I$34)</f>
        <v>#N/A</v>
      </c>
      <c r="L59" s="95" t="e">
        <f>_xlfn.XLOOKUP(Table11782[[#This Row],[Opp]],Table14[DEF],Table14[P])</f>
        <v>#N/A</v>
      </c>
      <c r="M59" s="95" t="e">
        <f>_xlfn.XLOOKUP(Table11782[[#This Row],[Opp]],Table14[DEF],Table14[R])</f>
        <v>#N/A</v>
      </c>
      <c r="N59" s="95" t="e">
        <f>_xlfn.XLOOKUP(Table11782[[#This Row],[Opp]],Table14[DEF],Table14[P+R])</f>
        <v>#N/A</v>
      </c>
      <c r="O59" s="96" t="e">
        <f>_xlfn.XLOOKUP(Table11782[[#This Row],[Opp]],Table14[DEF],Table14[P TD])</f>
        <v>#N/A</v>
      </c>
      <c r="P59" s="96" t="e">
        <f>_xlfn.XLOOKUP(Table11782[[#This Row],[Opp]],Table14[DEF],Table14[TD])</f>
        <v>#N/A</v>
      </c>
      <c r="Q59" s="94" t="e">
        <f>AVERAGE(Table11782[[#This Row],[*P*]:[*TD*]])</f>
        <v>#N/A</v>
      </c>
    </row>
    <row r="60" spans="2:17" x14ac:dyDescent="0.35">
      <c r="B60" s="6" t="s">
        <v>321</v>
      </c>
      <c r="C60" s="97" t="s">
        <v>48</v>
      </c>
      <c r="D60" s="97" t="s">
        <v>399</v>
      </c>
      <c r="E60" s="6">
        <v>1</v>
      </c>
      <c r="F60" s="97" t="str">
        <f>'2025'!$E$26</f>
        <v>n/a</v>
      </c>
      <c r="G60" s="94" t="e" cm="1">
        <f t="array" ref="G60">_xlfn.XLOOKUP(Table11782[[#This Row],[Opp]],Table14[DEF],'2024 fSZN'!$E$3:$E$34)</f>
        <v>#N/A</v>
      </c>
      <c r="H60" s="94" t="e" cm="1">
        <f t="array" ref="H60">_xlfn.XLOOKUP(Table11782[[#This Row],[Opp]],Table14[DEF],'2024 fSZN'!$F$3:$F$34)</f>
        <v>#N/A</v>
      </c>
      <c r="I60" s="94" t="e" cm="1">
        <f t="array" ref="I60">_xlfn.XLOOKUP(Table11782[[#This Row],[Opp]],Table14[DEF],'2024 fSZN'!$G$3:$G$34)</f>
        <v>#N/A</v>
      </c>
      <c r="J60" s="94" t="e" cm="1">
        <f t="array" ref="J60">_xlfn.XLOOKUP(Table11782[[#This Row],[Opp]],Table14[DEF],'2024 fSZN'!$H$3:$H$34)</f>
        <v>#N/A</v>
      </c>
      <c r="K60" s="94" t="e" cm="1">
        <f t="array" ref="K60">_xlfn.XLOOKUP(Table11782[[#This Row],[Opp]],Table14[DEF],'2024 fSZN'!$I$3:$I$34)</f>
        <v>#N/A</v>
      </c>
      <c r="L60" s="95" t="e">
        <f>_xlfn.XLOOKUP(Table11782[[#This Row],[Opp]],Table14[DEF],Table14[P])</f>
        <v>#N/A</v>
      </c>
      <c r="M60" s="95" t="e">
        <f>_xlfn.XLOOKUP(Table11782[[#This Row],[Opp]],Table14[DEF],Table14[R])</f>
        <v>#N/A</v>
      </c>
      <c r="N60" s="95" t="e">
        <f>_xlfn.XLOOKUP(Table11782[[#This Row],[Opp]],Table14[DEF],Table14[P+R])</f>
        <v>#N/A</v>
      </c>
      <c r="O60" s="96" t="e">
        <f>_xlfn.XLOOKUP(Table11782[[#This Row],[Opp]],Table14[DEF],Table14[P TD])</f>
        <v>#N/A</v>
      </c>
      <c r="P60" s="96" t="e">
        <f>_xlfn.XLOOKUP(Table11782[[#This Row],[Opp]],Table14[DEF],Table14[TD])</f>
        <v>#N/A</v>
      </c>
      <c r="Q60" s="94" t="e">
        <f>AVERAGE(Table11782[[#This Row],[*P*]:[*P TD*]])</f>
        <v>#N/A</v>
      </c>
    </row>
    <row r="61" spans="2:17" x14ac:dyDescent="0.35">
      <c r="B61" s="6" t="s">
        <v>323</v>
      </c>
      <c r="C61" s="97" t="s">
        <v>48</v>
      </c>
      <c r="D61" s="97" t="s">
        <v>405</v>
      </c>
      <c r="E61" s="6">
        <v>1</v>
      </c>
      <c r="F61" s="97" t="str">
        <f>'2025'!$E$26</f>
        <v>n/a</v>
      </c>
      <c r="G61" s="94" t="e" cm="1">
        <f t="array" ref="G61">_xlfn.XLOOKUP(Table11782[[#This Row],[Opp]],Table14[DEF],'2024 fSZN'!$E$3:$E$34)</f>
        <v>#N/A</v>
      </c>
      <c r="H61" s="94" t="e" cm="1">
        <f t="array" ref="H61">_xlfn.XLOOKUP(Table11782[[#This Row],[Opp]],Table14[DEF],'2024 fSZN'!$F$3:$F$34)</f>
        <v>#N/A</v>
      </c>
      <c r="I61" s="94" t="e" cm="1">
        <f t="array" ref="I61">_xlfn.XLOOKUP(Table11782[[#This Row],[Opp]],Table14[DEF],'2024 fSZN'!$G$3:$G$34)</f>
        <v>#N/A</v>
      </c>
      <c r="J61" s="94" t="e" cm="1">
        <f t="array" ref="J61">_xlfn.XLOOKUP(Table11782[[#This Row],[Opp]],Table14[DEF],'2024 fSZN'!$H$3:$H$34)</f>
        <v>#N/A</v>
      </c>
      <c r="K61" s="94" t="e" cm="1">
        <f t="array" ref="K61">_xlfn.XLOOKUP(Table11782[[#This Row],[Opp]],Table14[DEF],'2024 fSZN'!$I$3:$I$34)</f>
        <v>#N/A</v>
      </c>
      <c r="L61" s="95" t="e">
        <f>_xlfn.XLOOKUP(Table11782[[#This Row],[Opp]],Table14[DEF],Table14[P])</f>
        <v>#N/A</v>
      </c>
      <c r="M61" s="95" t="e">
        <f>_xlfn.XLOOKUP(Table11782[[#This Row],[Opp]],Table14[DEF],Table14[R])</f>
        <v>#N/A</v>
      </c>
      <c r="N61" s="95" t="e">
        <f>_xlfn.XLOOKUP(Table11782[[#This Row],[Opp]],Table14[DEF],Table14[P+R])</f>
        <v>#N/A</v>
      </c>
      <c r="O61" s="96" t="e">
        <f>_xlfn.XLOOKUP(Table11782[[#This Row],[Opp]],Table14[DEF],Table14[P TD])</f>
        <v>#N/A</v>
      </c>
      <c r="P61" s="96" t="e">
        <f>_xlfn.XLOOKUP(Table11782[[#This Row],[Opp]],Table14[DEF],Table14[TD])</f>
        <v>#N/A</v>
      </c>
      <c r="Q61" s="94" t="e">
        <f>AVERAGE(Table11782[[#This Row],[*P*]:[*TD*]])</f>
        <v>#N/A</v>
      </c>
    </row>
    <row r="62" spans="2:17" x14ac:dyDescent="0.35">
      <c r="B62" s="6" t="s">
        <v>322</v>
      </c>
      <c r="C62" s="97" t="s">
        <v>48</v>
      </c>
      <c r="D62" s="97" t="s">
        <v>425</v>
      </c>
      <c r="E62" s="6">
        <v>1</v>
      </c>
      <c r="F62" s="97" t="str">
        <f>'2025'!$E$26</f>
        <v>n/a</v>
      </c>
      <c r="G62" s="94" t="e" cm="1">
        <f t="array" ref="G62">_xlfn.XLOOKUP(Table11782[[#This Row],[Opp]],Table14[DEF],'2024 fSZN'!$E$3:$E$34)</f>
        <v>#N/A</v>
      </c>
      <c r="H62" s="94" t="e" cm="1">
        <f t="array" ref="H62">_xlfn.XLOOKUP(Table11782[[#This Row],[Opp]],Table14[DEF],'2024 fSZN'!$F$3:$F$34)</f>
        <v>#N/A</v>
      </c>
      <c r="I62" s="94" t="e" cm="1">
        <f t="array" ref="I62">_xlfn.XLOOKUP(Table11782[[#This Row],[Opp]],Table14[DEF],'2024 fSZN'!$G$3:$G$34)</f>
        <v>#N/A</v>
      </c>
      <c r="J62" s="94" t="e" cm="1">
        <f t="array" ref="J62">_xlfn.XLOOKUP(Table11782[[#This Row],[Opp]],Table14[DEF],'2024 fSZN'!$H$3:$H$34)</f>
        <v>#N/A</v>
      </c>
      <c r="K62" s="94" t="e" cm="1">
        <f t="array" ref="K62">_xlfn.XLOOKUP(Table11782[[#This Row],[Opp]],Table14[DEF],'2024 fSZN'!$I$3:$I$34)</f>
        <v>#N/A</v>
      </c>
      <c r="L62" s="95" t="e">
        <f>_xlfn.XLOOKUP(Table11782[[#This Row],[Opp]],Table14[DEF],Table14[P])</f>
        <v>#N/A</v>
      </c>
      <c r="M62" s="95" t="e">
        <f>_xlfn.XLOOKUP(Table11782[[#This Row],[Opp]],Table14[DEF],Table14[R])</f>
        <v>#N/A</v>
      </c>
      <c r="N62" s="95" t="e">
        <f>_xlfn.XLOOKUP(Table11782[[#This Row],[Opp]],Table14[DEF],Table14[P+R])</f>
        <v>#N/A</v>
      </c>
      <c r="O62" s="96" t="e">
        <f>_xlfn.XLOOKUP(Table11782[[#This Row],[Opp]],Table14[DEF],Table14[P TD])</f>
        <v>#N/A</v>
      </c>
      <c r="P62" s="96" t="e">
        <f>_xlfn.XLOOKUP(Table11782[[#This Row],[Opp]],Table14[DEF],Table14[TD])</f>
        <v>#N/A</v>
      </c>
      <c r="Q62" s="94" t="e">
        <f>AVERAGE(Table11782[[#This Row],[*P*]:[*TD*]])</f>
        <v>#N/A</v>
      </c>
    </row>
    <row r="63" spans="2:17" x14ac:dyDescent="0.35">
      <c r="B63" s="6" t="s">
        <v>330</v>
      </c>
      <c r="C63" s="97" t="s">
        <v>49</v>
      </c>
      <c r="D63" s="97" t="s">
        <v>399</v>
      </c>
      <c r="E63" s="6">
        <v>1</v>
      </c>
      <c r="F63" s="97" t="str">
        <f>'2025'!$E$27</f>
        <v>n/a</v>
      </c>
      <c r="G63" s="94" t="e" cm="1">
        <f t="array" ref="G63">_xlfn.XLOOKUP(Table11782[[#This Row],[Opp]],Table14[DEF],'2024 fSZN'!$E$3:$E$34)</f>
        <v>#N/A</v>
      </c>
      <c r="H63" s="94" t="e" cm="1">
        <f t="array" ref="H63">_xlfn.XLOOKUP(Table11782[[#This Row],[Opp]],Table14[DEF],'2024 fSZN'!$F$3:$F$34)</f>
        <v>#N/A</v>
      </c>
      <c r="I63" s="94" t="e" cm="1">
        <f t="array" ref="I63">_xlfn.XLOOKUP(Table11782[[#This Row],[Opp]],Table14[DEF],'2024 fSZN'!$G$3:$G$34)</f>
        <v>#N/A</v>
      </c>
      <c r="J63" s="94" t="e" cm="1">
        <f t="array" ref="J63">_xlfn.XLOOKUP(Table11782[[#This Row],[Opp]],Table14[DEF],'2024 fSZN'!$H$3:$H$34)</f>
        <v>#N/A</v>
      </c>
      <c r="K63" s="94" t="e" cm="1">
        <f t="array" ref="K63">_xlfn.XLOOKUP(Table11782[[#This Row],[Opp]],Table14[DEF],'2024 fSZN'!$I$3:$I$34)</f>
        <v>#N/A</v>
      </c>
      <c r="L63" s="95" t="e">
        <f>_xlfn.XLOOKUP(Table11782[[#This Row],[Opp]],Table14[DEF],Table14[P])</f>
        <v>#N/A</v>
      </c>
      <c r="M63" s="95" t="e">
        <f>_xlfn.XLOOKUP(Table11782[[#This Row],[Opp]],Table14[DEF],Table14[R])</f>
        <v>#N/A</v>
      </c>
      <c r="N63" s="95" t="e">
        <f>_xlfn.XLOOKUP(Table11782[[#This Row],[Opp]],Table14[DEF],Table14[P+R])</f>
        <v>#N/A</v>
      </c>
      <c r="O63" s="96" t="e">
        <f>_xlfn.XLOOKUP(Table11782[[#This Row],[Opp]],Table14[DEF],Table14[P TD])</f>
        <v>#N/A</v>
      </c>
      <c r="P63" s="96" t="e">
        <f>_xlfn.XLOOKUP(Table11782[[#This Row],[Opp]],Table14[DEF],Table14[TD])</f>
        <v>#N/A</v>
      </c>
      <c r="Q63" s="94" t="e">
        <f>AVERAGE(Table11782[[#This Row],[*P*]:[*P TD*]])</f>
        <v>#N/A</v>
      </c>
    </row>
    <row r="64" spans="2:17" x14ac:dyDescent="0.35">
      <c r="B64" s="6" t="s">
        <v>414</v>
      </c>
      <c r="C64" s="97" t="s">
        <v>49</v>
      </c>
      <c r="D64" s="97" t="s">
        <v>405</v>
      </c>
      <c r="E64" s="6">
        <v>0</v>
      </c>
      <c r="F64" s="97" t="str">
        <f>'2025'!$E$27</f>
        <v>n/a</v>
      </c>
      <c r="G64" s="94" t="e" cm="1">
        <f t="array" ref="G64">_xlfn.XLOOKUP(Table11782[[#This Row],[Opp]],Table14[DEF],'2024 fSZN'!$E$3:$E$34)</f>
        <v>#N/A</v>
      </c>
      <c r="H64" s="94" t="e" cm="1">
        <f t="array" ref="H64">_xlfn.XLOOKUP(Table11782[[#This Row],[Opp]],Table14[DEF],'2024 fSZN'!$F$3:$F$34)</f>
        <v>#N/A</v>
      </c>
      <c r="I64" s="94" t="e" cm="1">
        <f t="array" ref="I64">_xlfn.XLOOKUP(Table11782[[#This Row],[Opp]],Table14[DEF],'2024 fSZN'!$G$3:$G$34)</f>
        <v>#N/A</v>
      </c>
      <c r="J64" s="94" t="e" cm="1">
        <f t="array" ref="J64">_xlfn.XLOOKUP(Table11782[[#This Row],[Opp]],Table14[DEF],'2024 fSZN'!$H$3:$H$34)</f>
        <v>#N/A</v>
      </c>
      <c r="K64" s="94" t="e" cm="1">
        <f t="array" ref="K64">_xlfn.XLOOKUP(Table11782[[#This Row],[Opp]],Table14[DEF],'2024 fSZN'!$I$3:$I$34)</f>
        <v>#N/A</v>
      </c>
      <c r="L64" s="95" t="e">
        <f>_xlfn.XLOOKUP(Table11782[[#This Row],[Opp]],Table14[DEF],Table14[P])</f>
        <v>#N/A</v>
      </c>
      <c r="M64" s="95" t="e">
        <f>_xlfn.XLOOKUP(Table11782[[#This Row],[Opp]],Table14[DEF],Table14[R])</f>
        <v>#N/A</v>
      </c>
      <c r="N64" s="95" t="e">
        <f>_xlfn.XLOOKUP(Table11782[[#This Row],[Opp]],Table14[DEF],Table14[P+R])</f>
        <v>#N/A</v>
      </c>
      <c r="O64" s="96" t="e">
        <f>_xlfn.XLOOKUP(Table11782[[#This Row],[Opp]],Table14[DEF],Table14[P TD])</f>
        <v>#N/A</v>
      </c>
      <c r="P64" s="96" t="e">
        <f>_xlfn.XLOOKUP(Table11782[[#This Row],[Opp]],Table14[DEF],Table14[TD])</f>
        <v>#N/A</v>
      </c>
      <c r="Q64" s="94" t="e">
        <f>AVERAGE(Table11782[[#This Row],[*P*]:[*TD*]])</f>
        <v>#N/A</v>
      </c>
    </row>
    <row r="65" spans="2:17" x14ac:dyDescent="0.35">
      <c r="B65" s="6" t="s">
        <v>336</v>
      </c>
      <c r="C65" s="97" t="s">
        <v>50</v>
      </c>
      <c r="D65" s="97" t="s">
        <v>399</v>
      </c>
      <c r="E65" s="6">
        <v>1</v>
      </c>
      <c r="F65" s="97" t="str">
        <f>'2025'!$E$28</f>
        <v>n/a</v>
      </c>
      <c r="G65" s="94" t="e" cm="1">
        <f t="array" ref="G65">_xlfn.XLOOKUP(Table11782[[#This Row],[Opp]],Table14[DEF],'2024 fSZN'!$E$3:$E$34)</f>
        <v>#N/A</v>
      </c>
      <c r="H65" s="94" t="e" cm="1">
        <f t="array" ref="H65">_xlfn.XLOOKUP(Table11782[[#This Row],[Opp]],Table14[DEF],'2024 fSZN'!$F$3:$F$34)</f>
        <v>#N/A</v>
      </c>
      <c r="I65" s="94" t="e" cm="1">
        <f t="array" ref="I65">_xlfn.XLOOKUP(Table11782[[#This Row],[Opp]],Table14[DEF],'2024 fSZN'!$G$3:$G$34)</f>
        <v>#N/A</v>
      </c>
      <c r="J65" s="94" t="e" cm="1">
        <f t="array" ref="J65">_xlfn.XLOOKUP(Table11782[[#This Row],[Opp]],Table14[DEF],'2024 fSZN'!$H$3:$H$34)</f>
        <v>#N/A</v>
      </c>
      <c r="K65" s="94" t="e" cm="1">
        <f t="array" ref="K65">_xlfn.XLOOKUP(Table11782[[#This Row],[Opp]],Table14[DEF],'2024 fSZN'!$I$3:$I$34)</f>
        <v>#N/A</v>
      </c>
      <c r="L65" s="95" t="e">
        <f>_xlfn.XLOOKUP(Table11782[[#This Row],[Opp]],Table14[DEF],Table14[P])</f>
        <v>#N/A</v>
      </c>
      <c r="M65" s="95" t="e">
        <f>_xlfn.XLOOKUP(Table11782[[#This Row],[Opp]],Table14[DEF],Table14[R])</f>
        <v>#N/A</v>
      </c>
      <c r="N65" s="95" t="e">
        <f>_xlfn.XLOOKUP(Table11782[[#This Row],[Opp]],Table14[DEF],Table14[P+R])</f>
        <v>#N/A</v>
      </c>
      <c r="O65" s="96" t="e">
        <f>_xlfn.XLOOKUP(Table11782[[#This Row],[Opp]],Table14[DEF],Table14[P TD])</f>
        <v>#N/A</v>
      </c>
      <c r="P65" s="96" t="e">
        <f>_xlfn.XLOOKUP(Table11782[[#This Row],[Opp]],Table14[DEF],Table14[TD])</f>
        <v>#N/A</v>
      </c>
      <c r="Q65" s="94" t="e">
        <f>AVERAGE(Table11782[[#This Row],[*P*]:[*TD*]])</f>
        <v>#N/A</v>
      </c>
    </row>
    <row r="66" spans="2:17" x14ac:dyDescent="0.35">
      <c r="B66" s="6" t="s">
        <v>451</v>
      </c>
      <c r="C66" s="97" t="s">
        <v>50</v>
      </c>
      <c r="D66" s="97" t="s">
        <v>405</v>
      </c>
      <c r="E66" s="6">
        <v>0</v>
      </c>
      <c r="F66" s="97" t="str">
        <f>'2025'!$E$28</f>
        <v>n/a</v>
      </c>
      <c r="G66" s="94" t="e" cm="1">
        <f t="array" ref="G66">_xlfn.XLOOKUP(Table11782[[#This Row],[Opp]],Table14[DEF],'2024 fSZN'!$E$3:$E$34)</f>
        <v>#N/A</v>
      </c>
      <c r="H66" s="94" t="e" cm="1">
        <f t="array" ref="H66">_xlfn.XLOOKUP(Table11782[[#This Row],[Opp]],Table14[DEF],'2024 fSZN'!$F$3:$F$34)</f>
        <v>#N/A</v>
      </c>
      <c r="I66" s="94" t="e" cm="1">
        <f t="array" ref="I66">_xlfn.XLOOKUP(Table11782[[#This Row],[Opp]],Table14[DEF],'2024 fSZN'!$G$3:$G$34)</f>
        <v>#N/A</v>
      </c>
      <c r="J66" s="94" t="e" cm="1">
        <f t="array" ref="J66">_xlfn.XLOOKUP(Table11782[[#This Row],[Opp]],Table14[DEF],'2024 fSZN'!$H$3:$H$34)</f>
        <v>#N/A</v>
      </c>
      <c r="K66" s="94" t="e" cm="1">
        <f t="array" ref="K66">_xlfn.XLOOKUP(Table11782[[#This Row],[Opp]],Table14[DEF],'2024 fSZN'!$I$3:$I$34)</f>
        <v>#N/A</v>
      </c>
      <c r="L66" s="95" t="e">
        <f>_xlfn.XLOOKUP(Table11782[[#This Row],[Opp]],Table14[DEF],Table14[P])</f>
        <v>#N/A</v>
      </c>
      <c r="M66" s="95" t="e">
        <f>_xlfn.XLOOKUP(Table11782[[#This Row],[Opp]],Table14[DEF],Table14[R])</f>
        <v>#N/A</v>
      </c>
      <c r="N66" s="95" t="e">
        <f>_xlfn.XLOOKUP(Table11782[[#This Row],[Opp]],Table14[DEF],Table14[P+R])</f>
        <v>#N/A</v>
      </c>
      <c r="O66" s="96" t="e">
        <f>_xlfn.XLOOKUP(Table11782[[#This Row],[Opp]],Table14[DEF],Table14[P TD])</f>
        <v>#N/A</v>
      </c>
      <c r="P66" s="96" t="e">
        <f>_xlfn.XLOOKUP(Table11782[[#This Row],[Opp]],Table14[DEF],Table14[TD])</f>
        <v>#N/A</v>
      </c>
      <c r="Q66" s="94" t="e">
        <f>AVERAGE(Table11782[[#This Row],[*P*]:[*TD*]])</f>
        <v>#N/A</v>
      </c>
    </row>
    <row r="67" spans="2:17" x14ac:dyDescent="0.35">
      <c r="B67" s="6" t="s">
        <v>452</v>
      </c>
      <c r="C67" s="97" t="s">
        <v>50</v>
      </c>
      <c r="D67" s="97" t="s">
        <v>425</v>
      </c>
      <c r="E67" s="6">
        <v>1</v>
      </c>
      <c r="F67" s="97" t="str">
        <f>'2025'!$E$28</f>
        <v>n/a</v>
      </c>
      <c r="G67" s="94" t="e" cm="1">
        <f t="array" ref="G67">_xlfn.XLOOKUP(Table11782[[#This Row],[Opp]],Table14[DEF],'2024 fSZN'!$E$3:$E$34)</f>
        <v>#N/A</v>
      </c>
      <c r="H67" s="94" t="e" cm="1">
        <f t="array" ref="H67">_xlfn.XLOOKUP(Table11782[[#This Row],[Opp]],Table14[DEF],'2024 fSZN'!$F$3:$F$34)</f>
        <v>#N/A</v>
      </c>
      <c r="I67" s="94" t="e" cm="1">
        <f t="array" ref="I67">_xlfn.XLOOKUP(Table11782[[#This Row],[Opp]],Table14[DEF],'2024 fSZN'!$G$3:$G$34)</f>
        <v>#N/A</v>
      </c>
      <c r="J67" s="94" t="e" cm="1">
        <f t="array" ref="J67">_xlfn.XLOOKUP(Table11782[[#This Row],[Opp]],Table14[DEF],'2024 fSZN'!$H$3:$H$34)</f>
        <v>#N/A</v>
      </c>
      <c r="K67" s="94" t="e" cm="1">
        <f t="array" ref="K67">_xlfn.XLOOKUP(Table11782[[#This Row],[Opp]],Table14[DEF],'2024 fSZN'!$I$3:$I$34)</f>
        <v>#N/A</v>
      </c>
      <c r="L67" s="95" t="e">
        <f>_xlfn.XLOOKUP(Table11782[[#This Row],[Opp]],Table14[DEF],Table14[P])</f>
        <v>#N/A</v>
      </c>
      <c r="M67" s="95" t="e">
        <f>_xlfn.XLOOKUP(Table11782[[#This Row],[Opp]],Table14[DEF],Table14[R])</f>
        <v>#N/A</v>
      </c>
      <c r="N67" s="95" t="e">
        <f>_xlfn.XLOOKUP(Table11782[[#This Row],[Opp]],Table14[DEF],Table14[P+R])</f>
        <v>#N/A</v>
      </c>
      <c r="O67" s="96" t="e">
        <f>_xlfn.XLOOKUP(Table11782[[#This Row],[Opp]],Table14[DEF],Table14[P TD])</f>
        <v>#N/A</v>
      </c>
      <c r="P67" s="96" t="e">
        <f>_xlfn.XLOOKUP(Table11782[[#This Row],[Opp]],Table14[DEF],Table14[TD])</f>
        <v>#N/A</v>
      </c>
      <c r="Q67" s="94" t="e">
        <f>AVERAGE(Table11782[[#This Row],[*P*]:[*TD*]])</f>
        <v>#N/A</v>
      </c>
    </row>
    <row r="68" spans="2:17" x14ac:dyDescent="0.35">
      <c r="B68" s="6" t="s">
        <v>342</v>
      </c>
      <c r="C68" s="97" t="s">
        <v>51</v>
      </c>
      <c r="D68" s="97" t="s">
        <v>399</v>
      </c>
      <c r="E68" s="6">
        <v>1</v>
      </c>
      <c r="F68" s="97" t="str">
        <f>'2025'!$E$29</f>
        <v>n/a</v>
      </c>
      <c r="G68" s="94" t="e" cm="1">
        <f t="array" ref="G68">_xlfn.XLOOKUP(Table11782[[#This Row],[Opp]],Table14[DEF],'2024 fSZN'!$E$3:$E$34)</f>
        <v>#N/A</v>
      </c>
      <c r="H68" s="94" t="e" cm="1">
        <f t="array" ref="H68">_xlfn.XLOOKUP(Table11782[[#This Row],[Opp]],Table14[DEF],'2024 fSZN'!$F$3:$F$34)</f>
        <v>#N/A</v>
      </c>
      <c r="I68" s="94" t="e" cm="1">
        <f t="array" ref="I68">_xlfn.XLOOKUP(Table11782[[#This Row],[Opp]],Table14[DEF],'2024 fSZN'!$G$3:$G$34)</f>
        <v>#N/A</v>
      </c>
      <c r="J68" s="94" t="e" cm="1">
        <f t="array" ref="J68">_xlfn.XLOOKUP(Table11782[[#This Row],[Opp]],Table14[DEF],'2024 fSZN'!$H$3:$H$34)</f>
        <v>#N/A</v>
      </c>
      <c r="K68" s="94" t="e" cm="1">
        <f t="array" ref="K68">_xlfn.XLOOKUP(Table11782[[#This Row],[Opp]],Table14[DEF],'2024 fSZN'!$I$3:$I$34)</f>
        <v>#N/A</v>
      </c>
      <c r="L68" s="95" t="e">
        <f>_xlfn.XLOOKUP(Table11782[[#This Row],[Opp]],Table14[DEF],Table14[P])</f>
        <v>#N/A</v>
      </c>
      <c r="M68" s="95" t="e">
        <f>_xlfn.XLOOKUP(Table11782[[#This Row],[Opp]],Table14[DEF],Table14[R])</f>
        <v>#N/A</v>
      </c>
      <c r="N68" s="95" t="e">
        <f>_xlfn.XLOOKUP(Table11782[[#This Row],[Opp]],Table14[DEF],Table14[P+R])</f>
        <v>#N/A</v>
      </c>
      <c r="O68" s="96" t="e">
        <f>_xlfn.XLOOKUP(Table11782[[#This Row],[Opp]],Table14[DEF],Table14[P TD])</f>
        <v>#N/A</v>
      </c>
      <c r="P68" s="96" t="e">
        <f>_xlfn.XLOOKUP(Table11782[[#This Row],[Opp]],Table14[DEF],Table14[TD])</f>
        <v>#N/A</v>
      </c>
      <c r="Q68" s="94" t="e">
        <f>AVERAGE(Table11782[[#This Row],[*P*]:[*P TD*]])</f>
        <v>#N/A</v>
      </c>
    </row>
    <row r="69" spans="2:17" x14ac:dyDescent="0.35">
      <c r="B69" s="6" t="s">
        <v>489</v>
      </c>
      <c r="C69" s="97" t="s">
        <v>51</v>
      </c>
      <c r="D69" s="98" t="s">
        <v>405</v>
      </c>
      <c r="E69" s="6">
        <v>1</v>
      </c>
      <c r="F69" s="97" t="str">
        <f>'2025'!$E$29</f>
        <v>n/a</v>
      </c>
      <c r="G69" s="94" t="e" cm="1">
        <f t="array" ref="G69">_xlfn.XLOOKUP(Table11782[[#This Row],[Opp]],Table14[DEF],'2024 fSZN'!$E$3:$E$34)</f>
        <v>#N/A</v>
      </c>
      <c r="H69" s="94" t="e" cm="1">
        <f t="array" ref="H69">_xlfn.XLOOKUP(Table11782[[#This Row],[Opp]],Table14[DEF],'2024 fSZN'!$F$3:$F$34)</f>
        <v>#N/A</v>
      </c>
      <c r="I69" s="94" t="e" cm="1">
        <f t="array" ref="I69">_xlfn.XLOOKUP(Table11782[[#This Row],[Opp]],Table14[DEF],'2024 fSZN'!$G$3:$G$34)</f>
        <v>#N/A</v>
      </c>
      <c r="J69" s="94" t="e" cm="1">
        <f t="array" ref="J69">_xlfn.XLOOKUP(Table11782[[#This Row],[Opp]],Table14[DEF],'2024 fSZN'!$H$3:$H$34)</f>
        <v>#N/A</v>
      </c>
      <c r="K69" s="94" t="e" cm="1">
        <f t="array" ref="K69">_xlfn.XLOOKUP(Table11782[[#This Row],[Opp]],Table14[DEF],'2024 fSZN'!$I$3:$I$34)</f>
        <v>#N/A</v>
      </c>
      <c r="L69" s="95" t="e">
        <f>_xlfn.XLOOKUP(Table11782[[#This Row],[Opp]],Table14[DEF],Table14[P])</f>
        <v>#N/A</v>
      </c>
      <c r="M69" s="95" t="e">
        <f>_xlfn.XLOOKUP(Table11782[[#This Row],[Opp]],Table14[DEF],Table14[R])</f>
        <v>#N/A</v>
      </c>
      <c r="N69" s="95" t="e">
        <f>_xlfn.XLOOKUP(Table11782[[#This Row],[Opp]],Table14[DEF],Table14[P+R])</f>
        <v>#N/A</v>
      </c>
      <c r="O69" s="96" t="e">
        <f>_xlfn.XLOOKUP(Table11782[[#This Row],[Opp]],Table14[DEF],Table14[P TD])</f>
        <v>#N/A</v>
      </c>
      <c r="P69" s="96" t="e">
        <f>_xlfn.XLOOKUP(Table11782[[#This Row],[Opp]],Table14[DEF],Table14[TD])</f>
        <v>#N/A</v>
      </c>
      <c r="Q69" s="94" t="e">
        <f>AVERAGE(Table11782[[#This Row],[*P*]:[*TD*]])</f>
        <v>#N/A</v>
      </c>
    </row>
    <row r="70" spans="2:17" x14ac:dyDescent="0.35">
      <c r="B70" s="6" t="s">
        <v>490</v>
      </c>
      <c r="C70" s="97" t="s">
        <v>51</v>
      </c>
      <c r="D70" s="97" t="s">
        <v>425</v>
      </c>
      <c r="E70" s="6">
        <v>1</v>
      </c>
      <c r="F70" s="97" t="str">
        <f>'2025'!$E$29</f>
        <v>n/a</v>
      </c>
      <c r="G70" s="94" t="e" cm="1">
        <f t="array" ref="G70">_xlfn.XLOOKUP(Table11782[[#This Row],[Opp]],Table14[DEF],'2024 fSZN'!$E$3:$E$34)</f>
        <v>#N/A</v>
      </c>
      <c r="H70" s="94" t="e" cm="1">
        <f t="array" ref="H70">_xlfn.XLOOKUP(Table11782[[#This Row],[Opp]],Table14[DEF],'2024 fSZN'!$F$3:$F$34)</f>
        <v>#N/A</v>
      </c>
      <c r="I70" s="94" t="e" cm="1">
        <f t="array" ref="I70">_xlfn.XLOOKUP(Table11782[[#This Row],[Opp]],Table14[DEF],'2024 fSZN'!$G$3:$G$34)</f>
        <v>#N/A</v>
      </c>
      <c r="J70" s="94" t="e" cm="1">
        <f t="array" ref="J70">_xlfn.XLOOKUP(Table11782[[#This Row],[Opp]],Table14[DEF],'2024 fSZN'!$H$3:$H$34)</f>
        <v>#N/A</v>
      </c>
      <c r="K70" s="94" t="e" cm="1">
        <f t="array" ref="K70">_xlfn.XLOOKUP(Table11782[[#This Row],[Opp]],Table14[DEF],'2024 fSZN'!$I$3:$I$34)</f>
        <v>#N/A</v>
      </c>
      <c r="L70" s="95" t="e">
        <f>_xlfn.XLOOKUP(Table11782[[#This Row],[Opp]],Table14[DEF],Table14[P])</f>
        <v>#N/A</v>
      </c>
      <c r="M70" s="95" t="e">
        <f>_xlfn.XLOOKUP(Table11782[[#This Row],[Opp]],Table14[DEF],Table14[R])</f>
        <v>#N/A</v>
      </c>
      <c r="N70" s="95" t="e">
        <f>_xlfn.XLOOKUP(Table11782[[#This Row],[Opp]],Table14[DEF],Table14[P+R])</f>
        <v>#N/A</v>
      </c>
      <c r="O70" s="96" t="e">
        <f>_xlfn.XLOOKUP(Table11782[[#This Row],[Opp]],Table14[DEF],Table14[P TD])</f>
        <v>#N/A</v>
      </c>
      <c r="P70" s="96" t="e">
        <f>_xlfn.XLOOKUP(Table11782[[#This Row],[Opp]],Table14[DEF],Table14[TD])</f>
        <v>#N/A</v>
      </c>
      <c r="Q70" s="94" t="e">
        <f>AVERAGE(Table11782[[#This Row],[*P*]:[*TD*]])</f>
        <v>#N/A</v>
      </c>
    </row>
    <row r="71" spans="2:17" x14ac:dyDescent="0.35">
      <c r="B71" s="6" t="s">
        <v>491</v>
      </c>
      <c r="C71" s="97" t="s">
        <v>51</v>
      </c>
      <c r="D71" s="97" t="s">
        <v>480</v>
      </c>
      <c r="E71" s="6">
        <v>-1</v>
      </c>
      <c r="F71" s="97" t="str">
        <f>'2025'!$E$29</f>
        <v>n/a</v>
      </c>
      <c r="G71" s="94" t="e" cm="1">
        <f t="array" ref="G71">_xlfn.XLOOKUP(Table11782[[#This Row],[Opp]],Table14[DEF],'2024 fSZN'!$E$3:$E$34)</f>
        <v>#N/A</v>
      </c>
      <c r="H71" s="94" t="e" cm="1">
        <f t="array" ref="H71">_xlfn.XLOOKUP(Table11782[[#This Row],[Opp]],Table14[DEF],'2024 fSZN'!$F$3:$F$34)</f>
        <v>#N/A</v>
      </c>
      <c r="I71" s="94" t="e" cm="1">
        <f t="array" ref="I71">_xlfn.XLOOKUP(Table11782[[#This Row],[Opp]],Table14[DEF],'2024 fSZN'!$G$3:$G$34)</f>
        <v>#N/A</v>
      </c>
      <c r="J71" s="94" t="e" cm="1">
        <f t="array" ref="J71">_xlfn.XLOOKUP(Table11782[[#This Row],[Opp]],Table14[DEF],'2024 fSZN'!$H$3:$H$34)</f>
        <v>#N/A</v>
      </c>
      <c r="K71" s="94" t="e" cm="1">
        <f t="array" ref="K71">_xlfn.XLOOKUP(Table11782[[#This Row],[Opp]],Table14[DEF],'2024 fSZN'!$I$3:$I$34)</f>
        <v>#N/A</v>
      </c>
      <c r="L71" s="95" t="e">
        <f>_xlfn.XLOOKUP(Table11782[[#This Row],[Opp]],Table14[DEF],Table14[P])</f>
        <v>#N/A</v>
      </c>
      <c r="M71" s="95" t="e">
        <f>_xlfn.XLOOKUP(Table11782[[#This Row],[Opp]],Table14[DEF],Table14[R])</f>
        <v>#N/A</v>
      </c>
      <c r="N71" s="95" t="e">
        <f>_xlfn.XLOOKUP(Table11782[[#This Row],[Opp]],Table14[DEF],Table14[P+R])</f>
        <v>#N/A</v>
      </c>
      <c r="O71" s="96" t="e">
        <f>_xlfn.XLOOKUP(Table11782[[#This Row],[Opp]],Table14[DEF],Table14[P TD])</f>
        <v>#N/A</v>
      </c>
      <c r="P71" s="96" t="e">
        <f>_xlfn.XLOOKUP(Table11782[[#This Row],[Opp]],Table14[DEF],Table14[TD])</f>
        <v>#N/A</v>
      </c>
      <c r="Q71" s="94" t="e">
        <f>AVERAGE(Table11782[[#This Row],[*P*]:[*TD*]])</f>
        <v>#N/A</v>
      </c>
    </row>
    <row r="72" spans="2:17" x14ac:dyDescent="0.35">
      <c r="B72" s="6" t="s">
        <v>350</v>
      </c>
      <c r="C72" s="97" t="s">
        <v>52</v>
      </c>
      <c r="D72" s="97" t="s">
        <v>399</v>
      </c>
      <c r="E72" s="6">
        <v>1</v>
      </c>
      <c r="F72" s="97" t="str">
        <f>'2025'!$E$30</f>
        <v>NE</v>
      </c>
      <c r="G72" s="94" cm="1">
        <f t="array" ref="G72">_xlfn.XLOOKUP(Table11782[[#This Row],[Opp]],Table14[DEF],'2024 fSZN'!$E$3:$E$34)</f>
        <v>27</v>
      </c>
      <c r="H72" s="94" cm="1">
        <f t="array" ref="H72">_xlfn.XLOOKUP(Table11782[[#This Row],[Opp]],Table14[DEF],'2024 fSZN'!$F$3:$F$34)</f>
        <v>28</v>
      </c>
      <c r="I72" s="94" cm="1">
        <f t="array" ref="I72">_xlfn.XLOOKUP(Table11782[[#This Row],[Opp]],Table14[DEF],'2024 fSZN'!$G$3:$G$34)</f>
        <v>27</v>
      </c>
      <c r="J72" s="94" cm="1">
        <f t="array" ref="J72">_xlfn.XLOOKUP(Table11782[[#This Row],[Opp]],Table14[DEF],'2024 fSZN'!$H$3:$H$34)</f>
        <v>12.5</v>
      </c>
      <c r="K72" s="94" cm="1">
        <f t="array" ref="K72">_xlfn.XLOOKUP(Table11782[[#This Row],[Opp]],Table14[DEF],'2024 fSZN'!$I$3:$I$34)</f>
        <v>29</v>
      </c>
      <c r="L72" s="95">
        <f>_xlfn.XLOOKUP(Table11782[[#This Row],[Opp]],Table14[DEF],Table14[P])</f>
        <v>220.52941176470588</v>
      </c>
      <c r="M72" s="95">
        <f>_xlfn.XLOOKUP(Table11782[[#This Row],[Opp]],Table14[DEF],Table14[R])</f>
        <v>13.588235294117647</v>
      </c>
      <c r="N72" s="95">
        <f>_xlfn.XLOOKUP(Table11782[[#This Row],[Opp]],Table14[DEF],Table14[P+R])</f>
        <v>234.11764705882354</v>
      </c>
      <c r="O72" s="96">
        <f>_xlfn.XLOOKUP(Table11782[[#This Row],[Opp]],Table14[DEF],Table14[P TD])</f>
        <v>1.588235294117647</v>
      </c>
      <c r="P72" s="96">
        <f>_xlfn.XLOOKUP(Table11782[[#This Row],[Opp]],Table14[DEF],Table14[TD])</f>
        <v>5.8823529411764705E-2</v>
      </c>
      <c r="Q72" s="94">
        <f>AVERAGE(Table11782[[#This Row],[*P*]:[*P TD*]])</f>
        <v>23.625</v>
      </c>
    </row>
    <row r="73" spans="2:17" x14ac:dyDescent="0.35">
      <c r="B73" s="6" t="s">
        <v>524</v>
      </c>
      <c r="C73" s="97" t="s">
        <v>52</v>
      </c>
      <c r="D73" s="97" t="s">
        <v>405</v>
      </c>
      <c r="E73" s="6">
        <v>1</v>
      </c>
      <c r="F73" s="97" t="str">
        <f>'2025'!$E$30</f>
        <v>NE</v>
      </c>
      <c r="G73" s="94" cm="1">
        <f t="array" ref="G73">_xlfn.XLOOKUP(Table11782[[#This Row],[Opp]],Table14[DEF],'2024 fSZN'!$E$3:$E$34)</f>
        <v>27</v>
      </c>
      <c r="H73" s="94" cm="1">
        <f t="array" ref="H73">_xlfn.XLOOKUP(Table11782[[#This Row],[Opp]],Table14[DEF],'2024 fSZN'!$F$3:$F$34)</f>
        <v>28</v>
      </c>
      <c r="I73" s="94" cm="1">
        <f t="array" ref="I73">_xlfn.XLOOKUP(Table11782[[#This Row],[Opp]],Table14[DEF],'2024 fSZN'!$G$3:$G$34)</f>
        <v>27</v>
      </c>
      <c r="J73" s="94" cm="1">
        <f t="array" ref="J73">_xlfn.XLOOKUP(Table11782[[#This Row],[Opp]],Table14[DEF],'2024 fSZN'!$H$3:$H$34)</f>
        <v>12.5</v>
      </c>
      <c r="K73" s="94" cm="1">
        <f t="array" ref="K73">_xlfn.XLOOKUP(Table11782[[#This Row],[Opp]],Table14[DEF],'2024 fSZN'!$I$3:$I$34)</f>
        <v>29</v>
      </c>
      <c r="L73" s="95">
        <f>_xlfn.XLOOKUP(Table11782[[#This Row],[Opp]],Table14[DEF],Table14[P])</f>
        <v>220.52941176470588</v>
      </c>
      <c r="M73" s="95">
        <f>_xlfn.XLOOKUP(Table11782[[#This Row],[Opp]],Table14[DEF],Table14[R])</f>
        <v>13.588235294117647</v>
      </c>
      <c r="N73" s="95">
        <f>_xlfn.XLOOKUP(Table11782[[#This Row],[Opp]],Table14[DEF],Table14[P+R])</f>
        <v>234.11764705882354</v>
      </c>
      <c r="O73" s="96">
        <f>_xlfn.XLOOKUP(Table11782[[#This Row],[Opp]],Table14[DEF],Table14[P TD])</f>
        <v>1.588235294117647</v>
      </c>
      <c r="P73" s="96">
        <f>_xlfn.XLOOKUP(Table11782[[#This Row],[Opp]],Table14[DEF],Table14[TD])</f>
        <v>5.8823529411764705E-2</v>
      </c>
      <c r="Q73" s="94">
        <f>AVERAGE(Table11782[[#This Row],[*P*]:[*TD*]])</f>
        <v>24.7</v>
      </c>
    </row>
    <row r="74" spans="2:17" x14ac:dyDescent="0.35">
      <c r="B74" s="6" t="s">
        <v>525</v>
      </c>
      <c r="C74" s="97" t="s">
        <v>52</v>
      </c>
      <c r="D74" s="97" t="s">
        <v>425</v>
      </c>
      <c r="E74" s="6">
        <v>1</v>
      </c>
      <c r="F74" s="97" t="str">
        <f>'2025'!$E$30</f>
        <v>NE</v>
      </c>
      <c r="G74" s="94" cm="1">
        <f t="array" ref="G74">_xlfn.XLOOKUP(Table11782[[#This Row],[Opp]],Table14[DEF],'2024 fSZN'!$E$3:$E$34)</f>
        <v>27</v>
      </c>
      <c r="H74" s="94" cm="1">
        <f t="array" ref="H74">_xlfn.XLOOKUP(Table11782[[#This Row],[Opp]],Table14[DEF],'2024 fSZN'!$F$3:$F$34)</f>
        <v>28</v>
      </c>
      <c r="I74" s="94" cm="1">
        <f t="array" ref="I74">_xlfn.XLOOKUP(Table11782[[#This Row],[Opp]],Table14[DEF],'2024 fSZN'!$G$3:$G$34)</f>
        <v>27</v>
      </c>
      <c r="J74" s="94" cm="1">
        <f t="array" ref="J74">_xlfn.XLOOKUP(Table11782[[#This Row],[Opp]],Table14[DEF],'2024 fSZN'!$H$3:$H$34)</f>
        <v>12.5</v>
      </c>
      <c r="K74" s="94" cm="1">
        <f t="array" ref="K74">_xlfn.XLOOKUP(Table11782[[#This Row],[Opp]],Table14[DEF],'2024 fSZN'!$I$3:$I$34)</f>
        <v>29</v>
      </c>
      <c r="L74" s="95">
        <f>_xlfn.XLOOKUP(Table11782[[#This Row],[Opp]],Table14[DEF],Table14[P])</f>
        <v>220.52941176470588</v>
      </c>
      <c r="M74" s="95">
        <f>_xlfn.XLOOKUP(Table11782[[#This Row],[Opp]],Table14[DEF],Table14[R])</f>
        <v>13.588235294117647</v>
      </c>
      <c r="N74" s="95">
        <f>_xlfn.XLOOKUP(Table11782[[#This Row],[Opp]],Table14[DEF],Table14[P+R])</f>
        <v>234.11764705882354</v>
      </c>
      <c r="O74" s="96">
        <f>_xlfn.XLOOKUP(Table11782[[#This Row],[Opp]],Table14[DEF],Table14[P TD])</f>
        <v>1.588235294117647</v>
      </c>
      <c r="P74" s="96">
        <f>_xlfn.XLOOKUP(Table11782[[#This Row],[Opp]],Table14[DEF],Table14[TD])</f>
        <v>5.8823529411764705E-2</v>
      </c>
      <c r="Q74" s="94">
        <f>AVERAGE(Table11782[[#This Row],[*P*]:[*TD*]])</f>
        <v>24.7</v>
      </c>
    </row>
    <row r="75" spans="2:17" x14ac:dyDescent="0.35">
      <c r="B75" s="6" t="s">
        <v>357</v>
      </c>
      <c r="C75" s="97" t="s">
        <v>53</v>
      </c>
      <c r="D75" s="97" t="s">
        <v>399</v>
      </c>
      <c r="E75" s="6">
        <v>1</v>
      </c>
      <c r="F75" s="97" t="str">
        <f>'2025'!$E$31</f>
        <v>n/a</v>
      </c>
      <c r="G75" s="94" t="e" cm="1">
        <f t="array" ref="G75">_xlfn.XLOOKUP(Table11782[[#This Row],[Opp]],Table14[DEF],'2024 fSZN'!$E$3:$E$34)</f>
        <v>#N/A</v>
      </c>
      <c r="H75" s="94" t="e" cm="1">
        <f t="array" ref="H75">_xlfn.XLOOKUP(Table11782[[#This Row],[Opp]],Table14[DEF],'2024 fSZN'!$F$3:$F$34)</f>
        <v>#N/A</v>
      </c>
      <c r="I75" s="94" t="e" cm="1">
        <f t="array" ref="I75">_xlfn.XLOOKUP(Table11782[[#This Row],[Opp]],Table14[DEF],'2024 fSZN'!$G$3:$G$34)</f>
        <v>#N/A</v>
      </c>
      <c r="J75" s="94" t="e" cm="1">
        <f t="array" ref="J75">_xlfn.XLOOKUP(Table11782[[#This Row],[Opp]],Table14[DEF],'2024 fSZN'!$H$3:$H$34)</f>
        <v>#N/A</v>
      </c>
      <c r="K75" s="94" t="e" cm="1">
        <f t="array" ref="K75">_xlfn.XLOOKUP(Table11782[[#This Row],[Opp]],Table14[DEF],'2024 fSZN'!$I$3:$I$34)</f>
        <v>#N/A</v>
      </c>
      <c r="L75" s="95" t="e">
        <f>_xlfn.XLOOKUP(Table11782[[#This Row],[Opp]],Table14[DEF],Table14[P])</f>
        <v>#N/A</v>
      </c>
      <c r="M75" s="95" t="e">
        <f>_xlfn.XLOOKUP(Table11782[[#This Row],[Opp]],Table14[DEF],Table14[R])</f>
        <v>#N/A</v>
      </c>
      <c r="N75" s="95" t="e">
        <f>_xlfn.XLOOKUP(Table11782[[#This Row],[Opp]],Table14[DEF],Table14[P+R])</f>
        <v>#N/A</v>
      </c>
      <c r="O75" s="96" t="e">
        <f>_xlfn.XLOOKUP(Table11782[[#This Row],[Opp]],Table14[DEF],Table14[P TD])</f>
        <v>#N/A</v>
      </c>
      <c r="P75" s="96" t="e">
        <f>_xlfn.XLOOKUP(Table11782[[#This Row],[Opp]],Table14[DEF],Table14[TD])</f>
        <v>#N/A</v>
      </c>
      <c r="Q75" s="94" t="e">
        <f>AVERAGE(Table11782[[#This Row],[*P*]:[*P TD*]])</f>
        <v>#N/A</v>
      </c>
    </row>
    <row r="76" spans="2:17" x14ac:dyDescent="0.35">
      <c r="B76" s="6" t="s">
        <v>538</v>
      </c>
      <c r="C76" s="97" t="s">
        <v>53</v>
      </c>
      <c r="D76" s="97" t="s">
        <v>405</v>
      </c>
      <c r="E76" s="6">
        <v>0</v>
      </c>
      <c r="F76" s="97" t="str">
        <f>'2025'!$E$31</f>
        <v>n/a</v>
      </c>
      <c r="G76" s="94" t="e" cm="1">
        <f t="array" ref="G76">_xlfn.XLOOKUP(Table11782[[#This Row],[Opp]],Table14[DEF],'2024 fSZN'!$E$3:$E$34)</f>
        <v>#N/A</v>
      </c>
      <c r="H76" s="94" t="e" cm="1">
        <f t="array" ref="H76">_xlfn.XLOOKUP(Table11782[[#This Row],[Opp]],Table14[DEF],'2024 fSZN'!$F$3:$F$34)</f>
        <v>#N/A</v>
      </c>
      <c r="I76" s="94" t="e" cm="1">
        <f t="array" ref="I76">_xlfn.XLOOKUP(Table11782[[#This Row],[Opp]],Table14[DEF],'2024 fSZN'!$G$3:$G$34)</f>
        <v>#N/A</v>
      </c>
      <c r="J76" s="94" t="e" cm="1">
        <f t="array" ref="J76">_xlfn.XLOOKUP(Table11782[[#This Row],[Opp]],Table14[DEF],'2024 fSZN'!$H$3:$H$34)</f>
        <v>#N/A</v>
      </c>
      <c r="K76" s="94" t="e" cm="1">
        <f t="array" ref="K76">_xlfn.XLOOKUP(Table11782[[#This Row],[Opp]],Table14[DEF],'2024 fSZN'!$I$3:$I$34)</f>
        <v>#N/A</v>
      </c>
      <c r="L76" s="95" t="e">
        <f>_xlfn.XLOOKUP(Table11782[[#This Row],[Opp]],Table14[DEF],Table14[P])</f>
        <v>#N/A</v>
      </c>
      <c r="M76" s="95" t="e">
        <f>_xlfn.XLOOKUP(Table11782[[#This Row],[Opp]],Table14[DEF],Table14[R])</f>
        <v>#N/A</v>
      </c>
      <c r="N76" s="95" t="e">
        <f>_xlfn.XLOOKUP(Table11782[[#This Row],[Opp]],Table14[DEF],Table14[P+R])</f>
        <v>#N/A</v>
      </c>
      <c r="O76" s="96" t="e">
        <f>_xlfn.XLOOKUP(Table11782[[#This Row],[Opp]],Table14[DEF],Table14[P TD])</f>
        <v>#N/A</v>
      </c>
      <c r="P76" s="96" t="e">
        <f>_xlfn.XLOOKUP(Table11782[[#This Row],[Opp]],Table14[DEF],Table14[TD])</f>
        <v>#N/A</v>
      </c>
      <c r="Q76" s="94" t="e">
        <f>AVERAGE(Table11782[[#This Row],[*P*]:[*TD*]])</f>
        <v>#N/A</v>
      </c>
    </row>
    <row r="77" spans="2:17" x14ac:dyDescent="0.35">
      <c r="B77" s="6" t="s">
        <v>358</v>
      </c>
      <c r="C77" s="97" t="s">
        <v>53</v>
      </c>
      <c r="D77" s="97" t="s">
        <v>425</v>
      </c>
      <c r="E77" s="6">
        <v>-1</v>
      </c>
      <c r="F77" s="97" t="str">
        <f>'2025'!$E$31</f>
        <v>n/a</v>
      </c>
      <c r="G77" s="94" t="e" cm="1">
        <f t="array" ref="G77">_xlfn.XLOOKUP(Table11782[[#This Row],[Opp]],Table14[DEF],'2024 fSZN'!$E$3:$E$34)</f>
        <v>#N/A</v>
      </c>
      <c r="H77" s="94" t="e" cm="1">
        <f t="array" ref="H77">_xlfn.XLOOKUP(Table11782[[#This Row],[Opp]],Table14[DEF],'2024 fSZN'!$F$3:$F$34)</f>
        <v>#N/A</v>
      </c>
      <c r="I77" s="94" t="e" cm="1">
        <f t="array" ref="I77">_xlfn.XLOOKUP(Table11782[[#This Row],[Opp]],Table14[DEF],'2024 fSZN'!$G$3:$G$34)</f>
        <v>#N/A</v>
      </c>
      <c r="J77" s="94" t="e" cm="1">
        <f t="array" ref="J77">_xlfn.XLOOKUP(Table11782[[#This Row],[Opp]],Table14[DEF],'2024 fSZN'!$H$3:$H$34)</f>
        <v>#N/A</v>
      </c>
      <c r="K77" s="94" t="e" cm="1">
        <f t="array" ref="K77">_xlfn.XLOOKUP(Table11782[[#This Row],[Opp]],Table14[DEF],'2024 fSZN'!$I$3:$I$34)</f>
        <v>#N/A</v>
      </c>
      <c r="L77" s="95" t="e">
        <f>_xlfn.XLOOKUP(Table11782[[#This Row],[Opp]],Table14[DEF],Table14[P])</f>
        <v>#N/A</v>
      </c>
      <c r="M77" s="95" t="e">
        <f>_xlfn.XLOOKUP(Table11782[[#This Row],[Opp]],Table14[DEF],Table14[R])</f>
        <v>#N/A</v>
      </c>
      <c r="N77" s="95" t="e">
        <f>_xlfn.XLOOKUP(Table11782[[#This Row],[Opp]],Table14[DEF],Table14[P+R])</f>
        <v>#N/A</v>
      </c>
      <c r="O77" s="96" t="e">
        <f>_xlfn.XLOOKUP(Table11782[[#This Row],[Opp]],Table14[DEF],Table14[P TD])</f>
        <v>#N/A</v>
      </c>
      <c r="P77" s="96" t="e">
        <f>_xlfn.XLOOKUP(Table11782[[#This Row],[Opp]],Table14[DEF],Table14[TD])</f>
        <v>#N/A</v>
      </c>
      <c r="Q77" s="94" t="e">
        <f>AVERAGE(Table11782[[#This Row],[*P*]:[*TD*]])</f>
        <v>#N/A</v>
      </c>
    </row>
    <row r="78" spans="2:17" x14ac:dyDescent="0.35">
      <c r="B78" s="6" t="s">
        <v>539</v>
      </c>
      <c r="C78" s="97" t="s">
        <v>53</v>
      </c>
      <c r="D78" s="97" t="s">
        <v>480</v>
      </c>
      <c r="E78" s="6">
        <v>-1</v>
      </c>
      <c r="F78" s="97" t="str">
        <f>'2025'!$E$31</f>
        <v>n/a</v>
      </c>
      <c r="G78" s="94" t="e" cm="1">
        <f t="array" ref="G78">_xlfn.XLOOKUP(Table11782[[#This Row],[Opp]],Table14[DEF],'2024 fSZN'!$E$3:$E$34)</f>
        <v>#N/A</v>
      </c>
      <c r="H78" s="94" t="e" cm="1">
        <f t="array" ref="H78">_xlfn.XLOOKUP(Table11782[[#This Row],[Opp]],Table14[DEF],'2024 fSZN'!$F$3:$F$34)</f>
        <v>#N/A</v>
      </c>
      <c r="I78" s="94" t="e" cm="1">
        <f t="array" ref="I78">_xlfn.XLOOKUP(Table11782[[#This Row],[Opp]],Table14[DEF],'2024 fSZN'!$G$3:$G$34)</f>
        <v>#N/A</v>
      </c>
      <c r="J78" s="94" t="e" cm="1">
        <f t="array" ref="J78">_xlfn.XLOOKUP(Table11782[[#This Row],[Opp]],Table14[DEF],'2024 fSZN'!$H$3:$H$34)</f>
        <v>#N/A</v>
      </c>
      <c r="K78" s="94" t="e" cm="1">
        <f t="array" ref="K78">_xlfn.XLOOKUP(Table11782[[#This Row],[Opp]],Table14[DEF],'2024 fSZN'!$I$3:$I$34)</f>
        <v>#N/A</v>
      </c>
      <c r="L78" s="95" t="e">
        <f>_xlfn.XLOOKUP(Table11782[[#This Row],[Opp]],Table14[DEF],Table14[P])</f>
        <v>#N/A</v>
      </c>
      <c r="M78" s="95" t="e">
        <f>_xlfn.XLOOKUP(Table11782[[#This Row],[Opp]],Table14[DEF],Table14[R])</f>
        <v>#N/A</v>
      </c>
      <c r="N78" s="95" t="e">
        <f>_xlfn.XLOOKUP(Table11782[[#This Row],[Opp]],Table14[DEF],Table14[P+R])</f>
        <v>#N/A</v>
      </c>
      <c r="O78" s="96" t="e">
        <f>_xlfn.XLOOKUP(Table11782[[#This Row],[Opp]],Table14[DEF],Table14[P TD])</f>
        <v>#N/A</v>
      </c>
      <c r="P78" s="96" t="e">
        <f>_xlfn.XLOOKUP(Table11782[[#This Row],[Opp]],Table14[DEF],Table14[TD])</f>
        <v>#N/A</v>
      </c>
      <c r="Q78" s="94" t="e">
        <f>AVERAGE(Table11782[[#This Row],[*P*]:[*TD*]])</f>
        <v>#N/A</v>
      </c>
    </row>
    <row r="79" spans="2:17" x14ac:dyDescent="0.35">
      <c r="B79" s="6" t="s">
        <v>367</v>
      </c>
      <c r="C79" s="97" t="s">
        <v>54</v>
      </c>
      <c r="D79" s="97" t="s">
        <v>399</v>
      </c>
      <c r="E79" s="6">
        <v>1</v>
      </c>
      <c r="F79" s="97" t="str">
        <f>'2025'!$E$32</f>
        <v>n/a</v>
      </c>
      <c r="G79" s="94" t="e" cm="1">
        <f t="array" ref="G79">_xlfn.XLOOKUP(Table11782[[#This Row],[Opp]],Table14[DEF],'2024 fSZN'!$E$3:$E$34)</f>
        <v>#N/A</v>
      </c>
      <c r="H79" s="94" t="e" cm="1">
        <f t="array" ref="H79">_xlfn.XLOOKUP(Table11782[[#This Row],[Opp]],Table14[DEF],'2024 fSZN'!$F$3:$F$34)</f>
        <v>#N/A</v>
      </c>
      <c r="I79" s="94" t="e" cm="1">
        <f t="array" ref="I79">_xlfn.XLOOKUP(Table11782[[#This Row],[Opp]],Table14[DEF],'2024 fSZN'!$G$3:$G$34)</f>
        <v>#N/A</v>
      </c>
      <c r="J79" s="94" t="e" cm="1">
        <f t="array" ref="J79">_xlfn.XLOOKUP(Table11782[[#This Row],[Opp]],Table14[DEF],'2024 fSZN'!$H$3:$H$34)</f>
        <v>#N/A</v>
      </c>
      <c r="K79" s="94" t="e" cm="1">
        <f t="array" ref="K79">_xlfn.XLOOKUP(Table11782[[#This Row],[Opp]],Table14[DEF],'2024 fSZN'!$I$3:$I$34)</f>
        <v>#N/A</v>
      </c>
      <c r="L79" s="95" t="e">
        <f>_xlfn.XLOOKUP(Table11782[[#This Row],[Opp]],Table14[DEF],Table14[P])</f>
        <v>#N/A</v>
      </c>
      <c r="M79" s="95" t="e">
        <f>_xlfn.XLOOKUP(Table11782[[#This Row],[Opp]],Table14[DEF],Table14[R])</f>
        <v>#N/A</v>
      </c>
      <c r="N79" s="95" t="e">
        <f>_xlfn.XLOOKUP(Table11782[[#This Row],[Opp]],Table14[DEF],Table14[P+R])</f>
        <v>#N/A</v>
      </c>
      <c r="O79" s="96" t="e">
        <f>_xlfn.XLOOKUP(Table11782[[#This Row],[Opp]],Table14[DEF],Table14[P TD])</f>
        <v>#N/A</v>
      </c>
      <c r="P79" s="96" t="e">
        <f>_xlfn.XLOOKUP(Table11782[[#This Row],[Opp]],Table14[DEF],Table14[TD])</f>
        <v>#N/A</v>
      </c>
      <c r="Q79" s="94" t="e">
        <f>AVERAGE(Table11782[[#This Row],[*P*]:[*P TD*]])</f>
        <v>#N/A</v>
      </c>
    </row>
    <row r="80" spans="2:17" x14ac:dyDescent="0.35">
      <c r="B80" s="6" t="s">
        <v>583</v>
      </c>
      <c r="C80" s="97" t="s">
        <v>54</v>
      </c>
      <c r="D80" s="98" t="s">
        <v>405</v>
      </c>
      <c r="E80" s="6">
        <v>1</v>
      </c>
      <c r="F80" s="97" t="str">
        <f>'2025'!$E$32</f>
        <v>n/a</v>
      </c>
      <c r="G80" s="94" t="e" cm="1">
        <f t="array" ref="G80">_xlfn.XLOOKUP(Table11782[[#This Row],[Opp]],Table14[DEF],'2024 fSZN'!$E$3:$E$34)</f>
        <v>#N/A</v>
      </c>
      <c r="H80" s="94" t="e" cm="1">
        <f t="array" ref="H80">_xlfn.XLOOKUP(Table11782[[#This Row],[Opp]],Table14[DEF],'2024 fSZN'!$F$3:$F$34)</f>
        <v>#N/A</v>
      </c>
      <c r="I80" s="94" t="e" cm="1">
        <f t="array" ref="I80">_xlfn.XLOOKUP(Table11782[[#This Row],[Opp]],Table14[DEF],'2024 fSZN'!$G$3:$G$34)</f>
        <v>#N/A</v>
      </c>
      <c r="J80" s="94" t="e" cm="1">
        <f t="array" ref="J80">_xlfn.XLOOKUP(Table11782[[#This Row],[Opp]],Table14[DEF],'2024 fSZN'!$H$3:$H$34)</f>
        <v>#N/A</v>
      </c>
      <c r="K80" s="94" t="e" cm="1">
        <f t="array" ref="K80">_xlfn.XLOOKUP(Table11782[[#This Row],[Opp]],Table14[DEF],'2024 fSZN'!$I$3:$I$34)</f>
        <v>#N/A</v>
      </c>
      <c r="L80" s="95" t="e">
        <f>_xlfn.XLOOKUP(Table11782[[#This Row],[Opp]],Table14[DEF],Table14[P])</f>
        <v>#N/A</v>
      </c>
      <c r="M80" s="95" t="e">
        <f>_xlfn.XLOOKUP(Table11782[[#This Row],[Opp]],Table14[DEF],Table14[R])</f>
        <v>#N/A</v>
      </c>
      <c r="N80" s="95" t="e">
        <f>_xlfn.XLOOKUP(Table11782[[#This Row],[Opp]],Table14[DEF],Table14[P+R])</f>
        <v>#N/A</v>
      </c>
      <c r="O80" s="96" t="e">
        <f>_xlfn.XLOOKUP(Table11782[[#This Row],[Opp]],Table14[DEF],Table14[P TD])</f>
        <v>#N/A</v>
      </c>
      <c r="P80" s="96" t="e">
        <f>_xlfn.XLOOKUP(Table11782[[#This Row],[Opp]],Table14[DEF],Table14[TD])</f>
        <v>#N/A</v>
      </c>
      <c r="Q80" s="94" t="e">
        <f>AVERAGE(Table11782[[#This Row],[*P*]:[*TD*]])</f>
        <v>#N/A</v>
      </c>
    </row>
    <row r="81" spans="2:17" x14ac:dyDescent="0.35">
      <c r="B81" s="6" t="s">
        <v>376</v>
      </c>
      <c r="C81" s="97" t="s">
        <v>55</v>
      </c>
      <c r="D81" s="97" t="s">
        <v>399</v>
      </c>
      <c r="E81" s="6">
        <v>1</v>
      </c>
      <c r="F81" s="97" t="str">
        <f>'2025'!$E$33</f>
        <v>n/a</v>
      </c>
      <c r="G81" s="94" t="e" cm="1">
        <f t="array" ref="G81">_xlfn.XLOOKUP(Table11782[[#This Row],[Opp]],Table14[DEF],'2024 fSZN'!$E$3:$E$34)</f>
        <v>#N/A</v>
      </c>
      <c r="H81" s="94" t="e" cm="1">
        <f t="array" ref="H81">_xlfn.XLOOKUP(Table11782[[#This Row],[Opp]],Table14[DEF],'2024 fSZN'!$F$3:$F$34)</f>
        <v>#N/A</v>
      </c>
      <c r="I81" s="94" t="e" cm="1">
        <f t="array" ref="I81">_xlfn.XLOOKUP(Table11782[[#This Row],[Opp]],Table14[DEF],'2024 fSZN'!$G$3:$G$34)</f>
        <v>#N/A</v>
      </c>
      <c r="J81" s="94" t="e" cm="1">
        <f t="array" ref="J81">_xlfn.XLOOKUP(Table11782[[#This Row],[Opp]],Table14[DEF],'2024 fSZN'!$H$3:$H$34)</f>
        <v>#N/A</v>
      </c>
      <c r="K81" s="94" t="e" cm="1">
        <f t="array" ref="K81">_xlfn.XLOOKUP(Table11782[[#This Row],[Opp]],Table14[DEF],'2024 fSZN'!$I$3:$I$34)</f>
        <v>#N/A</v>
      </c>
      <c r="L81" s="95" t="e">
        <f>_xlfn.XLOOKUP(Table11782[[#This Row],[Opp]],Table14[DEF],Table14[P])</f>
        <v>#N/A</v>
      </c>
      <c r="M81" s="95" t="e">
        <f>_xlfn.XLOOKUP(Table11782[[#This Row],[Opp]],Table14[DEF],Table14[R])</f>
        <v>#N/A</v>
      </c>
      <c r="N81" s="95" t="e">
        <f>_xlfn.XLOOKUP(Table11782[[#This Row],[Opp]],Table14[DEF],Table14[P+R])</f>
        <v>#N/A</v>
      </c>
      <c r="O81" s="96" t="e">
        <f>_xlfn.XLOOKUP(Table11782[[#This Row],[Opp]],Table14[DEF],Table14[P TD])</f>
        <v>#N/A</v>
      </c>
      <c r="P81" s="96" t="e">
        <f>_xlfn.XLOOKUP(Table11782[[#This Row],[Opp]],Table14[DEF],Table14[TD])</f>
        <v>#N/A</v>
      </c>
      <c r="Q81" s="94" t="e">
        <f>AVERAGE(Table11782[[#This Row],[*P*]:[*P TD*]])</f>
        <v>#N/A</v>
      </c>
    </row>
    <row r="82" spans="2:17" x14ac:dyDescent="0.35">
      <c r="B82" s="6" t="s">
        <v>331</v>
      </c>
      <c r="C82" s="97" t="s">
        <v>55</v>
      </c>
      <c r="D82" s="98" t="s">
        <v>405</v>
      </c>
      <c r="E82" s="6">
        <v>1</v>
      </c>
      <c r="F82" s="97" t="str">
        <f>'2025'!$E$33</f>
        <v>n/a</v>
      </c>
      <c r="G82" s="94" t="e" cm="1">
        <f t="array" ref="G82">_xlfn.XLOOKUP(Table11782[[#This Row],[Opp]],Table14[DEF],'2024 fSZN'!$E$3:$E$34)</f>
        <v>#N/A</v>
      </c>
      <c r="H82" s="94" t="e" cm="1">
        <f t="array" ref="H82">_xlfn.XLOOKUP(Table11782[[#This Row],[Opp]],Table14[DEF],'2024 fSZN'!$F$3:$F$34)</f>
        <v>#N/A</v>
      </c>
      <c r="I82" s="94" t="e" cm="1">
        <f t="array" ref="I82">_xlfn.XLOOKUP(Table11782[[#This Row],[Opp]],Table14[DEF],'2024 fSZN'!$G$3:$G$34)</f>
        <v>#N/A</v>
      </c>
      <c r="J82" s="94" t="e" cm="1">
        <f t="array" ref="J82">_xlfn.XLOOKUP(Table11782[[#This Row],[Opp]],Table14[DEF],'2024 fSZN'!$H$3:$H$34)</f>
        <v>#N/A</v>
      </c>
      <c r="K82" s="94" t="e" cm="1">
        <f t="array" ref="K82">_xlfn.XLOOKUP(Table11782[[#This Row],[Opp]],Table14[DEF],'2024 fSZN'!$I$3:$I$34)</f>
        <v>#N/A</v>
      </c>
      <c r="L82" s="95" t="e">
        <f>_xlfn.XLOOKUP(Table11782[[#This Row],[Opp]],Table14[DEF],Table14[P])</f>
        <v>#N/A</v>
      </c>
      <c r="M82" s="95" t="e">
        <f>_xlfn.XLOOKUP(Table11782[[#This Row],[Opp]],Table14[DEF],Table14[R])</f>
        <v>#N/A</v>
      </c>
      <c r="N82" s="95" t="e">
        <f>_xlfn.XLOOKUP(Table11782[[#This Row],[Opp]],Table14[DEF],Table14[P+R])</f>
        <v>#N/A</v>
      </c>
      <c r="O82" s="96" t="e">
        <f>_xlfn.XLOOKUP(Table11782[[#This Row],[Opp]],Table14[DEF],Table14[P TD])</f>
        <v>#N/A</v>
      </c>
      <c r="P82" s="96" t="e">
        <f>_xlfn.XLOOKUP(Table11782[[#This Row],[Opp]],Table14[DEF],Table14[TD])</f>
        <v>#N/A</v>
      </c>
      <c r="Q82" s="94" t="e">
        <f>AVERAGE(Table11782[[#This Row],[*P*]:[*TD*]])</f>
        <v>#N/A</v>
      </c>
    </row>
    <row r="83" spans="2:17" x14ac:dyDescent="0.35">
      <c r="B83" s="6" t="s">
        <v>377</v>
      </c>
      <c r="C83" s="97" t="s">
        <v>55</v>
      </c>
      <c r="D83" s="97" t="s">
        <v>425</v>
      </c>
      <c r="E83" s="6">
        <v>-1</v>
      </c>
      <c r="F83" s="97" t="str">
        <f>'2025'!$E$33</f>
        <v>n/a</v>
      </c>
      <c r="G83" s="94" t="e" cm="1">
        <f t="array" ref="G83">_xlfn.XLOOKUP(Table11782[[#This Row],[Opp]],Table14[DEF],'2024 fSZN'!$E$3:$E$34)</f>
        <v>#N/A</v>
      </c>
      <c r="H83" s="94" t="e" cm="1">
        <f t="array" ref="H83">_xlfn.XLOOKUP(Table11782[[#This Row],[Opp]],Table14[DEF],'2024 fSZN'!$F$3:$F$34)</f>
        <v>#N/A</v>
      </c>
      <c r="I83" s="94" t="e" cm="1">
        <f t="array" ref="I83">_xlfn.XLOOKUP(Table11782[[#This Row],[Opp]],Table14[DEF],'2024 fSZN'!$G$3:$G$34)</f>
        <v>#N/A</v>
      </c>
      <c r="J83" s="94" t="e" cm="1">
        <f t="array" ref="J83">_xlfn.XLOOKUP(Table11782[[#This Row],[Opp]],Table14[DEF],'2024 fSZN'!$H$3:$H$34)</f>
        <v>#N/A</v>
      </c>
      <c r="K83" s="94" t="e" cm="1">
        <f t="array" ref="K83">_xlfn.XLOOKUP(Table11782[[#This Row],[Opp]],Table14[DEF],'2024 fSZN'!$I$3:$I$34)</f>
        <v>#N/A</v>
      </c>
      <c r="L83" s="95" t="e">
        <f>_xlfn.XLOOKUP(Table11782[[#This Row],[Opp]],Table14[DEF],Table14[P])</f>
        <v>#N/A</v>
      </c>
      <c r="M83" s="95" t="e">
        <f>_xlfn.XLOOKUP(Table11782[[#This Row],[Opp]],Table14[DEF],Table14[R])</f>
        <v>#N/A</v>
      </c>
      <c r="N83" s="95" t="e">
        <f>_xlfn.XLOOKUP(Table11782[[#This Row],[Opp]],Table14[DEF],Table14[P+R])</f>
        <v>#N/A</v>
      </c>
      <c r="O83" s="96" t="e">
        <f>_xlfn.XLOOKUP(Table11782[[#This Row],[Opp]],Table14[DEF],Table14[P TD])</f>
        <v>#N/A</v>
      </c>
      <c r="P83" s="96" t="e">
        <f>_xlfn.XLOOKUP(Table11782[[#This Row],[Opp]],Table14[DEF],Table14[TD])</f>
        <v>#N/A</v>
      </c>
      <c r="Q83" s="94" t="e">
        <f>AVERAGE(Table11782[[#This Row],[*P*]:[*TD*]])</f>
        <v>#N/A</v>
      </c>
    </row>
    <row r="84" spans="2:17" x14ac:dyDescent="0.35">
      <c r="B84" s="6" t="s">
        <v>385</v>
      </c>
      <c r="C84" s="97" t="s">
        <v>56</v>
      </c>
      <c r="D84" s="97" t="s">
        <v>399</v>
      </c>
      <c r="E84" s="6">
        <v>1</v>
      </c>
      <c r="F84" s="97" t="str">
        <f>'2025'!$E$34</f>
        <v>n/a</v>
      </c>
      <c r="G84" s="94" t="e" cm="1">
        <f t="array" ref="G84">_xlfn.XLOOKUP(Table11782[[#This Row],[Opp]],Table14[DEF],'2024 fSZN'!$E$3:$E$34)</f>
        <v>#N/A</v>
      </c>
      <c r="H84" s="94" t="e" cm="1">
        <f t="array" ref="H84">_xlfn.XLOOKUP(Table11782[[#This Row],[Opp]],Table14[DEF],'2024 fSZN'!$F$3:$F$34)</f>
        <v>#N/A</v>
      </c>
      <c r="I84" s="94" t="e" cm="1">
        <f t="array" ref="I84">_xlfn.XLOOKUP(Table11782[[#This Row],[Opp]],Table14[DEF],'2024 fSZN'!$G$3:$G$34)</f>
        <v>#N/A</v>
      </c>
      <c r="J84" s="94" t="e" cm="1">
        <f t="array" ref="J84">_xlfn.XLOOKUP(Table11782[[#This Row],[Opp]],Table14[DEF],'2024 fSZN'!$H$3:$H$34)</f>
        <v>#N/A</v>
      </c>
      <c r="K84" s="94" t="e" cm="1">
        <f t="array" ref="K84">_xlfn.XLOOKUP(Table11782[[#This Row],[Opp]],Table14[DEF],'2024 fSZN'!$I$3:$I$34)</f>
        <v>#N/A</v>
      </c>
      <c r="L84" s="95" t="e">
        <f>_xlfn.XLOOKUP(Table11782[[#This Row],[Opp]],Table14[DEF],Table14[P])</f>
        <v>#N/A</v>
      </c>
      <c r="M84" s="95" t="e">
        <f>_xlfn.XLOOKUP(Table11782[[#This Row],[Opp]],Table14[DEF],Table14[R])</f>
        <v>#N/A</v>
      </c>
      <c r="N84" s="95" t="e">
        <f>_xlfn.XLOOKUP(Table11782[[#This Row],[Opp]],Table14[DEF],Table14[P+R])</f>
        <v>#N/A</v>
      </c>
      <c r="O84" s="96" t="e">
        <f>_xlfn.XLOOKUP(Table11782[[#This Row],[Opp]],Table14[DEF],Table14[P TD])</f>
        <v>#N/A</v>
      </c>
      <c r="P84" s="96" t="e">
        <f>_xlfn.XLOOKUP(Table11782[[#This Row],[Opp]],Table14[DEF],Table14[TD])</f>
        <v>#N/A</v>
      </c>
      <c r="Q84" s="94" t="e">
        <f>AVERAGE(Table11782[[#This Row],[*P*]:[*P TD*]])</f>
        <v>#N/A</v>
      </c>
    </row>
    <row r="85" spans="2:17" x14ac:dyDescent="0.35">
      <c r="B85" s="6" t="s">
        <v>460</v>
      </c>
      <c r="C85" s="97" t="s">
        <v>56</v>
      </c>
      <c r="D85" s="97" t="s">
        <v>405</v>
      </c>
      <c r="E85" s="6">
        <v>0</v>
      </c>
      <c r="F85" s="97" t="str">
        <f>'2025'!$E$34</f>
        <v>n/a</v>
      </c>
      <c r="G85" s="94" t="e" cm="1">
        <f t="array" ref="G85">_xlfn.XLOOKUP(Table11782[[#This Row],[Opp]],Table14[DEF],'2024 fSZN'!$E$3:$E$34)</f>
        <v>#N/A</v>
      </c>
      <c r="H85" s="94" t="e" cm="1">
        <f t="array" ref="H85">_xlfn.XLOOKUP(Table11782[[#This Row],[Opp]],Table14[DEF],'2024 fSZN'!$F$3:$F$34)</f>
        <v>#N/A</v>
      </c>
      <c r="I85" s="94" t="e" cm="1">
        <f t="array" ref="I85">_xlfn.XLOOKUP(Table11782[[#This Row],[Opp]],Table14[DEF],'2024 fSZN'!$G$3:$G$34)</f>
        <v>#N/A</v>
      </c>
      <c r="J85" s="94" t="e" cm="1">
        <f t="array" ref="J85">_xlfn.XLOOKUP(Table11782[[#This Row],[Opp]],Table14[DEF],'2024 fSZN'!$H$3:$H$34)</f>
        <v>#N/A</v>
      </c>
      <c r="K85" s="94" t="e" cm="1">
        <f t="array" ref="K85">_xlfn.XLOOKUP(Table11782[[#This Row],[Opp]],Table14[DEF],'2024 fSZN'!$I$3:$I$34)</f>
        <v>#N/A</v>
      </c>
      <c r="L85" s="95" t="e">
        <f>_xlfn.XLOOKUP(Table11782[[#This Row],[Opp]],Table14[DEF],Table14[P])</f>
        <v>#N/A</v>
      </c>
      <c r="M85" s="95" t="e">
        <f>_xlfn.XLOOKUP(Table11782[[#This Row],[Opp]],Table14[DEF],Table14[R])</f>
        <v>#N/A</v>
      </c>
      <c r="N85" s="95" t="e">
        <f>_xlfn.XLOOKUP(Table11782[[#This Row],[Opp]],Table14[DEF],Table14[P+R])</f>
        <v>#N/A</v>
      </c>
      <c r="O85" s="96" t="e">
        <f>_xlfn.XLOOKUP(Table11782[[#This Row],[Opp]],Table14[DEF],Table14[P TD])</f>
        <v>#N/A</v>
      </c>
      <c r="P85" s="96" t="e">
        <f>_xlfn.XLOOKUP(Table11782[[#This Row],[Opp]],Table14[DEF],Table14[TD])</f>
        <v>#N/A</v>
      </c>
      <c r="Q85" s="94" t="e">
        <f>AVERAGE(Table11782[[#This Row],[*P*]:[*TD*]])</f>
        <v>#N/A</v>
      </c>
    </row>
    <row r="86" spans="2:17" x14ac:dyDescent="0.35">
      <c r="B86" s="6" t="s">
        <v>317</v>
      </c>
      <c r="C86" s="97" t="s">
        <v>56</v>
      </c>
      <c r="D86" s="97" t="s">
        <v>425</v>
      </c>
      <c r="E86" s="6">
        <v>1</v>
      </c>
      <c r="F86" s="97" t="str">
        <f>'2025'!$E$34</f>
        <v>n/a</v>
      </c>
      <c r="G86" s="94" t="e" cm="1">
        <f t="array" ref="G86">_xlfn.XLOOKUP(Table11782[[#This Row],[Opp]],Table14[DEF],'2024 fSZN'!$E$3:$E$34)</f>
        <v>#N/A</v>
      </c>
      <c r="H86" s="94" t="e" cm="1">
        <f t="array" ref="H86">_xlfn.XLOOKUP(Table11782[[#This Row],[Opp]],Table14[DEF],'2024 fSZN'!$F$3:$F$34)</f>
        <v>#N/A</v>
      </c>
      <c r="I86" s="94" t="e" cm="1">
        <f t="array" ref="I86">_xlfn.XLOOKUP(Table11782[[#This Row],[Opp]],Table14[DEF],'2024 fSZN'!$G$3:$G$34)</f>
        <v>#N/A</v>
      </c>
      <c r="J86" s="94" t="e" cm="1">
        <f t="array" ref="J86">_xlfn.XLOOKUP(Table11782[[#This Row],[Opp]],Table14[DEF],'2024 fSZN'!$H$3:$H$34)</f>
        <v>#N/A</v>
      </c>
      <c r="K86" s="94" t="e" cm="1">
        <f t="array" ref="K86">_xlfn.XLOOKUP(Table11782[[#This Row],[Opp]],Table14[DEF],'2024 fSZN'!$I$3:$I$34)</f>
        <v>#N/A</v>
      </c>
      <c r="L86" s="95" t="e">
        <f>_xlfn.XLOOKUP(Table11782[[#This Row],[Opp]],Table14[DEF],Table14[P])</f>
        <v>#N/A</v>
      </c>
      <c r="M86" s="95" t="e">
        <f>_xlfn.XLOOKUP(Table11782[[#This Row],[Opp]],Table14[DEF],Table14[R])</f>
        <v>#N/A</v>
      </c>
      <c r="N86" s="95" t="e">
        <f>_xlfn.XLOOKUP(Table11782[[#This Row],[Opp]],Table14[DEF],Table14[P+R])</f>
        <v>#N/A</v>
      </c>
      <c r="O86" s="96" t="e">
        <f>_xlfn.XLOOKUP(Table11782[[#This Row],[Opp]],Table14[DEF],Table14[P TD])</f>
        <v>#N/A</v>
      </c>
      <c r="P86" s="96" t="e">
        <f>_xlfn.XLOOKUP(Table11782[[#This Row],[Opp]],Table14[DEF],Table14[TD])</f>
        <v>#N/A</v>
      </c>
      <c r="Q86" s="94" t="e">
        <f>AVERAGE(Table11782[[#This Row],[*P*]:[*TD*]])</f>
        <v>#N/A</v>
      </c>
    </row>
  </sheetData>
  <phoneticPr fontId="5" type="noConversion"/>
  <conditionalFormatting sqref="C2:C86">
    <cfRule type="cellIs" dxfId="2406" priority="221" operator="equal">
      <formula>"LV"</formula>
    </cfRule>
    <cfRule type="cellIs" dxfId="2405" priority="240" operator="equal">
      <formula>"DET"</formula>
    </cfRule>
    <cfRule type="cellIs" dxfId="2404" priority="241" operator="equal">
      <formula>"SF"</formula>
    </cfRule>
    <cfRule type="cellIs" dxfId="2403" priority="242" operator="equal">
      <formula>"WAS"</formula>
    </cfRule>
    <cfRule type="cellIs" dxfId="2402" priority="243" operator="equal">
      <formula>"GB"</formula>
    </cfRule>
    <cfRule type="cellIs" dxfId="2401" priority="244" operator="equal">
      <formula>"DAL"</formula>
    </cfRule>
    <cfRule type="cellIs" dxfId="2400" priority="245" operator="equal">
      <formula>"CIN"</formula>
    </cfRule>
    <cfRule type="cellIs" dxfId="2399" priority="246" operator="equal">
      <formula>"ARI"</formula>
    </cfRule>
    <cfRule type="cellIs" dxfId="2398" priority="247" operator="equal">
      <formula>"HOU"</formula>
    </cfRule>
    <cfRule type="cellIs" dxfId="2397" priority="248" operator="equal">
      <formula>"IND"</formula>
    </cfRule>
    <cfRule type="cellIs" dxfId="2396" priority="249" operator="equal">
      <formula>"KC"</formula>
    </cfRule>
    <cfRule type="cellIs" dxfId="2395" priority="250" operator="equal">
      <formula>"BAL"</formula>
    </cfRule>
    <cfRule type="cellIs" dxfId="2394" priority="251" operator="equal">
      <formula>"PHI"</formula>
    </cfRule>
    <cfRule type="cellIs" dxfId="2393" priority="220" operator="equal">
      <formula>"BYE"</formula>
    </cfRule>
    <cfRule type="cellIs" dxfId="2392" priority="235" operator="equal">
      <formula>"LAR"</formula>
    </cfRule>
    <cfRule type="cellIs" dxfId="2391" priority="222" operator="equal">
      <formula>"NE"</formula>
    </cfRule>
    <cfRule type="cellIs" dxfId="2390" priority="223" operator="equal">
      <formula>"MIN"</formula>
    </cfRule>
    <cfRule type="cellIs" dxfId="2389" priority="224" operator="equal">
      <formula>"PIT"</formula>
    </cfRule>
    <cfRule type="cellIs" dxfId="2388" priority="225" operator="equal">
      <formula>"DEN"</formula>
    </cfRule>
    <cfRule type="cellIs" dxfId="2387" priority="226" operator="equal">
      <formula>"CAR"</formula>
    </cfRule>
    <cfRule type="cellIs" dxfId="2386" priority="227" operator="equal">
      <formula>"NYG"</formula>
    </cfRule>
    <cfRule type="cellIs" dxfId="2385" priority="228" operator="equal">
      <formula>"NO"</formula>
    </cfRule>
    <cfRule type="cellIs" dxfId="2384" priority="229" operator="equal">
      <formula>"TEN"</formula>
    </cfRule>
    <cfRule type="cellIs" dxfId="2383" priority="230" operator="equal">
      <formula>"TB"</formula>
    </cfRule>
    <cfRule type="cellIs" dxfId="2382" priority="231" operator="equal">
      <formula>"CLE"</formula>
    </cfRule>
    <cfRule type="cellIs" dxfId="2381" priority="232" operator="equal">
      <formula>"NYJ"</formula>
    </cfRule>
    <cfRule type="cellIs" dxfId="2380" priority="233" operator="equal">
      <formula>"SEA"</formula>
    </cfRule>
    <cfRule type="cellIs" dxfId="2379" priority="234" operator="equal">
      <formula>"LAC"</formula>
    </cfRule>
    <cfRule type="cellIs" dxfId="2378" priority="252" operator="equal">
      <formula>"BUF"</formula>
    </cfRule>
    <cfRule type="cellIs" dxfId="2377" priority="236" operator="equal">
      <formula>"ATL"</formula>
    </cfRule>
    <cfRule type="cellIs" dxfId="2376" priority="237" operator="equal">
      <formula>"JAX"</formula>
    </cfRule>
    <cfRule type="cellIs" dxfId="2375" priority="238" operator="equal">
      <formula>"CHI"</formula>
    </cfRule>
    <cfRule type="cellIs" dxfId="2374" priority="239" operator="equal">
      <formula>"MIA"</formula>
    </cfRule>
  </conditionalFormatting>
  <conditionalFormatting sqref="D2:D86">
    <cfRule type="cellIs" dxfId="2373" priority="440" operator="equal">
      <formula>"RB1"</formula>
    </cfRule>
    <cfRule type="cellIs" dxfId="2372" priority="441" operator="equal">
      <formula>"QB1"</formula>
    </cfRule>
    <cfRule type="cellIs" dxfId="2371" priority="418" operator="equal">
      <formula>"WR9"</formula>
    </cfRule>
    <cfRule type="cellIs" dxfId="2370" priority="419" operator="equal">
      <formula>"WR8"</formula>
    </cfRule>
    <cfRule type="cellIs" dxfId="2369" priority="420" operator="equal">
      <formula>"WR7"</formula>
    </cfRule>
    <cfRule type="cellIs" dxfId="2368" priority="421" operator="equal">
      <formula>"WR6"</formula>
    </cfRule>
    <cfRule type="cellIs" dxfId="2367" priority="422" operator="equal">
      <formula>"TE5"</formula>
    </cfRule>
    <cfRule type="cellIs" dxfId="2366" priority="423" operator="equal">
      <formula>"WR5"</formula>
    </cfRule>
    <cfRule type="cellIs" dxfId="2365" priority="424" operator="equal">
      <formula>"RB5"</formula>
    </cfRule>
    <cfRule type="cellIs" dxfId="2364" priority="425" operator="equal">
      <formula>"QB5"</formula>
    </cfRule>
    <cfRule type="cellIs" dxfId="2363" priority="426" operator="equal">
      <formula>"TE4"</formula>
    </cfRule>
    <cfRule type="cellIs" dxfId="2362" priority="427" operator="equal">
      <formula>"WR4"</formula>
    </cfRule>
    <cfRule type="cellIs" dxfId="2361" priority="428" operator="equal">
      <formula>"RB4"</formula>
    </cfRule>
    <cfRule type="cellIs" dxfId="2360" priority="429" operator="equal">
      <formula>"QB4"</formula>
    </cfRule>
    <cfRule type="cellIs" dxfId="2359" priority="430" operator="equal">
      <formula>"TE3"</formula>
    </cfRule>
    <cfRule type="cellIs" dxfId="2358" priority="431" operator="equal">
      <formula>"WR3"</formula>
    </cfRule>
    <cfRule type="cellIs" dxfId="2357" priority="432" operator="equal">
      <formula>"RB3"</formula>
    </cfRule>
    <cfRule type="cellIs" dxfId="2356" priority="433" operator="equal">
      <formula>"QB3"</formula>
    </cfRule>
    <cfRule type="cellIs" dxfId="2355" priority="434" operator="equal">
      <formula>"TE2"</formula>
    </cfRule>
    <cfRule type="cellIs" dxfId="2354" priority="435" operator="equal">
      <formula>"WR2"</formula>
    </cfRule>
    <cfRule type="cellIs" dxfId="2353" priority="436" operator="equal">
      <formula>"RB2"</formula>
    </cfRule>
    <cfRule type="cellIs" dxfId="2352" priority="437" operator="equal">
      <formula>"QB2"</formula>
    </cfRule>
    <cfRule type="cellIs" dxfId="2351" priority="438" operator="equal">
      <formula>"TE1"</formula>
    </cfRule>
    <cfRule type="cellIs" dxfId="2350" priority="439" operator="equal">
      <formula>"WR1"</formula>
    </cfRule>
  </conditionalFormatting>
  <conditionalFormatting sqref="E2:E17">
    <cfRule type="colorScale" priority="451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450">
      <iconSet iconSet="3Symbols" showValue="0">
        <cfvo type="percent" val="0"/>
        <cfvo type="num" val="0"/>
        <cfvo type="num" val="1"/>
      </iconSet>
    </cfRule>
  </conditionalFormatting>
  <conditionalFormatting sqref="E18:E34">
    <cfRule type="colorScale" priority="449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448">
      <iconSet iconSet="3Symbols" showValue="0">
        <cfvo type="percent" val="0"/>
        <cfvo type="num" val="0"/>
        <cfvo type="num" val="1"/>
      </iconSet>
    </cfRule>
  </conditionalFormatting>
  <conditionalFormatting sqref="E35:E51">
    <cfRule type="colorScale" priority="447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446">
      <iconSet iconSet="3Symbols" showValue="0">
        <cfvo type="percent" val="0"/>
        <cfvo type="num" val="0"/>
        <cfvo type="num" val="1"/>
      </iconSet>
    </cfRule>
  </conditionalFormatting>
  <conditionalFormatting sqref="E52:E65">
    <cfRule type="colorScale" priority="445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444">
      <iconSet iconSet="3Symbols" showValue="0">
        <cfvo type="percent" val="0"/>
        <cfvo type="num" val="0"/>
        <cfvo type="num" val="1"/>
      </iconSet>
    </cfRule>
  </conditionalFormatting>
  <conditionalFormatting sqref="E66:E83">
    <cfRule type="iconSet" priority="442">
      <iconSet iconSet="3Symbols" showValue="0">
        <cfvo type="percent" val="0"/>
        <cfvo type="num" val="0"/>
        <cfvo type="num" val="1"/>
      </iconSet>
    </cfRule>
    <cfRule type="colorScale" priority="44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84:E86">
    <cfRule type="colorScale" priority="453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452">
      <iconSet iconSet="3Symbols" showValue="0">
        <cfvo type="percent" val="0"/>
        <cfvo type="num" val="0"/>
        <cfvo type="num" val="1"/>
      </iconSet>
    </cfRule>
  </conditionalFormatting>
  <conditionalFormatting sqref="F2:F86">
    <cfRule type="cellIs" dxfId="2349" priority="386" operator="equal">
      <formula>"LV"</formula>
    </cfRule>
    <cfRule type="cellIs" dxfId="2348" priority="406" operator="equal">
      <formula>"SF"</formula>
    </cfRule>
    <cfRule type="cellIs" dxfId="2347" priority="385" operator="equal">
      <formula>"BYE"</formula>
    </cfRule>
    <cfRule type="cellIs" dxfId="2346" priority="387" operator="equal">
      <formula>"NE"</formula>
    </cfRule>
    <cfRule type="cellIs" dxfId="2345" priority="388" operator="equal">
      <formula>"MIN"</formula>
    </cfRule>
    <cfRule type="cellIs" dxfId="2344" priority="389" operator="equal">
      <formula>"PIT"</formula>
    </cfRule>
    <cfRule type="cellIs" dxfId="2343" priority="390" operator="equal">
      <formula>"DEN"</formula>
    </cfRule>
    <cfRule type="cellIs" dxfId="2342" priority="391" operator="equal">
      <formula>"CAR"</formula>
    </cfRule>
    <cfRule type="cellIs" dxfId="2341" priority="392" operator="equal">
      <formula>"NYG"</formula>
    </cfRule>
    <cfRule type="cellIs" dxfId="2340" priority="393" operator="equal">
      <formula>"NO"</formula>
    </cfRule>
    <cfRule type="cellIs" dxfId="2339" priority="394" operator="equal">
      <formula>"TEN"</formula>
    </cfRule>
    <cfRule type="cellIs" dxfId="2338" priority="395" operator="equal">
      <formula>"TB"</formula>
    </cfRule>
    <cfRule type="cellIs" dxfId="2337" priority="396" operator="equal">
      <formula>"CLE"</formula>
    </cfRule>
    <cfRule type="cellIs" dxfId="2336" priority="401" operator="equal">
      <formula>"ATL"</formula>
    </cfRule>
    <cfRule type="cellIs" dxfId="2335" priority="402" operator="equal">
      <formula>"JAX"</formula>
    </cfRule>
    <cfRule type="cellIs" dxfId="2334" priority="403" operator="equal">
      <formula>"CHI"</formula>
    </cfRule>
    <cfRule type="cellIs" dxfId="2333" priority="404" operator="equal">
      <formula>"MIA"</formula>
    </cfRule>
    <cfRule type="cellIs" dxfId="2332" priority="405" operator="equal">
      <formula>"DET"</formula>
    </cfRule>
    <cfRule type="cellIs" dxfId="2331" priority="397" operator="equal">
      <formula>"NYJ"</formula>
    </cfRule>
    <cfRule type="cellIs" dxfId="2330" priority="407" operator="equal">
      <formula>"WAS"</formula>
    </cfRule>
    <cfRule type="cellIs" dxfId="2329" priority="408" operator="equal">
      <formula>"GB"</formula>
    </cfRule>
    <cfRule type="cellIs" dxfId="2328" priority="409" operator="equal">
      <formula>"DAL"</formula>
    </cfRule>
    <cfRule type="cellIs" dxfId="2327" priority="410" operator="equal">
      <formula>"CIN"</formula>
    </cfRule>
    <cfRule type="cellIs" dxfId="2326" priority="411" operator="equal">
      <formula>"ARI"</formula>
    </cfRule>
    <cfRule type="cellIs" dxfId="2325" priority="412" operator="equal">
      <formula>"HOU"</formula>
    </cfRule>
    <cfRule type="cellIs" dxfId="2324" priority="413" operator="equal">
      <formula>"IND"</formula>
    </cfRule>
    <cfRule type="cellIs" dxfId="2323" priority="414" operator="equal">
      <formula>"KC"</formula>
    </cfRule>
    <cfRule type="cellIs" dxfId="2322" priority="415" operator="equal">
      <formula>"BAL"</formula>
    </cfRule>
    <cfRule type="cellIs" dxfId="2321" priority="416" operator="equal">
      <formula>"PHI"</formula>
    </cfRule>
    <cfRule type="cellIs" dxfId="2320" priority="417" operator="equal">
      <formula>"BUF"</formula>
    </cfRule>
    <cfRule type="cellIs" dxfId="2319" priority="398" operator="equal">
      <formula>"SEA"</formula>
    </cfRule>
    <cfRule type="cellIs" dxfId="2318" priority="399" operator="equal">
      <formula>"LAC"</formula>
    </cfRule>
    <cfRule type="cellIs" dxfId="2317" priority="400" operator="equal">
      <formula>"LAR"</formula>
    </cfRule>
  </conditionalFormatting>
  <conditionalFormatting sqref="G2:H86">
    <cfRule type="colorScale" priority="60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86"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86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2:K8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8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15" right="0.15" top="0.1" bottom="0.1" header="0" footer="0"/>
  <pageSetup paperSize="3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066" id="{2A31FCF0-0F33-48EA-8851-A73D91EA4577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G2:H86</xm:sqref>
        </x14:conditionalFormatting>
        <x14:conditionalFormatting xmlns:xm="http://schemas.microsoft.com/office/excel/2006/main">
          <x14:cfRule type="iconSet" priority="119" id="{F659C0A1-8AED-4084-A817-412EEF04E4FF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I2:I86</xm:sqref>
        </x14:conditionalFormatting>
        <x14:conditionalFormatting xmlns:xm="http://schemas.microsoft.com/office/excel/2006/main">
          <x14:cfRule type="iconSet" priority="7" id="{A2EF0D5E-C465-44DC-9B9D-8CC2A4B344A2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J2:J86</xm:sqref>
        </x14:conditionalFormatting>
        <x14:conditionalFormatting xmlns:xm="http://schemas.microsoft.com/office/excel/2006/main">
          <x14:cfRule type="iconSet" priority="3" id="{632B8717-78B2-44F2-9100-BD744B7AC80A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K2:K86</xm:sqref>
        </x14:conditionalFormatting>
        <x14:conditionalFormatting xmlns:xm="http://schemas.microsoft.com/office/excel/2006/main">
          <x14:cfRule type="iconSet" priority="1" id="{3C9B68CD-7A8F-493F-A4B3-FBB35678BA6B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Q2:Q86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C7A1-33B5-45A5-87AF-93F51767AD69}">
  <sheetPr>
    <tabColor theme="9" tint="0.79998168889431442"/>
    <pageSetUpPr fitToPage="1"/>
  </sheetPr>
  <dimension ref="B1:Q124"/>
  <sheetViews>
    <sheetView zoomScale="115" zoomScaleNormal="115" workbookViewId="0">
      <selection activeCell="F133" sqref="F133"/>
    </sheetView>
  </sheetViews>
  <sheetFormatPr defaultRowHeight="14.5" x14ac:dyDescent="0.35"/>
  <cols>
    <col min="1" max="1" width="1.6328125" customWidth="1"/>
    <col min="2" max="2" width="13.453125" bestFit="1" customWidth="1"/>
    <col min="3" max="3" width="8.453125" bestFit="1" customWidth="1"/>
    <col min="4" max="4" width="7.7265625" bestFit="1" customWidth="1"/>
    <col min="5" max="5" width="7.26953125" hidden="1" customWidth="1"/>
    <col min="6" max="6" width="7.6328125" bestFit="1" customWidth="1"/>
    <col min="7" max="7" width="7.453125" bestFit="1" customWidth="1"/>
    <col min="8" max="8" width="7.54296875" bestFit="1" customWidth="1"/>
    <col min="9" max="9" width="7.36328125" bestFit="1" customWidth="1"/>
    <col min="10" max="10" width="9" bestFit="1" customWidth="1"/>
    <col min="11" max="11" width="8.1796875" bestFit="1" customWidth="1"/>
    <col min="12" max="12" width="6" bestFit="1" customWidth="1"/>
    <col min="13" max="13" width="6.08984375" bestFit="1" customWidth="1"/>
    <col min="14" max="14" width="5.90625" bestFit="1" customWidth="1"/>
    <col min="15" max="15" width="7.54296875" bestFit="1" customWidth="1"/>
    <col min="16" max="16" width="6.7265625" bestFit="1" customWidth="1"/>
    <col min="17" max="17" width="5.90625" bestFit="1" customWidth="1"/>
  </cols>
  <sheetData>
    <row r="1" spans="2:17" ht="15" thickBot="1" x14ac:dyDescent="0.4">
      <c r="B1" s="91" t="s">
        <v>107</v>
      </c>
      <c r="C1" s="91" t="s">
        <v>58</v>
      </c>
      <c r="D1" s="91" t="s">
        <v>392</v>
      </c>
      <c r="E1" s="91" t="s">
        <v>393</v>
      </c>
      <c r="F1" s="91" t="s">
        <v>63</v>
      </c>
      <c r="G1" s="92" t="s">
        <v>655</v>
      </c>
      <c r="H1" s="92" t="s">
        <v>657</v>
      </c>
      <c r="I1" s="92" t="s">
        <v>652</v>
      </c>
      <c r="J1" s="92" t="s">
        <v>658</v>
      </c>
      <c r="K1" s="92" t="s">
        <v>653</v>
      </c>
      <c r="L1" s="107" t="s">
        <v>74</v>
      </c>
      <c r="M1" s="107" t="s">
        <v>656</v>
      </c>
      <c r="N1" s="107" t="s">
        <v>104</v>
      </c>
      <c r="O1" s="107" t="s">
        <v>662</v>
      </c>
      <c r="P1" s="107" t="s">
        <v>72</v>
      </c>
      <c r="Q1" s="107" t="s">
        <v>649</v>
      </c>
    </row>
    <row r="2" spans="2:17" x14ac:dyDescent="0.35">
      <c r="B2" s="6" t="s">
        <v>118</v>
      </c>
      <c r="C2" s="97" t="s">
        <v>0</v>
      </c>
      <c r="D2" s="97" t="s">
        <v>395</v>
      </c>
      <c r="E2" s="6">
        <v>1</v>
      </c>
      <c r="F2" s="97" t="str">
        <f>'2025'!$E$3</f>
        <v>n/a</v>
      </c>
      <c r="G2" s="94" t="e" cm="1">
        <f t="array" ref="G2">_xlfn.XLOOKUP(Table11887[[#This Row],[Opp]],Table46[DEF],'2024 fSZN'!$V$3:$V$34)</f>
        <v>#N/A</v>
      </c>
      <c r="H2" s="94" t="e" cm="1">
        <f t="array" ref="H2">_xlfn.XLOOKUP(Table11887[[#This Row],[Opp]],Table46[DEF],'2024 fSZN'!$W$3:$W$34)</f>
        <v>#N/A</v>
      </c>
      <c r="I2" s="94" t="e" cm="1">
        <f t="array" ref="I2">_xlfn.XLOOKUP(Table11887[[#This Row],[Opp]],Table46[DEF],'2024 fSZN'!$X$3:$X$34)</f>
        <v>#N/A</v>
      </c>
      <c r="J2" s="94" t="e" cm="1">
        <f t="array" ref="J2">_xlfn.XLOOKUP(Table11887[[#This Row],[Opp]],Table46[DEF],'2024 fSZN'!$Y$3:$Y$34)</f>
        <v>#N/A</v>
      </c>
      <c r="K2" s="94" t="e" cm="1">
        <f t="array" ref="K2">_xlfn.XLOOKUP(Table11887[[#This Row],[Opp]],Table46[DEF],'2024 fSZN'!$Z$3:$Z$34)</f>
        <v>#N/A</v>
      </c>
      <c r="L2" s="95" t="e">
        <f>_xlfn.XLOOKUP(Table11887[[#This Row],[Opp]],Table46[DEF],Table46[R])</f>
        <v>#N/A</v>
      </c>
      <c r="M2" s="95" t="e">
        <f>_xlfn.XLOOKUP(Table11887[[#This Row],[Opp]],Table46[DEF],Table46[REC])</f>
        <v>#N/A</v>
      </c>
      <c r="N2" s="95" t="e">
        <f>_xlfn.XLOOKUP(Table11887[[#This Row],[Opp]],Table46[DEF],Table46[Y])</f>
        <v>#N/A</v>
      </c>
      <c r="O2" s="95" t="e">
        <f>_xlfn.XLOOKUP(Table11887[[#This Row],[Opp]],Table46[DEF],Table46[R+R])</f>
        <v>#N/A</v>
      </c>
      <c r="P2" s="96" t="e">
        <f>_xlfn.XLOOKUP(Table11887[[#This Row],[Opp]],Table46[DEF],Table46[TD])</f>
        <v>#N/A</v>
      </c>
      <c r="Q2" s="94" t="e">
        <f>AVERAGE(Table11887[[#This Row],[*R*]:[*R+Y*]])</f>
        <v>#N/A</v>
      </c>
    </row>
    <row r="3" spans="2:17" x14ac:dyDescent="0.35">
      <c r="B3" s="6" t="s">
        <v>113</v>
      </c>
      <c r="C3" s="97" t="s">
        <v>0</v>
      </c>
      <c r="D3" s="97" t="s">
        <v>394</v>
      </c>
      <c r="E3" s="6">
        <v>1</v>
      </c>
      <c r="F3" s="97" t="str">
        <f>'2025'!$E$3</f>
        <v>n/a</v>
      </c>
      <c r="G3" s="94" t="e" cm="1">
        <f t="array" ref="G3">_xlfn.XLOOKUP(Table11887[[#This Row],[Opp]],Table46[DEF],'2024 fSZN'!$V$3:$V$34)</f>
        <v>#N/A</v>
      </c>
      <c r="H3" s="94" t="e" cm="1">
        <f t="array" ref="H3">_xlfn.XLOOKUP(Table11887[[#This Row],[Opp]],Table46[DEF],'2024 fSZN'!$W$3:$W$34)</f>
        <v>#N/A</v>
      </c>
      <c r="I3" s="94" t="e" cm="1">
        <f t="array" ref="I3">_xlfn.XLOOKUP(Table11887[[#This Row],[Opp]],Table46[DEF],'2024 fSZN'!$X$3:$X$34)</f>
        <v>#N/A</v>
      </c>
      <c r="J3" s="94" t="e" cm="1">
        <f t="array" ref="J3">_xlfn.XLOOKUP(Table11887[[#This Row],[Opp]],Table46[DEF],'2024 fSZN'!$Y$3:$Y$34)</f>
        <v>#N/A</v>
      </c>
      <c r="K3" s="94" t="e" cm="1">
        <f t="array" ref="K3">_xlfn.XLOOKUP(Table11887[[#This Row],[Opp]],Table46[DEF],'2024 fSZN'!$Z$3:$Z$34)</f>
        <v>#N/A</v>
      </c>
      <c r="L3" s="95" t="e">
        <f>_xlfn.XLOOKUP(Table11887[[#This Row],[Opp]],Table46[DEF],Table46[R])</f>
        <v>#N/A</v>
      </c>
      <c r="M3" s="95" t="e">
        <f>_xlfn.XLOOKUP(Table11887[[#This Row],[Opp]],Table46[DEF],Table46[REC])</f>
        <v>#N/A</v>
      </c>
      <c r="N3" s="95" t="e">
        <f>_xlfn.XLOOKUP(Table11887[[#This Row],[Opp]],Table46[DEF],Table46[Y])</f>
        <v>#N/A</v>
      </c>
      <c r="O3" s="95" t="e">
        <f>_xlfn.XLOOKUP(Table11887[[#This Row],[Opp]],Table46[DEF],Table46[R+R])</f>
        <v>#N/A</v>
      </c>
      <c r="P3" s="96" t="e">
        <f>_xlfn.XLOOKUP(Table11887[[#This Row],[Opp]],Table46[DEF],Table46[TD])</f>
        <v>#N/A</v>
      </c>
      <c r="Q3" s="94" t="e">
        <f>AVERAGE(Table11887[[#This Row],[*R*]:[*R+Y*]])</f>
        <v>#N/A</v>
      </c>
    </row>
    <row r="4" spans="2:17" x14ac:dyDescent="0.35">
      <c r="B4" s="6" t="s">
        <v>123</v>
      </c>
      <c r="C4" s="97" t="s">
        <v>0</v>
      </c>
      <c r="D4" s="97" t="s">
        <v>396</v>
      </c>
      <c r="E4" s="6">
        <v>1</v>
      </c>
      <c r="F4" s="97" t="str">
        <f>'2025'!$E$3</f>
        <v>n/a</v>
      </c>
      <c r="G4" s="94" t="e" cm="1">
        <f t="array" ref="G4">_xlfn.XLOOKUP(Table11887[[#This Row],[Opp]],Table46[DEF],'2024 fSZN'!$V$3:$V$34)</f>
        <v>#N/A</v>
      </c>
      <c r="H4" s="94" t="e" cm="1">
        <f t="array" ref="H4">_xlfn.XLOOKUP(Table11887[[#This Row],[Opp]],Table46[DEF],'2024 fSZN'!$W$3:$W$34)</f>
        <v>#N/A</v>
      </c>
      <c r="I4" s="94" t="e" cm="1">
        <f t="array" ref="I4">_xlfn.XLOOKUP(Table11887[[#This Row],[Opp]],Table46[DEF],'2024 fSZN'!$X$3:$X$34)</f>
        <v>#N/A</v>
      </c>
      <c r="J4" s="94" t="e" cm="1">
        <f t="array" ref="J4">_xlfn.XLOOKUP(Table11887[[#This Row],[Opp]],Table46[DEF],'2024 fSZN'!$Y$3:$Y$34)</f>
        <v>#N/A</v>
      </c>
      <c r="K4" s="94" t="e" cm="1">
        <f t="array" ref="K4">_xlfn.XLOOKUP(Table11887[[#This Row],[Opp]],Table46[DEF],'2024 fSZN'!$Z$3:$Z$34)</f>
        <v>#N/A</v>
      </c>
      <c r="L4" s="95" t="e">
        <f>_xlfn.XLOOKUP(Table11887[[#This Row],[Opp]],Table46[DEF],Table46[R])</f>
        <v>#N/A</v>
      </c>
      <c r="M4" s="95" t="e">
        <f>_xlfn.XLOOKUP(Table11887[[#This Row],[Opp]],Table46[DEF],Table46[REC])</f>
        <v>#N/A</v>
      </c>
      <c r="N4" s="95" t="e">
        <f>_xlfn.XLOOKUP(Table11887[[#This Row],[Opp]],Table46[DEF],Table46[Y])</f>
        <v>#N/A</v>
      </c>
      <c r="O4" s="95" t="e">
        <f>_xlfn.XLOOKUP(Table11887[[#This Row],[Opp]],Table46[DEF],Table46[R+R])</f>
        <v>#N/A</v>
      </c>
      <c r="P4" s="96" t="e">
        <f>_xlfn.XLOOKUP(Table11887[[#This Row],[Opp]],Table46[DEF],Table46[TD])</f>
        <v>#N/A</v>
      </c>
      <c r="Q4" s="94" t="e">
        <f>AVERAGE(Table11887[[#This Row],[*R*]:[*R+Y*]])</f>
        <v>#N/A</v>
      </c>
    </row>
    <row r="5" spans="2:17" x14ac:dyDescent="0.35">
      <c r="B5" s="6" t="s">
        <v>554</v>
      </c>
      <c r="C5" s="97" t="s">
        <v>0</v>
      </c>
      <c r="D5" s="97" t="s">
        <v>407</v>
      </c>
      <c r="E5" s="6">
        <v>1</v>
      </c>
      <c r="F5" s="97" t="str">
        <f>'2025'!$E$3</f>
        <v>n/a</v>
      </c>
      <c r="G5" s="94" t="e" cm="1">
        <f t="array" ref="G5">_xlfn.XLOOKUP(Table11887[[#This Row],[Opp]],Table46[DEF],'2024 fSZN'!$V$3:$V$34)</f>
        <v>#N/A</v>
      </c>
      <c r="H5" s="94" t="e" cm="1">
        <f t="array" ref="H5">_xlfn.XLOOKUP(Table11887[[#This Row],[Opp]],Table46[DEF],'2024 fSZN'!$W$3:$W$34)</f>
        <v>#N/A</v>
      </c>
      <c r="I5" s="94" t="e" cm="1">
        <f t="array" ref="I5">_xlfn.XLOOKUP(Table11887[[#This Row],[Opp]],Table46[DEF],'2024 fSZN'!$X$3:$X$34)</f>
        <v>#N/A</v>
      </c>
      <c r="J5" s="94" t="e" cm="1">
        <f t="array" ref="J5">_xlfn.XLOOKUP(Table11887[[#This Row],[Opp]],Table46[DEF],'2024 fSZN'!$Y$3:$Y$34)</f>
        <v>#N/A</v>
      </c>
      <c r="K5" s="94" t="e" cm="1">
        <f t="array" ref="K5">_xlfn.XLOOKUP(Table11887[[#This Row],[Opp]],Table46[DEF],'2024 fSZN'!$Z$3:$Z$34)</f>
        <v>#N/A</v>
      </c>
      <c r="L5" s="95" t="e">
        <f>_xlfn.XLOOKUP(Table11887[[#This Row],[Opp]],Table46[DEF],Table46[R])</f>
        <v>#N/A</v>
      </c>
      <c r="M5" s="95" t="e">
        <f>_xlfn.XLOOKUP(Table11887[[#This Row],[Opp]],Table46[DEF],Table46[REC])</f>
        <v>#N/A</v>
      </c>
      <c r="N5" s="95" t="e">
        <f>_xlfn.XLOOKUP(Table11887[[#This Row],[Opp]],Table46[DEF],Table46[Y])</f>
        <v>#N/A</v>
      </c>
      <c r="O5" s="95" t="e">
        <f>_xlfn.XLOOKUP(Table11887[[#This Row],[Opp]],Table46[DEF],Table46[R+R])</f>
        <v>#N/A</v>
      </c>
      <c r="P5" s="96" t="e">
        <f>_xlfn.XLOOKUP(Table11887[[#This Row],[Opp]],Table46[DEF],Table46[TD])</f>
        <v>#N/A</v>
      </c>
      <c r="Q5" s="94" t="e">
        <f>AVERAGE(Table11887[[#This Row],[*R*]:[*R+Y*]])</f>
        <v>#N/A</v>
      </c>
    </row>
    <row r="6" spans="2:17" x14ac:dyDescent="0.35">
      <c r="B6" s="6" t="s">
        <v>119</v>
      </c>
      <c r="C6" s="97" t="s">
        <v>15</v>
      </c>
      <c r="D6" s="97" t="s">
        <v>395</v>
      </c>
      <c r="E6" s="6">
        <v>1</v>
      </c>
      <c r="F6" s="97" t="str">
        <f>'2025'!$E$4</f>
        <v>n/a</v>
      </c>
      <c r="G6" s="94" t="e" cm="1">
        <f t="array" ref="G6">_xlfn.XLOOKUP(Table11887[[#This Row],[Opp]],Table46[DEF],'2024 fSZN'!$V$3:$V$34)</f>
        <v>#N/A</v>
      </c>
      <c r="H6" s="94" t="e" cm="1">
        <f t="array" ref="H6">_xlfn.XLOOKUP(Table11887[[#This Row],[Opp]],Table46[DEF],'2024 fSZN'!$W$3:$W$34)</f>
        <v>#N/A</v>
      </c>
      <c r="I6" s="94" t="e" cm="1">
        <f t="array" ref="I6">_xlfn.XLOOKUP(Table11887[[#This Row],[Opp]],Table46[DEF],'2024 fSZN'!$X$3:$X$34)</f>
        <v>#N/A</v>
      </c>
      <c r="J6" s="94" t="e" cm="1">
        <f t="array" ref="J6">_xlfn.XLOOKUP(Table11887[[#This Row],[Opp]],Table46[DEF],'2024 fSZN'!$Y$3:$Y$34)</f>
        <v>#N/A</v>
      </c>
      <c r="K6" s="94" t="e" cm="1">
        <f t="array" ref="K6">_xlfn.XLOOKUP(Table11887[[#This Row],[Opp]],Table46[DEF],'2024 fSZN'!$Z$3:$Z$34)</f>
        <v>#N/A</v>
      </c>
      <c r="L6" s="95" t="e">
        <f>_xlfn.XLOOKUP(Table11887[[#This Row],[Opp]],Table46[DEF],Table46[R])</f>
        <v>#N/A</v>
      </c>
      <c r="M6" s="95" t="e">
        <f>_xlfn.XLOOKUP(Table11887[[#This Row],[Opp]],Table46[DEF],Table46[REC])</f>
        <v>#N/A</v>
      </c>
      <c r="N6" s="95" t="e">
        <f>_xlfn.XLOOKUP(Table11887[[#This Row],[Opp]],Table46[DEF],Table46[Y])</f>
        <v>#N/A</v>
      </c>
      <c r="O6" s="95" t="e">
        <f>_xlfn.XLOOKUP(Table11887[[#This Row],[Opp]],Table46[DEF],Table46[R+R])</f>
        <v>#N/A</v>
      </c>
      <c r="P6" s="96" t="e">
        <f>_xlfn.XLOOKUP(Table11887[[#This Row],[Opp]],Table46[DEF],Table46[TD])</f>
        <v>#N/A</v>
      </c>
      <c r="Q6" s="94" t="e">
        <f>AVERAGE(Table11887[[#This Row],[*R*]:[*R+Y*]])</f>
        <v>#N/A</v>
      </c>
    </row>
    <row r="7" spans="2:17" x14ac:dyDescent="0.35">
      <c r="B7" s="6" t="s">
        <v>124</v>
      </c>
      <c r="C7" s="97" t="s">
        <v>15</v>
      </c>
      <c r="D7" s="97" t="s">
        <v>394</v>
      </c>
      <c r="E7" s="6">
        <v>1</v>
      </c>
      <c r="F7" s="97" t="str">
        <f>'2025'!$E$4</f>
        <v>n/a</v>
      </c>
      <c r="G7" s="94" t="e" cm="1">
        <f t="array" ref="G7">_xlfn.XLOOKUP(Table11887[[#This Row],[Opp]],Table46[DEF],'2024 fSZN'!$V$3:$V$34)</f>
        <v>#N/A</v>
      </c>
      <c r="H7" s="94" t="e" cm="1">
        <f t="array" ref="H7">_xlfn.XLOOKUP(Table11887[[#This Row],[Opp]],Table46[DEF],'2024 fSZN'!$W$3:$W$34)</f>
        <v>#N/A</v>
      </c>
      <c r="I7" s="94" t="e" cm="1">
        <f t="array" ref="I7">_xlfn.XLOOKUP(Table11887[[#This Row],[Opp]],Table46[DEF],'2024 fSZN'!$X$3:$X$34)</f>
        <v>#N/A</v>
      </c>
      <c r="J7" s="94" t="e" cm="1">
        <f t="array" ref="J7">_xlfn.XLOOKUP(Table11887[[#This Row],[Opp]],Table46[DEF],'2024 fSZN'!$Y$3:$Y$34)</f>
        <v>#N/A</v>
      </c>
      <c r="K7" s="94" t="e" cm="1">
        <f t="array" ref="K7">_xlfn.XLOOKUP(Table11887[[#This Row],[Opp]],Table46[DEF],'2024 fSZN'!$Z$3:$Z$34)</f>
        <v>#N/A</v>
      </c>
      <c r="L7" s="95" t="e">
        <f>_xlfn.XLOOKUP(Table11887[[#This Row],[Opp]],Table46[DEF],Table46[R])</f>
        <v>#N/A</v>
      </c>
      <c r="M7" s="95" t="e">
        <f>_xlfn.XLOOKUP(Table11887[[#This Row],[Opp]],Table46[DEF],Table46[REC])</f>
        <v>#N/A</v>
      </c>
      <c r="N7" s="95" t="e">
        <f>_xlfn.XLOOKUP(Table11887[[#This Row],[Opp]],Table46[DEF],Table46[Y])</f>
        <v>#N/A</v>
      </c>
      <c r="O7" s="95" t="e">
        <f>_xlfn.XLOOKUP(Table11887[[#This Row],[Opp]],Table46[DEF],Table46[R+R])</f>
        <v>#N/A</v>
      </c>
      <c r="P7" s="96" t="e">
        <f>_xlfn.XLOOKUP(Table11887[[#This Row],[Opp]],Table46[DEF],Table46[TD])</f>
        <v>#N/A</v>
      </c>
      <c r="Q7" s="94" t="e">
        <f>AVERAGE(Table11887[[#This Row],[*R*]:[*R+Y*]])</f>
        <v>#N/A</v>
      </c>
    </row>
    <row r="8" spans="2:17" x14ac:dyDescent="0.35">
      <c r="B8" s="6" t="s">
        <v>598</v>
      </c>
      <c r="C8" s="97" t="s">
        <v>15</v>
      </c>
      <c r="D8" s="97" t="s">
        <v>396</v>
      </c>
      <c r="E8" s="6">
        <v>1</v>
      </c>
      <c r="F8" s="97" t="str">
        <f>'2025'!$E$4</f>
        <v>n/a</v>
      </c>
      <c r="G8" s="94" t="e" cm="1">
        <f t="array" ref="G8">_xlfn.XLOOKUP(Table11887[[#This Row],[Opp]],Table46[DEF],'2024 fSZN'!$V$3:$V$34)</f>
        <v>#N/A</v>
      </c>
      <c r="H8" s="94" t="e" cm="1">
        <f t="array" ref="H8">_xlfn.XLOOKUP(Table11887[[#This Row],[Opp]],Table46[DEF],'2024 fSZN'!$W$3:$W$34)</f>
        <v>#N/A</v>
      </c>
      <c r="I8" s="94" t="e" cm="1">
        <f t="array" ref="I8">_xlfn.XLOOKUP(Table11887[[#This Row],[Opp]],Table46[DEF],'2024 fSZN'!$X$3:$X$34)</f>
        <v>#N/A</v>
      </c>
      <c r="J8" s="94" t="e" cm="1">
        <f t="array" ref="J8">_xlfn.XLOOKUP(Table11887[[#This Row],[Opp]],Table46[DEF],'2024 fSZN'!$Y$3:$Y$34)</f>
        <v>#N/A</v>
      </c>
      <c r="K8" s="94" t="e" cm="1">
        <f t="array" ref="K8">_xlfn.XLOOKUP(Table11887[[#This Row],[Opp]],Table46[DEF],'2024 fSZN'!$Z$3:$Z$34)</f>
        <v>#N/A</v>
      </c>
      <c r="L8" s="95" t="e">
        <f>_xlfn.XLOOKUP(Table11887[[#This Row],[Opp]],Table46[DEF],Table46[R])</f>
        <v>#N/A</v>
      </c>
      <c r="M8" s="95" t="e">
        <f>_xlfn.XLOOKUP(Table11887[[#This Row],[Opp]],Table46[DEF],Table46[REC])</f>
        <v>#N/A</v>
      </c>
      <c r="N8" s="95" t="e">
        <f>_xlfn.XLOOKUP(Table11887[[#This Row],[Opp]],Table46[DEF],Table46[Y])</f>
        <v>#N/A</v>
      </c>
      <c r="O8" s="95" t="e">
        <f>_xlfn.XLOOKUP(Table11887[[#This Row],[Opp]],Table46[DEF],Table46[R+R])</f>
        <v>#N/A</v>
      </c>
      <c r="P8" s="96" t="e">
        <f>_xlfn.XLOOKUP(Table11887[[#This Row],[Opp]],Table46[DEF],Table46[TD])</f>
        <v>#N/A</v>
      </c>
      <c r="Q8" s="94" t="e">
        <f>AVERAGE(Table11887[[#This Row],[*R*]:[*R+Y*]])</f>
        <v>#N/A</v>
      </c>
    </row>
    <row r="9" spans="2:17" x14ac:dyDescent="0.35">
      <c r="B9" s="6" t="s">
        <v>115</v>
      </c>
      <c r="C9" s="97" t="s">
        <v>16</v>
      </c>
      <c r="D9" s="97" t="s">
        <v>395</v>
      </c>
      <c r="E9" s="6">
        <v>1</v>
      </c>
      <c r="F9" s="97" t="str">
        <f>'2025'!$E$5</f>
        <v>n/a</v>
      </c>
      <c r="G9" s="94" t="e" cm="1">
        <f t="array" ref="G9">_xlfn.XLOOKUP(Table11887[[#This Row],[Opp]],Table46[DEF],'2024 fSZN'!$V$3:$V$34)</f>
        <v>#N/A</v>
      </c>
      <c r="H9" s="94" t="e" cm="1">
        <f t="array" ref="H9">_xlfn.XLOOKUP(Table11887[[#This Row],[Opp]],Table46[DEF],'2024 fSZN'!$W$3:$W$34)</f>
        <v>#N/A</v>
      </c>
      <c r="I9" s="94" t="e" cm="1">
        <f t="array" ref="I9">_xlfn.XLOOKUP(Table11887[[#This Row],[Opp]],Table46[DEF],'2024 fSZN'!$X$3:$X$34)</f>
        <v>#N/A</v>
      </c>
      <c r="J9" s="94" t="e" cm="1">
        <f t="array" ref="J9">_xlfn.XLOOKUP(Table11887[[#This Row],[Opp]],Table46[DEF],'2024 fSZN'!$Y$3:$Y$34)</f>
        <v>#N/A</v>
      </c>
      <c r="K9" s="94" t="e" cm="1">
        <f t="array" ref="K9">_xlfn.XLOOKUP(Table11887[[#This Row],[Opp]],Table46[DEF],'2024 fSZN'!$Z$3:$Z$34)</f>
        <v>#N/A</v>
      </c>
      <c r="L9" s="95" t="e">
        <f>_xlfn.XLOOKUP(Table11887[[#This Row],[Opp]],Table46[DEF],Table46[R])</f>
        <v>#N/A</v>
      </c>
      <c r="M9" s="95" t="e">
        <f>_xlfn.XLOOKUP(Table11887[[#This Row],[Opp]],Table46[DEF],Table46[REC])</f>
        <v>#N/A</v>
      </c>
      <c r="N9" s="95" t="e">
        <f>_xlfn.XLOOKUP(Table11887[[#This Row],[Opp]],Table46[DEF],Table46[Y])</f>
        <v>#N/A</v>
      </c>
      <c r="O9" s="95" t="e">
        <f>_xlfn.XLOOKUP(Table11887[[#This Row],[Opp]],Table46[DEF],Table46[R+R])</f>
        <v>#N/A</v>
      </c>
      <c r="P9" s="96" t="e">
        <f>_xlfn.XLOOKUP(Table11887[[#This Row],[Opp]],Table46[DEF],Table46[TD])</f>
        <v>#N/A</v>
      </c>
      <c r="Q9" s="94" t="e">
        <f>AVERAGE(Table11887[[#This Row],[*R*]:[*R+Y*]])</f>
        <v>#N/A</v>
      </c>
    </row>
    <row r="10" spans="2:17" x14ac:dyDescent="0.35">
      <c r="B10" s="6" t="s">
        <v>120</v>
      </c>
      <c r="C10" s="97" t="s">
        <v>16</v>
      </c>
      <c r="D10" s="97" t="s">
        <v>394</v>
      </c>
      <c r="E10" s="6">
        <v>1</v>
      </c>
      <c r="F10" s="97" t="str">
        <f>'2025'!$E$5</f>
        <v>n/a</v>
      </c>
      <c r="G10" s="94" t="e" cm="1">
        <f t="array" ref="G10">_xlfn.XLOOKUP(Table11887[[#This Row],[Opp]],Table46[DEF],'2024 fSZN'!$V$3:$V$34)</f>
        <v>#N/A</v>
      </c>
      <c r="H10" s="94" t="e" cm="1">
        <f t="array" ref="H10">_xlfn.XLOOKUP(Table11887[[#This Row],[Opp]],Table46[DEF],'2024 fSZN'!$W$3:$W$34)</f>
        <v>#N/A</v>
      </c>
      <c r="I10" s="94" t="e" cm="1">
        <f t="array" ref="I10">_xlfn.XLOOKUP(Table11887[[#This Row],[Opp]],Table46[DEF],'2024 fSZN'!$X$3:$X$34)</f>
        <v>#N/A</v>
      </c>
      <c r="J10" s="94" t="e" cm="1">
        <f t="array" ref="J10">_xlfn.XLOOKUP(Table11887[[#This Row],[Opp]],Table46[DEF],'2024 fSZN'!$Y$3:$Y$34)</f>
        <v>#N/A</v>
      </c>
      <c r="K10" s="94" t="e" cm="1">
        <f t="array" ref="K10">_xlfn.XLOOKUP(Table11887[[#This Row],[Opp]],Table46[DEF],'2024 fSZN'!$Z$3:$Z$34)</f>
        <v>#N/A</v>
      </c>
      <c r="L10" s="95" t="e">
        <f>_xlfn.XLOOKUP(Table11887[[#This Row],[Opp]],Table46[DEF],Table46[R])</f>
        <v>#N/A</v>
      </c>
      <c r="M10" s="95" t="e">
        <f>_xlfn.XLOOKUP(Table11887[[#This Row],[Opp]],Table46[DEF],Table46[REC])</f>
        <v>#N/A</v>
      </c>
      <c r="N10" s="95" t="e">
        <f>_xlfn.XLOOKUP(Table11887[[#This Row],[Opp]],Table46[DEF],Table46[Y])</f>
        <v>#N/A</v>
      </c>
      <c r="O10" s="95" t="e">
        <f>_xlfn.XLOOKUP(Table11887[[#This Row],[Opp]],Table46[DEF],Table46[R+R])</f>
        <v>#N/A</v>
      </c>
      <c r="P10" s="96" t="e">
        <f>_xlfn.XLOOKUP(Table11887[[#This Row],[Opp]],Table46[DEF],Table46[TD])</f>
        <v>#N/A</v>
      </c>
      <c r="Q10" s="94" t="e">
        <f>AVERAGE(Table11887[[#This Row],[*R*]:[*R+Y*]])</f>
        <v>#N/A</v>
      </c>
    </row>
    <row r="11" spans="2:17" x14ac:dyDescent="0.35">
      <c r="B11" s="6" t="s">
        <v>125</v>
      </c>
      <c r="C11" s="97" t="s">
        <v>16</v>
      </c>
      <c r="D11" s="97" t="s">
        <v>396</v>
      </c>
      <c r="E11" s="6">
        <v>1</v>
      </c>
      <c r="F11" s="97" t="str">
        <f>'2025'!$E$5</f>
        <v>n/a</v>
      </c>
      <c r="G11" s="94" t="e" cm="1">
        <f t="array" ref="G11">_xlfn.XLOOKUP(Table11887[[#This Row],[Opp]],Table46[DEF],'2024 fSZN'!$V$3:$V$34)</f>
        <v>#N/A</v>
      </c>
      <c r="H11" s="94" t="e" cm="1">
        <f t="array" ref="H11">_xlfn.XLOOKUP(Table11887[[#This Row],[Opp]],Table46[DEF],'2024 fSZN'!$W$3:$W$34)</f>
        <v>#N/A</v>
      </c>
      <c r="I11" s="94" t="e" cm="1">
        <f t="array" ref="I11">_xlfn.XLOOKUP(Table11887[[#This Row],[Opp]],Table46[DEF],'2024 fSZN'!$X$3:$X$34)</f>
        <v>#N/A</v>
      </c>
      <c r="J11" s="94" t="e" cm="1">
        <f t="array" ref="J11">_xlfn.XLOOKUP(Table11887[[#This Row],[Opp]],Table46[DEF],'2024 fSZN'!$Y$3:$Y$34)</f>
        <v>#N/A</v>
      </c>
      <c r="K11" s="94" t="e" cm="1">
        <f t="array" ref="K11">_xlfn.XLOOKUP(Table11887[[#This Row],[Opp]],Table46[DEF],'2024 fSZN'!$Z$3:$Z$34)</f>
        <v>#N/A</v>
      </c>
      <c r="L11" s="95" t="e">
        <f>_xlfn.XLOOKUP(Table11887[[#This Row],[Opp]],Table46[DEF],Table46[R])</f>
        <v>#N/A</v>
      </c>
      <c r="M11" s="95" t="e">
        <f>_xlfn.XLOOKUP(Table11887[[#This Row],[Opp]],Table46[DEF],Table46[REC])</f>
        <v>#N/A</v>
      </c>
      <c r="N11" s="95" t="e">
        <f>_xlfn.XLOOKUP(Table11887[[#This Row],[Opp]],Table46[DEF],Table46[Y])</f>
        <v>#N/A</v>
      </c>
      <c r="O11" s="95" t="e">
        <f>_xlfn.XLOOKUP(Table11887[[#This Row],[Opp]],Table46[DEF],Table46[R+R])</f>
        <v>#N/A</v>
      </c>
      <c r="P11" s="96" t="e">
        <f>_xlfn.XLOOKUP(Table11887[[#This Row],[Opp]],Table46[DEF],Table46[TD])</f>
        <v>#N/A</v>
      </c>
      <c r="Q11" s="94" t="e">
        <f>AVERAGE(Table11887[[#This Row],[*R*]:[*R+Y*]])</f>
        <v>#N/A</v>
      </c>
    </row>
    <row r="12" spans="2:17" x14ac:dyDescent="0.35">
      <c r="B12" s="6" t="s">
        <v>469</v>
      </c>
      <c r="C12" s="97" t="s">
        <v>16</v>
      </c>
      <c r="D12" s="97" t="s">
        <v>407</v>
      </c>
      <c r="E12" s="6">
        <v>1</v>
      </c>
      <c r="F12" s="97" t="str">
        <f>'2025'!$E$5</f>
        <v>n/a</v>
      </c>
      <c r="G12" s="94" t="e" cm="1">
        <f t="array" ref="G12">_xlfn.XLOOKUP(Table11887[[#This Row],[Opp]],Table46[DEF],'2024 fSZN'!$V$3:$V$34)</f>
        <v>#N/A</v>
      </c>
      <c r="H12" s="94" t="e" cm="1">
        <f t="array" ref="H12">_xlfn.XLOOKUP(Table11887[[#This Row],[Opp]],Table46[DEF],'2024 fSZN'!$W$3:$W$34)</f>
        <v>#N/A</v>
      </c>
      <c r="I12" s="94" t="e" cm="1">
        <f t="array" ref="I12">_xlfn.XLOOKUP(Table11887[[#This Row],[Opp]],Table46[DEF],'2024 fSZN'!$X$3:$X$34)</f>
        <v>#N/A</v>
      </c>
      <c r="J12" s="94" t="e" cm="1">
        <f t="array" ref="J12">_xlfn.XLOOKUP(Table11887[[#This Row],[Opp]],Table46[DEF],'2024 fSZN'!$Y$3:$Y$34)</f>
        <v>#N/A</v>
      </c>
      <c r="K12" s="94" t="e" cm="1">
        <f t="array" ref="K12">_xlfn.XLOOKUP(Table11887[[#This Row],[Opp]],Table46[DEF],'2024 fSZN'!$Z$3:$Z$34)</f>
        <v>#N/A</v>
      </c>
      <c r="L12" s="95" t="e">
        <f>_xlfn.XLOOKUP(Table11887[[#This Row],[Opp]],Table46[DEF],Table46[R])</f>
        <v>#N/A</v>
      </c>
      <c r="M12" s="95" t="e">
        <f>_xlfn.XLOOKUP(Table11887[[#This Row],[Opp]],Table46[DEF],Table46[REC])</f>
        <v>#N/A</v>
      </c>
      <c r="N12" s="95" t="e">
        <f>_xlfn.XLOOKUP(Table11887[[#This Row],[Opp]],Table46[DEF],Table46[Y])</f>
        <v>#N/A</v>
      </c>
      <c r="O12" s="95" t="e">
        <f>_xlfn.XLOOKUP(Table11887[[#This Row],[Opp]],Table46[DEF],Table46[R+R])</f>
        <v>#N/A</v>
      </c>
      <c r="P12" s="96" t="e">
        <f>_xlfn.XLOOKUP(Table11887[[#This Row],[Opp]],Table46[DEF],Table46[TD])</f>
        <v>#N/A</v>
      </c>
      <c r="Q12" s="94" t="e">
        <f>AVERAGE(Table11887[[#This Row],[*R*]:[*R+Y*]])</f>
        <v>#N/A</v>
      </c>
    </row>
    <row r="13" spans="2:17" x14ac:dyDescent="0.35">
      <c r="B13" s="6" t="s">
        <v>537</v>
      </c>
      <c r="C13" s="97" t="s">
        <v>16</v>
      </c>
      <c r="D13" s="97" t="s">
        <v>536</v>
      </c>
      <c r="E13" s="6">
        <v>1</v>
      </c>
      <c r="F13" s="97" t="str">
        <f>'2025'!$E$5</f>
        <v>n/a</v>
      </c>
      <c r="G13" s="94" t="e" cm="1">
        <f t="array" ref="G13">_xlfn.XLOOKUP(Table11887[[#This Row],[Opp]],Table46[DEF],'2024 fSZN'!$V$3:$V$34)</f>
        <v>#N/A</v>
      </c>
      <c r="H13" s="94" t="e" cm="1">
        <f t="array" ref="H13">_xlfn.XLOOKUP(Table11887[[#This Row],[Opp]],Table46[DEF],'2024 fSZN'!$W$3:$W$34)</f>
        <v>#N/A</v>
      </c>
      <c r="I13" s="94" t="e" cm="1">
        <f t="array" ref="I13">_xlfn.XLOOKUP(Table11887[[#This Row],[Opp]],Table46[DEF],'2024 fSZN'!$X$3:$X$34)</f>
        <v>#N/A</v>
      </c>
      <c r="J13" s="94" t="e" cm="1">
        <f t="array" ref="J13">_xlfn.XLOOKUP(Table11887[[#This Row],[Opp]],Table46[DEF],'2024 fSZN'!$Y$3:$Y$34)</f>
        <v>#N/A</v>
      </c>
      <c r="K13" s="94" t="e" cm="1">
        <f t="array" ref="K13">_xlfn.XLOOKUP(Table11887[[#This Row],[Opp]],Table46[DEF],'2024 fSZN'!$Z$3:$Z$34)</f>
        <v>#N/A</v>
      </c>
      <c r="L13" s="95" t="e">
        <f>_xlfn.XLOOKUP(Table11887[[#This Row],[Opp]],Table46[DEF],Table46[R])</f>
        <v>#N/A</v>
      </c>
      <c r="M13" s="95" t="e">
        <f>_xlfn.XLOOKUP(Table11887[[#This Row],[Opp]],Table46[DEF],Table46[REC])</f>
        <v>#N/A</v>
      </c>
      <c r="N13" s="95" t="e">
        <f>_xlfn.XLOOKUP(Table11887[[#This Row],[Opp]],Table46[DEF],Table46[Y])</f>
        <v>#N/A</v>
      </c>
      <c r="O13" s="95" t="e">
        <f>_xlfn.XLOOKUP(Table11887[[#This Row],[Opp]],Table46[DEF],Table46[R+R])</f>
        <v>#N/A</v>
      </c>
      <c r="P13" s="96" t="e">
        <f>_xlfn.XLOOKUP(Table11887[[#This Row],[Opp]],Table46[DEF],Table46[TD])</f>
        <v>#N/A</v>
      </c>
      <c r="Q13" s="94" t="e">
        <f>AVERAGE(Table11887[[#This Row],[*R*]:[*R+Y*]])</f>
        <v>#N/A</v>
      </c>
    </row>
    <row r="14" spans="2:17" x14ac:dyDescent="0.35">
      <c r="B14" s="6" t="s">
        <v>121</v>
      </c>
      <c r="C14" s="97" t="s">
        <v>17</v>
      </c>
      <c r="D14" s="97" t="s">
        <v>395</v>
      </c>
      <c r="E14" s="6">
        <v>1</v>
      </c>
      <c r="F14" s="97" t="str">
        <f>'2025'!$E$6</f>
        <v>n/a</v>
      </c>
      <c r="G14" s="94" t="e" cm="1">
        <f t="array" ref="G14">_xlfn.XLOOKUP(Table11887[[#This Row],[Opp]],Table46[DEF],'2024 fSZN'!$V$3:$V$34)</f>
        <v>#N/A</v>
      </c>
      <c r="H14" s="94" t="e" cm="1">
        <f t="array" ref="H14">_xlfn.XLOOKUP(Table11887[[#This Row],[Opp]],Table46[DEF],'2024 fSZN'!$W$3:$W$34)</f>
        <v>#N/A</v>
      </c>
      <c r="I14" s="94" t="e" cm="1">
        <f t="array" ref="I14">_xlfn.XLOOKUP(Table11887[[#This Row],[Opp]],Table46[DEF],'2024 fSZN'!$X$3:$X$34)</f>
        <v>#N/A</v>
      </c>
      <c r="J14" s="94" t="e" cm="1">
        <f t="array" ref="J14">_xlfn.XLOOKUP(Table11887[[#This Row],[Opp]],Table46[DEF],'2024 fSZN'!$Y$3:$Y$34)</f>
        <v>#N/A</v>
      </c>
      <c r="K14" s="94" t="e" cm="1">
        <f t="array" ref="K14">_xlfn.XLOOKUP(Table11887[[#This Row],[Opp]],Table46[DEF],'2024 fSZN'!$Z$3:$Z$34)</f>
        <v>#N/A</v>
      </c>
      <c r="L14" s="95" t="e">
        <f>_xlfn.XLOOKUP(Table11887[[#This Row],[Opp]],Table46[DEF],Table46[R])</f>
        <v>#N/A</v>
      </c>
      <c r="M14" s="95" t="e">
        <f>_xlfn.XLOOKUP(Table11887[[#This Row],[Opp]],Table46[DEF],Table46[REC])</f>
        <v>#N/A</v>
      </c>
      <c r="N14" s="95" t="e">
        <f>_xlfn.XLOOKUP(Table11887[[#This Row],[Opp]],Table46[DEF],Table46[Y])</f>
        <v>#N/A</v>
      </c>
      <c r="O14" s="95" t="e">
        <f>_xlfn.XLOOKUP(Table11887[[#This Row],[Opp]],Table46[DEF],Table46[R+R])</f>
        <v>#N/A</v>
      </c>
      <c r="P14" s="96" t="e">
        <f>_xlfn.XLOOKUP(Table11887[[#This Row],[Opp]],Table46[DEF],Table46[TD])</f>
        <v>#N/A</v>
      </c>
      <c r="Q14" s="94" t="e">
        <f>AVERAGE(Table11887[[#This Row],[*R*]:[*R+Y*]])</f>
        <v>#N/A</v>
      </c>
    </row>
    <row r="15" spans="2:17" x14ac:dyDescent="0.35">
      <c r="B15" s="6" t="s">
        <v>116</v>
      </c>
      <c r="C15" s="97" t="s">
        <v>17</v>
      </c>
      <c r="D15" s="97" t="s">
        <v>394</v>
      </c>
      <c r="E15" s="6">
        <v>1</v>
      </c>
      <c r="F15" s="97" t="str">
        <f>'2025'!$E$6</f>
        <v>n/a</v>
      </c>
      <c r="G15" s="94" t="e" cm="1">
        <f t="array" ref="G15">_xlfn.XLOOKUP(Table11887[[#This Row],[Opp]],Table46[DEF],'2024 fSZN'!$V$3:$V$34)</f>
        <v>#N/A</v>
      </c>
      <c r="H15" s="94" t="e" cm="1">
        <f t="array" ref="H15">_xlfn.XLOOKUP(Table11887[[#This Row],[Opp]],Table46[DEF],'2024 fSZN'!$W$3:$W$34)</f>
        <v>#N/A</v>
      </c>
      <c r="I15" s="94" t="e" cm="1">
        <f t="array" ref="I15">_xlfn.XLOOKUP(Table11887[[#This Row],[Opp]],Table46[DEF],'2024 fSZN'!$X$3:$X$34)</f>
        <v>#N/A</v>
      </c>
      <c r="J15" s="94" t="e" cm="1">
        <f t="array" ref="J15">_xlfn.XLOOKUP(Table11887[[#This Row],[Opp]],Table46[DEF],'2024 fSZN'!$Y$3:$Y$34)</f>
        <v>#N/A</v>
      </c>
      <c r="K15" s="94" t="e" cm="1">
        <f t="array" ref="K15">_xlfn.XLOOKUP(Table11887[[#This Row],[Opp]],Table46[DEF],'2024 fSZN'!$Z$3:$Z$34)</f>
        <v>#N/A</v>
      </c>
      <c r="L15" s="95" t="e">
        <f>_xlfn.XLOOKUP(Table11887[[#This Row],[Opp]],Table46[DEF],Table46[R])</f>
        <v>#N/A</v>
      </c>
      <c r="M15" s="95" t="e">
        <f>_xlfn.XLOOKUP(Table11887[[#This Row],[Opp]],Table46[DEF],Table46[REC])</f>
        <v>#N/A</v>
      </c>
      <c r="N15" s="95" t="e">
        <f>_xlfn.XLOOKUP(Table11887[[#This Row],[Opp]],Table46[DEF],Table46[Y])</f>
        <v>#N/A</v>
      </c>
      <c r="O15" s="95" t="e">
        <f>_xlfn.XLOOKUP(Table11887[[#This Row],[Opp]],Table46[DEF],Table46[R+R])</f>
        <v>#N/A</v>
      </c>
      <c r="P15" s="96" t="e">
        <f>_xlfn.XLOOKUP(Table11887[[#This Row],[Opp]],Table46[DEF],Table46[TD])</f>
        <v>#N/A</v>
      </c>
      <c r="Q15" s="94" t="e">
        <f>AVERAGE(Table11887[[#This Row],[*R*]:[*R+Y*]])</f>
        <v>#N/A</v>
      </c>
    </row>
    <row r="16" spans="2:17" x14ac:dyDescent="0.35">
      <c r="B16" s="6" t="s">
        <v>126</v>
      </c>
      <c r="C16" s="97" t="s">
        <v>17</v>
      </c>
      <c r="D16" s="97" t="s">
        <v>396</v>
      </c>
      <c r="E16" s="6">
        <v>1</v>
      </c>
      <c r="F16" s="97" t="str">
        <f>'2025'!$E$6</f>
        <v>n/a</v>
      </c>
      <c r="G16" s="94" t="e" cm="1">
        <f t="array" ref="G16">_xlfn.XLOOKUP(Table11887[[#This Row],[Opp]],Table46[DEF],'2024 fSZN'!$V$3:$V$34)</f>
        <v>#N/A</v>
      </c>
      <c r="H16" s="94" t="e" cm="1">
        <f t="array" ref="H16">_xlfn.XLOOKUP(Table11887[[#This Row],[Opp]],Table46[DEF],'2024 fSZN'!$W$3:$W$34)</f>
        <v>#N/A</v>
      </c>
      <c r="I16" s="94" t="e" cm="1">
        <f t="array" ref="I16">_xlfn.XLOOKUP(Table11887[[#This Row],[Opp]],Table46[DEF],'2024 fSZN'!$X$3:$X$34)</f>
        <v>#N/A</v>
      </c>
      <c r="J16" s="94" t="e" cm="1">
        <f t="array" ref="J16">_xlfn.XLOOKUP(Table11887[[#This Row],[Opp]],Table46[DEF],'2024 fSZN'!$Y$3:$Y$34)</f>
        <v>#N/A</v>
      </c>
      <c r="K16" s="94" t="e" cm="1">
        <f t="array" ref="K16">_xlfn.XLOOKUP(Table11887[[#This Row],[Opp]],Table46[DEF],'2024 fSZN'!$Z$3:$Z$34)</f>
        <v>#N/A</v>
      </c>
      <c r="L16" s="95" t="e">
        <f>_xlfn.XLOOKUP(Table11887[[#This Row],[Opp]],Table46[DEF],Table46[R])</f>
        <v>#N/A</v>
      </c>
      <c r="M16" s="95" t="e">
        <f>_xlfn.XLOOKUP(Table11887[[#This Row],[Opp]],Table46[DEF],Table46[REC])</f>
        <v>#N/A</v>
      </c>
      <c r="N16" s="95" t="e">
        <f>_xlfn.XLOOKUP(Table11887[[#This Row],[Opp]],Table46[DEF],Table46[Y])</f>
        <v>#N/A</v>
      </c>
      <c r="O16" s="95" t="e">
        <f>_xlfn.XLOOKUP(Table11887[[#This Row],[Opp]],Table46[DEF],Table46[R+R])</f>
        <v>#N/A</v>
      </c>
      <c r="P16" s="96" t="e">
        <f>_xlfn.XLOOKUP(Table11887[[#This Row],[Opp]],Table46[DEF],Table46[TD])</f>
        <v>#N/A</v>
      </c>
      <c r="Q16" s="94" t="e">
        <f>AVERAGE(Table11887[[#This Row],[*R*]:[*R+Y*]])</f>
        <v>#N/A</v>
      </c>
    </row>
    <row r="17" spans="2:17" x14ac:dyDescent="0.35">
      <c r="B17" s="6" t="s">
        <v>117</v>
      </c>
      <c r="C17" s="97" t="s">
        <v>29</v>
      </c>
      <c r="D17" s="97" t="s">
        <v>395</v>
      </c>
      <c r="E17" s="6">
        <v>1</v>
      </c>
      <c r="F17" s="97" t="str">
        <f>'2025'!$E$7</f>
        <v>n/a</v>
      </c>
      <c r="G17" s="94" t="e" cm="1">
        <f t="array" ref="G17">_xlfn.XLOOKUP(Table11887[[#This Row],[Opp]],Table46[DEF],'2024 fSZN'!$V$3:$V$34)</f>
        <v>#N/A</v>
      </c>
      <c r="H17" s="94" t="e" cm="1">
        <f t="array" ref="H17">_xlfn.XLOOKUP(Table11887[[#This Row],[Opp]],Table46[DEF],'2024 fSZN'!$W$3:$W$34)</f>
        <v>#N/A</v>
      </c>
      <c r="I17" s="94" t="e" cm="1">
        <f t="array" ref="I17">_xlfn.XLOOKUP(Table11887[[#This Row],[Opp]],Table46[DEF],'2024 fSZN'!$X$3:$X$34)</f>
        <v>#N/A</v>
      </c>
      <c r="J17" s="94" t="e" cm="1">
        <f t="array" ref="J17">_xlfn.XLOOKUP(Table11887[[#This Row],[Opp]],Table46[DEF],'2024 fSZN'!$Y$3:$Y$34)</f>
        <v>#N/A</v>
      </c>
      <c r="K17" s="94" t="e" cm="1">
        <f t="array" ref="K17">_xlfn.XLOOKUP(Table11887[[#This Row],[Opp]],Table46[DEF],'2024 fSZN'!$Z$3:$Z$34)</f>
        <v>#N/A</v>
      </c>
      <c r="L17" s="95" t="e">
        <f>_xlfn.XLOOKUP(Table11887[[#This Row],[Opp]],Table46[DEF],Table46[R])</f>
        <v>#N/A</v>
      </c>
      <c r="M17" s="95" t="e">
        <f>_xlfn.XLOOKUP(Table11887[[#This Row],[Opp]],Table46[DEF],Table46[REC])</f>
        <v>#N/A</v>
      </c>
      <c r="N17" s="95" t="e">
        <f>_xlfn.XLOOKUP(Table11887[[#This Row],[Opp]],Table46[DEF],Table46[Y])</f>
        <v>#N/A</v>
      </c>
      <c r="O17" s="95" t="e">
        <f>_xlfn.XLOOKUP(Table11887[[#This Row],[Opp]],Table46[DEF],Table46[R+R])</f>
        <v>#N/A</v>
      </c>
      <c r="P17" s="96" t="e">
        <f>_xlfn.XLOOKUP(Table11887[[#This Row],[Opp]],Table46[DEF],Table46[TD])</f>
        <v>#N/A</v>
      </c>
      <c r="Q17" s="94" t="e">
        <f>AVERAGE(Table11887[[#This Row],[*R*]:[*R+Y*]])</f>
        <v>#N/A</v>
      </c>
    </row>
    <row r="18" spans="2:17" x14ac:dyDescent="0.35">
      <c r="B18" s="6" t="s">
        <v>122</v>
      </c>
      <c r="C18" s="97" t="s">
        <v>29</v>
      </c>
      <c r="D18" s="97" t="s">
        <v>394</v>
      </c>
      <c r="E18" s="6">
        <v>1</v>
      </c>
      <c r="F18" s="97" t="str">
        <f>'2025'!$E$7</f>
        <v>n/a</v>
      </c>
      <c r="G18" s="94" t="e" cm="1">
        <f t="array" ref="G18">_xlfn.XLOOKUP(Table11887[[#This Row],[Opp]],Table46[DEF],'2024 fSZN'!$V$3:$V$34)</f>
        <v>#N/A</v>
      </c>
      <c r="H18" s="94" t="e" cm="1">
        <f t="array" ref="H18">_xlfn.XLOOKUP(Table11887[[#This Row],[Opp]],Table46[DEF],'2024 fSZN'!$W$3:$W$34)</f>
        <v>#N/A</v>
      </c>
      <c r="I18" s="94" t="e" cm="1">
        <f t="array" ref="I18">_xlfn.XLOOKUP(Table11887[[#This Row],[Opp]],Table46[DEF],'2024 fSZN'!$X$3:$X$34)</f>
        <v>#N/A</v>
      </c>
      <c r="J18" s="94" t="e" cm="1">
        <f t="array" ref="J18">_xlfn.XLOOKUP(Table11887[[#This Row],[Opp]],Table46[DEF],'2024 fSZN'!$Y$3:$Y$34)</f>
        <v>#N/A</v>
      </c>
      <c r="K18" s="94" t="e" cm="1">
        <f t="array" ref="K18">_xlfn.XLOOKUP(Table11887[[#This Row],[Opp]],Table46[DEF],'2024 fSZN'!$Z$3:$Z$34)</f>
        <v>#N/A</v>
      </c>
      <c r="L18" s="95" t="e">
        <f>_xlfn.XLOOKUP(Table11887[[#This Row],[Opp]],Table46[DEF],Table46[R])</f>
        <v>#N/A</v>
      </c>
      <c r="M18" s="95" t="e">
        <f>_xlfn.XLOOKUP(Table11887[[#This Row],[Opp]],Table46[DEF],Table46[REC])</f>
        <v>#N/A</v>
      </c>
      <c r="N18" s="95" t="e">
        <f>_xlfn.XLOOKUP(Table11887[[#This Row],[Opp]],Table46[DEF],Table46[Y])</f>
        <v>#N/A</v>
      </c>
      <c r="O18" s="95" t="e">
        <f>_xlfn.XLOOKUP(Table11887[[#This Row],[Opp]],Table46[DEF],Table46[R+R])</f>
        <v>#N/A</v>
      </c>
      <c r="P18" s="96" t="e">
        <f>_xlfn.XLOOKUP(Table11887[[#This Row],[Opp]],Table46[DEF],Table46[TD])</f>
        <v>#N/A</v>
      </c>
      <c r="Q18" s="94" t="e">
        <f>AVERAGE(Table11887[[#This Row],[*R*]:[*R+Y*]])</f>
        <v>#N/A</v>
      </c>
    </row>
    <row r="19" spans="2:17" x14ac:dyDescent="0.35">
      <c r="B19" s="6" t="s">
        <v>127</v>
      </c>
      <c r="C19" s="97" t="s">
        <v>29</v>
      </c>
      <c r="D19" s="97" t="s">
        <v>396</v>
      </c>
      <c r="E19" s="6">
        <v>1</v>
      </c>
      <c r="F19" s="97" t="str">
        <f>'2025'!$E$7</f>
        <v>n/a</v>
      </c>
      <c r="G19" s="94" t="e" cm="1">
        <f t="array" ref="G19">_xlfn.XLOOKUP(Table11887[[#This Row],[Opp]],Table46[DEF],'2024 fSZN'!$V$3:$V$34)</f>
        <v>#N/A</v>
      </c>
      <c r="H19" s="94" t="e" cm="1">
        <f t="array" ref="H19">_xlfn.XLOOKUP(Table11887[[#This Row],[Opp]],Table46[DEF],'2024 fSZN'!$W$3:$W$34)</f>
        <v>#N/A</v>
      </c>
      <c r="I19" s="94" t="e" cm="1">
        <f t="array" ref="I19">_xlfn.XLOOKUP(Table11887[[#This Row],[Opp]],Table46[DEF],'2024 fSZN'!$X$3:$X$34)</f>
        <v>#N/A</v>
      </c>
      <c r="J19" s="94" t="e" cm="1">
        <f t="array" ref="J19">_xlfn.XLOOKUP(Table11887[[#This Row],[Opp]],Table46[DEF],'2024 fSZN'!$Y$3:$Y$34)</f>
        <v>#N/A</v>
      </c>
      <c r="K19" s="94" t="e" cm="1">
        <f t="array" ref="K19">_xlfn.XLOOKUP(Table11887[[#This Row],[Opp]],Table46[DEF],'2024 fSZN'!$Z$3:$Z$34)</f>
        <v>#N/A</v>
      </c>
      <c r="L19" s="95" t="e">
        <f>_xlfn.XLOOKUP(Table11887[[#This Row],[Opp]],Table46[DEF],Table46[R])</f>
        <v>#N/A</v>
      </c>
      <c r="M19" s="95" t="e">
        <f>_xlfn.XLOOKUP(Table11887[[#This Row],[Opp]],Table46[DEF],Table46[REC])</f>
        <v>#N/A</v>
      </c>
      <c r="N19" s="95" t="e">
        <f>_xlfn.XLOOKUP(Table11887[[#This Row],[Opp]],Table46[DEF],Table46[Y])</f>
        <v>#N/A</v>
      </c>
      <c r="O19" s="95" t="e">
        <f>_xlfn.XLOOKUP(Table11887[[#This Row],[Opp]],Table46[DEF],Table46[R+R])</f>
        <v>#N/A</v>
      </c>
      <c r="P19" s="96" t="e">
        <f>_xlfn.XLOOKUP(Table11887[[#This Row],[Opp]],Table46[DEF],Table46[TD])</f>
        <v>#N/A</v>
      </c>
      <c r="Q19" s="94" t="e">
        <f>AVERAGE(Table11887[[#This Row],[*R*]:[*R+Y*]])</f>
        <v>#N/A</v>
      </c>
    </row>
    <row r="20" spans="2:17" x14ac:dyDescent="0.35">
      <c r="B20" s="6" t="s">
        <v>608</v>
      </c>
      <c r="C20" s="97" t="s">
        <v>29</v>
      </c>
      <c r="D20" s="97" t="s">
        <v>407</v>
      </c>
      <c r="E20" s="6">
        <v>-1</v>
      </c>
      <c r="F20" s="97" t="str">
        <f>'2025'!$E$7</f>
        <v>n/a</v>
      </c>
      <c r="G20" s="94" t="e" cm="1">
        <f t="array" ref="G20">_xlfn.XLOOKUP(Table11887[[#This Row],[Opp]],Table46[DEF],'2024 fSZN'!$V$3:$V$34)</f>
        <v>#N/A</v>
      </c>
      <c r="H20" s="94" t="e" cm="1">
        <f t="array" ref="H20">_xlfn.XLOOKUP(Table11887[[#This Row],[Opp]],Table46[DEF],'2024 fSZN'!$W$3:$W$34)</f>
        <v>#N/A</v>
      </c>
      <c r="I20" s="94" t="e" cm="1">
        <f t="array" ref="I20">_xlfn.XLOOKUP(Table11887[[#This Row],[Opp]],Table46[DEF],'2024 fSZN'!$X$3:$X$34)</f>
        <v>#N/A</v>
      </c>
      <c r="J20" s="94" t="e" cm="1">
        <f t="array" ref="J20">_xlfn.XLOOKUP(Table11887[[#This Row],[Opp]],Table46[DEF],'2024 fSZN'!$Y$3:$Y$34)</f>
        <v>#N/A</v>
      </c>
      <c r="K20" s="94" t="e" cm="1">
        <f t="array" ref="K20">_xlfn.XLOOKUP(Table11887[[#This Row],[Opp]],Table46[DEF],'2024 fSZN'!$Z$3:$Z$34)</f>
        <v>#N/A</v>
      </c>
      <c r="L20" s="95" t="e">
        <f>_xlfn.XLOOKUP(Table11887[[#This Row],[Opp]],Table46[DEF],Table46[R])</f>
        <v>#N/A</v>
      </c>
      <c r="M20" s="95" t="e">
        <f>_xlfn.XLOOKUP(Table11887[[#This Row],[Opp]],Table46[DEF],Table46[REC])</f>
        <v>#N/A</v>
      </c>
      <c r="N20" s="95" t="e">
        <f>_xlfn.XLOOKUP(Table11887[[#This Row],[Opp]],Table46[DEF],Table46[Y])</f>
        <v>#N/A</v>
      </c>
      <c r="O20" s="95" t="e">
        <f>_xlfn.XLOOKUP(Table11887[[#This Row],[Opp]],Table46[DEF],Table46[R+R])</f>
        <v>#N/A</v>
      </c>
      <c r="P20" s="96" t="e">
        <f>_xlfn.XLOOKUP(Table11887[[#This Row],[Opp]],Table46[DEF],Table46[TD])</f>
        <v>#N/A</v>
      </c>
      <c r="Q20" s="94" t="e">
        <f>AVERAGE(Table11887[[#This Row],[*R*]:[*R+Y*]])</f>
        <v>#N/A</v>
      </c>
    </row>
    <row r="21" spans="2:17" x14ac:dyDescent="0.35">
      <c r="B21" s="6" t="s">
        <v>151</v>
      </c>
      <c r="C21" s="97" t="s">
        <v>30</v>
      </c>
      <c r="D21" s="97" t="s">
        <v>395</v>
      </c>
      <c r="E21" s="6">
        <v>1</v>
      </c>
      <c r="F21" s="97" t="str">
        <f>'2025'!$E$8</f>
        <v>n/a</v>
      </c>
      <c r="G21" s="94" t="e" cm="1">
        <f t="array" ref="G21">_xlfn.XLOOKUP(Table11887[[#This Row],[Opp]],Table46[DEF],'2024 fSZN'!$V$3:$V$34)</f>
        <v>#N/A</v>
      </c>
      <c r="H21" s="94" t="e" cm="1">
        <f t="array" ref="H21">_xlfn.XLOOKUP(Table11887[[#This Row],[Opp]],Table46[DEF],'2024 fSZN'!$W$3:$W$34)</f>
        <v>#N/A</v>
      </c>
      <c r="I21" s="94" t="e" cm="1">
        <f t="array" ref="I21">_xlfn.XLOOKUP(Table11887[[#This Row],[Opp]],Table46[DEF],'2024 fSZN'!$X$3:$X$34)</f>
        <v>#N/A</v>
      </c>
      <c r="J21" s="94" t="e" cm="1">
        <f t="array" ref="J21">_xlfn.XLOOKUP(Table11887[[#This Row],[Opp]],Table46[DEF],'2024 fSZN'!$Y$3:$Y$34)</f>
        <v>#N/A</v>
      </c>
      <c r="K21" s="94" t="e" cm="1">
        <f t="array" ref="K21">_xlfn.XLOOKUP(Table11887[[#This Row],[Opp]],Table46[DEF],'2024 fSZN'!$Z$3:$Z$34)</f>
        <v>#N/A</v>
      </c>
      <c r="L21" s="95" t="e">
        <f>_xlfn.XLOOKUP(Table11887[[#This Row],[Opp]],Table46[DEF],Table46[R])</f>
        <v>#N/A</v>
      </c>
      <c r="M21" s="95" t="e">
        <f>_xlfn.XLOOKUP(Table11887[[#This Row],[Opp]],Table46[DEF],Table46[REC])</f>
        <v>#N/A</v>
      </c>
      <c r="N21" s="95" t="e">
        <f>_xlfn.XLOOKUP(Table11887[[#This Row],[Opp]],Table46[DEF],Table46[Y])</f>
        <v>#N/A</v>
      </c>
      <c r="O21" s="95" t="e">
        <f>_xlfn.XLOOKUP(Table11887[[#This Row],[Opp]],Table46[DEF],Table46[R+R])</f>
        <v>#N/A</v>
      </c>
      <c r="P21" s="96" t="e">
        <f>_xlfn.XLOOKUP(Table11887[[#This Row],[Opp]],Table46[DEF],Table46[TD])</f>
        <v>#N/A</v>
      </c>
      <c r="Q21" s="94" t="e">
        <f>AVERAGE(Table11887[[#This Row],[*R*]:[*R+Y*]])</f>
        <v>#N/A</v>
      </c>
    </row>
    <row r="22" spans="2:17" x14ac:dyDescent="0.35">
      <c r="B22" s="6" t="s">
        <v>152</v>
      </c>
      <c r="C22" s="97" t="s">
        <v>30</v>
      </c>
      <c r="D22" s="97" t="s">
        <v>394</v>
      </c>
      <c r="E22" s="6">
        <v>0</v>
      </c>
      <c r="F22" s="97" t="str">
        <f>'2025'!$E$8</f>
        <v>n/a</v>
      </c>
      <c r="G22" s="94" t="e" cm="1">
        <f t="array" ref="G22">_xlfn.XLOOKUP(Table11887[[#This Row],[Opp]],Table46[DEF],'2024 fSZN'!$V$3:$V$34)</f>
        <v>#N/A</v>
      </c>
      <c r="H22" s="94" t="e" cm="1">
        <f t="array" ref="H22">_xlfn.XLOOKUP(Table11887[[#This Row],[Opp]],Table46[DEF],'2024 fSZN'!$W$3:$W$34)</f>
        <v>#N/A</v>
      </c>
      <c r="I22" s="94" t="e" cm="1">
        <f t="array" ref="I22">_xlfn.XLOOKUP(Table11887[[#This Row],[Opp]],Table46[DEF],'2024 fSZN'!$X$3:$X$34)</f>
        <v>#N/A</v>
      </c>
      <c r="J22" s="94" t="e" cm="1">
        <f t="array" ref="J22">_xlfn.XLOOKUP(Table11887[[#This Row],[Opp]],Table46[DEF],'2024 fSZN'!$Y$3:$Y$34)</f>
        <v>#N/A</v>
      </c>
      <c r="K22" s="94" t="e" cm="1">
        <f t="array" ref="K22">_xlfn.XLOOKUP(Table11887[[#This Row],[Opp]],Table46[DEF],'2024 fSZN'!$Z$3:$Z$34)</f>
        <v>#N/A</v>
      </c>
      <c r="L22" s="95" t="e">
        <f>_xlfn.XLOOKUP(Table11887[[#This Row],[Opp]],Table46[DEF],Table46[R])</f>
        <v>#N/A</v>
      </c>
      <c r="M22" s="95" t="e">
        <f>_xlfn.XLOOKUP(Table11887[[#This Row],[Opp]],Table46[DEF],Table46[REC])</f>
        <v>#N/A</v>
      </c>
      <c r="N22" s="95" t="e">
        <f>_xlfn.XLOOKUP(Table11887[[#This Row],[Opp]],Table46[DEF],Table46[Y])</f>
        <v>#N/A</v>
      </c>
      <c r="O22" s="95" t="e">
        <f>_xlfn.XLOOKUP(Table11887[[#This Row],[Opp]],Table46[DEF],Table46[R+R])</f>
        <v>#N/A</v>
      </c>
      <c r="P22" s="96" t="e">
        <f>_xlfn.XLOOKUP(Table11887[[#This Row],[Opp]],Table46[DEF],Table46[TD])</f>
        <v>#N/A</v>
      </c>
      <c r="Q22" s="94" t="e">
        <f>AVERAGE(Table11887[[#This Row],[*R*]:[*R+Y*]])</f>
        <v>#N/A</v>
      </c>
    </row>
    <row r="23" spans="2:17" x14ac:dyDescent="0.35">
      <c r="B23" s="6" t="s">
        <v>153</v>
      </c>
      <c r="C23" s="97" t="s">
        <v>30</v>
      </c>
      <c r="D23" s="97" t="s">
        <v>396</v>
      </c>
      <c r="E23" s="6">
        <v>0</v>
      </c>
      <c r="F23" s="97" t="str">
        <f>'2025'!$E$8</f>
        <v>n/a</v>
      </c>
      <c r="G23" s="94" t="e" cm="1">
        <f t="array" ref="G23">_xlfn.XLOOKUP(Table11887[[#This Row],[Opp]],Table46[DEF],'2024 fSZN'!$V$3:$V$34)</f>
        <v>#N/A</v>
      </c>
      <c r="H23" s="94" t="e" cm="1">
        <f t="array" ref="H23">_xlfn.XLOOKUP(Table11887[[#This Row],[Opp]],Table46[DEF],'2024 fSZN'!$W$3:$W$34)</f>
        <v>#N/A</v>
      </c>
      <c r="I23" s="94" t="e" cm="1">
        <f t="array" ref="I23">_xlfn.XLOOKUP(Table11887[[#This Row],[Opp]],Table46[DEF],'2024 fSZN'!$X$3:$X$34)</f>
        <v>#N/A</v>
      </c>
      <c r="J23" s="94" t="e" cm="1">
        <f t="array" ref="J23">_xlfn.XLOOKUP(Table11887[[#This Row],[Opp]],Table46[DEF],'2024 fSZN'!$Y$3:$Y$34)</f>
        <v>#N/A</v>
      </c>
      <c r="K23" s="94" t="e" cm="1">
        <f t="array" ref="K23">_xlfn.XLOOKUP(Table11887[[#This Row],[Opp]],Table46[DEF],'2024 fSZN'!$Z$3:$Z$34)</f>
        <v>#N/A</v>
      </c>
      <c r="L23" s="95" t="e">
        <f>_xlfn.XLOOKUP(Table11887[[#This Row],[Opp]],Table46[DEF],Table46[R])</f>
        <v>#N/A</v>
      </c>
      <c r="M23" s="95" t="e">
        <f>_xlfn.XLOOKUP(Table11887[[#This Row],[Opp]],Table46[DEF],Table46[REC])</f>
        <v>#N/A</v>
      </c>
      <c r="N23" s="95" t="e">
        <f>_xlfn.XLOOKUP(Table11887[[#This Row],[Opp]],Table46[DEF],Table46[Y])</f>
        <v>#N/A</v>
      </c>
      <c r="O23" s="95" t="e">
        <f>_xlfn.XLOOKUP(Table11887[[#This Row],[Opp]],Table46[DEF],Table46[R+R])</f>
        <v>#N/A</v>
      </c>
      <c r="P23" s="96" t="e">
        <f>_xlfn.XLOOKUP(Table11887[[#This Row],[Opp]],Table46[DEF],Table46[TD])</f>
        <v>#N/A</v>
      </c>
      <c r="Q23" s="94" t="e">
        <f>AVERAGE(Table11887[[#This Row],[*R*]:[*R+Y*]])</f>
        <v>#N/A</v>
      </c>
    </row>
    <row r="24" spans="2:17" x14ac:dyDescent="0.35">
      <c r="B24" s="6" t="s">
        <v>498</v>
      </c>
      <c r="C24" s="97" t="s">
        <v>30</v>
      </c>
      <c r="D24" s="97" t="s">
        <v>407</v>
      </c>
      <c r="E24" s="6">
        <v>-1</v>
      </c>
      <c r="F24" s="97" t="str">
        <f>'2025'!$E$8</f>
        <v>n/a</v>
      </c>
      <c r="G24" s="94" t="e" cm="1">
        <f t="array" ref="G24">_xlfn.XLOOKUP(Table11887[[#This Row],[Opp]],Table46[DEF],'2024 fSZN'!$V$3:$V$34)</f>
        <v>#N/A</v>
      </c>
      <c r="H24" s="94" t="e" cm="1">
        <f t="array" ref="H24">_xlfn.XLOOKUP(Table11887[[#This Row],[Opp]],Table46[DEF],'2024 fSZN'!$W$3:$W$34)</f>
        <v>#N/A</v>
      </c>
      <c r="I24" s="94" t="e" cm="1">
        <f t="array" ref="I24">_xlfn.XLOOKUP(Table11887[[#This Row],[Opp]],Table46[DEF],'2024 fSZN'!$X$3:$X$34)</f>
        <v>#N/A</v>
      </c>
      <c r="J24" s="94" t="e" cm="1">
        <f t="array" ref="J24">_xlfn.XLOOKUP(Table11887[[#This Row],[Opp]],Table46[DEF],'2024 fSZN'!$Y$3:$Y$34)</f>
        <v>#N/A</v>
      </c>
      <c r="K24" s="94" t="e" cm="1">
        <f t="array" ref="K24">_xlfn.XLOOKUP(Table11887[[#This Row],[Opp]],Table46[DEF],'2024 fSZN'!$Z$3:$Z$34)</f>
        <v>#N/A</v>
      </c>
      <c r="L24" s="95" t="e">
        <f>_xlfn.XLOOKUP(Table11887[[#This Row],[Opp]],Table46[DEF],Table46[R])</f>
        <v>#N/A</v>
      </c>
      <c r="M24" s="95" t="e">
        <f>_xlfn.XLOOKUP(Table11887[[#This Row],[Opp]],Table46[DEF],Table46[REC])</f>
        <v>#N/A</v>
      </c>
      <c r="N24" s="95" t="e">
        <f>_xlfn.XLOOKUP(Table11887[[#This Row],[Opp]],Table46[DEF],Table46[Y])</f>
        <v>#N/A</v>
      </c>
      <c r="O24" s="95" t="e">
        <f>_xlfn.XLOOKUP(Table11887[[#This Row],[Opp]],Table46[DEF],Table46[R+R])</f>
        <v>#N/A</v>
      </c>
      <c r="P24" s="96" t="e">
        <f>_xlfn.XLOOKUP(Table11887[[#This Row],[Opp]],Table46[DEF],Table46[TD])</f>
        <v>#N/A</v>
      </c>
      <c r="Q24" s="94" t="e">
        <f>AVERAGE(Table11887[[#This Row],[*R*]:[*R+Y*]])</f>
        <v>#N/A</v>
      </c>
    </row>
    <row r="25" spans="2:17" x14ac:dyDescent="0.35">
      <c r="B25" s="6" t="s">
        <v>161</v>
      </c>
      <c r="C25" s="97" t="s">
        <v>31</v>
      </c>
      <c r="D25" s="97" t="s">
        <v>395</v>
      </c>
      <c r="E25" s="6">
        <v>1</v>
      </c>
      <c r="F25" s="97" t="str">
        <f>'2025'!$E$9</f>
        <v>n/a</v>
      </c>
      <c r="G25" s="94" t="e" cm="1">
        <f t="array" ref="G25">_xlfn.XLOOKUP(Table11887[[#This Row],[Opp]],Table46[DEF],'2024 fSZN'!$V$3:$V$34)</f>
        <v>#N/A</v>
      </c>
      <c r="H25" s="94" t="e" cm="1">
        <f t="array" ref="H25">_xlfn.XLOOKUP(Table11887[[#This Row],[Opp]],Table46[DEF],'2024 fSZN'!$W$3:$W$34)</f>
        <v>#N/A</v>
      </c>
      <c r="I25" s="94" t="e" cm="1">
        <f t="array" ref="I25">_xlfn.XLOOKUP(Table11887[[#This Row],[Opp]],Table46[DEF],'2024 fSZN'!$X$3:$X$34)</f>
        <v>#N/A</v>
      </c>
      <c r="J25" s="94" t="e" cm="1">
        <f t="array" ref="J25">_xlfn.XLOOKUP(Table11887[[#This Row],[Opp]],Table46[DEF],'2024 fSZN'!$Y$3:$Y$34)</f>
        <v>#N/A</v>
      </c>
      <c r="K25" s="94" t="e" cm="1">
        <f t="array" ref="K25">_xlfn.XLOOKUP(Table11887[[#This Row],[Opp]],Table46[DEF],'2024 fSZN'!$Z$3:$Z$34)</f>
        <v>#N/A</v>
      </c>
      <c r="L25" s="95" t="e">
        <f>_xlfn.XLOOKUP(Table11887[[#This Row],[Opp]],Table46[DEF],Table46[R])</f>
        <v>#N/A</v>
      </c>
      <c r="M25" s="95" t="e">
        <f>_xlfn.XLOOKUP(Table11887[[#This Row],[Opp]],Table46[DEF],Table46[REC])</f>
        <v>#N/A</v>
      </c>
      <c r="N25" s="95" t="e">
        <f>_xlfn.XLOOKUP(Table11887[[#This Row],[Opp]],Table46[DEF],Table46[Y])</f>
        <v>#N/A</v>
      </c>
      <c r="O25" s="95" t="e">
        <f>_xlfn.XLOOKUP(Table11887[[#This Row],[Opp]],Table46[DEF],Table46[R+R])</f>
        <v>#N/A</v>
      </c>
      <c r="P25" s="96" t="e">
        <f>_xlfn.XLOOKUP(Table11887[[#This Row],[Opp]],Table46[DEF],Table46[TD])</f>
        <v>#N/A</v>
      </c>
      <c r="Q25" s="94" t="e">
        <f>AVERAGE(Table11887[[#This Row],[*R*]:[*R+Y*]])</f>
        <v>#N/A</v>
      </c>
    </row>
    <row r="26" spans="2:17" x14ac:dyDescent="0.35">
      <c r="B26" s="6" t="s">
        <v>162</v>
      </c>
      <c r="C26" s="97" t="s">
        <v>31</v>
      </c>
      <c r="D26" s="97" t="s">
        <v>394</v>
      </c>
      <c r="E26" s="6">
        <v>1</v>
      </c>
      <c r="F26" s="97" t="str">
        <f>'2025'!$E$9</f>
        <v>n/a</v>
      </c>
      <c r="G26" s="94" t="e" cm="1">
        <f t="array" ref="G26">_xlfn.XLOOKUP(Table11887[[#This Row],[Opp]],Table46[DEF],'2024 fSZN'!$V$3:$V$34)</f>
        <v>#N/A</v>
      </c>
      <c r="H26" s="94" t="e" cm="1">
        <f t="array" ref="H26">_xlfn.XLOOKUP(Table11887[[#This Row],[Opp]],Table46[DEF],'2024 fSZN'!$W$3:$W$34)</f>
        <v>#N/A</v>
      </c>
      <c r="I26" s="94" t="e" cm="1">
        <f t="array" ref="I26">_xlfn.XLOOKUP(Table11887[[#This Row],[Opp]],Table46[DEF],'2024 fSZN'!$X$3:$X$34)</f>
        <v>#N/A</v>
      </c>
      <c r="J26" s="94" t="e" cm="1">
        <f t="array" ref="J26">_xlfn.XLOOKUP(Table11887[[#This Row],[Opp]],Table46[DEF],'2024 fSZN'!$Y$3:$Y$34)</f>
        <v>#N/A</v>
      </c>
      <c r="K26" s="94" t="e" cm="1">
        <f t="array" ref="K26">_xlfn.XLOOKUP(Table11887[[#This Row],[Opp]],Table46[DEF],'2024 fSZN'!$Z$3:$Z$34)</f>
        <v>#N/A</v>
      </c>
      <c r="L26" s="95" t="e">
        <f>_xlfn.XLOOKUP(Table11887[[#This Row],[Opp]],Table46[DEF],Table46[R])</f>
        <v>#N/A</v>
      </c>
      <c r="M26" s="95" t="e">
        <f>_xlfn.XLOOKUP(Table11887[[#This Row],[Opp]],Table46[DEF],Table46[REC])</f>
        <v>#N/A</v>
      </c>
      <c r="N26" s="95" t="e">
        <f>_xlfn.XLOOKUP(Table11887[[#This Row],[Opp]],Table46[DEF],Table46[Y])</f>
        <v>#N/A</v>
      </c>
      <c r="O26" s="95" t="e">
        <f>_xlfn.XLOOKUP(Table11887[[#This Row],[Opp]],Table46[DEF],Table46[R+R])</f>
        <v>#N/A</v>
      </c>
      <c r="P26" s="96" t="e">
        <f>_xlfn.XLOOKUP(Table11887[[#This Row],[Opp]],Table46[DEF],Table46[TD])</f>
        <v>#N/A</v>
      </c>
      <c r="Q26" s="94" t="e">
        <f>AVERAGE(Table11887[[#This Row],[*R*]:[*R+Y*]])</f>
        <v>#N/A</v>
      </c>
    </row>
    <row r="27" spans="2:17" x14ac:dyDescent="0.35">
      <c r="B27" s="6" t="s">
        <v>163</v>
      </c>
      <c r="C27" s="97" t="s">
        <v>31</v>
      </c>
      <c r="D27" s="97" t="s">
        <v>396</v>
      </c>
      <c r="E27" s="6">
        <v>1</v>
      </c>
      <c r="F27" s="97" t="str">
        <f>'2025'!$E$9</f>
        <v>n/a</v>
      </c>
      <c r="G27" s="94" t="e" cm="1">
        <f t="array" ref="G27">_xlfn.XLOOKUP(Table11887[[#This Row],[Opp]],Table46[DEF],'2024 fSZN'!$V$3:$V$34)</f>
        <v>#N/A</v>
      </c>
      <c r="H27" s="94" t="e" cm="1">
        <f t="array" ref="H27">_xlfn.XLOOKUP(Table11887[[#This Row],[Opp]],Table46[DEF],'2024 fSZN'!$W$3:$W$34)</f>
        <v>#N/A</v>
      </c>
      <c r="I27" s="94" t="e" cm="1">
        <f t="array" ref="I27">_xlfn.XLOOKUP(Table11887[[#This Row],[Opp]],Table46[DEF],'2024 fSZN'!$X$3:$X$34)</f>
        <v>#N/A</v>
      </c>
      <c r="J27" s="94" t="e" cm="1">
        <f t="array" ref="J27">_xlfn.XLOOKUP(Table11887[[#This Row],[Opp]],Table46[DEF],'2024 fSZN'!$Y$3:$Y$34)</f>
        <v>#N/A</v>
      </c>
      <c r="K27" s="94" t="e" cm="1">
        <f t="array" ref="K27">_xlfn.XLOOKUP(Table11887[[#This Row],[Opp]],Table46[DEF],'2024 fSZN'!$Z$3:$Z$34)</f>
        <v>#N/A</v>
      </c>
      <c r="L27" s="95" t="e">
        <f>_xlfn.XLOOKUP(Table11887[[#This Row],[Opp]],Table46[DEF],Table46[R])</f>
        <v>#N/A</v>
      </c>
      <c r="M27" s="95" t="e">
        <f>_xlfn.XLOOKUP(Table11887[[#This Row],[Opp]],Table46[DEF],Table46[REC])</f>
        <v>#N/A</v>
      </c>
      <c r="N27" s="95" t="e">
        <f>_xlfn.XLOOKUP(Table11887[[#This Row],[Opp]],Table46[DEF],Table46[Y])</f>
        <v>#N/A</v>
      </c>
      <c r="O27" s="95" t="e">
        <f>_xlfn.XLOOKUP(Table11887[[#This Row],[Opp]],Table46[DEF],Table46[R+R])</f>
        <v>#N/A</v>
      </c>
      <c r="P27" s="96" t="e">
        <f>_xlfn.XLOOKUP(Table11887[[#This Row],[Opp]],Table46[DEF],Table46[TD])</f>
        <v>#N/A</v>
      </c>
      <c r="Q27" s="94" t="e">
        <f>AVERAGE(Table11887[[#This Row],[*R*]:[*R+Y*]])</f>
        <v>#N/A</v>
      </c>
    </row>
    <row r="28" spans="2:17" x14ac:dyDescent="0.35">
      <c r="B28" s="6" t="s">
        <v>176</v>
      </c>
      <c r="C28" s="97" t="s">
        <v>32</v>
      </c>
      <c r="D28" s="97" t="s">
        <v>395</v>
      </c>
      <c r="E28" s="6">
        <v>1</v>
      </c>
      <c r="F28" s="97" t="str">
        <f>'2025'!$E$10</f>
        <v>n/a</v>
      </c>
      <c r="G28" s="94" t="e" cm="1">
        <f t="array" ref="G28">_xlfn.XLOOKUP(Table11887[[#This Row],[Opp]],Table46[DEF],'2024 fSZN'!$V$3:$V$34)</f>
        <v>#N/A</v>
      </c>
      <c r="H28" s="94" t="e" cm="1">
        <f t="array" ref="H28">_xlfn.XLOOKUP(Table11887[[#This Row],[Opp]],Table46[DEF],'2024 fSZN'!$W$3:$W$34)</f>
        <v>#N/A</v>
      </c>
      <c r="I28" s="94" t="e" cm="1">
        <f t="array" ref="I28">_xlfn.XLOOKUP(Table11887[[#This Row],[Opp]],Table46[DEF],'2024 fSZN'!$X$3:$X$34)</f>
        <v>#N/A</v>
      </c>
      <c r="J28" s="94" t="e" cm="1">
        <f t="array" ref="J28">_xlfn.XLOOKUP(Table11887[[#This Row],[Opp]],Table46[DEF],'2024 fSZN'!$Y$3:$Y$34)</f>
        <v>#N/A</v>
      </c>
      <c r="K28" s="94" t="e" cm="1">
        <f t="array" ref="K28">_xlfn.XLOOKUP(Table11887[[#This Row],[Opp]],Table46[DEF],'2024 fSZN'!$Z$3:$Z$34)</f>
        <v>#N/A</v>
      </c>
      <c r="L28" s="95" t="e">
        <f>_xlfn.XLOOKUP(Table11887[[#This Row],[Opp]],Table46[DEF],Table46[R])</f>
        <v>#N/A</v>
      </c>
      <c r="M28" s="95" t="e">
        <f>_xlfn.XLOOKUP(Table11887[[#This Row],[Opp]],Table46[DEF],Table46[REC])</f>
        <v>#N/A</v>
      </c>
      <c r="N28" s="95" t="e">
        <f>_xlfn.XLOOKUP(Table11887[[#This Row],[Opp]],Table46[DEF],Table46[Y])</f>
        <v>#N/A</v>
      </c>
      <c r="O28" s="95" t="e">
        <f>_xlfn.XLOOKUP(Table11887[[#This Row],[Opp]],Table46[DEF],Table46[R+R])</f>
        <v>#N/A</v>
      </c>
      <c r="P28" s="96" t="e">
        <f>_xlfn.XLOOKUP(Table11887[[#This Row],[Opp]],Table46[DEF],Table46[TD])</f>
        <v>#N/A</v>
      </c>
      <c r="Q28" s="94" t="e">
        <f>AVERAGE(Table11887[[#This Row],[*R*]:[*R+Y*]])</f>
        <v>#N/A</v>
      </c>
    </row>
    <row r="29" spans="2:17" x14ac:dyDescent="0.35">
      <c r="B29" s="6" t="s">
        <v>174</v>
      </c>
      <c r="C29" s="97" t="s">
        <v>32</v>
      </c>
      <c r="D29" s="97" t="s">
        <v>394</v>
      </c>
      <c r="E29" s="6">
        <v>1</v>
      </c>
      <c r="F29" s="97" t="str">
        <f>'2025'!$E$10</f>
        <v>n/a</v>
      </c>
      <c r="G29" s="94" t="e" cm="1">
        <f t="array" ref="G29">_xlfn.XLOOKUP(Table11887[[#This Row],[Opp]],Table46[DEF],'2024 fSZN'!$V$3:$V$34)</f>
        <v>#N/A</v>
      </c>
      <c r="H29" s="94" t="e" cm="1">
        <f t="array" ref="H29">_xlfn.XLOOKUP(Table11887[[#This Row],[Opp]],Table46[DEF],'2024 fSZN'!$W$3:$W$34)</f>
        <v>#N/A</v>
      </c>
      <c r="I29" s="94" t="e" cm="1">
        <f t="array" ref="I29">_xlfn.XLOOKUP(Table11887[[#This Row],[Opp]],Table46[DEF],'2024 fSZN'!$X$3:$X$34)</f>
        <v>#N/A</v>
      </c>
      <c r="J29" s="94" t="e" cm="1">
        <f t="array" ref="J29">_xlfn.XLOOKUP(Table11887[[#This Row],[Opp]],Table46[DEF],'2024 fSZN'!$Y$3:$Y$34)</f>
        <v>#N/A</v>
      </c>
      <c r="K29" s="94" t="e" cm="1">
        <f t="array" ref="K29">_xlfn.XLOOKUP(Table11887[[#This Row],[Opp]],Table46[DEF],'2024 fSZN'!$Z$3:$Z$34)</f>
        <v>#N/A</v>
      </c>
      <c r="L29" s="95" t="e">
        <f>_xlfn.XLOOKUP(Table11887[[#This Row],[Opp]],Table46[DEF],Table46[R])</f>
        <v>#N/A</v>
      </c>
      <c r="M29" s="95" t="e">
        <f>_xlfn.XLOOKUP(Table11887[[#This Row],[Opp]],Table46[DEF],Table46[REC])</f>
        <v>#N/A</v>
      </c>
      <c r="N29" s="95" t="e">
        <f>_xlfn.XLOOKUP(Table11887[[#This Row],[Opp]],Table46[DEF],Table46[Y])</f>
        <v>#N/A</v>
      </c>
      <c r="O29" s="95" t="e">
        <f>_xlfn.XLOOKUP(Table11887[[#This Row],[Opp]],Table46[DEF],Table46[R+R])</f>
        <v>#N/A</v>
      </c>
      <c r="P29" s="96" t="e">
        <f>_xlfn.XLOOKUP(Table11887[[#This Row],[Opp]],Table46[DEF],Table46[TD])</f>
        <v>#N/A</v>
      </c>
      <c r="Q29" s="94" t="e">
        <f>AVERAGE(Table11887[[#This Row],[*R*]:[*R+Y*]])</f>
        <v>#N/A</v>
      </c>
    </row>
    <row r="30" spans="2:17" x14ac:dyDescent="0.35">
      <c r="B30" s="6" t="s">
        <v>175</v>
      </c>
      <c r="C30" s="97" t="s">
        <v>32</v>
      </c>
      <c r="D30" s="97" t="s">
        <v>396</v>
      </c>
      <c r="E30" s="6">
        <v>1</v>
      </c>
      <c r="F30" s="97" t="str">
        <f>'2025'!$E$10</f>
        <v>n/a</v>
      </c>
      <c r="G30" s="94" t="e" cm="1">
        <f t="array" ref="G30">_xlfn.XLOOKUP(Table11887[[#This Row],[Opp]],Table46[DEF],'2024 fSZN'!$V$3:$V$34)</f>
        <v>#N/A</v>
      </c>
      <c r="H30" s="94" t="e" cm="1">
        <f t="array" ref="H30">_xlfn.XLOOKUP(Table11887[[#This Row],[Opp]],Table46[DEF],'2024 fSZN'!$W$3:$W$34)</f>
        <v>#N/A</v>
      </c>
      <c r="I30" s="94" t="e" cm="1">
        <f t="array" ref="I30">_xlfn.XLOOKUP(Table11887[[#This Row],[Opp]],Table46[DEF],'2024 fSZN'!$X$3:$X$34)</f>
        <v>#N/A</v>
      </c>
      <c r="J30" s="94" t="e" cm="1">
        <f t="array" ref="J30">_xlfn.XLOOKUP(Table11887[[#This Row],[Opp]],Table46[DEF],'2024 fSZN'!$Y$3:$Y$34)</f>
        <v>#N/A</v>
      </c>
      <c r="K30" s="94" t="e" cm="1">
        <f t="array" ref="K30">_xlfn.XLOOKUP(Table11887[[#This Row],[Opp]],Table46[DEF],'2024 fSZN'!$Z$3:$Z$34)</f>
        <v>#N/A</v>
      </c>
      <c r="L30" s="95" t="e">
        <f>_xlfn.XLOOKUP(Table11887[[#This Row],[Opp]],Table46[DEF],Table46[R])</f>
        <v>#N/A</v>
      </c>
      <c r="M30" s="95" t="e">
        <f>_xlfn.XLOOKUP(Table11887[[#This Row],[Opp]],Table46[DEF],Table46[REC])</f>
        <v>#N/A</v>
      </c>
      <c r="N30" s="95" t="e">
        <f>_xlfn.XLOOKUP(Table11887[[#This Row],[Opp]],Table46[DEF],Table46[Y])</f>
        <v>#N/A</v>
      </c>
      <c r="O30" s="95" t="e">
        <f>_xlfn.XLOOKUP(Table11887[[#This Row],[Opp]],Table46[DEF],Table46[R+R])</f>
        <v>#N/A</v>
      </c>
      <c r="P30" s="96" t="e">
        <f>_xlfn.XLOOKUP(Table11887[[#This Row],[Opp]],Table46[DEF],Table46[TD])</f>
        <v>#N/A</v>
      </c>
      <c r="Q30" s="94" t="e">
        <f>AVERAGE(Table11887[[#This Row],[*R*]:[*R+Y*]])</f>
        <v>#N/A</v>
      </c>
    </row>
    <row r="31" spans="2:17" x14ac:dyDescent="0.35">
      <c r="B31" s="6" t="s">
        <v>481</v>
      </c>
      <c r="C31" s="97" t="s">
        <v>32</v>
      </c>
      <c r="D31" s="97" t="s">
        <v>407</v>
      </c>
      <c r="E31" s="6">
        <v>1</v>
      </c>
      <c r="F31" s="97" t="str">
        <f>'2025'!$E$10</f>
        <v>n/a</v>
      </c>
      <c r="G31" s="94" t="e" cm="1">
        <f t="array" ref="G31">_xlfn.XLOOKUP(Table11887[[#This Row],[Opp]],Table46[DEF],'2024 fSZN'!$V$3:$V$34)</f>
        <v>#N/A</v>
      </c>
      <c r="H31" s="94" t="e" cm="1">
        <f t="array" ref="H31">_xlfn.XLOOKUP(Table11887[[#This Row],[Opp]],Table46[DEF],'2024 fSZN'!$W$3:$W$34)</f>
        <v>#N/A</v>
      </c>
      <c r="I31" s="94" t="e" cm="1">
        <f t="array" ref="I31">_xlfn.XLOOKUP(Table11887[[#This Row],[Opp]],Table46[DEF],'2024 fSZN'!$X$3:$X$34)</f>
        <v>#N/A</v>
      </c>
      <c r="J31" s="94" t="e" cm="1">
        <f t="array" ref="J31">_xlfn.XLOOKUP(Table11887[[#This Row],[Opp]],Table46[DEF],'2024 fSZN'!$Y$3:$Y$34)</f>
        <v>#N/A</v>
      </c>
      <c r="K31" s="94" t="e" cm="1">
        <f t="array" ref="K31">_xlfn.XLOOKUP(Table11887[[#This Row],[Opp]],Table46[DEF],'2024 fSZN'!$Z$3:$Z$34)</f>
        <v>#N/A</v>
      </c>
      <c r="L31" s="95" t="e">
        <f>_xlfn.XLOOKUP(Table11887[[#This Row],[Opp]],Table46[DEF],Table46[R])</f>
        <v>#N/A</v>
      </c>
      <c r="M31" s="95" t="e">
        <f>_xlfn.XLOOKUP(Table11887[[#This Row],[Opp]],Table46[DEF],Table46[REC])</f>
        <v>#N/A</v>
      </c>
      <c r="N31" s="95" t="e">
        <f>_xlfn.XLOOKUP(Table11887[[#This Row],[Opp]],Table46[DEF],Table46[Y])</f>
        <v>#N/A</v>
      </c>
      <c r="O31" s="95" t="e">
        <f>_xlfn.XLOOKUP(Table11887[[#This Row],[Opp]],Table46[DEF],Table46[R+R])</f>
        <v>#N/A</v>
      </c>
      <c r="P31" s="96" t="e">
        <f>_xlfn.XLOOKUP(Table11887[[#This Row],[Opp]],Table46[DEF],Table46[TD])</f>
        <v>#N/A</v>
      </c>
      <c r="Q31" s="94" t="e">
        <f>AVERAGE(Table11887[[#This Row],[*R*]:[*R+Y*]])</f>
        <v>#N/A</v>
      </c>
    </row>
    <row r="32" spans="2:17" x14ac:dyDescent="0.35">
      <c r="B32" s="6" t="s">
        <v>184</v>
      </c>
      <c r="C32" s="97" t="s">
        <v>33</v>
      </c>
      <c r="D32" s="97" t="s">
        <v>395</v>
      </c>
      <c r="E32" s="6">
        <v>1</v>
      </c>
      <c r="F32" s="97" t="str">
        <f>'2025'!$E$11</f>
        <v>n/a</v>
      </c>
      <c r="G32" s="94" t="e" cm="1">
        <f t="array" ref="G32">_xlfn.XLOOKUP(Table11887[[#This Row],[Opp]],Table46[DEF],'2024 fSZN'!$V$3:$V$34)</f>
        <v>#N/A</v>
      </c>
      <c r="H32" s="94" t="e" cm="1">
        <f t="array" ref="H32">_xlfn.XLOOKUP(Table11887[[#This Row],[Opp]],Table46[DEF],'2024 fSZN'!$W$3:$W$34)</f>
        <v>#N/A</v>
      </c>
      <c r="I32" s="94" t="e" cm="1">
        <f t="array" ref="I32">_xlfn.XLOOKUP(Table11887[[#This Row],[Opp]],Table46[DEF],'2024 fSZN'!$X$3:$X$34)</f>
        <v>#N/A</v>
      </c>
      <c r="J32" s="94" t="e" cm="1">
        <f t="array" ref="J32">_xlfn.XLOOKUP(Table11887[[#This Row],[Opp]],Table46[DEF],'2024 fSZN'!$Y$3:$Y$34)</f>
        <v>#N/A</v>
      </c>
      <c r="K32" s="94" t="e" cm="1">
        <f t="array" ref="K32">_xlfn.XLOOKUP(Table11887[[#This Row],[Opp]],Table46[DEF],'2024 fSZN'!$Z$3:$Z$34)</f>
        <v>#N/A</v>
      </c>
      <c r="L32" s="95" t="e">
        <f>_xlfn.XLOOKUP(Table11887[[#This Row],[Opp]],Table46[DEF],Table46[R])</f>
        <v>#N/A</v>
      </c>
      <c r="M32" s="95" t="e">
        <f>_xlfn.XLOOKUP(Table11887[[#This Row],[Opp]],Table46[DEF],Table46[REC])</f>
        <v>#N/A</v>
      </c>
      <c r="N32" s="95" t="e">
        <f>_xlfn.XLOOKUP(Table11887[[#This Row],[Opp]],Table46[DEF],Table46[Y])</f>
        <v>#N/A</v>
      </c>
      <c r="O32" s="95" t="e">
        <f>_xlfn.XLOOKUP(Table11887[[#This Row],[Opp]],Table46[DEF],Table46[R+R])</f>
        <v>#N/A</v>
      </c>
      <c r="P32" s="96" t="e">
        <f>_xlfn.XLOOKUP(Table11887[[#This Row],[Opp]],Table46[DEF],Table46[TD])</f>
        <v>#N/A</v>
      </c>
      <c r="Q32" s="94" t="e">
        <f>AVERAGE(Table11887[[#This Row],[*R*]:[*R+Y*]])</f>
        <v>#N/A</v>
      </c>
    </row>
    <row r="33" spans="2:17" x14ac:dyDescent="0.35">
      <c r="B33" s="6" t="s">
        <v>185</v>
      </c>
      <c r="C33" s="97" t="s">
        <v>33</v>
      </c>
      <c r="D33" s="97" t="s">
        <v>394</v>
      </c>
      <c r="E33" s="6">
        <v>1</v>
      </c>
      <c r="F33" s="97" t="str">
        <f>'2025'!$E$11</f>
        <v>n/a</v>
      </c>
      <c r="G33" s="94" t="e" cm="1">
        <f t="array" ref="G33">_xlfn.XLOOKUP(Table11887[[#This Row],[Opp]],Table46[DEF],'2024 fSZN'!$V$3:$V$34)</f>
        <v>#N/A</v>
      </c>
      <c r="H33" s="94" t="e" cm="1">
        <f t="array" ref="H33">_xlfn.XLOOKUP(Table11887[[#This Row],[Opp]],Table46[DEF],'2024 fSZN'!$W$3:$W$34)</f>
        <v>#N/A</v>
      </c>
      <c r="I33" s="94" t="e" cm="1">
        <f t="array" ref="I33">_xlfn.XLOOKUP(Table11887[[#This Row],[Opp]],Table46[DEF],'2024 fSZN'!$X$3:$X$34)</f>
        <v>#N/A</v>
      </c>
      <c r="J33" s="94" t="e" cm="1">
        <f t="array" ref="J33">_xlfn.XLOOKUP(Table11887[[#This Row],[Opp]],Table46[DEF],'2024 fSZN'!$Y$3:$Y$34)</f>
        <v>#N/A</v>
      </c>
      <c r="K33" s="94" t="e" cm="1">
        <f t="array" ref="K33">_xlfn.XLOOKUP(Table11887[[#This Row],[Opp]],Table46[DEF],'2024 fSZN'!$Z$3:$Z$34)</f>
        <v>#N/A</v>
      </c>
      <c r="L33" s="95" t="e">
        <f>_xlfn.XLOOKUP(Table11887[[#This Row],[Opp]],Table46[DEF],Table46[R])</f>
        <v>#N/A</v>
      </c>
      <c r="M33" s="95" t="e">
        <f>_xlfn.XLOOKUP(Table11887[[#This Row],[Opp]],Table46[DEF],Table46[REC])</f>
        <v>#N/A</v>
      </c>
      <c r="N33" s="95" t="e">
        <f>_xlfn.XLOOKUP(Table11887[[#This Row],[Opp]],Table46[DEF],Table46[Y])</f>
        <v>#N/A</v>
      </c>
      <c r="O33" s="95" t="e">
        <f>_xlfn.XLOOKUP(Table11887[[#This Row],[Opp]],Table46[DEF],Table46[R+R])</f>
        <v>#N/A</v>
      </c>
      <c r="P33" s="96" t="e">
        <f>_xlfn.XLOOKUP(Table11887[[#This Row],[Opp]],Table46[DEF],Table46[TD])</f>
        <v>#N/A</v>
      </c>
      <c r="Q33" s="94" t="e">
        <f>AVERAGE(Table11887[[#This Row],[*R*]:[*R+Y*]])</f>
        <v>#N/A</v>
      </c>
    </row>
    <row r="34" spans="2:17" x14ac:dyDescent="0.35">
      <c r="B34" s="6" t="s">
        <v>183</v>
      </c>
      <c r="C34" s="97" t="s">
        <v>33</v>
      </c>
      <c r="D34" s="97" t="s">
        <v>396</v>
      </c>
      <c r="E34" s="6">
        <v>1</v>
      </c>
      <c r="F34" s="97" t="str">
        <f>'2025'!$E$11</f>
        <v>n/a</v>
      </c>
      <c r="G34" s="94" t="e" cm="1">
        <f t="array" ref="G34">_xlfn.XLOOKUP(Table11887[[#This Row],[Opp]],Table46[DEF],'2024 fSZN'!$V$3:$V$34)</f>
        <v>#N/A</v>
      </c>
      <c r="H34" s="94" t="e" cm="1">
        <f t="array" ref="H34">_xlfn.XLOOKUP(Table11887[[#This Row],[Opp]],Table46[DEF],'2024 fSZN'!$W$3:$W$34)</f>
        <v>#N/A</v>
      </c>
      <c r="I34" s="94" t="e" cm="1">
        <f t="array" ref="I34">_xlfn.XLOOKUP(Table11887[[#This Row],[Opp]],Table46[DEF],'2024 fSZN'!$X$3:$X$34)</f>
        <v>#N/A</v>
      </c>
      <c r="J34" s="94" t="e" cm="1">
        <f t="array" ref="J34">_xlfn.XLOOKUP(Table11887[[#This Row],[Opp]],Table46[DEF],'2024 fSZN'!$Y$3:$Y$34)</f>
        <v>#N/A</v>
      </c>
      <c r="K34" s="94" t="e" cm="1">
        <f t="array" ref="K34">_xlfn.XLOOKUP(Table11887[[#This Row],[Opp]],Table46[DEF],'2024 fSZN'!$Z$3:$Z$34)</f>
        <v>#N/A</v>
      </c>
      <c r="L34" s="95" t="e">
        <f>_xlfn.XLOOKUP(Table11887[[#This Row],[Opp]],Table46[DEF],Table46[R])</f>
        <v>#N/A</v>
      </c>
      <c r="M34" s="95" t="e">
        <f>_xlfn.XLOOKUP(Table11887[[#This Row],[Opp]],Table46[DEF],Table46[REC])</f>
        <v>#N/A</v>
      </c>
      <c r="N34" s="95" t="e">
        <f>_xlfn.XLOOKUP(Table11887[[#This Row],[Opp]],Table46[DEF],Table46[Y])</f>
        <v>#N/A</v>
      </c>
      <c r="O34" s="95" t="e">
        <f>_xlfn.XLOOKUP(Table11887[[#This Row],[Opp]],Table46[DEF],Table46[R+R])</f>
        <v>#N/A</v>
      </c>
      <c r="P34" s="96" t="e">
        <f>_xlfn.XLOOKUP(Table11887[[#This Row],[Opp]],Table46[DEF],Table46[TD])</f>
        <v>#N/A</v>
      </c>
      <c r="Q34" s="94" t="e">
        <f>AVERAGE(Table11887[[#This Row],[*R*]:[*R+Y*]])</f>
        <v>#N/A</v>
      </c>
    </row>
    <row r="35" spans="2:17" x14ac:dyDescent="0.35">
      <c r="B35" s="6" t="s">
        <v>423</v>
      </c>
      <c r="C35" s="97" t="s">
        <v>33</v>
      </c>
      <c r="D35" s="97" t="s">
        <v>407</v>
      </c>
      <c r="E35" s="6">
        <v>-1</v>
      </c>
      <c r="F35" s="97" t="str">
        <f>'2025'!$E$11</f>
        <v>n/a</v>
      </c>
      <c r="G35" s="94" t="e" cm="1">
        <f t="array" ref="G35">_xlfn.XLOOKUP(Table11887[[#This Row],[Opp]],Table46[DEF],'2024 fSZN'!$V$3:$V$34)</f>
        <v>#N/A</v>
      </c>
      <c r="H35" s="94" t="e" cm="1">
        <f t="array" ref="H35">_xlfn.XLOOKUP(Table11887[[#This Row],[Opp]],Table46[DEF],'2024 fSZN'!$W$3:$W$34)</f>
        <v>#N/A</v>
      </c>
      <c r="I35" s="94" t="e" cm="1">
        <f t="array" ref="I35">_xlfn.XLOOKUP(Table11887[[#This Row],[Opp]],Table46[DEF],'2024 fSZN'!$X$3:$X$34)</f>
        <v>#N/A</v>
      </c>
      <c r="J35" s="94" t="e" cm="1">
        <f t="array" ref="J35">_xlfn.XLOOKUP(Table11887[[#This Row],[Opp]],Table46[DEF],'2024 fSZN'!$Y$3:$Y$34)</f>
        <v>#N/A</v>
      </c>
      <c r="K35" s="94" t="e" cm="1">
        <f t="array" ref="K35">_xlfn.XLOOKUP(Table11887[[#This Row],[Opp]],Table46[DEF],'2024 fSZN'!$Z$3:$Z$34)</f>
        <v>#N/A</v>
      </c>
      <c r="L35" s="95" t="e">
        <f>_xlfn.XLOOKUP(Table11887[[#This Row],[Opp]],Table46[DEF],Table46[R])</f>
        <v>#N/A</v>
      </c>
      <c r="M35" s="95" t="e">
        <f>_xlfn.XLOOKUP(Table11887[[#This Row],[Opp]],Table46[DEF],Table46[REC])</f>
        <v>#N/A</v>
      </c>
      <c r="N35" s="95" t="e">
        <f>_xlfn.XLOOKUP(Table11887[[#This Row],[Opp]],Table46[DEF],Table46[Y])</f>
        <v>#N/A</v>
      </c>
      <c r="O35" s="95" t="e">
        <f>_xlfn.XLOOKUP(Table11887[[#This Row],[Opp]],Table46[DEF],Table46[R+R])</f>
        <v>#N/A</v>
      </c>
      <c r="P35" s="96" t="e">
        <f>_xlfn.XLOOKUP(Table11887[[#This Row],[Opp]],Table46[DEF],Table46[TD])</f>
        <v>#N/A</v>
      </c>
      <c r="Q35" s="94" t="e">
        <f>AVERAGE(Table11887[[#This Row],[*R*]:[*R+Y*]])</f>
        <v>#N/A</v>
      </c>
    </row>
    <row r="36" spans="2:17" x14ac:dyDescent="0.35">
      <c r="B36" s="6" t="s">
        <v>193</v>
      </c>
      <c r="C36" s="97" t="s">
        <v>34</v>
      </c>
      <c r="D36" s="97" t="s">
        <v>395</v>
      </c>
      <c r="E36" s="6">
        <v>1</v>
      </c>
      <c r="F36" s="97" t="str">
        <f>'2025'!$E$12</f>
        <v>n/a</v>
      </c>
      <c r="G36" s="94" t="e" cm="1">
        <f t="array" ref="G36">_xlfn.XLOOKUP(Table11887[[#This Row],[Opp]],Table46[DEF],'2024 fSZN'!$V$3:$V$34)</f>
        <v>#N/A</v>
      </c>
      <c r="H36" s="94" t="e" cm="1">
        <f t="array" ref="H36">_xlfn.XLOOKUP(Table11887[[#This Row],[Opp]],Table46[DEF],'2024 fSZN'!$W$3:$W$34)</f>
        <v>#N/A</v>
      </c>
      <c r="I36" s="94" t="e" cm="1">
        <f t="array" ref="I36">_xlfn.XLOOKUP(Table11887[[#This Row],[Opp]],Table46[DEF],'2024 fSZN'!$X$3:$X$34)</f>
        <v>#N/A</v>
      </c>
      <c r="J36" s="94" t="e" cm="1">
        <f t="array" ref="J36">_xlfn.XLOOKUP(Table11887[[#This Row],[Opp]],Table46[DEF],'2024 fSZN'!$Y$3:$Y$34)</f>
        <v>#N/A</v>
      </c>
      <c r="K36" s="94" t="e" cm="1">
        <f t="array" ref="K36">_xlfn.XLOOKUP(Table11887[[#This Row],[Opp]],Table46[DEF],'2024 fSZN'!$Z$3:$Z$34)</f>
        <v>#N/A</v>
      </c>
      <c r="L36" s="95" t="e">
        <f>_xlfn.XLOOKUP(Table11887[[#This Row],[Opp]],Table46[DEF],Table46[R])</f>
        <v>#N/A</v>
      </c>
      <c r="M36" s="95" t="e">
        <f>_xlfn.XLOOKUP(Table11887[[#This Row],[Opp]],Table46[DEF],Table46[REC])</f>
        <v>#N/A</v>
      </c>
      <c r="N36" s="95" t="e">
        <f>_xlfn.XLOOKUP(Table11887[[#This Row],[Opp]],Table46[DEF],Table46[Y])</f>
        <v>#N/A</v>
      </c>
      <c r="O36" s="95" t="e">
        <f>_xlfn.XLOOKUP(Table11887[[#This Row],[Opp]],Table46[DEF],Table46[R+R])</f>
        <v>#N/A</v>
      </c>
      <c r="P36" s="96" t="e">
        <f>_xlfn.XLOOKUP(Table11887[[#This Row],[Opp]],Table46[DEF],Table46[TD])</f>
        <v>#N/A</v>
      </c>
      <c r="Q36" s="94" t="e">
        <f>AVERAGE(Table11887[[#This Row],[*R*]:[*R+Y*]])</f>
        <v>#N/A</v>
      </c>
    </row>
    <row r="37" spans="2:17" x14ac:dyDescent="0.35">
      <c r="B37" s="6" t="s">
        <v>192</v>
      </c>
      <c r="C37" s="97" t="s">
        <v>34</v>
      </c>
      <c r="D37" s="97" t="s">
        <v>394</v>
      </c>
      <c r="E37" s="6">
        <v>1</v>
      </c>
      <c r="F37" s="97" t="str">
        <f>'2025'!$E$12</f>
        <v>n/a</v>
      </c>
      <c r="G37" s="94" t="e" cm="1">
        <f t="array" ref="G37">_xlfn.XLOOKUP(Table11887[[#This Row],[Opp]],Table46[DEF],'2024 fSZN'!$V$3:$V$34)</f>
        <v>#N/A</v>
      </c>
      <c r="H37" s="94" t="e" cm="1">
        <f t="array" ref="H37">_xlfn.XLOOKUP(Table11887[[#This Row],[Opp]],Table46[DEF],'2024 fSZN'!$W$3:$W$34)</f>
        <v>#N/A</v>
      </c>
      <c r="I37" s="94" t="e" cm="1">
        <f t="array" ref="I37">_xlfn.XLOOKUP(Table11887[[#This Row],[Opp]],Table46[DEF],'2024 fSZN'!$X$3:$X$34)</f>
        <v>#N/A</v>
      </c>
      <c r="J37" s="94" t="e" cm="1">
        <f t="array" ref="J37">_xlfn.XLOOKUP(Table11887[[#This Row],[Opp]],Table46[DEF],'2024 fSZN'!$Y$3:$Y$34)</f>
        <v>#N/A</v>
      </c>
      <c r="K37" s="94" t="e" cm="1">
        <f t="array" ref="K37">_xlfn.XLOOKUP(Table11887[[#This Row],[Opp]],Table46[DEF],'2024 fSZN'!$Z$3:$Z$34)</f>
        <v>#N/A</v>
      </c>
      <c r="L37" s="95" t="e">
        <f>_xlfn.XLOOKUP(Table11887[[#This Row],[Opp]],Table46[DEF],Table46[R])</f>
        <v>#N/A</v>
      </c>
      <c r="M37" s="95" t="e">
        <f>_xlfn.XLOOKUP(Table11887[[#This Row],[Opp]],Table46[DEF],Table46[REC])</f>
        <v>#N/A</v>
      </c>
      <c r="N37" s="95" t="e">
        <f>_xlfn.XLOOKUP(Table11887[[#This Row],[Opp]],Table46[DEF],Table46[Y])</f>
        <v>#N/A</v>
      </c>
      <c r="O37" s="95" t="e">
        <f>_xlfn.XLOOKUP(Table11887[[#This Row],[Opp]],Table46[DEF],Table46[R+R])</f>
        <v>#N/A</v>
      </c>
      <c r="P37" s="96" t="e">
        <f>_xlfn.XLOOKUP(Table11887[[#This Row],[Opp]],Table46[DEF],Table46[TD])</f>
        <v>#N/A</v>
      </c>
      <c r="Q37" s="94" t="e">
        <f>AVERAGE(Table11887[[#This Row],[*R*]:[*R+Y*]])</f>
        <v>#N/A</v>
      </c>
    </row>
    <row r="38" spans="2:17" x14ac:dyDescent="0.35">
      <c r="B38" s="6" t="s">
        <v>577</v>
      </c>
      <c r="C38" s="97" t="s">
        <v>34</v>
      </c>
      <c r="D38" s="97" t="s">
        <v>396</v>
      </c>
      <c r="E38" s="6">
        <v>1</v>
      </c>
      <c r="F38" s="97" t="str">
        <f>'2025'!$E$12</f>
        <v>n/a</v>
      </c>
      <c r="G38" s="94" t="e" cm="1">
        <f t="array" ref="G38">_xlfn.XLOOKUP(Table11887[[#This Row],[Opp]],Table46[DEF],'2024 fSZN'!$V$3:$V$34)</f>
        <v>#N/A</v>
      </c>
      <c r="H38" s="94" t="e" cm="1">
        <f t="array" ref="H38">_xlfn.XLOOKUP(Table11887[[#This Row],[Opp]],Table46[DEF],'2024 fSZN'!$W$3:$W$34)</f>
        <v>#N/A</v>
      </c>
      <c r="I38" s="94" t="e" cm="1">
        <f t="array" ref="I38">_xlfn.XLOOKUP(Table11887[[#This Row],[Opp]],Table46[DEF],'2024 fSZN'!$X$3:$X$34)</f>
        <v>#N/A</v>
      </c>
      <c r="J38" s="94" t="e" cm="1">
        <f t="array" ref="J38">_xlfn.XLOOKUP(Table11887[[#This Row],[Opp]],Table46[DEF],'2024 fSZN'!$Y$3:$Y$34)</f>
        <v>#N/A</v>
      </c>
      <c r="K38" s="94" t="e" cm="1">
        <f t="array" ref="K38">_xlfn.XLOOKUP(Table11887[[#This Row],[Opp]],Table46[DEF],'2024 fSZN'!$Z$3:$Z$34)</f>
        <v>#N/A</v>
      </c>
      <c r="L38" s="95" t="e">
        <f>_xlfn.XLOOKUP(Table11887[[#This Row],[Opp]],Table46[DEF],Table46[R])</f>
        <v>#N/A</v>
      </c>
      <c r="M38" s="95" t="e">
        <f>_xlfn.XLOOKUP(Table11887[[#This Row],[Opp]],Table46[DEF],Table46[REC])</f>
        <v>#N/A</v>
      </c>
      <c r="N38" s="95" t="e">
        <f>_xlfn.XLOOKUP(Table11887[[#This Row],[Opp]],Table46[DEF],Table46[Y])</f>
        <v>#N/A</v>
      </c>
      <c r="O38" s="95" t="e">
        <f>_xlfn.XLOOKUP(Table11887[[#This Row],[Opp]],Table46[DEF],Table46[R+R])</f>
        <v>#N/A</v>
      </c>
      <c r="P38" s="96" t="e">
        <f>_xlfn.XLOOKUP(Table11887[[#This Row],[Opp]],Table46[DEF],Table46[TD])</f>
        <v>#N/A</v>
      </c>
      <c r="Q38" s="94" t="e">
        <f>AVERAGE(Table11887[[#This Row],[*R*]:[*R+Y*]])</f>
        <v>#N/A</v>
      </c>
    </row>
    <row r="39" spans="2:17" x14ac:dyDescent="0.35">
      <c r="B39" s="6" t="s">
        <v>194</v>
      </c>
      <c r="C39" s="97" t="s">
        <v>34</v>
      </c>
      <c r="D39" s="97" t="s">
        <v>407</v>
      </c>
      <c r="E39" s="6">
        <v>1</v>
      </c>
      <c r="F39" s="97" t="str">
        <f>'2025'!$E$12</f>
        <v>n/a</v>
      </c>
      <c r="G39" s="94" t="e" cm="1">
        <f t="array" ref="G39">_xlfn.XLOOKUP(Table11887[[#This Row],[Opp]],Table46[DEF],'2024 fSZN'!$V$3:$V$34)</f>
        <v>#N/A</v>
      </c>
      <c r="H39" s="94" t="e" cm="1">
        <f t="array" ref="H39">_xlfn.XLOOKUP(Table11887[[#This Row],[Opp]],Table46[DEF],'2024 fSZN'!$W$3:$W$34)</f>
        <v>#N/A</v>
      </c>
      <c r="I39" s="94" t="e" cm="1">
        <f t="array" ref="I39">_xlfn.XLOOKUP(Table11887[[#This Row],[Opp]],Table46[DEF],'2024 fSZN'!$X$3:$X$34)</f>
        <v>#N/A</v>
      </c>
      <c r="J39" s="94" t="e" cm="1">
        <f t="array" ref="J39">_xlfn.XLOOKUP(Table11887[[#This Row],[Opp]],Table46[DEF],'2024 fSZN'!$Y$3:$Y$34)</f>
        <v>#N/A</v>
      </c>
      <c r="K39" s="94" t="e" cm="1">
        <f t="array" ref="K39">_xlfn.XLOOKUP(Table11887[[#This Row],[Opp]],Table46[DEF],'2024 fSZN'!$Z$3:$Z$34)</f>
        <v>#N/A</v>
      </c>
      <c r="L39" s="95" t="e">
        <f>_xlfn.XLOOKUP(Table11887[[#This Row],[Opp]],Table46[DEF],Table46[R])</f>
        <v>#N/A</v>
      </c>
      <c r="M39" s="95" t="e">
        <f>_xlfn.XLOOKUP(Table11887[[#This Row],[Opp]],Table46[DEF],Table46[REC])</f>
        <v>#N/A</v>
      </c>
      <c r="N39" s="95" t="e">
        <f>_xlfn.XLOOKUP(Table11887[[#This Row],[Opp]],Table46[DEF],Table46[Y])</f>
        <v>#N/A</v>
      </c>
      <c r="O39" s="95" t="e">
        <f>_xlfn.XLOOKUP(Table11887[[#This Row],[Opp]],Table46[DEF],Table46[R+R])</f>
        <v>#N/A</v>
      </c>
      <c r="P39" s="96" t="e">
        <f>_xlfn.XLOOKUP(Table11887[[#This Row],[Opp]],Table46[DEF],Table46[TD])</f>
        <v>#N/A</v>
      </c>
      <c r="Q39" s="94" t="e">
        <f>AVERAGE(Table11887[[#This Row],[*R*]:[*R+Y*]])</f>
        <v>#N/A</v>
      </c>
    </row>
    <row r="40" spans="2:17" x14ac:dyDescent="0.35">
      <c r="B40" s="6" t="s">
        <v>200</v>
      </c>
      <c r="C40" s="97" t="s">
        <v>35</v>
      </c>
      <c r="D40" s="97" t="s">
        <v>395</v>
      </c>
      <c r="E40" s="6">
        <v>1</v>
      </c>
      <c r="F40" s="97" t="str">
        <f>'2025'!$E$13</f>
        <v>n/a</v>
      </c>
      <c r="G40" s="94" t="e" cm="1">
        <f t="array" ref="G40">_xlfn.XLOOKUP(Table11887[[#This Row],[Opp]],Table46[DEF],'2024 fSZN'!$V$3:$V$34)</f>
        <v>#N/A</v>
      </c>
      <c r="H40" s="94" t="e" cm="1">
        <f t="array" ref="H40">_xlfn.XLOOKUP(Table11887[[#This Row],[Opp]],Table46[DEF],'2024 fSZN'!$W$3:$W$34)</f>
        <v>#N/A</v>
      </c>
      <c r="I40" s="94" t="e" cm="1">
        <f t="array" ref="I40">_xlfn.XLOOKUP(Table11887[[#This Row],[Opp]],Table46[DEF],'2024 fSZN'!$X$3:$X$34)</f>
        <v>#N/A</v>
      </c>
      <c r="J40" s="94" t="e" cm="1">
        <f t="array" ref="J40">_xlfn.XLOOKUP(Table11887[[#This Row],[Opp]],Table46[DEF],'2024 fSZN'!$Y$3:$Y$34)</f>
        <v>#N/A</v>
      </c>
      <c r="K40" s="94" t="e" cm="1">
        <f t="array" ref="K40">_xlfn.XLOOKUP(Table11887[[#This Row],[Opp]],Table46[DEF],'2024 fSZN'!$Z$3:$Z$34)</f>
        <v>#N/A</v>
      </c>
      <c r="L40" s="95" t="e">
        <f>_xlfn.XLOOKUP(Table11887[[#This Row],[Opp]],Table46[DEF],Table46[R])</f>
        <v>#N/A</v>
      </c>
      <c r="M40" s="95" t="e">
        <f>_xlfn.XLOOKUP(Table11887[[#This Row],[Opp]],Table46[DEF],Table46[REC])</f>
        <v>#N/A</v>
      </c>
      <c r="N40" s="95" t="e">
        <f>_xlfn.XLOOKUP(Table11887[[#This Row],[Opp]],Table46[DEF],Table46[Y])</f>
        <v>#N/A</v>
      </c>
      <c r="O40" s="95" t="e">
        <f>_xlfn.XLOOKUP(Table11887[[#This Row],[Opp]],Table46[DEF],Table46[R+R])</f>
        <v>#N/A</v>
      </c>
      <c r="P40" s="96" t="e">
        <f>_xlfn.XLOOKUP(Table11887[[#This Row],[Opp]],Table46[DEF],Table46[TD])</f>
        <v>#N/A</v>
      </c>
      <c r="Q40" s="94" t="e">
        <f>AVERAGE(Table11887[[#This Row],[*R*]:[*R+Y*]])</f>
        <v>#N/A</v>
      </c>
    </row>
    <row r="41" spans="2:17" x14ac:dyDescent="0.35">
      <c r="B41" s="6" t="s">
        <v>201</v>
      </c>
      <c r="C41" s="97" t="s">
        <v>35</v>
      </c>
      <c r="D41" s="97" t="s">
        <v>394</v>
      </c>
      <c r="E41" s="6">
        <v>1</v>
      </c>
      <c r="F41" s="97" t="str">
        <f>'2025'!$E$13</f>
        <v>n/a</v>
      </c>
      <c r="G41" s="94" t="e" cm="1">
        <f t="array" ref="G41">_xlfn.XLOOKUP(Table11887[[#This Row],[Opp]],Table46[DEF],'2024 fSZN'!$V$3:$V$34)</f>
        <v>#N/A</v>
      </c>
      <c r="H41" s="94" t="e" cm="1">
        <f t="array" ref="H41">_xlfn.XLOOKUP(Table11887[[#This Row],[Opp]],Table46[DEF],'2024 fSZN'!$W$3:$W$34)</f>
        <v>#N/A</v>
      </c>
      <c r="I41" s="94" t="e" cm="1">
        <f t="array" ref="I41">_xlfn.XLOOKUP(Table11887[[#This Row],[Opp]],Table46[DEF],'2024 fSZN'!$X$3:$X$34)</f>
        <v>#N/A</v>
      </c>
      <c r="J41" s="94" t="e" cm="1">
        <f t="array" ref="J41">_xlfn.XLOOKUP(Table11887[[#This Row],[Opp]],Table46[DEF],'2024 fSZN'!$Y$3:$Y$34)</f>
        <v>#N/A</v>
      </c>
      <c r="K41" s="94" t="e" cm="1">
        <f t="array" ref="K41">_xlfn.XLOOKUP(Table11887[[#This Row],[Opp]],Table46[DEF],'2024 fSZN'!$Z$3:$Z$34)</f>
        <v>#N/A</v>
      </c>
      <c r="L41" s="95" t="e">
        <f>_xlfn.XLOOKUP(Table11887[[#This Row],[Opp]],Table46[DEF],Table46[R])</f>
        <v>#N/A</v>
      </c>
      <c r="M41" s="95" t="e">
        <f>_xlfn.XLOOKUP(Table11887[[#This Row],[Opp]],Table46[DEF],Table46[REC])</f>
        <v>#N/A</v>
      </c>
      <c r="N41" s="95" t="e">
        <f>_xlfn.XLOOKUP(Table11887[[#This Row],[Opp]],Table46[DEF],Table46[Y])</f>
        <v>#N/A</v>
      </c>
      <c r="O41" s="95" t="e">
        <f>_xlfn.XLOOKUP(Table11887[[#This Row],[Opp]],Table46[DEF],Table46[R+R])</f>
        <v>#N/A</v>
      </c>
      <c r="P41" s="96" t="e">
        <f>_xlfn.XLOOKUP(Table11887[[#This Row],[Opp]],Table46[DEF],Table46[TD])</f>
        <v>#N/A</v>
      </c>
      <c r="Q41" s="94" t="e">
        <f>AVERAGE(Table11887[[#This Row],[*R*]:[*R+Y*]])</f>
        <v>#N/A</v>
      </c>
    </row>
    <row r="42" spans="2:17" x14ac:dyDescent="0.35">
      <c r="B42" s="6" t="s">
        <v>503</v>
      </c>
      <c r="C42" s="97" t="s">
        <v>35</v>
      </c>
      <c r="D42" s="97" t="s">
        <v>396</v>
      </c>
      <c r="E42" s="6">
        <v>1</v>
      </c>
      <c r="F42" s="97" t="str">
        <f>'2025'!$E$13</f>
        <v>n/a</v>
      </c>
      <c r="G42" s="94" t="e" cm="1">
        <f t="array" ref="G42">_xlfn.XLOOKUP(Table11887[[#This Row],[Opp]],Table46[DEF],'2024 fSZN'!$V$3:$V$34)</f>
        <v>#N/A</v>
      </c>
      <c r="H42" s="94" t="e" cm="1">
        <f t="array" ref="H42">_xlfn.XLOOKUP(Table11887[[#This Row],[Opp]],Table46[DEF],'2024 fSZN'!$W$3:$W$34)</f>
        <v>#N/A</v>
      </c>
      <c r="I42" s="94" t="e" cm="1">
        <f t="array" ref="I42">_xlfn.XLOOKUP(Table11887[[#This Row],[Opp]],Table46[DEF],'2024 fSZN'!$X$3:$X$34)</f>
        <v>#N/A</v>
      </c>
      <c r="J42" s="94" t="e" cm="1">
        <f t="array" ref="J42">_xlfn.XLOOKUP(Table11887[[#This Row],[Opp]],Table46[DEF],'2024 fSZN'!$Y$3:$Y$34)</f>
        <v>#N/A</v>
      </c>
      <c r="K42" s="94" t="e" cm="1">
        <f t="array" ref="K42">_xlfn.XLOOKUP(Table11887[[#This Row],[Opp]],Table46[DEF],'2024 fSZN'!$Z$3:$Z$34)</f>
        <v>#N/A</v>
      </c>
      <c r="L42" s="95" t="e">
        <f>_xlfn.XLOOKUP(Table11887[[#This Row],[Opp]],Table46[DEF],Table46[R])</f>
        <v>#N/A</v>
      </c>
      <c r="M42" s="95" t="e">
        <f>_xlfn.XLOOKUP(Table11887[[#This Row],[Opp]],Table46[DEF],Table46[REC])</f>
        <v>#N/A</v>
      </c>
      <c r="N42" s="95" t="e">
        <f>_xlfn.XLOOKUP(Table11887[[#This Row],[Opp]],Table46[DEF],Table46[Y])</f>
        <v>#N/A</v>
      </c>
      <c r="O42" s="95" t="e">
        <f>_xlfn.XLOOKUP(Table11887[[#This Row],[Opp]],Table46[DEF],Table46[R+R])</f>
        <v>#N/A</v>
      </c>
      <c r="P42" s="96" t="e">
        <f>_xlfn.XLOOKUP(Table11887[[#This Row],[Opp]],Table46[DEF],Table46[TD])</f>
        <v>#N/A</v>
      </c>
      <c r="Q42" s="94" t="e">
        <f>AVERAGE(Table11887[[#This Row],[*R*]:[*R+Y*]])</f>
        <v>#N/A</v>
      </c>
    </row>
    <row r="43" spans="2:17" x14ac:dyDescent="0.35">
      <c r="B43" s="6" t="s">
        <v>504</v>
      </c>
      <c r="C43" s="97" t="s">
        <v>35</v>
      </c>
      <c r="D43" s="97" t="s">
        <v>407</v>
      </c>
      <c r="E43" s="6">
        <v>0</v>
      </c>
      <c r="F43" s="97" t="str">
        <f>'2025'!$E$13</f>
        <v>n/a</v>
      </c>
      <c r="G43" s="94" t="e" cm="1">
        <f t="array" ref="G43">_xlfn.XLOOKUP(Table11887[[#This Row],[Opp]],Table46[DEF],'2024 fSZN'!$V$3:$V$34)</f>
        <v>#N/A</v>
      </c>
      <c r="H43" s="94" t="e" cm="1">
        <f t="array" ref="H43">_xlfn.XLOOKUP(Table11887[[#This Row],[Opp]],Table46[DEF],'2024 fSZN'!$W$3:$W$34)</f>
        <v>#N/A</v>
      </c>
      <c r="I43" s="94" t="e" cm="1">
        <f t="array" ref="I43">_xlfn.XLOOKUP(Table11887[[#This Row],[Opp]],Table46[DEF],'2024 fSZN'!$X$3:$X$34)</f>
        <v>#N/A</v>
      </c>
      <c r="J43" s="94" t="e" cm="1">
        <f t="array" ref="J43">_xlfn.XLOOKUP(Table11887[[#This Row],[Opp]],Table46[DEF],'2024 fSZN'!$Y$3:$Y$34)</f>
        <v>#N/A</v>
      </c>
      <c r="K43" s="94" t="e" cm="1">
        <f t="array" ref="K43">_xlfn.XLOOKUP(Table11887[[#This Row],[Opp]],Table46[DEF],'2024 fSZN'!$Z$3:$Z$34)</f>
        <v>#N/A</v>
      </c>
      <c r="L43" s="95" t="e">
        <f>_xlfn.XLOOKUP(Table11887[[#This Row],[Opp]],Table46[DEF],Table46[R])</f>
        <v>#N/A</v>
      </c>
      <c r="M43" s="95" t="e">
        <f>_xlfn.XLOOKUP(Table11887[[#This Row],[Opp]],Table46[DEF],Table46[REC])</f>
        <v>#N/A</v>
      </c>
      <c r="N43" s="95" t="e">
        <f>_xlfn.XLOOKUP(Table11887[[#This Row],[Opp]],Table46[DEF],Table46[Y])</f>
        <v>#N/A</v>
      </c>
      <c r="O43" s="95" t="e">
        <f>_xlfn.XLOOKUP(Table11887[[#This Row],[Opp]],Table46[DEF],Table46[R+R])</f>
        <v>#N/A</v>
      </c>
      <c r="P43" s="96" t="e">
        <f>_xlfn.XLOOKUP(Table11887[[#This Row],[Opp]],Table46[DEF],Table46[TD])</f>
        <v>#N/A</v>
      </c>
      <c r="Q43" s="94" t="e">
        <f>AVERAGE(Table11887[[#This Row],[*R*]:[*R+Y*]])</f>
        <v>#N/A</v>
      </c>
    </row>
    <row r="44" spans="2:17" x14ac:dyDescent="0.35">
      <c r="B44" s="6" t="s">
        <v>206</v>
      </c>
      <c r="C44" s="97" t="s">
        <v>36</v>
      </c>
      <c r="D44" s="97" t="s">
        <v>395</v>
      </c>
      <c r="E44" s="6">
        <v>1</v>
      </c>
      <c r="F44" s="97" t="str">
        <f>'2025'!$E$14</f>
        <v>n/a</v>
      </c>
      <c r="G44" s="94" t="e" cm="1">
        <f t="array" ref="G44">_xlfn.XLOOKUP(Table11887[[#This Row],[Opp]],Table46[DEF],'2024 fSZN'!$V$3:$V$34)</f>
        <v>#N/A</v>
      </c>
      <c r="H44" s="94" t="e" cm="1">
        <f t="array" ref="H44">_xlfn.XLOOKUP(Table11887[[#This Row],[Opp]],Table46[DEF],'2024 fSZN'!$W$3:$W$34)</f>
        <v>#N/A</v>
      </c>
      <c r="I44" s="94" t="e" cm="1">
        <f t="array" ref="I44">_xlfn.XLOOKUP(Table11887[[#This Row],[Opp]],Table46[DEF],'2024 fSZN'!$X$3:$X$34)</f>
        <v>#N/A</v>
      </c>
      <c r="J44" s="94" t="e" cm="1">
        <f t="array" ref="J44">_xlfn.XLOOKUP(Table11887[[#This Row],[Opp]],Table46[DEF],'2024 fSZN'!$Y$3:$Y$34)</f>
        <v>#N/A</v>
      </c>
      <c r="K44" s="94" t="e" cm="1">
        <f t="array" ref="K44">_xlfn.XLOOKUP(Table11887[[#This Row],[Opp]],Table46[DEF],'2024 fSZN'!$Z$3:$Z$34)</f>
        <v>#N/A</v>
      </c>
      <c r="L44" s="95" t="e">
        <f>_xlfn.XLOOKUP(Table11887[[#This Row],[Opp]],Table46[DEF],Table46[R])</f>
        <v>#N/A</v>
      </c>
      <c r="M44" s="95" t="e">
        <f>_xlfn.XLOOKUP(Table11887[[#This Row],[Opp]],Table46[DEF],Table46[REC])</f>
        <v>#N/A</v>
      </c>
      <c r="N44" s="95" t="e">
        <f>_xlfn.XLOOKUP(Table11887[[#This Row],[Opp]],Table46[DEF],Table46[Y])</f>
        <v>#N/A</v>
      </c>
      <c r="O44" s="95" t="e">
        <f>_xlfn.XLOOKUP(Table11887[[#This Row],[Opp]],Table46[DEF],Table46[R+R])</f>
        <v>#N/A</v>
      </c>
      <c r="P44" s="96" t="e">
        <f>_xlfn.XLOOKUP(Table11887[[#This Row],[Opp]],Table46[DEF],Table46[TD])</f>
        <v>#N/A</v>
      </c>
      <c r="Q44" s="94" t="e">
        <f>AVERAGE(Table11887[[#This Row],[*R*]:[*R+Y*]])</f>
        <v>#N/A</v>
      </c>
    </row>
    <row r="45" spans="2:17" x14ac:dyDescent="0.35">
      <c r="B45" s="6" t="s">
        <v>207</v>
      </c>
      <c r="C45" s="97" t="s">
        <v>36</v>
      </c>
      <c r="D45" s="97" t="s">
        <v>394</v>
      </c>
      <c r="E45" s="6">
        <v>1</v>
      </c>
      <c r="F45" s="97" t="str">
        <f>'2025'!$E$14</f>
        <v>n/a</v>
      </c>
      <c r="G45" s="94" t="e" cm="1">
        <f t="array" ref="G45">_xlfn.XLOOKUP(Table11887[[#This Row],[Opp]],Table46[DEF],'2024 fSZN'!$V$3:$V$34)</f>
        <v>#N/A</v>
      </c>
      <c r="H45" s="94" t="e" cm="1">
        <f t="array" ref="H45">_xlfn.XLOOKUP(Table11887[[#This Row],[Opp]],Table46[DEF],'2024 fSZN'!$W$3:$W$34)</f>
        <v>#N/A</v>
      </c>
      <c r="I45" s="94" t="e" cm="1">
        <f t="array" ref="I45">_xlfn.XLOOKUP(Table11887[[#This Row],[Opp]],Table46[DEF],'2024 fSZN'!$X$3:$X$34)</f>
        <v>#N/A</v>
      </c>
      <c r="J45" s="94" t="e" cm="1">
        <f t="array" ref="J45">_xlfn.XLOOKUP(Table11887[[#This Row],[Opp]],Table46[DEF],'2024 fSZN'!$Y$3:$Y$34)</f>
        <v>#N/A</v>
      </c>
      <c r="K45" s="94" t="e" cm="1">
        <f t="array" ref="K45">_xlfn.XLOOKUP(Table11887[[#This Row],[Opp]],Table46[DEF],'2024 fSZN'!$Z$3:$Z$34)</f>
        <v>#N/A</v>
      </c>
      <c r="L45" s="95" t="e">
        <f>_xlfn.XLOOKUP(Table11887[[#This Row],[Opp]],Table46[DEF],Table46[R])</f>
        <v>#N/A</v>
      </c>
      <c r="M45" s="95" t="e">
        <f>_xlfn.XLOOKUP(Table11887[[#This Row],[Opp]],Table46[DEF],Table46[REC])</f>
        <v>#N/A</v>
      </c>
      <c r="N45" s="95" t="e">
        <f>_xlfn.XLOOKUP(Table11887[[#This Row],[Opp]],Table46[DEF],Table46[Y])</f>
        <v>#N/A</v>
      </c>
      <c r="O45" s="95" t="e">
        <f>_xlfn.XLOOKUP(Table11887[[#This Row],[Opp]],Table46[DEF],Table46[R+R])</f>
        <v>#N/A</v>
      </c>
      <c r="P45" s="96" t="e">
        <f>_xlfn.XLOOKUP(Table11887[[#This Row],[Opp]],Table46[DEF],Table46[TD])</f>
        <v>#N/A</v>
      </c>
      <c r="Q45" s="94" t="e">
        <f>AVERAGE(Table11887[[#This Row],[*R*]:[*R+Y*]])</f>
        <v>#N/A</v>
      </c>
    </row>
    <row r="46" spans="2:17" x14ac:dyDescent="0.35">
      <c r="B46" s="6" t="s">
        <v>511</v>
      </c>
      <c r="C46" s="97" t="s">
        <v>36</v>
      </c>
      <c r="D46" s="97" t="s">
        <v>396</v>
      </c>
      <c r="E46" s="6">
        <v>1</v>
      </c>
      <c r="F46" s="97" t="str">
        <f>'2025'!$E$14</f>
        <v>n/a</v>
      </c>
      <c r="G46" s="94" t="e" cm="1">
        <f t="array" ref="G46">_xlfn.XLOOKUP(Table11887[[#This Row],[Opp]],Table46[DEF],'2024 fSZN'!$V$3:$V$34)</f>
        <v>#N/A</v>
      </c>
      <c r="H46" s="94" t="e" cm="1">
        <f t="array" ref="H46">_xlfn.XLOOKUP(Table11887[[#This Row],[Opp]],Table46[DEF],'2024 fSZN'!$W$3:$W$34)</f>
        <v>#N/A</v>
      </c>
      <c r="I46" s="94" t="e" cm="1">
        <f t="array" ref="I46">_xlfn.XLOOKUP(Table11887[[#This Row],[Opp]],Table46[DEF],'2024 fSZN'!$X$3:$X$34)</f>
        <v>#N/A</v>
      </c>
      <c r="J46" s="94" t="e" cm="1">
        <f t="array" ref="J46">_xlfn.XLOOKUP(Table11887[[#This Row],[Opp]],Table46[DEF],'2024 fSZN'!$Y$3:$Y$34)</f>
        <v>#N/A</v>
      </c>
      <c r="K46" s="94" t="e" cm="1">
        <f t="array" ref="K46">_xlfn.XLOOKUP(Table11887[[#This Row],[Opp]],Table46[DEF],'2024 fSZN'!$Z$3:$Z$34)</f>
        <v>#N/A</v>
      </c>
      <c r="L46" s="95" t="e">
        <f>_xlfn.XLOOKUP(Table11887[[#This Row],[Opp]],Table46[DEF],Table46[R])</f>
        <v>#N/A</v>
      </c>
      <c r="M46" s="95" t="e">
        <f>_xlfn.XLOOKUP(Table11887[[#This Row],[Opp]],Table46[DEF],Table46[REC])</f>
        <v>#N/A</v>
      </c>
      <c r="N46" s="95" t="e">
        <f>_xlfn.XLOOKUP(Table11887[[#This Row],[Opp]],Table46[DEF],Table46[Y])</f>
        <v>#N/A</v>
      </c>
      <c r="O46" s="95" t="e">
        <f>_xlfn.XLOOKUP(Table11887[[#This Row],[Opp]],Table46[DEF],Table46[R+R])</f>
        <v>#N/A</v>
      </c>
      <c r="P46" s="96" t="e">
        <f>_xlfn.XLOOKUP(Table11887[[#This Row],[Opp]],Table46[DEF],Table46[TD])</f>
        <v>#N/A</v>
      </c>
      <c r="Q46" s="94" t="e">
        <f>AVERAGE(Table11887[[#This Row],[*R*]:[*R+Y*]])</f>
        <v>#N/A</v>
      </c>
    </row>
    <row r="47" spans="2:17" x14ac:dyDescent="0.35">
      <c r="B47" s="6" t="s">
        <v>208</v>
      </c>
      <c r="C47" s="97" t="s">
        <v>36</v>
      </c>
      <c r="D47" s="97" t="s">
        <v>407</v>
      </c>
      <c r="E47" s="6">
        <v>-1</v>
      </c>
      <c r="F47" s="97" t="str">
        <f>'2025'!$E$14</f>
        <v>n/a</v>
      </c>
      <c r="G47" s="94" t="e" cm="1">
        <f t="array" ref="G47">_xlfn.XLOOKUP(Table11887[[#This Row],[Opp]],Table46[DEF],'2024 fSZN'!$V$3:$V$34)</f>
        <v>#N/A</v>
      </c>
      <c r="H47" s="94" t="e" cm="1">
        <f t="array" ref="H47">_xlfn.XLOOKUP(Table11887[[#This Row],[Opp]],Table46[DEF],'2024 fSZN'!$W$3:$W$34)</f>
        <v>#N/A</v>
      </c>
      <c r="I47" s="94" t="e" cm="1">
        <f t="array" ref="I47">_xlfn.XLOOKUP(Table11887[[#This Row],[Opp]],Table46[DEF],'2024 fSZN'!$X$3:$X$34)</f>
        <v>#N/A</v>
      </c>
      <c r="J47" s="94" t="e" cm="1">
        <f t="array" ref="J47">_xlfn.XLOOKUP(Table11887[[#This Row],[Opp]],Table46[DEF],'2024 fSZN'!$Y$3:$Y$34)</f>
        <v>#N/A</v>
      </c>
      <c r="K47" s="94" t="e" cm="1">
        <f t="array" ref="K47">_xlfn.XLOOKUP(Table11887[[#This Row],[Opp]],Table46[DEF],'2024 fSZN'!$Z$3:$Z$34)</f>
        <v>#N/A</v>
      </c>
      <c r="L47" s="95" t="e">
        <f>_xlfn.XLOOKUP(Table11887[[#This Row],[Opp]],Table46[DEF],Table46[R])</f>
        <v>#N/A</v>
      </c>
      <c r="M47" s="95" t="e">
        <f>_xlfn.XLOOKUP(Table11887[[#This Row],[Opp]],Table46[DEF],Table46[REC])</f>
        <v>#N/A</v>
      </c>
      <c r="N47" s="95" t="e">
        <f>_xlfn.XLOOKUP(Table11887[[#This Row],[Opp]],Table46[DEF],Table46[Y])</f>
        <v>#N/A</v>
      </c>
      <c r="O47" s="95" t="e">
        <f>_xlfn.XLOOKUP(Table11887[[#This Row],[Opp]],Table46[DEF],Table46[R+R])</f>
        <v>#N/A</v>
      </c>
      <c r="P47" s="96" t="e">
        <f>_xlfn.XLOOKUP(Table11887[[#This Row],[Opp]],Table46[DEF],Table46[TD])</f>
        <v>#N/A</v>
      </c>
      <c r="Q47" s="94" t="e">
        <f>AVERAGE(Table11887[[#This Row],[*R*]:[*R+Y*]])</f>
        <v>#N/A</v>
      </c>
    </row>
    <row r="48" spans="2:17" x14ac:dyDescent="0.35">
      <c r="B48" s="6" t="s">
        <v>218</v>
      </c>
      <c r="C48" s="97" t="s">
        <v>37</v>
      </c>
      <c r="D48" s="97" t="s">
        <v>395</v>
      </c>
      <c r="E48" s="6">
        <v>1</v>
      </c>
      <c r="F48" s="97" t="str">
        <f>'2025'!$E$15</f>
        <v>n/a</v>
      </c>
      <c r="G48" s="94" t="e" cm="1">
        <f t="array" ref="G48">_xlfn.XLOOKUP(Table11887[[#This Row],[Opp]],Table46[DEF],'2024 fSZN'!$V$3:$V$34)</f>
        <v>#N/A</v>
      </c>
      <c r="H48" s="94" t="e" cm="1">
        <f t="array" ref="H48">_xlfn.XLOOKUP(Table11887[[#This Row],[Opp]],Table46[DEF],'2024 fSZN'!$W$3:$W$34)</f>
        <v>#N/A</v>
      </c>
      <c r="I48" s="94" t="e" cm="1">
        <f t="array" ref="I48">_xlfn.XLOOKUP(Table11887[[#This Row],[Opp]],Table46[DEF],'2024 fSZN'!$X$3:$X$34)</f>
        <v>#N/A</v>
      </c>
      <c r="J48" s="94" t="e" cm="1">
        <f t="array" ref="J48">_xlfn.XLOOKUP(Table11887[[#This Row],[Opp]],Table46[DEF],'2024 fSZN'!$Y$3:$Y$34)</f>
        <v>#N/A</v>
      </c>
      <c r="K48" s="94" t="e" cm="1">
        <f t="array" ref="K48">_xlfn.XLOOKUP(Table11887[[#This Row],[Opp]],Table46[DEF],'2024 fSZN'!$Z$3:$Z$34)</f>
        <v>#N/A</v>
      </c>
      <c r="L48" s="95" t="e">
        <f>_xlfn.XLOOKUP(Table11887[[#This Row],[Opp]],Table46[DEF],Table46[R])</f>
        <v>#N/A</v>
      </c>
      <c r="M48" s="95" t="e">
        <f>_xlfn.XLOOKUP(Table11887[[#This Row],[Opp]],Table46[DEF],Table46[REC])</f>
        <v>#N/A</v>
      </c>
      <c r="N48" s="95" t="e">
        <f>_xlfn.XLOOKUP(Table11887[[#This Row],[Opp]],Table46[DEF],Table46[Y])</f>
        <v>#N/A</v>
      </c>
      <c r="O48" s="95" t="e">
        <f>_xlfn.XLOOKUP(Table11887[[#This Row],[Opp]],Table46[DEF],Table46[R+R])</f>
        <v>#N/A</v>
      </c>
      <c r="P48" s="96" t="e">
        <f>_xlfn.XLOOKUP(Table11887[[#This Row],[Opp]],Table46[DEF],Table46[TD])</f>
        <v>#N/A</v>
      </c>
      <c r="Q48" s="94" t="e">
        <f>AVERAGE(Table11887[[#This Row],[*R*]:[*R+Y*]])</f>
        <v>#N/A</v>
      </c>
    </row>
    <row r="49" spans="2:17" x14ac:dyDescent="0.35">
      <c r="B49" s="6" t="s">
        <v>219</v>
      </c>
      <c r="C49" s="97" t="s">
        <v>37</v>
      </c>
      <c r="D49" s="97" t="s">
        <v>394</v>
      </c>
      <c r="E49" s="6">
        <v>1</v>
      </c>
      <c r="F49" s="97" t="str">
        <f>'2025'!$E$15</f>
        <v>n/a</v>
      </c>
      <c r="G49" s="94" t="e" cm="1">
        <f t="array" ref="G49">_xlfn.XLOOKUP(Table11887[[#This Row],[Opp]],Table46[DEF],'2024 fSZN'!$V$3:$V$34)</f>
        <v>#N/A</v>
      </c>
      <c r="H49" s="94" t="e" cm="1">
        <f t="array" ref="H49">_xlfn.XLOOKUP(Table11887[[#This Row],[Opp]],Table46[DEF],'2024 fSZN'!$W$3:$W$34)</f>
        <v>#N/A</v>
      </c>
      <c r="I49" s="94" t="e" cm="1">
        <f t="array" ref="I49">_xlfn.XLOOKUP(Table11887[[#This Row],[Opp]],Table46[DEF],'2024 fSZN'!$X$3:$X$34)</f>
        <v>#N/A</v>
      </c>
      <c r="J49" s="94" t="e" cm="1">
        <f t="array" ref="J49">_xlfn.XLOOKUP(Table11887[[#This Row],[Opp]],Table46[DEF],'2024 fSZN'!$Y$3:$Y$34)</f>
        <v>#N/A</v>
      </c>
      <c r="K49" s="94" t="e" cm="1">
        <f t="array" ref="K49">_xlfn.XLOOKUP(Table11887[[#This Row],[Opp]],Table46[DEF],'2024 fSZN'!$Z$3:$Z$34)</f>
        <v>#N/A</v>
      </c>
      <c r="L49" s="95" t="e">
        <f>_xlfn.XLOOKUP(Table11887[[#This Row],[Opp]],Table46[DEF],Table46[R])</f>
        <v>#N/A</v>
      </c>
      <c r="M49" s="95" t="e">
        <f>_xlfn.XLOOKUP(Table11887[[#This Row],[Opp]],Table46[DEF],Table46[REC])</f>
        <v>#N/A</v>
      </c>
      <c r="N49" s="95" t="e">
        <f>_xlfn.XLOOKUP(Table11887[[#This Row],[Opp]],Table46[DEF],Table46[Y])</f>
        <v>#N/A</v>
      </c>
      <c r="O49" s="95" t="e">
        <f>_xlfn.XLOOKUP(Table11887[[#This Row],[Opp]],Table46[DEF],Table46[R+R])</f>
        <v>#N/A</v>
      </c>
      <c r="P49" s="96" t="e">
        <f>_xlfn.XLOOKUP(Table11887[[#This Row],[Opp]],Table46[DEF],Table46[TD])</f>
        <v>#N/A</v>
      </c>
      <c r="Q49" s="94" t="e">
        <f>AVERAGE(Table11887[[#This Row],[*R*]:[*R+Y*]])</f>
        <v>#N/A</v>
      </c>
    </row>
    <row r="50" spans="2:17" x14ac:dyDescent="0.35">
      <c r="B50" s="6" t="s">
        <v>217</v>
      </c>
      <c r="C50" s="97" t="s">
        <v>37</v>
      </c>
      <c r="D50" s="97" t="s">
        <v>396</v>
      </c>
      <c r="E50" s="6">
        <v>1</v>
      </c>
      <c r="F50" s="97" t="str">
        <f>'2025'!$E$15</f>
        <v>n/a</v>
      </c>
      <c r="G50" s="94" t="e" cm="1">
        <f t="array" ref="G50">_xlfn.XLOOKUP(Table11887[[#This Row],[Opp]],Table46[DEF],'2024 fSZN'!$V$3:$V$34)</f>
        <v>#N/A</v>
      </c>
      <c r="H50" s="94" t="e" cm="1">
        <f t="array" ref="H50">_xlfn.XLOOKUP(Table11887[[#This Row],[Opp]],Table46[DEF],'2024 fSZN'!$W$3:$W$34)</f>
        <v>#N/A</v>
      </c>
      <c r="I50" s="94" t="e" cm="1">
        <f t="array" ref="I50">_xlfn.XLOOKUP(Table11887[[#This Row],[Opp]],Table46[DEF],'2024 fSZN'!$X$3:$X$34)</f>
        <v>#N/A</v>
      </c>
      <c r="J50" s="94" t="e" cm="1">
        <f t="array" ref="J50">_xlfn.XLOOKUP(Table11887[[#This Row],[Opp]],Table46[DEF],'2024 fSZN'!$Y$3:$Y$34)</f>
        <v>#N/A</v>
      </c>
      <c r="K50" s="94" t="e" cm="1">
        <f t="array" ref="K50">_xlfn.XLOOKUP(Table11887[[#This Row],[Opp]],Table46[DEF],'2024 fSZN'!$Z$3:$Z$34)</f>
        <v>#N/A</v>
      </c>
      <c r="L50" s="95" t="e">
        <f>_xlfn.XLOOKUP(Table11887[[#This Row],[Opp]],Table46[DEF],Table46[R])</f>
        <v>#N/A</v>
      </c>
      <c r="M50" s="95" t="e">
        <f>_xlfn.XLOOKUP(Table11887[[#This Row],[Opp]],Table46[DEF],Table46[REC])</f>
        <v>#N/A</v>
      </c>
      <c r="N50" s="95" t="e">
        <f>_xlfn.XLOOKUP(Table11887[[#This Row],[Opp]],Table46[DEF],Table46[Y])</f>
        <v>#N/A</v>
      </c>
      <c r="O50" s="95" t="e">
        <f>_xlfn.XLOOKUP(Table11887[[#This Row],[Opp]],Table46[DEF],Table46[R+R])</f>
        <v>#N/A</v>
      </c>
      <c r="P50" s="96" t="e">
        <f>_xlfn.XLOOKUP(Table11887[[#This Row],[Opp]],Table46[DEF],Table46[TD])</f>
        <v>#N/A</v>
      </c>
      <c r="Q50" s="94" t="e">
        <f>AVERAGE(Table11887[[#This Row],[*R*]:[*R+Y*]])</f>
        <v>#N/A</v>
      </c>
    </row>
    <row r="51" spans="2:17" x14ac:dyDescent="0.35">
      <c r="B51" s="6" t="s">
        <v>220</v>
      </c>
      <c r="C51" s="97" t="s">
        <v>37</v>
      </c>
      <c r="D51" s="97" t="s">
        <v>407</v>
      </c>
      <c r="E51" s="6">
        <v>1</v>
      </c>
      <c r="F51" s="97" t="str">
        <f>'2025'!$E$15</f>
        <v>n/a</v>
      </c>
      <c r="G51" s="94" t="e" cm="1">
        <f t="array" ref="G51">_xlfn.XLOOKUP(Table11887[[#This Row],[Opp]],Table46[DEF],'2024 fSZN'!$V$3:$V$34)</f>
        <v>#N/A</v>
      </c>
      <c r="H51" s="94" t="e" cm="1">
        <f t="array" ref="H51">_xlfn.XLOOKUP(Table11887[[#This Row],[Opp]],Table46[DEF],'2024 fSZN'!$W$3:$W$34)</f>
        <v>#N/A</v>
      </c>
      <c r="I51" s="94" t="e" cm="1">
        <f t="array" ref="I51">_xlfn.XLOOKUP(Table11887[[#This Row],[Opp]],Table46[DEF],'2024 fSZN'!$X$3:$X$34)</f>
        <v>#N/A</v>
      </c>
      <c r="J51" s="94" t="e" cm="1">
        <f t="array" ref="J51">_xlfn.XLOOKUP(Table11887[[#This Row],[Opp]],Table46[DEF],'2024 fSZN'!$Y$3:$Y$34)</f>
        <v>#N/A</v>
      </c>
      <c r="K51" s="94" t="e" cm="1">
        <f t="array" ref="K51">_xlfn.XLOOKUP(Table11887[[#This Row],[Opp]],Table46[DEF],'2024 fSZN'!$Z$3:$Z$34)</f>
        <v>#N/A</v>
      </c>
      <c r="L51" s="95" t="e">
        <f>_xlfn.XLOOKUP(Table11887[[#This Row],[Opp]],Table46[DEF],Table46[R])</f>
        <v>#N/A</v>
      </c>
      <c r="M51" s="95" t="e">
        <f>_xlfn.XLOOKUP(Table11887[[#This Row],[Opp]],Table46[DEF],Table46[REC])</f>
        <v>#N/A</v>
      </c>
      <c r="N51" s="95" t="e">
        <f>_xlfn.XLOOKUP(Table11887[[#This Row],[Opp]],Table46[DEF],Table46[Y])</f>
        <v>#N/A</v>
      </c>
      <c r="O51" s="95" t="e">
        <f>_xlfn.XLOOKUP(Table11887[[#This Row],[Opp]],Table46[DEF],Table46[R+R])</f>
        <v>#N/A</v>
      </c>
      <c r="P51" s="96" t="e">
        <f>_xlfn.XLOOKUP(Table11887[[#This Row],[Opp]],Table46[DEF],Table46[TD])</f>
        <v>#N/A</v>
      </c>
      <c r="Q51" s="94" t="e">
        <f>AVERAGE(Table11887[[#This Row],[*R*]:[*R+Y*]])</f>
        <v>#N/A</v>
      </c>
    </row>
    <row r="52" spans="2:17" x14ac:dyDescent="0.35">
      <c r="B52" s="6" t="s">
        <v>216</v>
      </c>
      <c r="C52" s="97" t="s">
        <v>37</v>
      </c>
      <c r="D52" s="97" t="s">
        <v>536</v>
      </c>
      <c r="E52" s="6">
        <v>-1</v>
      </c>
      <c r="F52" s="97" t="str">
        <f>'2025'!$E$15</f>
        <v>n/a</v>
      </c>
      <c r="G52" s="94" t="e" cm="1">
        <f t="array" ref="G52">_xlfn.XLOOKUP(Table11887[[#This Row],[Opp]],Table46[DEF],'2024 fSZN'!$V$3:$V$34)</f>
        <v>#N/A</v>
      </c>
      <c r="H52" s="94" t="e" cm="1">
        <f t="array" ref="H52">_xlfn.XLOOKUP(Table11887[[#This Row],[Opp]],Table46[DEF],'2024 fSZN'!$W$3:$W$34)</f>
        <v>#N/A</v>
      </c>
      <c r="I52" s="94" t="e" cm="1">
        <f t="array" ref="I52">_xlfn.XLOOKUP(Table11887[[#This Row],[Opp]],Table46[DEF],'2024 fSZN'!$X$3:$X$34)</f>
        <v>#N/A</v>
      </c>
      <c r="J52" s="94" t="e" cm="1">
        <f t="array" ref="J52">_xlfn.XLOOKUP(Table11887[[#This Row],[Opp]],Table46[DEF],'2024 fSZN'!$Y$3:$Y$34)</f>
        <v>#N/A</v>
      </c>
      <c r="K52" s="94" t="e" cm="1">
        <f t="array" ref="K52">_xlfn.XLOOKUP(Table11887[[#This Row],[Opp]],Table46[DEF],'2024 fSZN'!$Z$3:$Z$34)</f>
        <v>#N/A</v>
      </c>
      <c r="L52" s="95" t="e">
        <f>_xlfn.XLOOKUP(Table11887[[#This Row],[Opp]],Table46[DEF],Table46[R])</f>
        <v>#N/A</v>
      </c>
      <c r="M52" s="95" t="e">
        <f>_xlfn.XLOOKUP(Table11887[[#This Row],[Opp]],Table46[DEF],Table46[REC])</f>
        <v>#N/A</v>
      </c>
      <c r="N52" s="95" t="e">
        <f>_xlfn.XLOOKUP(Table11887[[#This Row],[Opp]],Table46[DEF],Table46[Y])</f>
        <v>#N/A</v>
      </c>
      <c r="O52" s="95" t="e">
        <f>_xlfn.XLOOKUP(Table11887[[#This Row],[Opp]],Table46[DEF],Table46[R+R])</f>
        <v>#N/A</v>
      </c>
      <c r="P52" s="96" t="e">
        <f>_xlfn.XLOOKUP(Table11887[[#This Row],[Opp]],Table46[DEF],Table46[TD])</f>
        <v>#N/A</v>
      </c>
      <c r="Q52" s="94" t="e">
        <f>AVERAGE(Table11887[[#This Row],[*R*]:[*R+Y*]])</f>
        <v>#N/A</v>
      </c>
    </row>
    <row r="53" spans="2:17" x14ac:dyDescent="0.35">
      <c r="B53" s="6" t="s">
        <v>227</v>
      </c>
      <c r="C53" s="97" t="s">
        <v>38</v>
      </c>
      <c r="D53" s="97" t="s">
        <v>395</v>
      </c>
      <c r="E53" s="6">
        <v>1</v>
      </c>
      <c r="F53" s="97" t="str">
        <f>'2025'!$E$16</f>
        <v>n/a</v>
      </c>
      <c r="G53" s="94" t="e" cm="1">
        <f t="array" ref="G53">_xlfn.XLOOKUP(Table11887[[#This Row],[Opp]],Table46[DEF],'2024 fSZN'!$V$3:$V$34)</f>
        <v>#N/A</v>
      </c>
      <c r="H53" s="94" t="e" cm="1">
        <f t="array" ref="H53">_xlfn.XLOOKUP(Table11887[[#This Row],[Opp]],Table46[DEF],'2024 fSZN'!$W$3:$W$34)</f>
        <v>#N/A</v>
      </c>
      <c r="I53" s="94" t="e" cm="1">
        <f t="array" ref="I53">_xlfn.XLOOKUP(Table11887[[#This Row],[Opp]],Table46[DEF],'2024 fSZN'!$X$3:$X$34)</f>
        <v>#N/A</v>
      </c>
      <c r="J53" s="94" t="e" cm="1">
        <f t="array" ref="J53">_xlfn.XLOOKUP(Table11887[[#This Row],[Opp]],Table46[DEF],'2024 fSZN'!$Y$3:$Y$34)</f>
        <v>#N/A</v>
      </c>
      <c r="K53" s="94" t="e" cm="1">
        <f t="array" ref="K53">_xlfn.XLOOKUP(Table11887[[#This Row],[Opp]],Table46[DEF],'2024 fSZN'!$Z$3:$Z$34)</f>
        <v>#N/A</v>
      </c>
      <c r="L53" s="95" t="e">
        <f>_xlfn.XLOOKUP(Table11887[[#This Row],[Opp]],Table46[DEF],Table46[R])</f>
        <v>#N/A</v>
      </c>
      <c r="M53" s="95" t="e">
        <f>_xlfn.XLOOKUP(Table11887[[#This Row],[Opp]],Table46[DEF],Table46[REC])</f>
        <v>#N/A</v>
      </c>
      <c r="N53" s="95" t="e">
        <f>_xlfn.XLOOKUP(Table11887[[#This Row],[Opp]],Table46[DEF],Table46[Y])</f>
        <v>#N/A</v>
      </c>
      <c r="O53" s="95" t="e">
        <f>_xlfn.XLOOKUP(Table11887[[#This Row],[Opp]],Table46[DEF],Table46[R+R])</f>
        <v>#N/A</v>
      </c>
      <c r="P53" s="96" t="e">
        <f>_xlfn.XLOOKUP(Table11887[[#This Row],[Opp]],Table46[DEF],Table46[TD])</f>
        <v>#N/A</v>
      </c>
      <c r="Q53" s="94" t="e">
        <f>AVERAGE(Table11887[[#This Row],[*R*]:[*R+Y*]])</f>
        <v>#N/A</v>
      </c>
    </row>
    <row r="54" spans="2:17" x14ac:dyDescent="0.35">
      <c r="B54" s="6" t="s">
        <v>229</v>
      </c>
      <c r="C54" s="97" t="s">
        <v>38</v>
      </c>
      <c r="D54" s="97" t="s">
        <v>394</v>
      </c>
      <c r="E54" s="6">
        <v>0</v>
      </c>
      <c r="F54" s="97" t="str">
        <f>'2025'!$E$16</f>
        <v>n/a</v>
      </c>
      <c r="G54" s="94" t="e" cm="1">
        <f t="array" ref="G54">_xlfn.XLOOKUP(Table11887[[#This Row],[Opp]],Table46[DEF],'2024 fSZN'!$V$3:$V$34)</f>
        <v>#N/A</v>
      </c>
      <c r="H54" s="94" t="e" cm="1">
        <f t="array" ref="H54">_xlfn.XLOOKUP(Table11887[[#This Row],[Opp]],Table46[DEF],'2024 fSZN'!$W$3:$W$34)</f>
        <v>#N/A</v>
      </c>
      <c r="I54" s="94" t="e" cm="1">
        <f t="array" ref="I54">_xlfn.XLOOKUP(Table11887[[#This Row],[Opp]],Table46[DEF],'2024 fSZN'!$X$3:$X$34)</f>
        <v>#N/A</v>
      </c>
      <c r="J54" s="94" t="e" cm="1">
        <f t="array" ref="J54">_xlfn.XLOOKUP(Table11887[[#This Row],[Opp]],Table46[DEF],'2024 fSZN'!$Y$3:$Y$34)</f>
        <v>#N/A</v>
      </c>
      <c r="K54" s="94" t="e" cm="1">
        <f t="array" ref="K54">_xlfn.XLOOKUP(Table11887[[#This Row],[Opp]],Table46[DEF],'2024 fSZN'!$Z$3:$Z$34)</f>
        <v>#N/A</v>
      </c>
      <c r="L54" s="95" t="e">
        <f>_xlfn.XLOOKUP(Table11887[[#This Row],[Opp]],Table46[DEF],Table46[R])</f>
        <v>#N/A</v>
      </c>
      <c r="M54" s="95" t="e">
        <f>_xlfn.XLOOKUP(Table11887[[#This Row],[Opp]],Table46[DEF],Table46[REC])</f>
        <v>#N/A</v>
      </c>
      <c r="N54" s="95" t="e">
        <f>_xlfn.XLOOKUP(Table11887[[#This Row],[Opp]],Table46[DEF],Table46[Y])</f>
        <v>#N/A</v>
      </c>
      <c r="O54" s="95" t="e">
        <f>_xlfn.XLOOKUP(Table11887[[#This Row],[Opp]],Table46[DEF],Table46[R+R])</f>
        <v>#N/A</v>
      </c>
      <c r="P54" s="96" t="e">
        <f>_xlfn.XLOOKUP(Table11887[[#This Row],[Opp]],Table46[DEF],Table46[TD])</f>
        <v>#N/A</v>
      </c>
      <c r="Q54" s="94" t="e">
        <f>AVERAGE(Table11887[[#This Row],[*R*]:[*R+Y*]])</f>
        <v>#N/A</v>
      </c>
    </row>
    <row r="55" spans="2:17" x14ac:dyDescent="0.35">
      <c r="B55" s="6" t="s">
        <v>228</v>
      </c>
      <c r="C55" s="97" t="s">
        <v>38</v>
      </c>
      <c r="D55" s="97" t="s">
        <v>396</v>
      </c>
      <c r="E55" s="6">
        <v>1</v>
      </c>
      <c r="F55" s="97" t="str">
        <f>'2025'!$E$16</f>
        <v>n/a</v>
      </c>
      <c r="G55" s="94" t="e" cm="1">
        <f t="array" ref="G55">_xlfn.XLOOKUP(Table11887[[#This Row],[Opp]],Table46[DEF],'2024 fSZN'!$V$3:$V$34)</f>
        <v>#N/A</v>
      </c>
      <c r="H55" s="94" t="e" cm="1">
        <f t="array" ref="H55">_xlfn.XLOOKUP(Table11887[[#This Row],[Opp]],Table46[DEF],'2024 fSZN'!$W$3:$W$34)</f>
        <v>#N/A</v>
      </c>
      <c r="I55" s="94" t="e" cm="1">
        <f t="array" ref="I55">_xlfn.XLOOKUP(Table11887[[#This Row],[Opp]],Table46[DEF],'2024 fSZN'!$X$3:$X$34)</f>
        <v>#N/A</v>
      </c>
      <c r="J55" s="94" t="e" cm="1">
        <f t="array" ref="J55">_xlfn.XLOOKUP(Table11887[[#This Row],[Opp]],Table46[DEF],'2024 fSZN'!$Y$3:$Y$34)</f>
        <v>#N/A</v>
      </c>
      <c r="K55" s="94" t="e" cm="1">
        <f t="array" ref="K55">_xlfn.XLOOKUP(Table11887[[#This Row],[Opp]],Table46[DEF],'2024 fSZN'!$Z$3:$Z$34)</f>
        <v>#N/A</v>
      </c>
      <c r="L55" s="95" t="e">
        <f>_xlfn.XLOOKUP(Table11887[[#This Row],[Opp]],Table46[DEF],Table46[R])</f>
        <v>#N/A</v>
      </c>
      <c r="M55" s="95" t="e">
        <f>_xlfn.XLOOKUP(Table11887[[#This Row],[Opp]],Table46[DEF],Table46[REC])</f>
        <v>#N/A</v>
      </c>
      <c r="N55" s="95" t="e">
        <f>_xlfn.XLOOKUP(Table11887[[#This Row],[Opp]],Table46[DEF],Table46[Y])</f>
        <v>#N/A</v>
      </c>
      <c r="O55" s="95" t="e">
        <f>_xlfn.XLOOKUP(Table11887[[#This Row],[Opp]],Table46[DEF],Table46[R+R])</f>
        <v>#N/A</v>
      </c>
      <c r="P55" s="96" t="e">
        <f>_xlfn.XLOOKUP(Table11887[[#This Row],[Opp]],Table46[DEF],Table46[TD])</f>
        <v>#N/A</v>
      </c>
      <c r="Q55" s="94" t="e">
        <f>AVERAGE(Table11887[[#This Row],[*R*]:[*R+Y*]])</f>
        <v>#N/A</v>
      </c>
    </row>
    <row r="56" spans="2:17" x14ac:dyDescent="0.35">
      <c r="B56" s="6" t="s">
        <v>640</v>
      </c>
      <c r="C56" s="97" t="s">
        <v>38</v>
      </c>
      <c r="D56" s="97" t="s">
        <v>407</v>
      </c>
      <c r="E56" s="6">
        <v>-1</v>
      </c>
      <c r="F56" s="97" t="str">
        <f>'2025'!$E$16</f>
        <v>n/a</v>
      </c>
      <c r="G56" s="94" t="e" cm="1">
        <f t="array" ref="G56">_xlfn.XLOOKUP(Table11887[[#This Row],[Opp]],Table46[DEF],'2024 fSZN'!$V$3:$V$34)</f>
        <v>#N/A</v>
      </c>
      <c r="H56" s="94" t="e" cm="1">
        <f t="array" ref="H56">_xlfn.XLOOKUP(Table11887[[#This Row],[Opp]],Table46[DEF],'2024 fSZN'!$W$3:$W$34)</f>
        <v>#N/A</v>
      </c>
      <c r="I56" s="94" t="e" cm="1">
        <f t="array" ref="I56">_xlfn.XLOOKUP(Table11887[[#This Row],[Opp]],Table46[DEF],'2024 fSZN'!$X$3:$X$34)</f>
        <v>#N/A</v>
      </c>
      <c r="J56" s="94" t="e" cm="1">
        <f t="array" ref="J56">_xlfn.XLOOKUP(Table11887[[#This Row],[Opp]],Table46[DEF],'2024 fSZN'!$Y$3:$Y$34)</f>
        <v>#N/A</v>
      </c>
      <c r="K56" s="94" t="e" cm="1">
        <f t="array" ref="K56">_xlfn.XLOOKUP(Table11887[[#This Row],[Opp]],Table46[DEF],'2024 fSZN'!$Z$3:$Z$34)</f>
        <v>#N/A</v>
      </c>
      <c r="L56" s="95" t="e">
        <f>_xlfn.XLOOKUP(Table11887[[#This Row],[Opp]],Table46[DEF],Table46[R])</f>
        <v>#N/A</v>
      </c>
      <c r="M56" s="95" t="e">
        <f>_xlfn.XLOOKUP(Table11887[[#This Row],[Opp]],Table46[DEF],Table46[REC])</f>
        <v>#N/A</v>
      </c>
      <c r="N56" s="95" t="e">
        <f>_xlfn.XLOOKUP(Table11887[[#This Row],[Opp]],Table46[DEF],Table46[Y])</f>
        <v>#N/A</v>
      </c>
      <c r="O56" s="95" t="e">
        <f>_xlfn.XLOOKUP(Table11887[[#This Row],[Opp]],Table46[DEF],Table46[R+R])</f>
        <v>#N/A</v>
      </c>
      <c r="P56" s="96" t="e">
        <f>_xlfn.XLOOKUP(Table11887[[#This Row],[Opp]],Table46[DEF],Table46[TD])</f>
        <v>#N/A</v>
      </c>
      <c r="Q56" s="94" t="e">
        <f>AVERAGE(Table11887[[#This Row],[*R*]:[*R+Y*]])</f>
        <v>#N/A</v>
      </c>
    </row>
    <row r="57" spans="2:17" x14ac:dyDescent="0.35">
      <c r="B57" s="6" t="s">
        <v>236</v>
      </c>
      <c r="C57" s="97" t="s">
        <v>39</v>
      </c>
      <c r="D57" s="97" t="s">
        <v>395</v>
      </c>
      <c r="E57" s="6">
        <v>1</v>
      </c>
      <c r="F57" s="97" t="str">
        <f>'2025'!$E$17</f>
        <v>n/a</v>
      </c>
      <c r="G57" s="94" t="e" cm="1">
        <f t="array" ref="G57">_xlfn.XLOOKUP(Table11887[[#This Row],[Opp]],Table46[DEF],'2024 fSZN'!$V$3:$V$34)</f>
        <v>#N/A</v>
      </c>
      <c r="H57" s="94" t="e" cm="1">
        <f t="array" ref="H57">_xlfn.XLOOKUP(Table11887[[#This Row],[Opp]],Table46[DEF],'2024 fSZN'!$W$3:$W$34)</f>
        <v>#N/A</v>
      </c>
      <c r="I57" s="94" t="e" cm="1">
        <f t="array" ref="I57">_xlfn.XLOOKUP(Table11887[[#This Row],[Opp]],Table46[DEF],'2024 fSZN'!$X$3:$X$34)</f>
        <v>#N/A</v>
      </c>
      <c r="J57" s="94" t="e" cm="1">
        <f t="array" ref="J57">_xlfn.XLOOKUP(Table11887[[#This Row],[Opp]],Table46[DEF],'2024 fSZN'!$Y$3:$Y$34)</f>
        <v>#N/A</v>
      </c>
      <c r="K57" s="94" t="e" cm="1">
        <f t="array" ref="K57">_xlfn.XLOOKUP(Table11887[[#This Row],[Opp]],Table46[DEF],'2024 fSZN'!$Z$3:$Z$34)</f>
        <v>#N/A</v>
      </c>
      <c r="L57" s="95" t="e">
        <f>_xlfn.XLOOKUP(Table11887[[#This Row],[Opp]],Table46[DEF],Table46[R])</f>
        <v>#N/A</v>
      </c>
      <c r="M57" s="95" t="e">
        <f>_xlfn.XLOOKUP(Table11887[[#This Row],[Opp]],Table46[DEF],Table46[REC])</f>
        <v>#N/A</v>
      </c>
      <c r="N57" s="95" t="e">
        <f>_xlfn.XLOOKUP(Table11887[[#This Row],[Opp]],Table46[DEF],Table46[Y])</f>
        <v>#N/A</v>
      </c>
      <c r="O57" s="95" t="e">
        <f>_xlfn.XLOOKUP(Table11887[[#This Row],[Opp]],Table46[DEF],Table46[R+R])</f>
        <v>#N/A</v>
      </c>
      <c r="P57" s="96" t="e">
        <f>_xlfn.XLOOKUP(Table11887[[#This Row],[Opp]],Table46[DEF],Table46[TD])</f>
        <v>#N/A</v>
      </c>
      <c r="Q57" s="94" t="e">
        <f>AVERAGE(Table11887[[#This Row],[*R*]:[*R+Y*]])</f>
        <v>#N/A</v>
      </c>
    </row>
    <row r="58" spans="2:17" x14ac:dyDescent="0.35">
      <c r="B58" s="6" t="s">
        <v>238</v>
      </c>
      <c r="C58" s="97" t="s">
        <v>39</v>
      </c>
      <c r="D58" s="97" t="s">
        <v>394</v>
      </c>
      <c r="E58" s="6">
        <v>1</v>
      </c>
      <c r="F58" s="97" t="str">
        <f>'2025'!$E$17</f>
        <v>n/a</v>
      </c>
      <c r="G58" s="94" t="e" cm="1">
        <f t="array" ref="G58">_xlfn.XLOOKUP(Table11887[[#This Row],[Opp]],Table46[DEF],'2024 fSZN'!$V$3:$V$34)</f>
        <v>#N/A</v>
      </c>
      <c r="H58" s="94" t="e" cm="1">
        <f t="array" ref="H58">_xlfn.XLOOKUP(Table11887[[#This Row],[Opp]],Table46[DEF],'2024 fSZN'!$W$3:$W$34)</f>
        <v>#N/A</v>
      </c>
      <c r="I58" s="94" t="e" cm="1">
        <f t="array" ref="I58">_xlfn.XLOOKUP(Table11887[[#This Row],[Opp]],Table46[DEF],'2024 fSZN'!$X$3:$X$34)</f>
        <v>#N/A</v>
      </c>
      <c r="J58" s="94" t="e" cm="1">
        <f t="array" ref="J58">_xlfn.XLOOKUP(Table11887[[#This Row],[Opp]],Table46[DEF],'2024 fSZN'!$Y$3:$Y$34)</f>
        <v>#N/A</v>
      </c>
      <c r="K58" s="94" t="e" cm="1">
        <f t="array" ref="K58">_xlfn.XLOOKUP(Table11887[[#This Row],[Opp]],Table46[DEF],'2024 fSZN'!$Z$3:$Z$34)</f>
        <v>#N/A</v>
      </c>
      <c r="L58" s="95" t="e">
        <f>_xlfn.XLOOKUP(Table11887[[#This Row],[Opp]],Table46[DEF],Table46[R])</f>
        <v>#N/A</v>
      </c>
      <c r="M58" s="95" t="e">
        <f>_xlfn.XLOOKUP(Table11887[[#This Row],[Opp]],Table46[DEF],Table46[REC])</f>
        <v>#N/A</v>
      </c>
      <c r="N58" s="95" t="e">
        <f>_xlfn.XLOOKUP(Table11887[[#This Row],[Opp]],Table46[DEF],Table46[Y])</f>
        <v>#N/A</v>
      </c>
      <c r="O58" s="95" t="e">
        <f>_xlfn.XLOOKUP(Table11887[[#This Row],[Opp]],Table46[DEF],Table46[R+R])</f>
        <v>#N/A</v>
      </c>
      <c r="P58" s="96" t="e">
        <f>_xlfn.XLOOKUP(Table11887[[#This Row],[Opp]],Table46[DEF],Table46[TD])</f>
        <v>#N/A</v>
      </c>
      <c r="Q58" s="94" t="e">
        <f>AVERAGE(Table11887[[#This Row],[*R*]:[*R+Y*]])</f>
        <v>#N/A</v>
      </c>
    </row>
    <row r="59" spans="2:17" x14ac:dyDescent="0.35">
      <c r="B59" s="6" t="s">
        <v>237</v>
      </c>
      <c r="C59" s="97" t="s">
        <v>39</v>
      </c>
      <c r="D59" s="97" t="s">
        <v>396</v>
      </c>
      <c r="E59" s="6">
        <v>1</v>
      </c>
      <c r="F59" s="97" t="str">
        <f>'2025'!$E$17</f>
        <v>n/a</v>
      </c>
      <c r="G59" s="94" t="e" cm="1">
        <f t="array" ref="G59">_xlfn.XLOOKUP(Table11887[[#This Row],[Opp]],Table46[DEF],'2024 fSZN'!$V$3:$V$34)</f>
        <v>#N/A</v>
      </c>
      <c r="H59" s="94" t="e" cm="1">
        <f t="array" ref="H59">_xlfn.XLOOKUP(Table11887[[#This Row],[Opp]],Table46[DEF],'2024 fSZN'!$W$3:$W$34)</f>
        <v>#N/A</v>
      </c>
      <c r="I59" s="94" t="e" cm="1">
        <f t="array" ref="I59">_xlfn.XLOOKUP(Table11887[[#This Row],[Opp]],Table46[DEF],'2024 fSZN'!$X$3:$X$34)</f>
        <v>#N/A</v>
      </c>
      <c r="J59" s="94" t="e" cm="1">
        <f t="array" ref="J59">_xlfn.XLOOKUP(Table11887[[#This Row],[Opp]],Table46[DEF],'2024 fSZN'!$Y$3:$Y$34)</f>
        <v>#N/A</v>
      </c>
      <c r="K59" s="94" t="e" cm="1">
        <f t="array" ref="K59">_xlfn.XLOOKUP(Table11887[[#This Row],[Opp]],Table46[DEF],'2024 fSZN'!$Z$3:$Z$34)</f>
        <v>#N/A</v>
      </c>
      <c r="L59" s="95" t="e">
        <f>_xlfn.XLOOKUP(Table11887[[#This Row],[Opp]],Table46[DEF],Table46[R])</f>
        <v>#N/A</v>
      </c>
      <c r="M59" s="95" t="e">
        <f>_xlfn.XLOOKUP(Table11887[[#This Row],[Opp]],Table46[DEF],Table46[REC])</f>
        <v>#N/A</v>
      </c>
      <c r="N59" s="95" t="e">
        <f>_xlfn.XLOOKUP(Table11887[[#This Row],[Opp]],Table46[DEF],Table46[Y])</f>
        <v>#N/A</v>
      </c>
      <c r="O59" s="95" t="e">
        <f>_xlfn.XLOOKUP(Table11887[[#This Row],[Opp]],Table46[DEF],Table46[R+R])</f>
        <v>#N/A</v>
      </c>
      <c r="P59" s="96" t="e">
        <f>_xlfn.XLOOKUP(Table11887[[#This Row],[Opp]],Table46[DEF],Table46[TD])</f>
        <v>#N/A</v>
      </c>
      <c r="Q59" s="94" t="e">
        <f>AVERAGE(Table11887[[#This Row],[*R*]:[*R+Y*]])</f>
        <v>#N/A</v>
      </c>
    </row>
    <row r="60" spans="2:17" x14ac:dyDescent="0.35">
      <c r="B60" s="6" t="s">
        <v>624</v>
      </c>
      <c r="C60" s="97" t="s">
        <v>39</v>
      </c>
      <c r="D60" s="97" t="s">
        <v>407</v>
      </c>
      <c r="E60" s="6">
        <v>1</v>
      </c>
      <c r="F60" s="97" t="str">
        <f>'2025'!$E$17</f>
        <v>n/a</v>
      </c>
      <c r="G60" s="94" t="e" cm="1">
        <f t="array" ref="G60">_xlfn.XLOOKUP(Table11887[[#This Row],[Opp]],Table46[DEF],'2024 fSZN'!$V$3:$V$34)</f>
        <v>#N/A</v>
      </c>
      <c r="H60" s="94" t="e" cm="1">
        <f t="array" ref="H60">_xlfn.XLOOKUP(Table11887[[#This Row],[Opp]],Table46[DEF],'2024 fSZN'!$W$3:$W$34)</f>
        <v>#N/A</v>
      </c>
      <c r="I60" s="94" t="e" cm="1">
        <f t="array" ref="I60">_xlfn.XLOOKUP(Table11887[[#This Row],[Opp]],Table46[DEF],'2024 fSZN'!$X$3:$X$34)</f>
        <v>#N/A</v>
      </c>
      <c r="J60" s="94" t="e" cm="1">
        <f t="array" ref="J60">_xlfn.XLOOKUP(Table11887[[#This Row],[Opp]],Table46[DEF],'2024 fSZN'!$Y$3:$Y$34)</f>
        <v>#N/A</v>
      </c>
      <c r="K60" s="94" t="e" cm="1">
        <f t="array" ref="K60">_xlfn.XLOOKUP(Table11887[[#This Row],[Opp]],Table46[DEF],'2024 fSZN'!$Z$3:$Z$34)</f>
        <v>#N/A</v>
      </c>
      <c r="L60" s="95" t="e">
        <f>_xlfn.XLOOKUP(Table11887[[#This Row],[Opp]],Table46[DEF],Table46[R])</f>
        <v>#N/A</v>
      </c>
      <c r="M60" s="95" t="e">
        <f>_xlfn.XLOOKUP(Table11887[[#This Row],[Opp]],Table46[DEF],Table46[REC])</f>
        <v>#N/A</v>
      </c>
      <c r="N60" s="95" t="e">
        <f>_xlfn.XLOOKUP(Table11887[[#This Row],[Opp]],Table46[DEF],Table46[Y])</f>
        <v>#N/A</v>
      </c>
      <c r="O60" s="95" t="e">
        <f>_xlfn.XLOOKUP(Table11887[[#This Row],[Opp]],Table46[DEF],Table46[R+R])</f>
        <v>#N/A</v>
      </c>
      <c r="P60" s="96" t="e">
        <f>_xlfn.XLOOKUP(Table11887[[#This Row],[Opp]],Table46[DEF],Table46[TD])</f>
        <v>#N/A</v>
      </c>
      <c r="Q60" s="94" t="e">
        <f>AVERAGE(Table11887[[#This Row],[*R*]:[*R+Y*]])</f>
        <v>#N/A</v>
      </c>
    </row>
    <row r="61" spans="2:17" x14ac:dyDescent="0.35">
      <c r="B61" s="6" t="s">
        <v>245</v>
      </c>
      <c r="C61" s="97" t="s">
        <v>40</v>
      </c>
      <c r="D61" s="97" t="s">
        <v>395</v>
      </c>
      <c r="E61" s="6">
        <v>1</v>
      </c>
      <c r="F61" s="97" t="str">
        <f>'2025'!$E$18</f>
        <v>n/a</v>
      </c>
      <c r="G61" s="94" t="e" cm="1">
        <f t="array" ref="G61">_xlfn.XLOOKUP(Table11887[[#This Row],[Opp]],Table46[DEF],'2024 fSZN'!$V$3:$V$34)</f>
        <v>#N/A</v>
      </c>
      <c r="H61" s="94" t="e" cm="1">
        <f t="array" ref="H61">_xlfn.XLOOKUP(Table11887[[#This Row],[Opp]],Table46[DEF],'2024 fSZN'!$W$3:$W$34)</f>
        <v>#N/A</v>
      </c>
      <c r="I61" s="94" t="e" cm="1">
        <f t="array" ref="I61">_xlfn.XLOOKUP(Table11887[[#This Row],[Opp]],Table46[DEF],'2024 fSZN'!$X$3:$X$34)</f>
        <v>#N/A</v>
      </c>
      <c r="J61" s="94" t="e" cm="1">
        <f t="array" ref="J61">_xlfn.XLOOKUP(Table11887[[#This Row],[Opp]],Table46[DEF],'2024 fSZN'!$Y$3:$Y$34)</f>
        <v>#N/A</v>
      </c>
      <c r="K61" s="94" t="e" cm="1">
        <f t="array" ref="K61">_xlfn.XLOOKUP(Table11887[[#This Row],[Opp]],Table46[DEF],'2024 fSZN'!$Z$3:$Z$34)</f>
        <v>#N/A</v>
      </c>
      <c r="L61" s="95" t="e">
        <f>_xlfn.XLOOKUP(Table11887[[#This Row],[Opp]],Table46[DEF],Table46[R])</f>
        <v>#N/A</v>
      </c>
      <c r="M61" s="95" t="e">
        <f>_xlfn.XLOOKUP(Table11887[[#This Row],[Opp]],Table46[DEF],Table46[REC])</f>
        <v>#N/A</v>
      </c>
      <c r="N61" s="95" t="e">
        <f>_xlfn.XLOOKUP(Table11887[[#This Row],[Opp]],Table46[DEF],Table46[Y])</f>
        <v>#N/A</v>
      </c>
      <c r="O61" s="95" t="e">
        <f>_xlfn.XLOOKUP(Table11887[[#This Row],[Opp]],Table46[DEF],Table46[R+R])</f>
        <v>#N/A</v>
      </c>
      <c r="P61" s="96" t="e">
        <f>_xlfn.XLOOKUP(Table11887[[#This Row],[Opp]],Table46[DEF],Table46[TD])</f>
        <v>#N/A</v>
      </c>
      <c r="Q61" s="94" t="e">
        <f>AVERAGE(Table11887[[#This Row],[*R*]:[*R+Y*]])</f>
        <v>#N/A</v>
      </c>
    </row>
    <row r="62" spans="2:17" x14ac:dyDescent="0.35">
      <c r="B62" s="6" t="s">
        <v>246</v>
      </c>
      <c r="C62" s="97" t="s">
        <v>40</v>
      </c>
      <c r="D62" s="97" t="s">
        <v>394</v>
      </c>
      <c r="E62" s="6">
        <v>1</v>
      </c>
      <c r="F62" s="97" t="str">
        <f>'2025'!$E$18</f>
        <v>n/a</v>
      </c>
      <c r="G62" s="94" t="e" cm="1">
        <f t="array" ref="G62">_xlfn.XLOOKUP(Table11887[[#This Row],[Opp]],Table46[DEF],'2024 fSZN'!$V$3:$V$34)</f>
        <v>#N/A</v>
      </c>
      <c r="H62" s="94" t="e" cm="1">
        <f t="array" ref="H62">_xlfn.XLOOKUP(Table11887[[#This Row],[Opp]],Table46[DEF],'2024 fSZN'!$W$3:$W$34)</f>
        <v>#N/A</v>
      </c>
      <c r="I62" s="94" t="e" cm="1">
        <f t="array" ref="I62">_xlfn.XLOOKUP(Table11887[[#This Row],[Opp]],Table46[DEF],'2024 fSZN'!$X$3:$X$34)</f>
        <v>#N/A</v>
      </c>
      <c r="J62" s="94" t="e" cm="1">
        <f t="array" ref="J62">_xlfn.XLOOKUP(Table11887[[#This Row],[Opp]],Table46[DEF],'2024 fSZN'!$Y$3:$Y$34)</f>
        <v>#N/A</v>
      </c>
      <c r="K62" s="94" t="e" cm="1">
        <f t="array" ref="K62">_xlfn.XLOOKUP(Table11887[[#This Row],[Opp]],Table46[DEF],'2024 fSZN'!$Z$3:$Z$34)</f>
        <v>#N/A</v>
      </c>
      <c r="L62" s="95" t="e">
        <f>_xlfn.XLOOKUP(Table11887[[#This Row],[Opp]],Table46[DEF],Table46[R])</f>
        <v>#N/A</v>
      </c>
      <c r="M62" s="95" t="e">
        <f>_xlfn.XLOOKUP(Table11887[[#This Row],[Opp]],Table46[DEF],Table46[REC])</f>
        <v>#N/A</v>
      </c>
      <c r="N62" s="95" t="e">
        <f>_xlfn.XLOOKUP(Table11887[[#This Row],[Opp]],Table46[DEF],Table46[Y])</f>
        <v>#N/A</v>
      </c>
      <c r="O62" s="95" t="e">
        <f>_xlfn.XLOOKUP(Table11887[[#This Row],[Opp]],Table46[DEF],Table46[R+R])</f>
        <v>#N/A</v>
      </c>
      <c r="P62" s="96" t="e">
        <f>_xlfn.XLOOKUP(Table11887[[#This Row],[Opp]],Table46[DEF],Table46[TD])</f>
        <v>#N/A</v>
      </c>
      <c r="Q62" s="94" t="e">
        <f>AVERAGE(Table11887[[#This Row],[*R*]:[*R+Y*]])</f>
        <v>#N/A</v>
      </c>
    </row>
    <row r="63" spans="2:17" x14ac:dyDescent="0.35">
      <c r="B63" s="6" t="s">
        <v>248</v>
      </c>
      <c r="C63" s="97" t="s">
        <v>40</v>
      </c>
      <c r="D63" s="97" t="s">
        <v>396</v>
      </c>
      <c r="E63" s="6">
        <v>1</v>
      </c>
      <c r="F63" s="97" t="str">
        <f>'2025'!$E$18</f>
        <v>n/a</v>
      </c>
      <c r="G63" s="94" t="e" cm="1">
        <f t="array" ref="G63">_xlfn.XLOOKUP(Table11887[[#This Row],[Opp]],Table46[DEF],'2024 fSZN'!$V$3:$V$34)</f>
        <v>#N/A</v>
      </c>
      <c r="H63" s="94" t="e" cm="1">
        <f t="array" ref="H63">_xlfn.XLOOKUP(Table11887[[#This Row],[Opp]],Table46[DEF],'2024 fSZN'!$W$3:$W$34)</f>
        <v>#N/A</v>
      </c>
      <c r="I63" s="94" t="e" cm="1">
        <f t="array" ref="I63">_xlfn.XLOOKUP(Table11887[[#This Row],[Opp]],Table46[DEF],'2024 fSZN'!$X$3:$X$34)</f>
        <v>#N/A</v>
      </c>
      <c r="J63" s="94" t="e" cm="1">
        <f t="array" ref="J63">_xlfn.XLOOKUP(Table11887[[#This Row],[Opp]],Table46[DEF],'2024 fSZN'!$Y$3:$Y$34)</f>
        <v>#N/A</v>
      </c>
      <c r="K63" s="94" t="e" cm="1">
        <f t="array" ref="K63">_xlfn.XLOOKUP(Table11887[[#This Row],[Opp]],Table46[DEF],'2024 fSZN'!$Z$3:$Z$34)</f>
        <v>#N/A</v>
      </c>
      <c r="L63" s="95" t="e">
        <f>_xlfn.XLOOKUP(Table11887[[#This Row],[Opp]],Table46[DEF],Table46[R])</f>
        <v>#N/A</v>
      </c>
      <c r="M63" s="95" t="e">
        <f>_xlfn.XLOOKUP(Table11887[[#This Row],[Opp]],Table46[DEF],Table46[REC])</f>
        <v>#N/A</v>
      </c>
      <c r="N63" s="95" t="e">
        <f>_xlfn.XLOOKUP(Table11887[[#This Row],[Opp]],Table46[DEF],Table46[Y])</f>
        <v>#N/A</v>
      </c>
      <c r="O63" s="95" t="e">
        <f>_xlfn.XLOOKUP(Table11887[[#This Row],[Opp]],Table46[DEF],Table46[R+R])</f>
        <v>#N/A</v>
      </c>
      <c r="P63" s="96" t="e">
        <f>_xlfn.XLOOKUP(Table11887[[#This Row],[Opp]],Table46[DEF],Table46[TD])</f>
        <v>#N/A</v>
      </c>
      <c r="Q63" s="94" t="e">
        <f>AVERAGE(Table11887[[#This Row],[*R*]:[*R+Y*]])</f>
        <v>#N/A</v>
      </c>
    </row>
    <row r="64" spans="2:17" x14ac:dyDescent="0.35">
      <c r="B64" s="6" t="s">
        <v>247</v>
      </c>
      <c r="C64" s="97" t="s">
        <v>40</v>
      </c>
      <c r="D64" s="97" t="s">
        <v>407</v>
      </c>
      <c r="E64" s="6">
        <v>1</v>
      </c>
      <c r="F64" s="97" t="str">
        <f>'2025'!$E$18</f>
        <v>n/a</v>
      </c>
      <c r="G64" s="94" t="e" cm="1">
        <f t="array" ref="G64">_xlfn.XLOOKUP(Table11887[[#This Row],[Opp]],Table46[DEF],'2024 fSZN'!$V$3:$V$34)</f>
        <v>#N/A</v>
      </c>
      <c r="H64" s="94" t="e" cm="1">
        <f t="array" ref="H64">_xlfn.XLOOKUP(Table11887[[#This Row],[Opp]],Table46[DEF],'2024 fSZN'!$W$3:$W$34)</f>
        <v>#N/A</v>
      </c>
      <c r="I64" s="94" t="e" cm="1">
        <f t="array" ref="I64">_xlfn.XLOOKUP(Table11887[[#This Row],[Opp]],Table46[DEF],'2024 fSZN'!$X$3:$X$34)</f>
        <v>#N/A</v>
      </c>
      <c r="J64" s="94" t="e" cm="1">
        <f t="array" ref="J64">_xlfn.XLOOKUP(Table11887[[#This Row],[Opp]],Table46[DEF],'2024 fSZN'!$Y$3:$Y$34)</f>
        <v>#N/A</v>
      </c>
      <c r="K64" s="94" t="e" cm="1">
        <f t="array" ref="K64">_xlfn.XLOOKUP(Table11887[[#This Row],[Opp]],Table46[DEF],'2024 fSZN'!$Z$3:$Z$34)</f>
        <v>#N/A</v>
      </c>
      <c r="L64" s="95" t="e">
        <f>_xlfn.XLOOKUP(Table11887[[#This Row],[Opp]],Table46[DEF],Table46[R])</f>
        <v>#N/A</v>
      </c>
      <c r="M64" s="95" t="e">
        <f>_xlfn.XLOOKUP(Table11887[[#This Row],[Opp]],Table46[DEF],Table46[REC])</f>
        <v>#N/A</v>
      </c>
      <c r="N64" s="95" t="e">
        <f>_xlfn.XLOOKUP(Table11887[[#This Row],[Opp]],Table46[DEF],Table46[Y])</f>
        <v>#N/A</v>
      </c>
      <c r="O64" s="95" t="e">
        <f>_xlfn.XLOOKUP(Table11887[[#This Row],[Opp]],Table46[DEF],Table46[R+R])</f>
        <v>#N/A</v>
      </c>
      <c r="P64" s="96" t="e">
        <f>_xlfn.XLOOKUP(Table11887[[#This Row],[Opp]],Table46[DEF],Table46[TD])</f>
        <v>#N/A</v>
      </c>
      <c r="Q64" s="94" t="e">
        <f>AVERAGE(Table11887[[#This Row],[*R*]:[*R+Y*]])</f>
        <v>#N/A</v>
      </c>
    </row>
    <row r="65" spans="2:17" x14ac:dyDescent="0.35">
      <c r="B65" s="6" t="s">
        <v>258</v>
      </c>
      <c r="C65" s="97" t="s">
        <v>41</v>
      </c>
      <c r="D65" s="97" t="s">
        <v>395</v>
      </c>
      <c r="E65" s="6">
        <v>1</v>
      </c>
      <c r="F65" s="97" t="str">
        <f>'2025'!$E$19</f>
        <v>n/a</v>
      </c>
      <c r="G65" s="94" t="e" cm="1">
        <f t="array" ref="G65">_xlfn.XLOOKUP(Table11887[[#This Row],[Opp]],Table46[DEF],'2024 fSZN'!$V$3:$V$34)</f>
        <v>#N/A</v>
      </c>
      <c r="H65" s="94" t="e" cm="1">
        <f t="array" ref="H65">_xlfn.XLOOKUP(Table11887[[#This Row],[Opp]],Table46[DEF],'2024 fSZN'!$W$3:$W$34)</f>
        <v>#N/A</v>
      </c>
      <c r="I65" s="94" t="e" cm="1">
        <f t="array" ref="I65">_xlfn.XLOOKUP(Table11887[[#This Row],[Opp]],Table46[DEF],'2024 fSZN'!$X$3:$X$34)</f>
        <v>#N/A</v>
      </c>
      <c r="J65" s="94" t="e" cm="1">
        <f t="array" ref="J65">_xlfn.XLOOKUP(Table11887[[#This Row],[Opp]],Table46[DEF],'2024 fSZN'!$Y$3:$Y$34)</f>
        <v>#N/A</v>
      </c>
      <c r="K65" s="94" t="e" cm="1">
        <f t="array" ref="K65">_xlfn.XLOOKUP(Table11887[[#This Row],[Opp]],Table46[DEF],'2024 fSZN'!$Z$3:$Z$34)</f>
        <v>#N/A</v>
      </c>
      <c r="L65" s="95" t="e">
        <f>_xlfn.XLOOKUP(Table11887[[#This Row],[Opp]],Table46[DEF],Table46[R])</f>
        <v>#N/A</v>
      </c>
      <c r="M65" s="95" t="e">
        <f>_xlfn.XLOOKUP(Table11887[[#This Row],[Opp]],Table46[DEF],Table46[REC])</f>
        <v>#N/A</v>
      </c>
      <c r="N65" s="95" t="e">
        <f>_xlfn.XLOOKUP(Table11887[[#This Row],[Opp]],Table46[DEF],Table46[Y])</f>
        <v>#N/A</v>
      </c>
      <c r="O65" s="95" t="e">
        <f>_xlfn.XLOOKUP(Table11887[[#This Row],[Opp]],Table46[DEF],Table46[R+R])</f>
        <v>#N/A</v>
      </c>
      <c r="P65" s="96" t="e">
        <f>_xlfn.XLOOKUP(Table11887[[#This Row],[Opp]],Table46[DEF],Table46[TD])</f>
        <v>#N/A</v>
      </c>
      <c r="Q65" s="94" t="e">
        <f>AVERAGE(Table11887[[#This Row],[*R*]:[*R+Y*]])</f>
        <v>#N/A</v>
      </c>
    </row>
    <row r="66" spans="2:17" x14ac:dyDescent="0.35">
      <c r="B66" s="6" t="s">
        <v>257</v>
      </c>
      <c r="C66" s="97" t="s">
        <v>41</v>
      </c>
      <c r="D66" s="97" t="s">
        <v>394</v>
      </c>
      <c r="E66" s="6">
        <v>1</v>
      </c>
      <c r="F66" s="97" t="str">
        <f>'2025'!$E$19</f>
        <v>n/a</v>
      </c>
      <c r="G66" s="94" t="e" cm="1">
        <f t="array" ref="G66">_xlfn.XLOOKUP(Table11887[[#This Row],[Opp]],Table46[DEF],'2024 fSZN'!$V$3:$V$34)</f>
        <v>#N/A</v>
      </c>
      <c r="H66" s="94" t="e" cm="1">
        <f t="array" ref="H66">_xlfn.XLOOKUP(Table11887[[#This Row],[Opp]],Table46[DEF],'2024 fSZN'!$W$3:$W$34)</f>
        <v>#N/A</v>
      </c>
      <c r="I66" s="94" t="e" cm="1">
        <f t="array" ref="I66">_xlfn.XLOOKUP(Table11887[[#This Row],[Opp]],Table46[DEF],'2024 fSZN'!$X$3:$X$34)</f>
        <v>#N/A</v>
      </c>
      <c r="J66" s="94" t="e" cm="1">
        <f t="array" ref="J66">_xlfn.XLOOKUP(Table11887[[#This Row],[Opp]],Table46[DEF],'2024 fSZN'!$Y$3:$Y$34)</f>
        <v>#N/A</v>
      </c>
      <c r="K66" s="94" t="e" cm="1">
        <f t="array" ref="K66">_xlfn.XLOOKUP(Table11887[[#This Row],[Opp]],Table46[DEF],'2024 fSZN'!$Z$3:$Z$34)</f>
        <v>#N/A</v>
      </c>
      <c r="L66" s="95" t="e">
        <f>_xlfn.XLOOKUP(Table11887[[#This Row],[Opp]],Table46[DEF],Table46[R])</f>
        <v>#N/A</v>
      </c>
      <c r="M66" s="95" t="e">
        <f>_xlfn.XLOOKUP(Table11887[[#This Row],[Opp]],Table46[DEF],Table46[REC])</f>
        <v>#N/A</v>
      </c>
      <c r="N66" s="95" t="e">
        <f>_xlfn.XLOOKUP(Table11887[[#This Row],[Opp]],Table46[DEF],Table46[Y])</f>
        <v>#N/A</v>
      </c>
      <c r="O66" s="95" t="e">
        <f>_xlfn.XLOOKUP(Table11887[[#This Row],[Opp]],Table46[DEF],Table46[R+R])</f>
        <v>#N/A</v>
      </c>
      <c r="P66" s="96" t="e">
        <f>_xlfn.XLOOKUP(Table11887[[#This Row],[Opp]],Table46[DEF],Table46[TD])</f>
        <v>#N/A</v>
      </c>
      <c r="Q66" s="94" t="e">
        <f>AVERAGE(Table11887[[#This Row],[*R*]:[*R+Y*]])</f>
        <v>#N/A</v>
      </c>
    </row>
    <row r="67" spans="2:17" x14ac:dyDescent="0.35">
      <c r="B67" s="6" t="s">
        <v>561</v>
      </c>
      <c r="C67" s="97" t="s">
        <v>41</v>
      </c>
      <c r="D67" s="97" t="s">
        <v>396</v>
      </c>
      <c r="E67" s="6">
        <v>1</v>
      </c>
      <c r="F67" s="97" t="str">
        <f>'2025'!$E$19</f>
        <v>n/a</v>
      </c>
      <c r="G67" s="94" t="e" cm="1">
        <f t="array" ref="G67">_xlfn.XLOOKUP(Table11887[[#This Row],[Opp]],Table46[DEF],'2024 fSZN'!$V$3:$V$34)</f>
        <v>#N/A</v>
      </c>
      <c r="H67" s="94" t="e" cm="1">
        <f t="array" ref="H67">_xlfn.XLOOKUP(Table11887[[#This Row],[Opp]],Table46[DEF],'2024 fSZN'!$W$3:$W$34)</f>
        <v>#N/A</v>
      </c>
      <c r="I67" s="94" t="e" cm="1">
        <f t="array" ref="I67">_xlfn.XLOOKUP(Table11887[[#This Row],[Opp]],Table46[DEF],'2024 fSZN'!$X$3:$X$34)</f>
        <v>#N/A</v>
      </c>
      <c r="J67" s="94" t="e" cm="1">
        <f t="array" ref="J67">_xlfn.XLOOKUP(Table11887[[#This Row],[Opp]],Table46[DEF],'2024 fSZN'!$Y$3:$Y$34)</f>
        <v>#N/A</v>
      </c>
      <c r="K67" s="94" t="e" cm="1">
        <f t="array" ref="K67">_xlfn.XLOOKUP(Table11887[[#This Row],[Opp]],Table46[DEF],'2024 fSZN'!$Z$3:$Z$34)</f>
        <v>#N/A</v>
      </c>
      <c r="L67" s="95" t="e">
        <f>_xlfn.XLOOKUP(Table11887[[#This Row],[Opp]],Table46[DEF],Table46[R])</f>
        <v>#N/A</v>
      </c>
      <c r="M67" s="95" t="e">
        <f>_xlfn.XLOOKUP(Table11887[[#This Row],[Opp]],Table46[DEF],Table46[REC])</f>
        <v>#N/A</v>
      </c>
      <c r="N67" s="95" t="e">
        <f>_xlfn.XLOOKUP(Table11887[[#This Row],[Opp]],Table46[DEF],Table46[Y])</f>
        <v>#N/A</v>
      </c>
      <c r="O67" s="95" t="e">
        <f>_xlfn.XLOOKUP(Table11887[[#This Row],[Opp]],Table46[DEF],Table46[R+R])</f>
        <v>#N/A</v>
      </c>
      <c r="P67" s="96" t="e">
        <f>_xlfn.XLOOKUP(Table11887[[#This Row],[Opp]],Table46[DEF],Table46[TD])</f>
        <v>#N/A</v>
      </c>
      <c r="Q67" s="94" t="e">
        <f>AVERAGE(Table11887[[#This Row],[*R*]:[*R+Y*]])</f>
        <v>#N/A</v>
      </c>
    </row>
    <row r="68" spans="2:17" x14ac:dyDescent="0.35">
      <c r="B68" s="6" t="s">
        <v>266</v>
      </c>
      <c r="C68" s="97" t="s">
        <v>42</v>
      </c>
      <c r="D68" s="97" t="s">
        <v>395</v>
      </c>
      <c r="E68" s="6">
        <v>1</v>
      </c>
      <c r="F68" s="97" t="str">
        <f>'2025'!$E$20</f>
        <v>n/a</v>
      </c>
      <c r="G68" s="94" t="e" cm="1">
        <f t="array" ref="G68">_xlfn.XLOOKUP(Table11887[[#This Row],[Opp]],Table46[DEF],'2024 fSZN'!$V$3:$V$34)</f>
        <v>#N/A</v>
      </c>
      <c r="H68" s="94" t="e" cm="1">
        <f t="array" ref="H68">_xlfn.XLOOKUP(Table11887[[#This Row],[Opp]],Table46[DEF],'2024 fSZN'!$W$3:$W$34)</f>
        <v>#N/A</v>
      </c>
      <c r="I68" s="94" t="e" cm="1">
        <f t="array" ref="I68">_xlfn.XLOOKUP(Table11887[[#This Row],[Opp]],Table46[DEF],'2024 fSZN'!$X$3:$X$34)</f>
        <v>#N/A</v>
      </c>
      <c r="J68" s="94" t="e" cm="1">
        <f t="array" ref="J68">_xlfn.XLOOKUP(Table11887[[#This Row],[Opp]],Table46[DEF],'2024 fSZN'!$Y$3:$Y$34)</f>
        <v>#N/A</v>
      </c>
      <c r="K68" s="94" t="e" cm="1">
        <f t="array" ref="K68">_xlfn.XLOOKUP(Table11887[[#This Row],[Opp]],Table46[DEF],'2024 fSZN'!$Z$3:$Z$34)</f>
        <v>#N/A</v>
      </c>
      <c r="L68" s="95" t="e">
        <f>_xlfn.XLOOKUP(Table11887[[#This Row],[Opp]],Table46[DEF],Table46[R])</f>
        <v>#N/A</v>
      </c>
      <c r="M68" s="95" t="e">
        <f>_xlfn.XLOOKUP(Table11887[[#This Row],[Opp]],Table46[DEF],Table46[REC])</f>
        <v>#N/A</v>
      </c>
      <c r="N68" s="95" t="e">
        <f>_xlfn.XLOOKUP(Table11887[[#This Row],[Opp]],Table46[DEF],Table46[Y])</f>
        <v>#N/A</v>
      </c>
      <c r="O68" s="95" t="e">
        <f>_xlfn.XLOOKUP(Table11887[[#This Row],[Opp]],Table46[DEF],Table46[R+R])</f>
        <v>#N/A</v>
      </c>
      <c r="P68" s="96" t="e">
        <f>_xlfn.XLOOKUP(Table11887[[#This Row],[Opp]],Table46[DEF],Table46[TD])</f>
        <v>#N/A</v>
      </c>
      <c r="Q68" s="94" t="e">
        <f>AVERAGE(Table11887[[#This Row],[*R*]:[*R+Y*]])</f>
        <v>#N/A</v>
      </c>
    </row>
    <row r="69" spans="2:17" x14ac:dyDescent="0.35">
      <c r="B69" s="6" t="s">
        <v>267</v>
      </c>
      <c r="C69" s="97" t="s">
        <v>42</v>
      </c>
      <c r="D69" s="97" t="s">
        <v>394</v>
      </c>
      <c r="E69" s="6">
        <v>1</v>
      </c>
      <c r="F69" s="97" t="str">
        <f>'2025'!$E$20</f>
        <v>n/a</v>
      </c>
      <c r="G69" s="94" t="e" cm="1">
        <f t="array" ref="G69">_xlfn.XLOOKUP(Table11887[[#This Row],[Opp]],Table46[DEF],'2024 fSZN'!$V$3:$V$34)</f>
        <v>#N/A</v>
      </c>
      <c r="H69" s="94" t="e" cm="1">
        <f t="array" ref="H69">_xlfn.XLOOKUP(Table11887[[#This Row],[Opp]],Table46[DEF],'2024 fSZN'!$W$3:$W$34)</f>
        <v>#N/A</v>
      </c>
      <c r="I69" s="94" t="e" cm="1">
        <f t="array" ref="I69">_xlfn.XLOOKUP(Table11887[[#This Row],[Opp]],Table46[DEF],'2024 fSZN'!$X$3:$X$34)</f>
        <v>#N/A</v>
      </c>
      <c r="J69" s="94" t="e" cm="1">
        <f t="array" ref="J69">_xlfn.XLOOKUP(Table11887[[#This Row],[Opp]],Table46[DEF],'2024 fSZN'!$Y$3:$Y$34)</f>
        <v>#N/A</v>
      </c>
      <c r="K69" s="94" t="e" cm="1">
        <f t="array" ref="K69">_xlfn.XLOOKUP(Table11887[[#This Row],[Opp]],Table46[DEF],'2024 fSZN'!$Z$3:$Z$34)</f>
        <v>#N/A</v>
      </c>
      <c r="L69" s="95" t="e">
        <f>_xlfn.XLOOKUP(Table11887[[#This Row],[Opp]],Table46[DEF],Table46[R])</f>
        <v>#N/A</v>
      </c>
      <c r="M69" s="95" t="e">
        <f>_xlfn.XLOOKUP(Table11887[[#This Row],[Opp]],Table46[DEF],Table46[REC])</f>
        <v>#N/A</v>
      </c>
      <c r="N69" s="95" t="e">
        <f>_xlfn.XLOOKUP(Table11887[[#This Row],[Opp]],Table46[DEF],Table46[Y])</f>
        <v>#N/A</v>
      </c>
      <c r="O69" s="95" t="e">
        <f>_xlfn.XLOOKUP(Table11887[[#This Row],[Opp]],Table46[DEF],Table46[R+R])</f>
        <v>#N/A</v>
      </c>
      <c r="P69" s="96" t="e">
        <f>_xlfn.XLOOKUP(Table11887[[#This Row],[Opp]],Table46[DEF],Table46[TD])</f>
        <v>#N/A</v>
      </c>
      <c r="Q69" s="94" t="e">
        <f>AVERAGE(Table11887[[#This Row],[*R*]:[*R+Y*]])</f>
        <v>#N/A</v>
      </c>
    </row>
    <row r="70" spans="2:17" x14ac:dyDescent="0.35">
      <c r="B70" s="6" t="s">
        <v>268</v>
      </c>
      <c r="C70" s="97" t="s">
        <v>42</v>
      </c>
      <c r="D70" s="97" t="s">
        <v>396</v>
      </c>
      <c r="E70" s="6">
        <v>1</v>
      </c>
      <c r="F70" s="97" t="str">
        <f>'2025'!$E$20</f>
        <v>n/a</v>
      </c>
      <c r="G70" s="94" t="e" cm="1">
        <f t="array" ref="G70">_xlfn.XLOOKUP(Table11887[[#This Row],[Opp]],Table46[DEF],'2024 fSZN'!$V$3:$V$34)</f>
        <v>#N/A</v>
      </c>
      <c r="H70" s="94" t="e" cm="1">
        <f t="array" ref="H70">_xlfn.XLOOKUP(Table11887[[#This Row],[Opp]],Table46[DEF],'2024 fSZN'!$W$3:$W$34)</f>
        <v>#N/A</v>
      </c>
      <c r="I70" s="94" t="e" cm="1">
        <f t="array" ref="I70">_xlfn.XLOOKUP(Table11887[[#This Row],[Opp]],Table46[DEF],'2024 fSZN'!$X$3:$X$34)</f>
        <v>#N/A</v>
      </c>
      <c r="J70" s="94" t="e" cm="1">
        <f t="array" ref="J70">_xlfn.XLOOKUP(Table11887[[#This Row],[Opp]],Table46[DEF],'2024 fSZN'!$Y$3:$Y$34)</f>
        <v>#N/A</v>
      </c>
      <c r="K70" s="94" t="e" cm="1">
        <f t="array" ref="K70">_xlfn.XLOOKUP(Table11887[[#This Row],[Opp]],Table46[DEF],'2024 fSZN'!$Z$3:$Z$34)</f>
        <v>#N/A</v>
      </c>
      <c r="L70" s="95" t="e">
        <f>_xlfn.XLOOKUP(Table11887[[#This Row],[Opp]],Table46[DEF],Table46[R])</f>
        <v>#N/A</v>
      </c>
      <c r="M70" s="95" t="e">
        <f>_xlfn.XLOOKUP(Table11887[[#This Row],[Opp]],Table46[DEF],Table46[REC])</f>
        <v>#N/A</v>
      </c>
      <c r="N70" s="95" t="e">
        <f>_xlfn.XLOOKUP(Table11887[[#This Row],[Opp]],Table46[DEF],Table46[Y])</f>
        <v>#N/A</v>
      </c>
      <c r="O70" s="95" t="e">
        <f>_xlfn.XLOOKUP(Table11887[[#This Row],[Opp]],Table46[DEF],Table46[R+R])</f>
        <v>#N/A</v>
      </c>
      <c r="P70" s="96" t="e">
        <f>_xlfn.XLOOKUP(Table11887[[#This Row],[Opp]],Table46[DEF],Table46[TD])</f>
        <v>#N/A</v>
      </c>
      <c r="Q70" s="94" t="e">
        <f>AVERAGE(Table11887[[#This Row],[*R*]:[*R+Y*]])</f>
        <v>#N/A</v>
      </c>
    </row>
    <row r="71" spans="2:17" x14ac:dyDescent="0.35">
      <c r="B71" s="6" t="s">
        <v>276</v>
      </c>
      <c r="C71" s="97" t="s">
        <v>43</v>
      </c>
      <c r="D71" s="97" t="s">
        <v>395</v>
      </c>
      <c r="E71" s="6">
        <v>1</v>
      </c>
      <c r="F71" s="97" t="str">
        <f>'2025'!$E$21</f>
        <v>n/a</v>
      </c>
      <c r="G71" s="94" t="e" cm="1">
        <f t="array" ref="G71">_xlfn.XLOOKUP(Table11887[[#This Row],[Opp]],Table46[DEF],'2024 fSZN'!$V$3:$V$34)</f>
        <v>#N/A</v>
      </c>
      <c r="H71" s="94" t="e" cm="1">
        <f t="array" ref="H71">_xlfn.XLOOKUP(Table11887[[#This Row],[Opp]],Table46[DEF],'2024 fSZN'!$W$3:$W$34)</f>
        <v>#N/A</v>
      </c>
      <c r="I71" s="94" t="e" cm="1">
        <f t="array" ref="I71">_xlfn.XLOOKUP(Table11887[[#This Row],[Opp]],Table46[DEF],'2024 fSZN'!$X$3:$X$34)</f>
        <v>#N/A</v>
      </c>
      <c r="J71" s="94" t="e" cm="1">
        <f t="array" ref="J71">_xlfn.XLOOKUP(Table11887[[#This Row],[Opp]],Table46[DEF],'2024 fSZN'!$Y$3:$Y$34)</f>
        <v>#N/A</v>
      </c>
      <c r="K71" s="94" t="e" cm="1">
        <f t="array" ref="K71">_xlfn.XLOOKUP(Table11887[[#This Row],[Opp]],Table46[DEF],'2024 fSZN'!$Z$3:$Z$34)</f>
        <v>#N/A</v>
      </c>
      <c r="L71" s="95" t="e">
        <f>_xlfn.XLOOKUP(Table11887[[#This Row],[Opp]],Table46[DEF],Table46[R])</f>
        <v>#N/A</v>
      </c>
      <c r="M71" s="95" t="e">
        <f>_xlfn.XLOOKUP(Table11887[[#This Row],[Opp]],Table46[DEF],Table46[REC])</f>
        <v>#N/A</v>
      </c>
      <c r="N71" s="95" t="e">
        <f>_xlfn.XLOOKUP(Table11887[[#This Row],[Opp]],Table46[DEF],Table46[Y])</f>
        <v>#N/A</v>
      </c>
      <c r="O71" s="95" t="e">
        <f>_xlfn.XLOOKUP(Table11887[[#This Row],[Opp]],Table46[DEF],Table46[R+R])</f>
        <v>#N/A</v>
      </c>
      <c r="P71" s="96" t="e">
        <f>_xlfn.XLOOKUP(Table11887[[#This Row],[Opp]],Table46[DEF],Table46[TD])</f>
        <v>#N/A</v>
      </c>
      <c r="Q71" s="94" t="e">
        <f>AVERAGE(Table11887[[#This Row],[*R*]:[*R+Y*]])</f>
        <v>#N/A</v>
      </c>
    </row>
    <row r="72" spans="2:17" x14ac:dyDescent="0.35">
      <c r="B72" s="6" t="s">
        <v>277</v>
      </c>
      <c r="C72" s="97" t="s">
        <v>43</v>
      </c>
      <c r="D72" s="97" t="s">
        <v>394</v>
      </c>
      <c r="E72" s="6">
        <v>1</v>
      </c>
      <c r="F72" s="97" t="str">
        <f>'2025'!$E$21</f>
        <v>n/a</v>
      </c>
      <c r="G72" s="94" t="e" cm="1">
        <f t="array" ref="G72">_xlfn.XLOOKUP(Table11887[[#This Row],[Opp]],Table46[DEF],'2024 fSZN'!$V$3:$V$34)</f>
        <v>#N/A</v>
      </c>
      <c r="H72" s="94" t="e" cm="1">
        <f t="array" ref="H72">_xlfn.XLOOKUP(Table11887[[#This Row],[Opp]],Table46[DEF],'2024 fSZN'!$W$3:$W$34)</f>
        <v>#N/A</v>
      </c>
      <c r="I72" s="94" t="e" cm="1">
        <f t="array" ref="I72">_xlfn.XLOOKUP(Table11887[[#This Row],[Opp]],Table46[DEF],'2024 fSZN'!$X$3:$X$34)</f>
        <v>#N/A</v>
      </c>
      <c r="J72" s="94" t="e" cm="1">
        <f t="array" ref="J72">_xlfn.XLOOKUP(Table11887[[#This Row],[Opp]],Table46[DEF],'2024 fSZN'!$Y$3:$Y$34)</f>
        <v>#N/A</v>
      </c>
      <c r="K72" s="94" t="e" cm="1">
        <f t="array" ref="K72">_xlfn.XLOOKUP(Table11887[[#This Row],[Opp]],Table46[DEF],'2024 fSZN'!$Z$3:$Z$34)</f>
        <v>#N/A</v>
      </c>
      <c r="L72" s="95" t="e">
        <f>_xlfn.XLOOKUP(Table11887[[#This Row],[Opp]],Table46[DEF],Table46[R])</f>
        <v>#N/A</v>
      </c>
      <c r="M72" s="95" t="e">
        <f>_xlfn.XLOOKUP(Table11887[[#This Row],[Opp]],Table46[DEF],Table46[REC])</f>
        <v>#N/A</v>
      </c>
      <c r="N72" s="95" t="e">
        <f>_xlfn.XLOOKUP(Table11887[[#This Row],[Opp]],Table46[DEF],Table46[Y])</f>
        <v>#N/A</v>
      </c>
      <c r="O72" s="95" t="e">
        <f>_xlfn.XLOOKUP(Table11887[[#This Row],[Opp]],Table46[DEF],Table46[R+R])</f>
        <v>#N/A</v>
      </c>
      <c r="P72" s="96" t="e">
        <f>_xlfn.XLOOKUP(Table11887[[#This Row],[Opp]],Table46[DEF],Table46[TD])</f>
        <v>#N/A</v>
      </c>
      <c r="Q72" s="94" t="e">
        <f>AVERAGE(Table11887[[#This Row],[*R*]:[*R+Y*]])</f>
        <v>#N/A</v>
      </c>
    </row>
    <row r="73" spans="2:17" x14ac:dyDescent="0.35">
      <c r="B73" s="6" t="s">
        <v>566</v>
      </c>
      <c r="C73" s="97" t="s">
        <v>43</v>
      </c>
      <c r="D73" s="97" t="s">
        <v>396</v>
      </c>
      <c r="E73" s="6">
        <v>1</v>
      </c>
      <c r="F73" s="97" t="str">
        <f>'2025'!$E$21</f>
        <v>n/a</v>
      </c>
      <c r="G73" s="94" t="e" cm="1">
        <f t="array" ref="G73">_xlfn.XLOOKUP(Table11887[[#This Row],[Opp]],Table46[DEF],'2024 fSZN'!$V$3:$V$34)</f>
        <v>#N/A</v>
      </c>
      <c r="H73" s="94" t="e" cm="1">
        <f t="array" ref="H73">_xlfn.XLOOKUP(Table11887[[#This Row],[Opp]],Table46[DEF],'2024 fSZN'!$W$3:$W$34)</f>
        <v>#N/A</v>
      </c>
      <c r="I73" s="94" t="e" cm="1">
        <f t="array" ref="I73">_xlfn.XLOOKUP(Table11887[[#This Row],[Opp]],Table46[DEF],'2024 fSZN'!$X$3:$X$34)</f>
        <v>#N/A</v>
      </c>
      <c r="J73" s="94" t="e" cm="1">
        <f t="array" ref="J73">_xlfn.XLOOKUP(Table11887[[#This Row],[Opp]],Table46[DEF],'2024 fSZN'!$Y$3:$Y$34)</f>
        <v>#N/A</v>
      </c>
      <c r="K73" s="94" t="e" cm="1">
        <f t="array" ref="K73">_xlfn.XLOOKUP(Table11887[[#This Row],[Opp]],Table46[DEF],'2024 fSZN'!$Z$3:$Z$34)</f>
        <v>#N/A</v>
      </c>
      <c r="L73" s="95" t="e">
        <f>_xlfn.XLOOKUP(Table11887[[#This Row],[Opp]],Table46[DEF],Table46[R])</f>
        <v>#N/A</v>
      </c>
      <c r="M73" s="95" t="e">
        <f>_xlfn.XLOOKUP(Table11887[[#This Row],[Opp]],Table46[DEF],Table46[REC])</f>
        <v>#N/A</v>
      </c>
      <c r="N73" s="95" t="e">
        <f>_xlfn.XLOOKUP(Table11887[[#This Row],[Opp]],Table46[DEF],Table46[Y])</f>
        <v>#N/A</v>
      </c>
      <c r="O73" s="95" t="e">
        <f>_xlfn.XLOOKUP(Table11887[[#This Row],[Opp]],Table46[DEF],Table46[R+R])</f>
        <v>#N/A</v>
      </c>
      <c r="P73" s="96" t="e">
        <f>_xlfn.XLOOKUP(Table11887[[#This Row],[Opp]],Table46[DEF],Table46[TD])</f>
        <v>#N/A</v>
      </c>
      <c r="Q73" s="94" t="e">
        <f>AVERAGE(Table11887[[#This Row],[*R*]:[*R+Y*]])</f>
        <v>#N/A</v>
      </c>
    </row>
    <row r="74" spans="2:17" x14ac:dyDescent="0.35">
      <c r="B74" s="6" t="s">
        <v>567</v>
      </c>
      <c r="C74" s="97" t="s">
        <v>43</v>
      </c>
      <c r="D74" s="97" t="s">
        <v>407</v>
      </c>
      <c r="E74" s="6">
        <v>1</v>
      </c>
      <c r="F74" s="97" t="str">
        <f>'2025'!$E$21</f>
        <v>n/a</v>
      </c>
      <c r="G74" s="94" t="e" cm="1">
        <f t="array" ref="G74">_xlfn.XLOOKUP(Table11887[[#This Row],[Opp]],Table46[DEF],'2024 fSZN'!$V$3:$V$34)</f>
        <v>#N/A</v>
      </c>
      <c r="H74" s="94" t="e" cm="1">
        <f t="array" ref="H74">_xlfn.XLOOKUP(Table11887[[#This Row],[Opp]],Table46[DEF],'2024 fSZN'!$W$3:$W$34)</f>
        <v>#N/A</v>
      </c>
      <c r="I74" s="94" t="e" cm="1">
        <f t="array" ref="I74">_xlfn.XLOOKUP(Table11887[[#This Row],[Opp]],Table46[DEF],'2024 fSZN'!$X$3:$X$34)</f>
        <v>#N/A</v>
      </c>
      <c r="J74" s="94" t="e" cm="1">
        <f t="array" ref="J74">_xlfn.XLOOKUP(Table11887[[#This Row],[Opp]],Table46[DEF],'2024 fSZN'!$Y$3:$Y$34)</f>
        <v>#N/A</v>
      </c>
      <c r="K74" s="94" t="e" cm="1">
        <f t="array" ref="K74">_xlfn.XLOOKUP(Table11887[[#This Row],[Opp]],Table46[DEF],'2024 fSZN'!$Z$3:$Z$34)</f>
        <v>#N/A</v>
      </c>
      <c r="L74" s="95" t="e">
        <f>_xlfn.XLOOKUP(Table11887[[#This Row],[Opp]],Table46[DEF],Table46[R])</f>
        <v>#N/A</v>
      </c>
      <c r="M74" s="95" t="e">
        <f>_xlfn.XLOOKUP(Table11887[[#This Row],[Opp]],Table46[DEF],Table46[REC])</f>
        <v>#N/A</v>
      </c>
      <c r="N74" s="95" t="e">
        <f>_xlfn.XLOOKUP(Table11887[[#This Row],[Opp]],Table46[DEF],Table46[Y])</f>
        <v>#N/A</v>
      </c>
      <c r="O74" s="95" t="e">
        <f>_xlfn.XLOOKUP(Table11887[[#This Row],[Opp]],Table46[DEF],Table46[R+R])</f>
        <v>#N/A</v>
      </c>
      <c r="P74" s="96" t="e">
        <f>_xlfn.XLOOKUP(Table11887[[#This Row],[Opp]],Table46[DEF],Table46[TD])</f>
        <v>#N/A</v>
      </c>
      <c r="Q74" s="94" t="e">
        <f>AVERAGE(Table11887[[#This Row],[*R*]:[*R+Y*]])</f>
        <v>#N/A</v>
      </c>
    </row>
    <row r="75" spans="2:17" x14ac:dyDescent="0.35">
      <c r="B75" s="6" t="s">
        <v>286</v>
      </c>
      <c r="C75" s="97" t="s">
        <v>44</v>
      </c>
      <c r="D75" s="97" t="s">
        <v>395</v>
      </c>
      <c r="E75" s="6">
        <v>0</v>
      </c>
      <c r="F75" s="97" t="str">
        <f>'2025'!$E$22</f>
        <v>n/a</v>
      </c>
      <c r="G75" s="94" t="e" cm="1">
        <f t="array" ref="G75">_xlfn.XLOOKUP(Table11887[[#This Row],[Opp]],Table46[DEF],'2024 fSZN'!$V$3:$V$34)</f>
        <v>#N/A</v>
      </c>
      <c r="H75" s="94" t="e" cm="1">
        <f t="array" ref="H75">_xlfn.XLOOKUP(Table11887[[#This Row],[Opp]],Table46[DEF],'2024 fSZN'!$W$3:$W$34)</f>
        <v>#N/A</v>
      </c>
      <c r="I75" s="94" t="e" cm="1">
        <f t="array" ref="I75">_xlfn.XLOOKUP(Table11887[[#This Row],[Opp]],Table46[DEF],'2024 fSZN'!$X$3:$X$34)</f>
        <v>#N/A</v>
      </c>
      <c r="J75" s="94" t="e" cm="1">
        <f t="array" ref="J75">_xlfn.XLOOKUP(Table11887[[#This Row],[Opp]],Table46[DEF],'2024 fSZN'!$Y$3:$Y$34)</f>
        <v>#N/A</v>
      </c>
      <c r="K75" s="94" t="e" cm="1">
        <f t="array" ref="K75">_xlfn.XLOOKUP(Table11887[[#This Row],[Opp]],Table46[DEF],'2024 fSZN'!$Z$3:$Z$34)</f>
        <v>#N/A</v>
      </c>
      <c r="L75" s="95" t="e">
        <f>_xlfn.XLOOKUP(Table11887[[#This Row],[Opp]],Table46[DEF],Table46[R])</f>
        <v>#N/A</v>
      </c>
      <c r="M75" s="95" t="e">
        <f>_xlfn.XLOOKUP(Table11887[[#This Row],[Opp]],Table46[DEF],Table46[REC])</f>
        <v>#N/A</v>
      </c>
      <c r="N75" s="95" t="e">
        <f>_xlfn.XLOOKUP(Table11887[[#This Row],[Opp]],Table46[DEF],Table46[Y])</f>
        <v>#N/A</v>
      </c>
      <c r="O75" s="95" t="e">
        <f>_xlfn.XLOOKUP(Table11887[[#This Row],[Opp]],Table46[DEF],Table46[R+R])</f>
        <v>#N/A</v>
      </c>
      <c r="P75" s="96" t="e">
        <f>_xlfn.XLOOKUP(Table11887[[#This Row],[Opp]],Table46[DEF],Table46[TD])</f>
        <v>#N/A</v>
      </c>
      <c r="Q75" s="94" t="e">
        <f>AVERAGE(Table11887[[#This Row],[*R*]:[*R+Y*]])</f>
        <v>#N/A</v>
      </c>
    </row>
    <row r="76" spans="2:17" x14ac:dyDescent="0.35">
      <c r="B76" s="6" t="s">
        <v>288</v>
      </c>
      <c r="C76" s="97" t="s">
        <v>44</v>
      </c>
      <c r="D76" s="97" t="s">
        <v>394</v>
      </c>
      <c r="E76" s="6">
        <v>0</v>
      </c>
      <c r="F76" s="97" t="str">
        <f>'2025'!$E$22</f>
        <v>n/a</v>
      </c>
      <c r="G76" s="94" t="e" cm="1">
        <f t="array" ref="G76">_xlfn.XLOOKUP(Table11887[[#This Row],[Opp]],Table46[DEF],'2024 fSZN'!$V$3:$V$34)</f>
        <v>#N/A</v>
      </c>
      <c r="H76" s="94" t="e" cm="1">
        <f t="array" ref="H76">_xlfn.XLOOKUP(Table11887[[#This Row],[Opp]],Table46[DEF],'2024 fSZN'!$W$3:$W$34)</f>
        <v>#N/A</v>
      </c>
      <c r="I76" s="94" t="e" cm="1">
        <f t="array" ref="I76">_xlfn.XLOOKUP(Table11887[[#This Row],[Opp]],Table46[DEF],'2024 fSZN'!$X$3:$X$34)</f>
        <v>#N/A</v>
      </c>
      <c r="J76" s="94" t="e" cm="1">
        <f t="array" ref="J76">_xlfn.XLOOKUP(Table11887[[#This Row],[Opp]],Table46[DEF],'2024 fSZN'!$Y$3:$Y$34)</f>
        <v>#N/A</v>
      </c>
      <c r="K76" s="94" t="e" cm="1">
        <f t="array" ref="K76">_xlfn.XLOOKUP(Table11887[[#This Row],[Opp]],Table46[DEF],'2024 fSZN'!$Z$3:$Z$34)</f>
        <v>#N/A</v>
      </c>
      <c r="L76" s="95" t="e">
        <f>_xlfn.XLOOKUP(Table11887[[#This Row],[Opp]],Table46[DEF],Table46[R])</f>
        <v>#N/A</v>
      </c>
      <c r="M76" s="95" t="e">
        <f>_xlfn.XLOOKUP(Table11887[[#This Row],[Opp]],Table46[DEF],Table46[REC])</f>
        <v>#N/A</v>
      </c>
      <c r="N76" s="95" t="e">
        <f>_xlfn.XLOOKUP(Table11887[[#This Row],[Opp]],Table46[DEF],Table46[Y])</f>
        <v>#N/A</v>
      </c>
      <c r="O76" s="95" t="e">
        <f>_xlfn.XLOOKUP(Table11887[[#This Row],[Opp]],Table46[DEF],Table46[R+R])</f>
        <v>#N/A</v>
      </c>
      <c r="P76" s="96" t="e">
        <f>_xlfn.XLOOKUP(Table11887[[#This Row],[Opp]],Table46[DEF],Table46[TD])</f>
        <v>#N/A</v>
      </c>
      <c r="Q76" s="94" t="e">
        <f>AVERAGE(Table11887[[#This Row],[*R*]:[*R+Y*]])</f>
        <v>#N/A</v>
      </c>
    </row>
    <row r="77" spans="2:17" x14ac:dyDescent="0.35">
      <c r="B77" s="6" t="s">
        <v>285</v>
      </c>
      <c r="C77" s="97" t="s">
        <v>44</v>
      </c>
      <c r="D77" s="97" t="s">
        <v>396</v>
      </c>
      <c r="E77" s="6">
        <v>1</v>
      </c>
      <c r="F77" s="97" t="str">
        <f>'2025'!$E$22</f>
        <v>n/a</v>
      </c>
      <c r="G77" s="94" t="e" cm="1">
        <f t="array" ref="G77">_xlfn.XLOOKUP(Table11887[[#This Row],[Opp]],Table46[DEF],'2024 fSZN'!$V$3:$V$34)</f>
        <v>#N/A</v>
      </c>
      <c r="H77" s="94" t="e" cm="1">
        <f t="array" ref="H77">_xlfn.XLOOKUP(Table11887[[#This Row],[Opp]],Table46[DEF],'2024 fSZN'!$W$3:$W$34)</f>
        <v>#N/A</v>
      </c>
      <c r="I77" s="94" t="e" cm="1">
        <f t="array" ref="I77">_xlfn.XLOOKUP(Table11887[[#This Row],[Opp]],Table46[DEF],'2024 fSZN'!$X$3:$X$34)</f>
        <v>#N/A</v>
      </c>
      <c r="J77" s="94" t="e" cm="1">
        <f t="array" ref="J77">_xlfn.XLOOKUP(Table11887[[#This Row],[Opp]],Table46[DEF],'2024 fSZN'!$Y$3:$Y$34)</f>
        <v>#N/A</v>
      </c>
      <c r="K77" s="94" t="e" cm="1">
        <f t="array" ref="K77">_xlfn.XLOOKUP(Table11887[[#This Row],[Opp]],Table46[DEF],'2024 fSZN'!$Z$3:$Z$34)</f>
        <v>#N/A</v>
      </c>
      <c r="L77" s="95" t="e">
        <f>_xlfn.XLOOKUP(Table11887[[#This Row],[Opp]],Table46[DEF],Table46[R])</f>
        <v>#N/A</v>
      </c>
      <c r="M77" s="95" t="e">
        <f>_xlfn.XLOOKUP(Table11887[[#This Row],[Opp]],Table46[DEF],Table46[REC])</f>
        <v>#N/A</v>
      </c>
      <c r="N77" s="95" t="e">
        <f>_xlfn.XLOOKUP(Table11887[[#This Row],[Opp]],Table46[DEF],Table46[Y])</f>
        <v>#N/A</v>
      </c>
      <c r="O77" s="95" t="e">
        <f>_xlfn.XLOOKUP(Table11887[[#This Row],[Opp]],Table46[DEF],Table46[R+R])</f>
        <v>#N/A</v>
      </c>
      <c r="P77" s="96" t="e">
        <f>_xlfn.XLOOKUP(Table11887[[#This Row],[Opp]],Table46[DEF],Table46[TD])</f>
        <v>#N/A</v>
      </c>
      <c r="Q77" s="94" t="e">
        <f>AVERAGE(Table11887[[#This Row],[*R*]:[*R+Y*]])</f>
        <v>#N/A</v>
      </c>
    </row>
    <row r="78" spans="2:17" x14ac:dyDescent="0.35">
      <c r="B78" s="6" t="s">
        <v>287</v>
      </c>
      <c r="C78" s="97" t="s">
        <v>44</v>
      </c>
      <c r="D78" s="97" t="s">
        <v>407</v>
      </c>
      <c r="E78" s="6">
        <v>-1</v>
      </c>
      <c r="F78" s="97" t="str">
        <f>'2025'!$E$22</f>
        <v>n/a</v>
      </c>
      <c r="G78" s="94" t="e" cm="1">
        <f t="array" ref="G78">_xlfn.XLOOKUP(Table11887[[#This Row],[Opp]],Table46[DEF],'2024 fSZN'!$V$3:$V$34)</f>
        <v>#N/A</v>
      </c>
      <c r="H78" s="94" t="e" cm="1">
        <f t="array" ref="H78">_xlfn.XLOOKUP(Table11887[[#This Row],[Opp]],Table46[DEF],'2024 fSZN'!$W$3:$W$34)</f>
        <v>#N/A</v>
      </c>
      <c r="I78" s="94" t="e" cm="1">
        <f t="array" ref="I78">_xlfn.XLOOKUP(Table11887[[#This Row],[Opp]],Table46[DEF],'2024 fSZN'!$X$3:$X$34)</f>
        <v>#N/A</v>
      </c>
      <c r="J78" s="94" t="e" cm="1">
        <f t="array" ref="J78">_xlfn.XLOOKUP(Table11887[[#This Row],[Opp]],Table46[DEF],'2024 fSZN'!$Y$3:$Y$34)</f>
        <v>#N/A</v>
      </c>
      <c r="K78" s="94" t="e" cm="1">
        <f t="array" ref="K78">_xlfn.XLOOKUP(Table11887[[#This Row],[Opp]],Table46[DEF],'2024 fSZN'!$Z$3:$Z$34)</f>
        <v>#N/A</v>
      </c>
      <c r="L78" s="95" t="e">
        <f>_xlfn.XLOOKUP(Table11887[[#This Row],[Opp]],Table46[DEF],Table46[R])</f>
        <v>#N/A</v>
      </c>
      <c r="M78" s="95" t="e">
        <f>_xlfn.XLOOKUP(Table11887[[#This Row],[Opp]],Table46[DEF],Table46[REC])</f>
        <v>#N/A</v>
      </c>
      <c r="N78" s="95" t="e">
        <f>_xlfn.XLOOKUP(Table11887[[#This Row],[Opp]],Table46[DEF],Table46[Y])</f>
        <v>#N/A</v>
      </c>
      <c r="O78" s="95" t="e">
        <f>_xlfn.XLOOKUP(Table11887[[#This Row],[Opp]],Table46[DEF],Table46[R+R])</f>
        <v>#N/A</v>
      </c>
      <c r="P78" s="96" t="e">
        <f>_xlfn.XLOOKUP(Table11887[[#This Row],[Opp]],Table46[DEF],Table46[TD])</f>
        <v>#N/A</v>
      </c>
      <c r="Q78" s="94" t="e">
        <f>AVERAGE(Table11887[[#This Row],[*R*]:[*R+Y*]])</f>
        <v>#N/A</v>
      </c>
    </row>
    <row r="79" spans="2:17" x14ac:dyDescent="0.35">
      <c r="B79" s="6" t="s">
        <v>294</v>
      </c>
      <c r="C79" s="97" t="s">
        <v>45</v>
      </c>
      <c r="D79" s="97" t="s">
        <v>395</v>
      </c>
      <c r="E79" s="6">
        <v>1</v>
      </c>
      <c r="F79" s="97" t="str">
        <f>'2025'!$E$23</f>
        <v>n/a</v>
      </c>
      <c r="G79" s="94" t="e" cm="1">
        <f t="array" ref="G79">_xlfn.XLOOKUP(Table11887[[#This Row],[Opp]],Table46[DEF],'2024 fSZN'!$V$3:$V$34)</f>
        <v>#N/A</v>
      </c>
      <c r="H79" s="94" t="e" cm="1">
        <f t="array" ref="H79">_xlfn.XLOOKUP(Table11887[[#This Row],[Opp]],Table46[DEF],'2024 fSZN'!$W$3:$W$34)</f>
        <v>#N/A</v>
      </c>
      <c r="I79" s="94" t="e" cm="1">
        <f t="array" ref="I79">_xlfn.XLOOKUP(Table11887[[#This Row],[Opp]],Table46[DEF],'2024 fSZN'!$X$3:$X$34)</f>
        <v>#N/A</v>
      </c>
      <c r="J79" s="94" t="e" cm="1">
        <f t="array" ref="J79">_xlfn.XLOOKUP(Table11887[[#This Row],[Opp]],Table46[DEF],'2024 fSZN'!$Y$3:$Y$34)</f>
        <v>#N/A</v>
      </c>
      <c r="K79" s="94" t="e" cm="1">
        <f t="array" ref="K79">_xlfn.XLOOKUP(Table11887[[#This Row],[Opp]],Table46[DEF],'2024 fSZN'!$Z$3:$Z$34)</f>
        <v>#N/A</v>
      </c>
      <c r="L79" s="95" t="e">
        <f>_xlfn.XLOOKUP(Table11887[[#This Row],[Opp]],Table46[DEF],Table46[R])</f>
        <v>#N/A</v>
      </c>
      <c r="M79" s="95" t="e">
        <f>_xlfn.XLOOKUP(Table11887[[#This Row],[Opp]],Table46[DEF],Table46[REC])</f>
        <v>#N/A</v>
      </c>
      <c r="N79" s="95" t="e">
        <f>_xlfn.XLOOKUP(Table11887[[#This Row],[Opp]],Table46[DEF],Table46[Y])</f>
        <v>#N/A</v>
      </c>
      <c r="O79" s="95" t="e">
        <f>_xlfn.XLOOKUP(Table11887[[#This Row],[Opp]],Table46[DEF],Table46[R+R])</f>
        <v>#N/A</v>
      </c>
      <c r="P79" s="96" t="e">
        <f>_xlfn.XLOOKUP(Table11887[[#This Row],[Opp]],Table46[DEF],Table46[TD])</f>
        <v>#N/A</v>
      </c>
      <c r="Q79" s="94" t="e">
        <f>AVERAGE(Table11887[[#This Row],[*R*]:[*R+Y*]])</f>
        <v>#N/A</v>
      </c>
    </row>
    <row r="80" spans="2:17" x14ac:dyDescent="0.35">
      <c r="B80" s="6" t="s">
        <v>295</v>
      </c>
      <c r="C80" s="97" t="s">
        <v>45</v>
      </c>
      <c r="D80" s="97" t="s">
        <v>394</v>
      </c>
      <c r="E80" s="6">
        <v>1</v>
      </c>
      <c r="F80" s="97" t="str">
        <f>'2025'!$E$23</f>
        <v>n/a</v>
      </c>
      <c r="G80" s="94" t="e" cm="1">
        <f t="array" ref="G80">_xlfn.XLOOKUP(Table11887[[#This Row],[Opp]],Table46[DEF],'2024 fSZN'!$V$3:$V$34)</f>
        <v>#N/A</v>
      </c>
      <c r="H80" s="94" t="e" cm="1">
        <f t="array" ref="H80">_xlfn.XLOOKUP(Table11887[[#This Row],[Opp]],Table46[DEF],'2024 fSZN'!$W$3:$W$34)</f>
        <v>#N/A</v>
      </c>
      <c r="I80" s="94" t="e" cm="1">
        <f t="array" ref="I80">_xlfn.XLOOKUP(Table11887[[#This Row],[Opp]],Table46[DEF],'2024 fSZN'!$X$3:$X$34)</f>
        <v>#N/A</v>
      </c>
      <c r="J80" s="94" t="e" cm="1">
        <f t="array" ref="J80">_xlfn.XLOOKUP(Table11887[[#This Row],[Opp]],Table46[DEF],'2024 fSZN'!$Y$3:$Y$34)</f>
        <v>#N/A</v>
      </c>
      <c r="K80" s="94" t="e" cm="1">
        <f t="array" ref="K80">_xlfn.XLOOKUP(Table11887[[#This Row],[Opp]],Table46[DEF],'2024 fSZN'!$Z$3:$Z$34)</f>
        <v>#N/A</v>
      </c>
      <c r="L80" s="95" t="e">
        <f>_xlfn.XLOOKUP(Table11887[[#This Row],[Opp]],Table46[DEF],Table46[R])</f>
        <v>#N/A</v>
      </c>
      <c r="M80" s="95" t="e">
        <f>_xlfn.XLOOKUP(Table11887[[#This Row],[Opp]],Table46[DEF],Table46[REC])</f>
        <v>#N/A</v>
      </c>
      <c r="N80" s="95" t="e">
        <f>_xlfn.XLOOKUP(Table11887[[#This Row],[Opp]],Table46[DEF],Table46[Y])</f>
        <v>#N/A</v>
      </c>
      <c r="O80" s="95" t="e">
        <f>_xlfn.XLOOKUP(Table11887[[#This Row],[Opp]],Table46[DEF],Table46[R+R])</f>
        <v>#N/A</v>
      </c>
      <c r="P80" s="96" t="e">
        <f>_xlfn.XLOOKUP(Table11887[[#This Row],[Opp]],Table46[DEF],Table46[TD])</f>
        <v>#N/A</v>
      </c>
      <c r="Q80" s="94" t="e">
        <f>AVERAGE(Table11887[[#This Row],[*R*]:[*R+Y*]])</f>
        <v>#N/A</v>
      </c>
    </row>
    <row r="81" spans="2:17" x14ac:dyDescent="0.35">
      <c r="B81" s="6" t="s">
        <v>296</v>
      </c>
      <c r="C81" s="97" t="s">
        <v>45</v>
      </c>
      <c r="D81" s="97" t="s">
        <v>396</v>
      </c>
      <c r="E81" s="6">
        <v>1</v>
      </c>
      <c r="F81" s="97" t="str">
        <f>'2025'!$E$23</f>
        <v>n/a</v>
      </c>
      <c r="G81" s="94" t="e" cm="1">
        <f t="array" ref="G81">_xlfn.XLOOKUP(Table11887[[#This Row],[Opp]],Table46[DEF],'2024 fSZN'!$V$3:$V$34)</f>
        <v>#N/A</v>
      </c>
      <c r="H81" s="94" t="e" cm="1">
        <f t="array" ref="H81">_xlfn.XLOOKUP(Table11887[[#This Row],[Opp]],Table46[DEF],'2024 fSZN'!$W$3:$W$34)</f>
        <v>#N/A</v>
      </c>
      <c r="I81" s="94" t="e" cm="1">
        <f t="array" ref="I81">_xlfn.XLOOKUP(Table11887[[#This Row],[Opp]],Table46[DEF],'2024 fSZN'!$X$3:$X$34)</f>
        <v>#N/A</v>
      </c>
      <c r="J81" s="94" t="e" cm="1">
        <f t="array" ref="J81">_xlfn.XLOOKUP(Table11887[[#This Row],[Opp]],Table46[DEF],'2024 fSZN'!$Y$3:$Y$34)</f>
        <v>#N/A</v>
      </c>
      <c r="K81" s="94" t="e" cm="1">
        <f t="array" ref="K81">_xlfn.XLOOKUP(Table11887[[#This Row],[Opp]],Table46[DEF],'2024 fSZN'!$Z$3:$Z$34)</f>
        <v>#N/A</v>
      </c>
      <c r="L81" s="95" t="e">
        <f>_xlfn.XLOOKUP(Table11887[[#This Row],[Opp]],Table46[DEF],Table46[R])</f>
        <v>#N/A</v>
      </c>
      <c r="M81" s="95" t="e">
        <f>_xlfn.XLOOKUP(Table11887[[#This Row],[Opp]],Table46[DEF],Table46[REC])</f>
        <v>#N/A</v>
      </c>
      <c r="N81" s="95" t="e">
        <f>_xlfn.XLOOKUP(Table11887[[#This Row],[Opp]],Table46[DEF],Table46[Y])</f>
        <v>#N/A</v>
      </c>
      <c r="O81" s="95" t="e">
        <f>_xlfn.XLOOKUP(Table11887[[#This Row],[Opp]],Table46[DEF],Table46[R+R])</f>
        <v>#N/A</v>
      </c>
      <c r="P81" s="96" t="e">
        <f>_xlfn.XLOOKUP(Table11887[[#This Row],[Opp]],Table46[DEF],Table46[TD])</f>
        <v>#N/A</v>
      </c>
      <c r="Q81" s="94" t="e">
        <f>AVERAGE(Table11887[[#This Row],[*R*]:[*R+Y*]])</f>
        <v>#N/A</v>
      </c>
    </row>
    <row r="82" spans="2:17" x14ac:dyDescent="0.35">
      <c r="B82" s="6" t="s">
        <v>519</v>
      </c>
      <c r="C82" s="97" t="s">
        <v>45</v>
      </c>
      <c r="D82" s="97" t="s">
        <v>407</v>
      </c>
      <c r="E82" s="6">
        <v>0</v>
      </c>
      <c r="F82" s="97" t="str">
        <f>'2025'!$E$23</f>
        <v>n/a</v>
      </c>
      <c r="G82" s="94" t="e" cm="1">
        <f t="array" ref="G82">_xlfn.XLOOKUP(Table11887[[#This Row],[Opp]],Table46[DEF],'2024 fSZN'!$V$3:$V$34)</f>
        <v>#N/A</v>
      </c>
      <c r="H82" s="94" t="e" cm="1">
        <f t="array" ref="H82">_xlfn.XLOOKUP(Table11887[[#This Row],[Opp]],Table46[DEF],'2024 fSZN'!$W$3:$W$34)</f>
        <v>#N/A</v>
      </c>
      <c r="I82" s="94" t="e" cm="1">
        <f t="array" ref="I82">_xlfn.XLOOKUP(Table11887[[#This Row],[Opp]],Table46[DEF],'2024 fSZN'!$X$3:$X$34)</f>
        <v>#N/A</v>
      </c>
      <c r="J82" s="94" t="e" cm="1">
        <f t="array" ref="J82">_xlfn.XLOOKUP(Table11887[[#This Row],[Opp]],Table46[DEF],'2024 fSZN'!$Y$3:$Y$34)</f>
        <v>#N/A</v>
      </c>
      <c r="K82" s="94" t="e" cm="1">
        <f t="array" ref="K82">_xlfn.XLOOKUP(Table11887[[#This Row],[Opp]],Table46[DEF],'2024 fSZN'!$Z$3:$Z$34)</f>
        <v>#N/A</v>
      </c>
      <c r="L82" s="95" t="e">
        <f>_xlfn.XLOOKUP(Table11887[[#This Row],[Opp]],Table46[DEF],Table46[R])</f>
        <v>#N/A</v>
      </c>
      <c r="M82" s="95" t="e">
        <f>_xlfn.XLOOKUP(Table11887[[#This Row],[Opp]],Table46[DEF],Table46[REC])</f>
        <v>#N/A</v>
      </c>
      <c r="N82" s="95" t="e">
        <f>_xlfn.XLOOKUP(Table11887[[#This Row],[Opp]],Table46[DEF],Table46[Y])</f>
        <v>#N/A</v>
      </c>
      <c r="O82" s="95" t="e">
        <f>_xlfn.XLOOKUP(Table11887[[#This Row],[Opp]],Table46[DEF],Table46[R+R])</f>
        <v>#N/A</v>
      </c>
      <c r="P82" s="96" t="e">
        <f>_xlfn.XLOOKUP(Table11887[[#This Row],[Opp]],Table46[DEF],Table46[TD])</f>
        <v>#N/A</v>
      </c>
      <c r="Q82" s="94" t="e">
        <f>AVERAGE(Table11887[[#This Row],[*R*]:[*R+Y*]])</f>
        <v>#N/A</v>
      </c>
    </row>
    <row r="83" spans="2:17" x14ac:dyDescent="0.35">
      <c r="B83" s="6" t="s">
        <v>305</v>
      </c>
      <c r="C83" s="97" t="s">
        <v>46</v>
      </c>
      <c r="D83" s="97" t="s">
        <v>395</v>
      </c>
      <c r="E83" s="6">
        <v>1</v>
      </c>
      <c r="F83" s="97" t="str">
        <f>'2025'!$E$24</f>
        <v>SEA</v>
      </c>
      <c r="G83" s="94" cm="1">
        <f t="array" ref="G83">_xlfn.XLOOKUP(Table11887[[#This Row],[Opp]],Table46[DEF],'2024 fSZN'!$V$3:$V$34)</f>
        <v>13</v>
      </c>
      <c r="H83" s="94" cm="1">
        <f t="array" ref="H83">_xlfn.XLOOKUP(Table11887[[#This Row],[Opp]],Table46[DEF],'2024 fSZN'!$W$3:$W$34)</f>
        <v>12</v>
      </c>
      <c r="I83" s="94" cm="1">
        <f t="array" ref="I83">_xlfn.XLOOKUP(Table11887[[#This Row],[Opp]],Table46[DEF],'2024 fSZN'!$X$3:$X$34)</f>
        <v>9.5</v>
      </c>
      <c r="J83" s="94" cm="1">
        <f t="array" ref="J83">_xlfn.XLOOKUP(Table11887[[#This Row],[Opp]],Table46[DEF],'2024 fSZN'!$Y$3:$Y$34)</f>
        <v>11</v>
      </c>
      <c r="K83" s="94" cm="1">
        <f t="array" ref="K83">_xlfn.XLOOKUP(Table11887[[#This Row],[Opp]],Table46[DEF],'2024 fSZN'!$Z$3:$Z$34)</f>
        <v>25.5</v>
      </c>
      <c r="L83" s="95">
        <f>_xlfn.XLOOKUP(Table11887[[#This Row],[Opp]],Table46[DEF],Table46[R])</f>
        <v>101.23529411764706</v>
      </c>
      <c r="M83" s="95">
        <f>_xlfn.XLOOKUP(Table11887[[#This Row],[Opp]],Table46[DEF],Table46[REC])</f>
        <v>4.5882352941176467</v>
      </c>
      <c r="N83" s="95">
        <f>_xlfn.XLOOKUP(Table11887[[#This Row],[Opp]],Table46[DEF],Table46[Y])</f>
        <v>36.705882352941174</v>
      </c>
      <c r="O83" s="95">
        <f>_xlfn.XLOOKUP(Table11887[[#This Row],[Opp]],Table46[DEF],Table46[R+R])</f>
        <v>137.94117647058823</v>
      </c>
      <c r="P83" s="96">
        <f>_xlfn.XLOOKUP(Table11887[[#This Row],[Opp]],Table46[DEF],Table46[TD])</f>
        <v>0.6470588235294118</v>
      </c>
      <c r="Q83" s="94">
        <f>AVERAGE(Table11887[[#This Row],[*R*]:[*R+Y*]])</f>
        <v>11.375</v>
      </c>
    </row>
    <row r="84" spans="2:17" x14ac:dyDescent="0.35">
      <c r="B84" s="6" t="s">
        <v>304</v>
      </c>
      <c r="C84" s="97" t="s">
        <v>46</v>
      </c>
      <c r="D84" s="97" t="s">
        <v>394</v>
      </c>
      <c r="E84" s="6">
        <v>0</v>
      </c>
      <c r="F84" s="97" t="str">
        <f>'2025'!$E$24</f>
        <v>SEA</v>
      </c>
      <c r="G84" s="94" cm="1">
        <f t="array" ref="G84">_xlfn.XLOOKUP(Table11887[[#This Row],[Opp]],Table46[DEF],'2024 fSZN'!$V$3:$V$34)</f>
        <v>13</v>
      </c>
      <c r="H84" s="94" cm="1">
        <f t="array" ref="H84">_xlfn.XLOOKUP(Table11887[[#This Row],[Opp]],Table46[DEF],'2024 fSZN'!$W$3:$W$34)</f>
        <v>12</v>
      </c>
      <c r="I84" s="94" cm="1">
        <f t="array" ref="I84">_xlfn.XLOOKUP(Table11887[[#This Row],[Opp]],Table46[DEF],'2024 fSZN'!$X$3:$X$34)</f>
        <v>9.5</v>
      </c>
      <c r="J84" s="94" cm="1">
        <f t="array" ref="J84">_xlfn.XLOOKUP(Table11887[[#This Row],[Opp]],Table46[DEF],'2024 fSZN'!$Y$3:$Y$34)</f>
        <v>11</v>
      </c>
      <c r="K84" s="94" cm="1">
        <f t="array" ref="K84">_xlfn.XLOOKUP(Table11887[[#This Row],[Opp]],Table46[DEF],'2024 fSZN'!$Z$3:$Z$34)</f>
        <v>25.5</v>
      </c>
      <c r="L84" s="95">
        <f>_xlfn.XLOOKUP(Table11887[[#This Row],[Opp]],Table46[DEF],Table46[R])</f>
        <v>101.23529411764706</v>
      </c>
      <c r="M84" s="95">
        <f>_xlfn.XLOOKUP(Table11887[[#This Row],[Opp]],Table46[DEF],Table46[REC])</f>
        <v>4.5882352941176467</v>
      </c>
      <c r="N84" s="95">
        <f>_xlfn.XLOOKUP(Table11887[[#This Row],[Opp]],Table46[DEF],Table46[Y])</f>
        <v>36.705882352941174</v>
      </c>
      <c r="O84" s="95">
        <f>_xlfn.XLOOKUP(Table11887[[#This Row],[Opp]],Table46[DEF],Table46[R+R])</f>
        <v>137.94117647058823</v>
      </c>
      <c r="P84" s="96">
        <f>_xlfn.XLOOKUP(Table11887[[#This Row],[Opp]],Table46[DEF],Table46[TD])</f>
        <v>0.6470588235294118</v>
      </c>
      <c r="Q84" s="94">
        <f>AVERAGE(Table11887[[#This Row],[*R*]:[*R+Y*]])</f>
        <v>11.375</v>
      </c>
    </row>
    <row r="85" spans="2:17" x14ac:dyDescent="0.35">
      <c r="B85" s="6" t="s">
        <v>306</v>
      </c>
      <c r="C85" s="97" t="s">
        <v>46</v>
      </c>
      <c r="D85" s="97" t="s">
        <v>396</v>
      </c>
      <c r="E85" s="6">
        <v>1</v>
      </c>
      <c r="F85" s="97" t="str">
        <f>'2025'!$E$24</f>
        <v>SEA</v>
      </c>
      <c r="G85" s="94" cm="1">
        <f t="array" ref="G85">_xlfn.XLOOKUP(Table11887[[#This Row],[Opp]],Table46[DEF],'2024 fSZN'!$V$3:$V$34)</f>
        <v>13</v>
      </c>
      <c r="H85" s="94" cm="1">
        <f t="array" ref="H85">_xlfn.XLOOKUP(Table11887[[#This Row],[Opp]],Table46[DEF],'2024 fSZN'!$W$3:$W$34)</f>
        <v>12</v>
      </c>
      <c r="I85" s="94" cm="1">
        <f t="array" ref="I85">_xlfn.XLOOKUP(Table11887[[#This Row],[Opp]],Table46[DEF],'2024 fSZN'!$X$3:$X$34)</f>
        <v>9.5</v>
      </c>
      <c r="J85" s="94" cm="1">
        <f t="array" ref="J85">_xlfn.XLOOKUP(Table11887[[#This Row],[Opp]],Table46[DEF],'2024 fSZN'!$Y$3:$Y$34)</f>
        <v>11</v>
      </c>
      <c r="K85" s="94" cm="1">
        <f t="array" ref="K85">_xlfn.XLOOKUP(Table11887[[#This Row],[Opp]],Table46[DEF],'2024 fSZN'!$Z$3:$Z$34)</f>
        <v>25.5</v>
      </c>
      <c r="L85" s="95">
        <f>_xlfn.XLOOKUP(Table11887[[#This Row],[Opp]],Table46[DEF],Table46[R])</f>
        <v>101.23529411764706</v>
      </c>
      <c r="M85" s="95">
        <f>_xlfn.XLOOKUP(Table11887[[#This Row],[Opp]],Table46[DEF],Table46[REC])</f>
        <v>4.5882352941176467</v>
      </c>
      <c r="N85" s="95">
        <f>_xlfn.XLOOKUP(Table11887[[#This Row],[Opp]],Table46[DEF],Table46[Y])</f>
        <v>36.705882352941174</v>
      </c>
      <c r="O85" s="95">
        <f>_xlfn.XLOOKUP(Table11887[[#This Row],[Opp]],Table46[DEF],Table46[R+R])</f>
        <v>137.94117647058823</v>
      </c>
      <c r="P85" s="96">
        <f>_xlfn.XLOOKUP(Table11887[[#This Row],[Opp]],Table46[DEF],Table46[TD])</f>
        <v>0.6470588235294118</v>
      </c>
      <c r="Q85" s="94">
        <f>AVERAGE(Table11887[[#This Row],[*R*]:[*R+Y*]])</f>
        <v>11.375</v>
      </c>
    </row>
    <row r="86" spans="2:17" x14ac:dyDescent="0.35">
      <c r="B86" s="6" t="s">
        <v>449</v>
      </c>
      <c r="C86" s="97" t="s">
        <v>46</v>
      </c>
      <c r="D86" s="97" t="s">
        <v>407</v>
      </c>
      <c r="E86" s="6">
        <v>-1</v>
      </c>
      <c r="F86" s="97" t="str">
        <f>'2025'!$E$24</f>
        <v>SEA</v>
      </c>
      <c r="G86" s="94" cm="1">
        <f t="array" ref="G86">_xlfn.XLOOKUP(Table11887[[#This Row],[Opp]],Table46[DEF],'2024 fSZN'!$V$3:$V$34)</f>
        <v>13</v>
      </c>
      <c r="H86" s="94" cm="1">
        <f t="array" ref="H86">_xlfn.XLOOKUP(Table11887[[#This Row],[Opp]],Table46[DEF],'2024 fSZN'!$W$3:$W$34)</f>
        <v>12</v>
      </c>
      <c r="I86" s="94" cm="1">
        <f t="array" ref="I86">_xlfn.XLOOKUP(Table11887[[#This Row],[Opp]],Table46[DEF],'2024 fSZN'!$X$3:$X$34)</f>
        <v>9.5</v>
      </c>
      <c r="J86" s="94" cm="1">
        <f t="array" ref="J86">_xlfn.XLOOKUP(Table11887[[#This Row],[Opp]],Table46[DEF],'2024 fSZN'!$Y$3:$Y$34)</f>
        <v>11</v>
      </c>
      <c r="K86" s="94" cm="1">
        <f t="array" ref="K86">_xlfn.XLOOKUP(Table11887[[#This Row],[Opp]],Table46[DEF],'2024 fSZN'!$Z$3:$Z$34)</f>
        <v>25.5</v>
      </c>
      <c r="L86" s="95">
        <f>_xlfn.XLOOKUP(Table11887[[#This Row],[Opp]],Table46[DEF],Table46[R])</f>
        <v>101.23529411764706</v>
      </c>
      <c r="M86" s="95">
        <f>_xlfn.XLOOKUP(Table11887[[#This Row],[Opp]],Table46[DEF],Table46[REC])</f>
        <v>4.5882352941176467</v>
      </c>
      <c r="N86" s="95">
        <f>_xlfn.XLOOKUP(Table11887[[#This Row],[Opp]],Table46[DEF],Table46[Y])</f>
        <v>36.705882352941174</v>
      </c>
      <c r="O86" s="95">
        <f>_xlfn.XLOOKUP(Table11887[[#This Row],[Opp]],Table46[DEF],Table46[R+R])</f>
        <v>137.94117647058823</v>
      </c>
      <c r="P86" s="96">
        <f>_xlfn.XLOOKUP(Table11887[[#This Row],[Opp]],Table46[DEF],Table46[TD])</f>
        <v>0.6470588235294118</v>
      </c>
      <c r="Q86" s="94">
        <f>AVERAGE(Table11887[[#This Row],[*R*]:[*R+Y*]])</f>
        <v>11.375</v>
      </c>
    </row>
    <row r="87" spans="2:17" x14ac:dyDescent="0.35">
      <c r="B87" s="6" t="s">
        <v>314</v>
      </c>
      <c r="C87" s="97" t="s">
        <v>47</v>
      </c>
      <c r="D87" s="97" t="s">
        <v>395</v>
      </c>
      <c r="E87" s="6">
        <v>1</v>
      </c>
      <c r="F87" s="97" t="str">
        <f>'2025'!$E$25</f>
        <v>n/a</v>
      </c>
      <c r="G87" s="94" t="e" cm="1">
        <f t="array" ref="G87">_xlfn.XLOOKUP(Table11887[[#This Row],[Opp]],Table46[DEF],'2024 fSZN'!$V$3:$V$34)</f>
        <v>#N/A</v>
      </c>
      <c r="H87" s="94" t="e" cm="1">
        <f t="array" ref="H87">_xlfn.XLOOKUP(Table11887[[#This Row],[Opp]],Table46[DEF],'2024 fSZN'!$W$3:$W$34)</f>
        <v>#N/A</v>
      </c>
      <c r="I87" s="94" t="e" cm="1">
        <f t="array" ref="I87">_xlfn.XLOOKUP(Table11887[[#This Row],[Opp]],Table46[DEF],'2024 fSZN'!$X$3:$X$34)</f>
        <v>#N/A</v>
      </c>
      <c r="J87" s="94" t="e" cm="1">
        <f t="array" ref="J87">_xlfn.XLOOKUP(Table11887[[#This Row],[Opp]],Table46[DEF],'2024 fSZN'!$Y$3:$Y$34)</f>
        <v>#N/A</v>
      </c>
      <c r="K87" s="94" t="e" cm="1">
        <f t="array" ref="K87">_xlfn.XLOOKUP(Table11887[[#This Row],[Opp]],Table46[DEF],'2024 fSZN'!$Z$3:$Z$34)</f>
        <v>#N/A</v>
      </c>
      <c r="L87" s="95" t="e">
        <f>_xlfn.XLOOKUP(Table11887[[#This Row],[Opp]],Table46[DEF],Table46[R])</f>
        <v>#N/A</v>
      </c>
      <c r="M87" s="95" t="e">
        <f>_xlfn.XLOOKUP(Table11887[[#This Row],[Opp]],Table46[DEF],Table46[REC])</f>
        <v>#N/A</v>
      </c>
      <c r="N87" s="95" t="e">
        <f>_xlfn.XLOOKUP(Table11887[[#This Row],[Opp]],Table46[DEF],Table46[Y])</f>
        <v>#N/A</v>
      </c>
      <c r="O87" s="95" t="e">
        <f>_xlfn.XLOOKUP(Table11887[[#This Row],[Opp]],Table46[DEF],Table46[R+R])</f>
        <v>#N/A</v>
      </c>
      <c r="P87" s="96" t="e">
        <f>_xlfn.XLOOKUP(Table11887[[#This Row],[Opp]],Table46[DEF],Table46[TD])</f>
        <v>#N/A</v>
      </c>
      <c r="Q87" s="94" t="e">
        <f>AVERAGE(Table11887[[#This Row],[*R*]:[*R+Y*]])</f>
        <v>#N/A</v>
      </c>
    </row>
    <row r="88" spans="2:17" x14ac:dyDescent="0.35">
      <c r="B88" s="6" t="s">
        <v>316</v>
      </c>
      <c r="C88" s="97" t="s">
        <v>47</v>
      </c>
      <c r="D88" s="97" t="s">
        <v>394</v>
      </c>
      <c r="E88" s="6">
        <v>1</v>
      </c>
      <c r="F88" s="97" t="str">
        <f>'2025'!$E$25</f>
        <v>n/a</v>
      </c>
      <c r="G88" s="94" t="e" cm="1">
        <f t="array" ref="G88">_xlfn.XLOOKUP(Table11887[[#This Row],[Opp]],Table46[DEF],'2024 fSZN'!$V$3:$V$34)</f>
        <v>#N/A</v>
      </c>
      <c r="H88" s="94" t="e" cm="1">
        <f t="array" ref="H88">_xlfn.XLOOKUP(Table11887[[#This Row],[Opp]],Table46[DEF],'2024 fSZN'!$W$3:$W$34)</f>
        <v>#N/A</v>
      </c>
      <c r="I88" s="94" t="e" cm="1">
        <f t="array" ref="I88">_xlfn.XLOOKUP(Table11887[[#This Row],[Opp]],Table46[DEF],'2024 fSZN'!$X$3:$X$34)</f>
        <v>#N/A</v>
      </c>
      <c r="J88" s="94" t="e" cm="1">
        <f t="array" ref="J88">_xlfn.XLOOKUP(Table11887[[#This Row],[Opp]],Table46[DEF],'2024 fSZN'!$Y$3:$Y$34)</f>
        <v>#N/A</v>
      </c>
      <c r="K88" s="94" t="e" cm="1">
        <f t="array" ref="K88">_xlfn.XLOOKUP(Table11887[[#This Row],[Opp]],Table46[DEF],'2024 fSZN'!$Z$3:$Z$34)</f>
        <v>#N/A</v>
      </c>
      <c r="L88" s="95" t="e">
        <f>_xlfn.XLOOKUP(Table11887[[#This Row],[Opp]],Table46[DEF],Table46[R])</f>
        <v>#N/A</v>
      </c>
      <c r="M88" s="95" t="e">
        <f>_xlfn.XLOOKUP(Table11887[[#This Row],[Opp]],Table46[DEF],Table46[REC])</f>
        <v>#N/A</v>
      </c>
      <c r="N88" s="95" t="e">
        <f>_xlfn.XLOOKUP(Table11887[[#This Row],[Opp]],Table46[DEF],Table46[Y])</f>
        <v>#N/A</v>
      </c>
      <c r="O88" s="95" t="e">
        <f>_xlfn.XLOOKUP(Table11887[[#This Row],[Opp]],Table46[DEF],Table46[R+R])</f>
        <v>#N/A</v>
      </c>
      <c r="P88" s="96" t="e">
        <f>_xlfn.XLOOKUP(Table11887[[#This Row],[Opp]],Table46[DEF],Table46[TD])</f>
        <v>#N/A</v>
      </c>
      <c r="Q88" s="94" t="e">
        <f>AVERAGE(Table11887[[#This Row],[*R*]:[*R+Y*]])</f>
        <v>#N/A</v>
      </c>
    </row>
    <row r="89" spans="2:17" x14ac:dyDescent="0.35">
      <c r="B89" s="6" t="s">
        <v>315</v>
      </c>
      <c r="C89" s="97" t="s">
        <v>47</v>
      </c>
      <c r="D89" s="97" t="s">
        <v>396</v>
      </c>
      <c r="E89" s="6">
        <v>1</v>
      </c>
      <c r="F89" s="97" t="str">
        <f>'2025'!$E$25</f>
        <v>n/a</v>
      </c>
      <c r="G89" s="94" t="e" cm="1">
        <f t="array" ref="G89">_xlfn.XLOOKUP(Table11887[[#This Row],[Opp]],Table46[DEF],'2024 fSZN'!$V$3:$V$34)</f>
        <v>#N/A</v>
      </c>
      <c r="H89" s="94" t="e" cm="1">
        <f t="array" ref="H89">_xlfn.XLOOKUP(Table11887[[#This Row],[Opp]],Table46[DEF],'2024 fSZN'!$W$3:$W$34)</f>
        <v>#N/A</v>
      </c>
      <c r="I89" s="94" t="e" cm="1">
        <f t="array" ref="I89">_xlfn.XLOOKUP(Table11887[[#This Row],[Opp]],Table46[DEF],'2024 fSZN'!$X$3:$X$34)</f>
        <v>#N/A</v>
      </c>
      <c r="J89" s="94" t="e" cm="1">
        <f t="array" ref="J89">_xlfn.XLOOKUP(Table11887[[#This Row],[Opp]],Table46[DEF],'2024 fSZN'!$Y$3:$Y$34)</f>
        <v>#N/A</v>
      </c>
      <c r="K89" s="94" t="e" cm="1">
        <f t="array" ref="K89">_xlfn.XLOOKUP(Table11887[[#This Row],[Opp]],Table46[DEF],'2024 fSZN'!$Z$3:$Z$34)</f>
        <v>#N/A</v>
      </c>
      <c r="L89" s="95" t="e">
        <f>_xlfn.XLOOKUP(Table11887[[#This Row],[Opp]],Table46[DEF],Table46[R])</f>
        <v>#N/A</v>
      </c>
      <c r="M89" s="95" t="e">
        <f>_xlfn.XLOOKUP(Table11887[[#This Row],[Opp]],Table46[DEF],Table46[REC])</f>
        <v>#N/A</v>
      </c>
      <c r="N89" s="95" t="e">
        <f>_xlfn.XLOOKUP(Table11887[[#This Row],[Opp]],Table46[DEF],Table46[Y])</f>
        <v>#N/A</v>
      </c>
      <c r="O89" s="95" t="e">
        <f>_xlfn.XLOOKUP(Table11887[[#This Row],[Opp]],Table46[DEF],Table46[R+R])</f>
        <v>#N/A</v>
      </c>
      <c r="P89" s="96" t="e">
        <f>_xlfn.XLOOKUP(Table11887[[#This Row],[Opp]],Table46[DEF],Table46[TD])</f>
        <v>#N/A</v>
      </c>
      <c r="Q89" s="94" t="e">
        <f>AVERAGE(Table11887[[#This Row],[*R*]:[*R+Y*]])</f>
        <v>#N/A</v>
      </c>
    </row>
    <row r="90" spans="2:17" x14ac:dyDescent="0.35">
      <c r="B90" s="6" t="s">
        <v>616</v>
      </c>
      <c r="C90" s="97" t="s">
        <v>47</v>
      </c>
      <c r="D90" s="97" t="s">
        <v>407</v>
      </c>
      <c r="E90" s="6">
        <v>1</v>
      </c>
      <c r="F90" s="97" t="str">
        <f>'2025'!$E$25</f>
        <v>n/a</v>
      </c>
      <c r="G90" s="94" t="e" cm="1">
        <f t="array" ref="G90">_xlfn.XLOOKUP(Table11887[[#This Row],[Opp]],Table46[DEF],'2024 fSZN'!$V$3:$V$34)</f>
        <v>#N/A</v>
      </c>
      <c r="H90" s="94" t="e" cm="1">
        <f t="array" ref="H90">_xlfn.XLOOKUP(Table11887[[#This Row],[Opp]],Table46[DEF],'2024 fSZN'!$W$3:$W$34)</f>
        <v>#N/A</v>
      </c>
      <c r="I90" s="94" t="e" cm="1">
        <f t="array" ref="I90">_xlfn.XLOOKUP(Table11887[[#This Row],[Opp]],Table46[DEF],'2024 fSZN'!$X$3:$X$34)</f>
        <v>#N/A</v>
      </c>
      <c r="J90" s="94" t="e" cm="1">
        <f t="array" ref="J90">_xlfn.XLOOKUP(Table11887[[#This Row],[Opp]],Table46[DEF],'2024 fSZN'!$Y$3:$Y$34)</f>
        <v>#N/A</v>
      </c>
      <c r="K90" s="94" t="e" cm="1">
        <f t="array" ref="K90">_xlfn.XLOOKUP(Table11887[[#This Row],[Opp]],Table46[DEF],'2024 fSZN'!$Z$3:$Z$34)</f>
        <v>#N/A</v>
      </c>
      <c r="L90" s="95" t="e">
        <f>_xlfn.XLOOKUP(Table11887[[#This Row],[Opp]],Table46[DEF],Table46[R])</f>
        <v>#N/A</v>
      </c>
      <c r="M90" s="95" t="e">
        <f>_xlfn.XLOOKUP(Table11887[[#This Row],[Opp]],Table46[DEF],Table46[REC])</f>
        <v>#N/A</v>
      </c>
      <c r="N90" s="95" t="e">
        <f>_xlfn.XLOOKUP(Table11887[[#This Row],[Opp]],Table46[DEF],Table46[Y])</f>
        <v>#N/A</v>
      </c>
      <c r="O90" s="95" t="e">
        <f>_xlfn.XLOOKUP(Table11887[[#This Row],[Opp]],Table46[DEF],Table46[R+R])</f>
        <v>#N/A</v>
      </c>
      <c r="P90" s="96" t="e">
        <f>_xlfn.XLOOKUP(Table11887[[#This Row],[Opp]],Table46[DEF],Table46[TD])</f>
        <v>#N/A</v>
      </c>
      <c r="Q90" s="94" t="e">
        <f>AVERAGE(Table11887[[#This Row],[*R*]:[*R+Y*]])</f>
        <v>#N/A</v>
      </c>
    </row>
    <row r="91" spans="2:17" x14ac:dyDescent="0.35">
      <c r="B91" s="6" t="s">
        <v>324</v>
      </c>
      <c r="C91" s="97" t="s">
        <v>48</v>
      </c>
      <c r="D91" s="97" t="s">
        <v>395</v>
      </c>
      <c r="E91" s="6">
        <v>1</v>
      </c>
      <c r="F91" s="97" t="str">
        <f>'2025'!$E$26</f>
        <v>n/a</v>
      </c>
      <c r="G91" s="94" t="e" cm="1">
        <f t="array" ref="G91">_xlfn.XLOOKUP(Table11887[[#This Row],[Opp]],Table46[DEF],'2024 fSZN'!$V$3:$V$34)</f>
        <v>#N/A</v>
      </c>
      <c r="H91" s="94" t="e" cm="1">
        <f t="array" ref="H91">_xlfn.XLOOKUP(Table11887[[#This Row],[Opp]],Table46[DEF],'2024 fSZN'!$W$3:$W$34)</f>
        <v>#N/A</v>
      </c>
      <c r="I91" s="94" t="e" cm="1">
        <f t="array" ref="I91">_xlfn.XLOOKUP(Table11887[[#This Row],[Opp]],Table46[DEF],'2024 fSZN'!$X$3:$X$34)</f>
        <v>#N/A</v>
      </c>
      <c r="J91" s="94" t="e" cm="1">
        <f t="array" ref="J91">_xlfn.XLOOKUP(Table11887[[#This Row],[Opp]],Table46[DEF],'2024 fSZN'!$Y$3:$Y$34)</f>
        <v>#N/A</v>
      </c>
      <c r="K91" s="94" t="e" cm="1">
        <f t="array" ref="K91">_xlfn.XLOOKUP(Table11887[[#This Row],[Opp]],Table46[DEF],'2024 fSZN'!$Z$3:$Z$34)</f>
        <v>#N/A</v>
      </c>
      <c r="L91" s="95" t="e">
        <f>_xlfn.XLOOKUP(Table11887[[#This Row],[Opp]],Table46[DEF],Table46[R])</f>
        <v>#N/A</v>
      </c>
      <c r="M91" s="95" t="e">
        <f>_xlfn.XLOOKUP(Table11887[[#This Row],[Opp]],Table46[DEF],Table46[REC])</f>
        <v>#N/A</v>
      </c>
      <c r="N91" s="95" t="e">
        <f>_xlfn.XLOOKUP(Table11887[[#This Row],[Opp]],Table46[DEF],Table46[Y])</f>
        <v>#N/A</v>
      </c>
      <c r="O91" s="95" t="e">
        <f>_xlfn.XLOOKUP(Table11887[[#This Row],[Opp]],Table46[DEF],Table46[R+R])</f>
        <v>#N/A</v>
      </c>
      <c r="P91" s="96" t="e">
        <f>_xlfn.XLOOKUP(Table11887[[#This Row],[Opp]],Table46[DEF],Table46[TD])</f>
        <v>#N/A</v>
      </c>
      <c r="Q91" s="94" t="e">
        <f>AVERAGE(Table11887[[#This Row],[*R*]:[*R+Y*]])</f>
        <v>#N/A</v>
      </c>
    </row>
    <row r="92" spans="2:17" x14ac:dyDescent="0.35">
      <c r="B92" s="6" t="s">
        <v>326</v>
      </c>
      <c r="C92" s="97" t="s">
        <v>48</v>
      </c>
      <c r="D92" s="97" t="s">
        <v>394</v>
      </c>
      <c r="E92" s="6">
        <v>1</v>
      </c>
      <c r="F92" s="97" t="str">
        <f>'2025'!$E$26</f>
        <v>n/a</v>
      </c>
      <c r="G92" s="94" t="e" cm="1">
        <f t="array" ref="G92">_xlfn.XLOOKUP(Table11887[[#This Row],[Opp]],Table46[DEF],'2024 fSZN'!$V$3:$V$34)</f>
        <v>#N/A</v>
      </c>
      <c r="H92" s="94" t="e" cm="1">
        <f t="array" ref="H92">_xlfn.XLOOKUP(Table11887[[#This Row],[Opp]],Table46[DEF],'2024 fSZN'!$W$3:$W$34)</f>
        <v>#N/A</v>
      </c>
      <c r="I92" s="94" t="e" cm="1">
        <f t="array" ref="I92">_xlfn.XLOOKUP(Table11887[[#This Row],[Opp]],Table46[DEF],'2024 fSZN'!$X$3:$X$34)</f>
        <v>#N/A</v>
      </c>
      <c r="J92" s="94" t="e" cm="1">
        <f t="array" ref="J92">_xlfn.XLOOKUP(Table11887[[#This Row],[Opp]],Table46[DEF],'2024 fSZN'!$Y$3:$Y$34)</f>
        <v>#N/A</v>
      </c>
      <c r="K92" s="94" t="e" cm="1">
        <f t="array" ref="K92">_xlfn.XLOOKUP(Table11887[[#This Row],[Opp]],Table46[DEF],'2024 fSZN'!$Z$3:$Z$34)</f>
        <v>#N/A</v>
      </c>
      <c r="L92" s="95" t="e">
        <f>_xlfn.XLOOKUP(Table11887[[#This Row],[Opp]],Table46[DEF],Table46[R])</f>
        <v>#N/A</v>
      </c>
      <c r="M92" s="95" t="e">
        <f>_xlfn.XLOOKUP(Table11887[[#This Row],[Opp]],Table46[DEF],Table46[REC])</f>
        <v>#N/A</v>
      </c>
      <c r="N92" s="95" t="e">
        <f>_xlfn.XLOOKUP(Table11887[[#This Row],[Opp]],Table46[DEF],Table46[Y])</f>
        <v>#N/A</v>
      </c>
      <c r="O92" s="95" t="e">
        <f>_xlfn.XLOOKUP(Table11887[[#This Row],[Opp]],Table46[DEF],Table46[R+R])</f>
        <v>#N/A</v>
      </c>
      <c r="P92" s="96" t="e">
        <f>_xlfn.XLOOKUP(Table11887[[#This Row],[Opp]],Table46[DEF],Table46[TD])</f>
        <v>#N/A</v>
      </c>
      <c r="Q92" s="94" t="e">
        <f>AVERAGE(Table11887[[#This Row],[*R*]:[*R+Y*]])</f>
        <v>#N/A</v>
      </c>
    </row>
    <row r="93" spans="2:17" x14ac:dyDescent="0.35">
      <c r="B93" s="6" t="s">
        <v>325</v>
      </c>
      <c r="C93" s="97" t="s">
        <v>48</v>
      </c>
      <c r="D93" s="97" t="s">
        <v>396</v>
      </c>
      <c r="E93" s="6">
        <v>1</v>
      </c>
      <c r="F93" s="97" t="str">
        <f>'2025'!$E$26</f>
        <v>n/a</v>
      </c>
      <c r="G93" s="94" t="e" cm="1">
        <f t="array" ref="G93">_xlfn.XLOOKUP(Table11887[[#This Row],[Opp]],Table46[DEF],'2024 fSZN'!$V$3:$V$34)</f>
        <v>#N/A</v>
      </c>
      <c r="H93" s="94" t="e" cm="1">
        <f t="array" ref="H93">_xlfn.XLOOKUP(Table11887[[#This Row],[Opp]],Table46[DEF],'2024 fSZN'!$W$3:$W$34)</f>
        <v>#N/A</v>
      </c>
      <c r="I93" s="94" t="e" cm="1">
        <f t="array" ref="I93">_xlfn.XLOOKUP(Table11887[[#This Row],[Opp]],Table46[DEF],'2024 fSZN'!$X$3:$X$34)</f>
        <v>#N/A</v>
      </c>
      <c r="J93" s="94" t="e" cm="1">
        <f t="array" ref="J93">_xlfn.XLOOKUP(Table11887[[#This Row],[Opp]],Table46[DEF],'2024 fSZN'!$Y$3:$Y$34)</f>
        <v>#N/A</v>
      </c>
      <c r="K93" s="94" t="e" cm="1">
        <f t="array" ref="K93">_xlfn.XLOOKUP(Table11887[[#This Row],[Opp]],Table46[DEF],'2024 fSZN'!$Z$3:$Z$34)</f>
        <v>#N/A</v>
      </c>
      <c r="L93" s="95" t="e">
        <f>_xlfn.XLOOKUP(Table11887[[#This Row],[Opp]],Table46[DEF],Table46[R])</f>
        <v>#N/A</v>
      </c>
      <c r="M93" s="95" t="e">
        <f>_xlfn.XLOOKUP(Table11887[[#This Row],[Opp]],Table46[DEF],Table46[REC])</f>
        <v>#N/A</v>
      </c>
      <c r="N93" s="95" t="e">
        <f>_xlfn.XLOOKUP(Table11887[[#This Row],[Opp]],Table46[DEF],Table46[Y])</f>
        <v>#N/A</v>
      </c>
      <c r="O93" s="95" t="e">
        <f>_xlfn.XLOOKUP(Table11887[[#This Row],[Opp]],Table46[DEF],Table46[R+R])</f>
        <v>#N/A</v>
      </c>
      <c r="P93" s="96" t="e">
        <f>_xlfn.XLOOKUP(Table11887[[#This Row],[Opp]],Table46[DEF],Table46[TD])</f>
        <v>#N/A</v>
      </c>
      <c r="Q93" s="94" t="e">
        <f>AVERAGE(Table11887[[#This Row],[*R*]:[*R+Y*]])</f>
        <v>#N/A</v>
      </c>
    </row>
    <row r="94" spans="2:17" x14ac:dyDescent="0.35">
      <c r="B94" s="6" t="s">
        <v>438</v>
      </c>
      <c r="C94" s="97" t="s">
        <v>48</v>
      </c>
      <c r="D94" s="97" t="s">
        <v>407</v>
      </c>
      <c r="E94" s="6">
        <v>-1</v>
      </c>
      <c r="F94" s="97" t="str">
        <f>'2025'!$E$26</f>
        <v>n/a</v>
      </c>
      <c r="G94" s="94" t="e" cm="1">
        <f t="array" ref="G94">_xlfn.XLOOKUP(Table11887[[#This Row],[Opp]],Table46[DEF],'2024 fSZN'!$V$3:$V$34)</f>
        <v>#N/A</v>
      </c>
      <c r="H94" s="94" t="e" cm="1">
        <f t="array" ref="H94">_xlfn.XLOOKUP(Table11887[[#This Row],[Opp]],Table46[DEF],'2024 fSZN'!$W$3:$W$34)</f>
        <v>#N/A</v>
      </c>
      <c r="I94" s="94" t="e" cm="1">
        <f t="array" ref="I94">_xlfn.XLOOKUP(Table11887[[#This Row],[Opp]],Table46[DEF],'2024 fSZN'!$X$3:$X$34)</f>
        <v>#N/A</v>
      </c>
      <c r="J94" s="94" t="e" cm="1">
        <f t="array" ref="J94">_xlfn.XLOOKUP(Table11887[[#This Row],[Opp]],Table46[DEF],'2024 fSZN'!$Y$3:$Y$34)</f>
        <v>#N/A</v>
      </c>
      <c r="K94" s="94" t="e" cm="1">
        <f t="array" ref="K94">_xlfn.XLOOKUP(Table11887[[#This Row],[Opp]],Table46[DEF],'2024 fSZN'!$Z$3:$Z$34)</f>
        <v>#N/A</v>
      </c>
      <c r="L94" s="95" t="e">
        <f>_xlfn.XLOOKUP(Table11887[[#This Row],[Opp]],Table46[DEF],Table46[R])</f>
        <v>#N/A</v>
      </c>
      <c r="M94" s="95" t="e">
        <f>_xlfn.XLOOKUP(Table11887[[#This Row],[Opp]],Table46[DEF],Table46[REC])</f>
        <v>#N/A</v>
      </c>
      <c r="N94" s="95" t="e">
        <f>_xlfn.XLOOKUP(Table11887[[#This Row],[Opp]],Table46[DEF],Table46[Y])</f>
        <v>#N/A</v>
      </c>
      <c r="O94" s="95" t="e">
        <f>_xlfn.XLOOKUP(Table11887[[#This Row],[Opp]],Table46[DEF],Table46[R+R])</f>
        <v>#N/A</v>
      </c>
      <c r="P94" s="96" t="e">
        <f>_xlfn.XLOOKUP(Table11887[[#This Row],[Opp]],Table46[DEF],Table46[TD])</f>
        <v>#N/A</v>
      </c>
      <c r="Q94" s="94" t="e">
        <f>AVERAGE(Table11887[[#This Row],[*R*]:[*R+Y*]])</f>
        <v>#N/A</v>
      </c>
    </row>
    <row r="95" spans="2:17" x14ac:dyDescent="0.35">
      <c r="B95" s="6" t="s">
        <v>332</v>
      </c>
      <c r="C95" s="97" t="s">
        <v>49</v>
      </c>
      <c r="D95" s="97" t="s">
        <v>395</v>
      </c>
      <c r="E95" s="6">
        <v>1</v>
      </c>
      <c r="F95" s="97" t="str">
        <f>'2025'!$E$27</f>
        <v>n/a</v>
      </c>
      <c r="G95" s="94" t="e" cm="1">
        <f t="array" ref="G95">_xlfn.XLOOKUP(Table11887[[#This Row],[Opp]],Table46[DEF],'2024 fSZN'!$V$3:$V$34)</f>
        <v>#N/A</v>
      </c>
      <c r="H95" s="94" t="e" cm="1">
        <f t="array" ref="H95">_xlfn.XLOOKUP(Table11887[[#This Row],[Opp]],Table46[DEF],'2024 fSZN'!$W$3:$W$34)</f>
        <v>#N/A</v>
      </c>
      <c r="I95" s="94" t="e" cm="1">
        <f t="array" ref="I95">_xlfn.XLOOKUP(Table11887[[#This Row],[Opp]],Table46[DEF],'2024 fSZN'!$X$3:$X$34)</f>
        <v>#N/A</v>
      </c>
      <c r="J95" s="94" t="e" cm="1">
        <f t="array" ref="J95">_xlfn.XLOOKUP(Table11887[[#This Row],[Opp]],Table46[DEF],'2024 fSZN'!$Y$3:$Y$34)</f>
        <v>#N/A</v>
      </c>
      <c r="K95" s="94" t="e" cm="1">
        <f t="array" ref="K95">_xlfn.XLOOKUP(Table11887[[#This Row],[Opp]],Table46[DEF],'2024 fSZN'!$Z$3:$Z$34)</f>
        <v>#N/A</v>
      </c>
      <c r="L95" s="95" t="e">
        <f>_xlfn.XLOOKUP(Table11887[[#This Row],[Opp]],Table46[DEF],Table46[R])</f>
        <v>#N/A</v>
      </c>
      <c r="M95" s="95" t="e">
        <f>_xlfn.XLOOKUP(Table11887[[#This Row],[Opp]],Table46[DEF],Table46[REC])</f>
        <v>#N/A</v>
      </c>
      <c r="N95" s="95" t="e">
        <f>_xlfn.XLOOKUP(Table11887[[#This Row],[Opp]],Table46[DEF],Table46[Y])</f>
        <v>#N/A</v>
      </c>
      <c r="O95" s="95" t="e">
        <f>_xlfn.XLOOKUP(Table11887[[#This Row],[Opp]],Table46[DEF],Table46[R+R])</f>
        <v>#N/A</v>
      </c>
      <c r="P95" s="96" t="e">
        <f>_xlfn.XLOOKUP(Table11887[[#This Row],[Opp]],Table46[DEF],Table46[TD])</f>
        <v>#N/A</v>
      </c>
      <c r="Q95" s="94" t="e">
        <f>AVERAGE(Table11887[[#This Row],[*R*]:[*R+Y*]])</f>
        <v>#N/A</v>
      </c>
    </row>
    <row r="96" spans="2:17" x14ac:dyDescent="0.35">
      <c r="B96" s="6" t="s">
        <v>331</v>
      </c>
      <c r="C96" s="97" t="s">
        <v>49</v>
      </c>
      <c r="D96" s="97" t="s">
        <v>394</v>
      </c>
      <c r="E96" s="6">
        <v>1</v>
      </c>
      <c r="F96" s="97" t="str">
        <f>'2025'!$E$27</f>
        <v>n/a</v>
      </c>
      <c r="G96" s="94" t="e" cm="1">
        <f t="array" ref="G96">_xlfn.XLOOKUP(Table11887[[#This Row],[Opp]],Table46[DEF],'2024 fSZN'!$V$3:$V$34)</f>
        <v>#N/A</v>
      </c>
      <c r="H96" s="94" t="e" cm="1">
        <f t="array" ref="H96">_xlfn.XLOOKUP(Table11887[[#This Row],[Opp]],Table46[DEF],'2024 fSZN'!$W$3:$W$34)</f>
        <v>#N/A</v>
      </c>
      <c r="I96" s="94" t="e" cm="1">
        <f t="array" ref="I96">_xlfn.XLOOKUP(Table11887[[#This Row],[Opp]],Table46[DEF],'2024 fSZN'!$X$3:$X$34)</f>
        <v>#N/A</v>
      </c>
      <c r="J96" s="94" t="e" cm="1">
        <f t="array" ref="J96">_xlfn.XLOOKUP(Table11887[[#This Row],[Opp]],Table46[DEF],'2024 fSZN'!$Y$3:$Y$34)</f>
        <v>#N/A</v>
      </c>
      <c r="K96" s="94" t="e" cm="1">
        <f t="array" ref="K96">_xlfn.XLOOKUP(Table11887[[#This Row],[Opp]],Table46[DEF],'2024 fSZN'!$Z$3:$Z$34)</f>
        <v>#N/A</v>
      </c>
      <c r="L96" s="95" t="e">
        <f>_xlfn.XLOOKUP(Table11887[[#This Row],[Opp]],Table46[DEF],Table46[R])</f>
        <v>#N/A</v>
      </c>
      <c r="M96" s="95" t="e">
        <f>_xlfn.XLOOKUP(Table11887[[#This Row],[Opp]],Table46[DEF],Table46[REC])</f>
        <v>#N/A</v>
      </c>
      <c r="N96" s="95" t="e">
        <f>_xlfn.XLOOKUP(Table11887[[#This Row],[Opp]],Table46[DEF],Table46[Y])</f>
        <v>#N/A</v>
      </c>
      <c r="O96" s="95" t="e">
        <f>_xlfn.XLOOKUP(Table11887[[#This Row],[Opp]],Table46[DEF],Table46[R+R])</f>
        <v>#N/A</v>
      </c>
      <c r="P96" s="96" t="e">
        <f>_xlfn.XLOOKUP(Table11887[[#This Row],[Opp]],Table46[DEF],Table46[TD])</f>
        <v>#N/A</v>
      </c>
      <c r="Q96" s="94" t="e">
        <f>AVERAGE(Table11887[[#This Row],[*R*]:[*R+Y*]])</f>
        <v>#N/A</v>
      </c>
    </row>
    <row r="97" spans="2:17" x14ac:dyDescent="0.35">
      <c r="B97" s="6" t="s">
        <v>333</v>
      </c>
      <c r="C97" s="97" t="s">
        <v>49</v>
      </c>
      <c r="D97" s="97" t="s">
        <v>396</v>
      </c>
      <c r="E97" s="6">
        <v>0</v>
      </c>
      <c r="F97" s="97" t="str">
        <f>'2025'!$E$27</f>
        <v>n/a</v>
      </c>
      <c r="G97" s="94" t="e" cm="1">
        <f t="array" ref="G97">_xlfn.XLOOKUP(Table11887[[#This Row],[Opp]],Table46[DEF],'2024 fSZN'!$V$3:$V$34)</f>
        <v>#N/A</v>
      </c>
      <c r="H97" s="94" t="e" cm="1">
        <f t="array" ref="H97">_xlfn.XLOOKUP(Table11887[[#This Row],[Opp]],Table46[DEF],'2024 fSZN'!$W$3:$W$34)</f>
        <v>#N/A</v>
      </c>
      <c r="I97" s="94" t="e" cm="1">
        <f t="array" ref="I97">_xlfn.XLOOKUP(Table11887[[#This Row],[Opp]],Table46[DEF],'2024 fSZN'!$X$3:$X$34)</f>
        <v>#N/A</v>
      </c>
      <c r="J97" s="94" t="e" cm="1">
        <f t="array" ref="J97">_xlfn.XLOOKUP(Table11887[[#This Row],[Opp]],Table46[DEF],'2024 fSZN'!$Y$3:$Y$34)</f>
        <v>#N/A</v>
      </c>
      <c r="K97" s="94" t="e" cm="1">
        <f t="array" ref="K97">_xlfn.XLOOKUP(Table11887[[#This Row],[Opp]],Table46[DEF],'2024 fSZN'!$Z$3:$Z$34)</f>
        <v>#N/A</v>
      </c>
      <c r="L97" s="95" t="e">
        <f>_xlfn.XLOOKUP(Table11887[[#This Row],[Opp]],Table46[DEF],Table46[R])</f>
        <v>#N/A</v>
      </c>
      <c r="M97" s="95" t="e">
        <f>_xlfn.XLOOKUP(Table11887[[#This Row],[Opp]],Table46[DEF],Table46[REC])</f>
        <v>#N/A</v>
      </c>
      <c r="N97" s="95" t="e">
        <f>_xlfn.XLOOKUP(Table11887[[#This Row],[Opp]],Table46[DEF],Table46[Y])</f>
        <v>#N/A</v>
      </c>
      <c r="O97" s="95" t="e">
        <f>_xlfn.XLOOKUP(Table11887[[#This Row],[Opp]],Table46[DEF],Table46[R+R])</f>
        <v>#N/A</v>
      </c>
      <c r="P97" s="96" t="e">
        <f>_xlfn.XLOOKUP(Table11887[[#This Row],[Opp]],Table46[DEF],Table46[TD])</f>
        <v>#N/A</v>
      </c>
      <c r="Q97" s="94" t="e">
        <f>AVERAGE(Table11887[[#This Row],[*R*]:[*R+Y*]])</f>
        <v>#N/A</v>
      </c>
    </row>
    <row r="98" spans="2:17" x14ac:dyDescent="0.35">
      <c r="B98" s="6" t="s">
        <v>419</v>
      </c>
      <c r="C98" s="97" t="s">
        <v>49</v>
      </c>
      <c r="D98" s="97" t="s">
        <v>407</v>
      </c>
      <c r="E98" s="6">
        <v>1</v>
      </c>
      <c r="F98" s="97" t="str">
        <f>'2025'!$E$27</f>
        <v>n/a</v>
      </c>
      <c r="G98" s="94" t="e" cm="1">
        <f t="array" ref="G98">_xlfn.XLOOKUP(Table11887[[#This Row],[Opp]],Table46[DEF],'2024 fSZN'!$V$3:$V$34)</f>
        <v>#N/A</v>
      </c>
      <c r="H98" s="94" t="e" cm="1">
        <f t="array" ref="H98">_xlfn.XLOOKUP(Table11887[[#This Row],[Opp]],Table46[DEF],'2024 fSZN'!$W$3:$W$34)</f>
        <v>#N/A</v>
      </c>
      <c r="I98" s="94" t="e" cm="1">
        <f t="array" ref="I98">_xlfn.XLOOKUP(Table11887[[#This Row],[Opp]],Table46[DEF],'2024 fSZN'!$X$3:$X$34)</f>
        <v>#N/A</v>
      </c>
      <c r="J98" s="94" t="e" cm="1">
        <f t="array" ref="J98">_xlfn.XLOOKUP(Table11887[[#This Row],[Opp]],Table46[DEF],'2024 fSZN'!$Y$3:$Y$34)</f>
        <v>#N/A</v>
      </c>
      <c r="K98" s="94" t="e" cm="1">
        <f t="array" ref="K98">_xlfn.XLOOKUP(Table11887[[#This Row],[Opp]],Table46[DEF],'2024 fSZN'!$Z$3:$Z$34)</f>
        <v>#N/A</v>
      </c>
      <c r="L98" s="95" t="e">
        <f>_xlfn.XLOOKUP(Table11887[[#This Row],[Opp]],Table46[DEF],Table46[R])</f>
        <v>#N/A</v>
      </c>
      <c r="M98" s="95" t="e">
        <f>_xlfn.XLOOKUP(Table11887[[#This Row],[Opp]],Table46[DEF],Table46[REC])</f>
        <v>#N/A</v>
      </c>
      <c r="N98" s="95" t="e">
        <f>_xlfn.XLOOKUP(Table11887[[#This Row],[Opp]],Table46[DEF],Table46[Y])</f>
        <v>#N/A</v>
      </c>
      <c r="O98" s="95" t="e">
        <f>_xlfn.XLOOKUP(Table11887[[#This Row],[Opp]],Table46[DEF],Table46[R+R])</f>
        <v>#N/A</v>
      </c>
      <c r="P98" s="96" t="e">
        <f>_xlfn.XLOOKUP(Table11887[[#This Row],[Opp]],Table46[DEF],Table46[TD])</f>
        <v>#N/A</v>
      </c>
      <c r="Q98" s="94" t="e">
        <f>AVERAGE(Table11887[[#This Row],[*R*]:[*R+Y*]])</f>
        <v>#N/A</v>
      </c>
    </row>
    <row r="99" spans="2:17" x14ac:dyDescent="0.35">
      <c r="B99" s="6" t="s">
        <v>337</v>
      </c>
      <c r="C99" s="97" t="s">
        <v>50</v>
      </c>
      <c r="D99" s="97" t="s">
        <v>395</v>
      </c>
      <c r="E99" s="6">
        <v>1</v>
      </c>
      <c r="F99" s="97" t="str">
        <f>'2025'!$E$28</f>
        <v>n/a</v>
      </c>
      <c r="G99" s="94" t="e" cm="1">
        <f t="array" ref="G99">_xlfn.XLOOKUP(Table11887[[#This Row],[Opp]],Table46[DEF],'2024 fSZN'!$V$3:$V$34)</f>
        <v>#N/A</v>
      </c>
      <c r="H99" s="94" t="e" cm="1">
        <f t="array" ref="H99">_xlfn.XLOOKUP(Table11887[[#This Row],[Opp]],Table46[DEF],'2024 fSZN'!$W$3:$W$34)</f>
        <v>#N/A</v>
      </c>
      <c r="I99" s="94" t="e" cm="1">
        <f t="array" ref="I99">_xlfn.XLOOKUP(Table11887[[#This Row],[Opp]],Table46[DEF],'2024 fSZN'!$X$3:$X$34)</f>
        <v>#N/A</v>
      </c>
      <c r="J99" s="94" t="e" cm="1">
        <f t="array" ref="J99">_xlfn.XLOOKUP(Table11887[[#This Row],[Opp]],Table46[DEF],'2024 fSZN'!$Y$3:$Y$34)</f>
        <v>#N/A</v>
      </c>
      <c r="K99" s="94" t="e" cm="1">
        <f t="array" ref="K99">_xlfn.XLOOKUP(Table11887[[#This Row],[Opp]],Table46[DEF],'2024 fSZN'!$Z$3:$Z$34)</f>
        <v>#N/A</v>
      </c>
      <c r="L99" s="95" t="e">
        <f>_xlfn.XLOOKUP(Table11887[[#This Row],[Opp]],Table46[DEF],Table46[R])</f>
        <v>#N/A</v>
      </c>
      <c r="M99" s="95" t="e">
        <f>_xlfn.XLOOKUP(Table11887[[#This Row],[Opp]],Table46[DEF],Table46[REC])</f>
        <v>#N/A</v>
      </c>
      <c r="N99" s="95" t="e">
        <f>_xlfn.XLOOKUP(Table11887[[#This Row],[Opp]],Table46[DEF],Table46[Y])</f>
        <v>#N/A</v>
      </c>
      <c r="O99" s="95" t="e">
        <f>_xlfn.XLOOKUP(Table11887[[#This Row],[Opp]],Table46[DEF],Table46[R+R])</f>
        <v>#N/A</v>
      </c>
      <c r="P99" s="96" t="e">
        <f>_xlfn.XLOOKUP(Table11887[[#This Row],[Opp]],Table46[DEF],Table46[TD])</f>
        <v>#N/A</v>
      </c>
      <c r="Q99" s="94" t="e">
        <f>AVERAGE(Table11887[[#This Row],[*R*]:[*R+Y*]])</f>
        <v>#N/A</v>
      </c>
    </row>
    <row r="100" spans="2:17" x14ac:dyDescent="0.35">
      <c r="B100" s="6" t="s">
        <v>338</v>
      </c>
      <c r="C100" s="97" t="s">
        <v>50</v>
      </c>
      <c r="D100" s="97" t="s">
        <v>394</v>
      </c>
      <c r="E100" s="6">
        <v>1</v>
      </c>
      <c r="F100" s="97" t="str">
        <f>'2025'!$E$28</f>
        <v>n/a</v>
      </c>
      <c r="G100" s="94" t="e" cm="1">
        <f t="array" ref="G100">_xlfn.XLOOKUP(Table11887[[#This Row],[Opp]],Table46[DEF],'2024 fSZN'!$V$3:$V$34)</f>
        <v>#N/A</v>
      </c>
      <c r="H100" s="94" t="e" cm="1">
        <f t="array" ref="H100">_xlfn.XLOOKUP(Table11887[[#This Row],[Opp]],Table46[DEF],'2024 fSZN'!$W$3:$W$34)</f>
        <v>#N/A</v>
      </c>
      <c r="I100" s="94" t="e" cm="1">
        <f t="array" ref="I100">_xlfn.XLOOKUP(Table11887[[#This Row],[Opp]],Table46[DEF],'2024 fSZN'!$X$3:$X$34)</f>
        <v>#N/A</v>
      </c>
      <c r="J100" s="94" t="e" cm="1">
        <f t="array" ref="J100">_xlfn.XLOOKUP(Table11887[[#This Row],[Opp]],Table46[DEF],'2024 fSZN'!$Y$3:$Y$34)</f>
        <v>#N/A</v>
      </c>
      <c r="K100" s="94" t="e" cm="1">
        <f t="array" ref="K100">_xlfn.XLOOKUP(Table11887[[#This Row],[Opp]],Table46[DEF],'2024 fSZN'!$Z$3:$Z$34)</f>
        <v>#N/A</v>
      </c>
      <c r="L100" s="95" t="e">
        <f>_xlfn.XLOOKUP(Table11887[[#This Row],[Opp]],Table46[DEF],Table46[R])</f>
        <v>#N/A</v>
      </c>
      <c r="M100" s="95" t="e">
        <f>_xlfn.XLOOKUP(Table11887[[#This Row],[Opp]],Table46[DEF],Table46[REC])</f>
        <v>#N/A</v>
      </c>
      <c r="N100" s="95" t="e">
        <f>_xlfn.XLOOKUP(Table11887[[#This Row],[Opp]],Table46[DEF],Table46[Y])</f>
        <v>#N/A</v>
      </c>
      <c r="O100" s="95" t="e">
        <f>_xlfn.XLOOKUP(Table11887[[#This Row],[Opp]],Table46[DEF],Table46[R+R])</f>
        <v>#N/A</v>
      </c>
      <c r="P100" s="96" t="e">
        <f>_xlfn.XLOOKUP(Table11887[[#This Row],[Opp]],Table46[DEF],Table46[TD])</f>
        <v>#N/A</v>
      </c>
      <c r="Q100" s="94" t="e">
        <f>AVERAGE(Table11887[[#This Row],[*R*]:[*R+Y*]])</f>
        <v>#N/A</v>
      </c>
    </row>
    <row r="101" spans="2:17" x14ac:dyDescent="0.35">
      <c r="B101" s="6" t="s">
        <v>453</v>
      </c>
      <c r="C101" s="97" t="s">
        <v>50</v>
      </c>
      <c r="D101" s="97" t="s">
        <v>396</v>
      </c>
      <c r="E101" s="6">
        <v>1</v>
      </c>
      <c r="F101" s="97" t="str">
        <f>'2025'!$E$28</f>
        <v>n/a</v>
      </c>
      <c r="G101" s="94" t="e" cm="1">
        <f t="array" ref="G101">_xlfn.XLOOKUP(Table11887[[#This Row],[Opp]],Table46[DEF],'2024 fSZN'!$V$3:$V$34)</f>
        <v>#N/A</v>
      </c>
      <c r="H101" s="94" t="e" cm="1">
        <f t="array" ref="H101">_xlfn.XLOOKUP(Table11887[[#This Row],[Opp]],Table46[DEF],'2024 fSZN'!$W$3:$W$34)</f>
        <v>#N/A</v>
      </c>
      <c r="I101" s="94" t="e" cm="1">
        <f t="array" ref="I101">_xlfn.XLOOKUP(Table11887[[#This Row],[Opp]],Table46[DEF],'2024 fSZN'!$X$3:$X$34)</f>
        <v>#N/A</v>
      </c>
      <c r="J101" s="94" t="e" cm="1">
        <f t="array" ref="J101">_xlfn.XLOOKUP(Table11887[[#This Row],[Opp]],Table46[DEF],'2024 fSZN'!$Y$3:$Y$34)</f>
        <v>#N/A</v>
      </c>
      <c r="K101" s="94" t="e" cm="1">
        <f t="array" ref="K101">_xlfn.XLOOKUP(Table11887[[#This Row],[Opp]],Table46[DEF],'2024 fSZN'!$Z$3:$Z$34)</f>
        <v>#N/A</v>
      </c>
      <c r="L101" s="95" t="e">
        <f>_xlfn.XLOOKUP(Table11887[[#This Row],[Opp]],Table46[DEF],Table46[R])</f>
        <v>#N/A</v>
      </c>
      <c r="M101" s="95" t="e">
        <f>_xlfn.XLOOKUP(Table11887[[#This Row],[Opp]],Table46[DEF],Table46[REC])</f>
        <v>#N/A</v>
      </c>
      <c r="N101" s="95" t="e">
        <f>_xlfn.XLOOKUP(Table11887[[#This Row],[Opp]],Table46[DEF],Table46[Y])</f>
        <v>#N/A</v>
      </c>
      <c r="O101" s="95" t="e">
        <f>_xlfn.XLOOKUP(Table11887[[#This Row],[Opp]],Table46[DEF],Table46[R+R])</f>
        <v>#N/A</v>
      </c>
      <c r="P101" s="96" t="e">
        <f>_xlfn.XLOOKUP(Table11887[[#This Row],[Opp]],Table46[DEF],Table46[TD])</f>
        <v>#N/A</v>
      </c>
      <c r="Q101" s="94" t="e">
        <f>AVERAGE(Table11887[[#This Row],[*R*]:[*R+Y*]])</f>
        <v>#N/A</v>
      </c>
    </row>
    <row r="102" spans="2:17" x14ac:dyDescent="0.35">
      <c r="B102" s="6" t="s">
        <v>344</v>
      </c>
      <c r="C102" s="97" t="s">
        <v>51</v>
      </c>
      <c r="D102" s="97" t="s">
        <v>395</v>
      </c>
      <c r="E102" s="6">
        <v>1</v>
      </c>
      <c r="F102" s="97" t="str">
        <f>'2025'!$E$29</f>
        <v>n/a</v>
      </c>
      <c r="G102" s="94" t="e" cm="1">
        <f t="array" ref="G102">_xlfn.XLOOKUP(Table11887[[#This Row],[Opp]],Table46[DEF],'2024 fSZN'!$V$3:$V$34)</f>
        <v>#N/A</v>
      </c>
      <c r="H102" s="94" t="e" cm="1">
        <f t="array" ref="H102">_xlfn.XLOOKUP(Table11887[[#This Row],[Opp]],Table46[DEF],'2024 fSZN'!$W$3:$W$34)</f>
        <v>#N/A</v>
      </c>
      <c r="I102" s="94" t="e" cm="1">
        <f t="array" ref="I102">_xlfn.XLOOKUP(Table11887[[#This Row],[Opp]],Table46[DEF],'2024 fSZN'!$X$3:$X$34)</f>
        <v>#N/A</v>
      </c>
      <c r="J102" s="94" t="e" cm="1">
        <f t="array" ref="J102">_xlfn.XLOOKUP(Table11887[[#This Row],[Opp]],Table46[DEF],'2024 fSZN'!$Y$3:$Y$34)</f>
        <v>#N/A</v>
      </c>
      <c r="K102" s="94" t="e" cm="1">
        <f t="array" ref="K102">_xlfn.XLOOKUP(Table11887[[#This Row],[Opp]],Table46[DEF],'2024 fSZN'!$Z$3:$Z$34)</f>
        <v>#N/A</v>
      </c>
      <c r="L102" s="95" t="e">
        <f>_xlfn.XLOOKUP(Table11887[[#This Row],[Opp]],Table46[DEF],Table46[R])</f>
        <v>#N/A</v>
      </c>
      <c r="M102" s="95" t="e">
        <f>_xlfn.XLOOKUP(Table11887[[#This Row],[Opp]],Table46[DEF],Table46[REC])</f>
        <v>#N/A</v>
      </c>
      <c r="N102" s="95" t="e">
        <f>_xlfn.XLOOKUP(Table11887[[#This Row],[Opp]],Table46[DEF],Table46[Y])</f>
        <v>#N/A</v>
      </c>
      <c r="O102" s="95" t="e">
        <f>_xlfn.XLOOKUP(Table11887[[#This Row],[Opp]],Table46[DEF],Table46[R+R])</f>
        <v>#N/A</v>
      </c>
      <c r="P102" s="96" t="e">
        <f>_xlfn.XLOOKUP(Table11887[[#This Row],[Opp]],Table46[DEF],Table46[TD])</f>
        <v>#N/A</v>
      </c>
      <c r="Q102" s="94" t="e">
        <f>AVERAGE(Table11887[[#This Row],[*R*]:[*R+Y*]])</f>
        <v>#N/A</v>
      </c>
    </row>
    <row r="103" spans="2:17" x14ac:dyDescent="0.35">
      <c r="B103" s="6" t="s">
        <v>343</v>
      </c>
      <c r="C103" s="97" t="s">
        <v>51</v>
      </c>
      <c r="D103" s="97" t="s">
        <v>394</v>
      </c>
      <c r="E103" s="6">
        <v>1</v>
      </c>
      <c r="F103" s="97" t="str">
        <f>'2025'!$E$29</f>
        <v>n/a</v>
      </c>
      <c r="G103" s="94" t="e" cm="1">
        <f t="array" ref="G103">_xlfn.XLOOKUP(Table11887[[#This Row],[Opp]],Table46[DEF],'2024 fSZN'!$V$3:$V$34)</f>
        <v>#N/A</v>
      </c>
      <c r="H103" s="94" t="e" cm="1">
        <f t="array" ref="H103">_xlfn.XLOOKUP(Table11887[[#This Row],[Opp]],Table46[DEF],'2024 fSZN'!$W$3:$W$34)</f>
        <v>#N/A</v>
      </c>
      <c r="I103" s="94" t="e" cm="1">
        <f t="array" ref="I103">_xlfn.XLOOKUP(Table11887[[#This Row],[Opp]],Table46[DEF],'2024 fSZN'!$X$3:$X$34)</f>
        <v>#N/A</v>
      </c>
      <c r="J103" s="94" t="e" cm="1">
        <f t="array" ref="J103">_xlfn.XLOOKUP(Table11887[[#This Row],[Opp]],Table46[DEF],'2024 fSZN'!$Y$3:$Y$34)</f>
        <v>#N/A</v>
      </c>
      <c r="K103" s="94" t="e" cm="1">
        <f t="array" ref="K103">_xlfn.XLOOKUP(Table11887[[#This Row],[Opp]],Table46[DEF],'2024 fSZN'!$Z$3:$Z$34)</f>
        <v>#N/A</v>
      </c>
      <c r="L103" s="95" t="e">
        <f>_xlfn.XLOOKUP(Table11887[[#This Row],[Opp]],Table46[DEF],Table46[R])</f>
        <v>#N/A</v>
      </c>
      <c r="M103" s="95" t="e">
        <f>_xlfn.XLOOKUP(Table11887[[#This Row],[Opp]],Table46[DEF],Table46[REC])</f>
        <v>#N/A</v>
      </c>
      <c r="N103" s="95" t="e">
        <f>_xlfn.XLOOKUP(Table11887[[#This Row],[Opp]],Table46[DEF],Table46[Y])</f>
        <v>#N/A</v>
      </c>
      <c r="O103" s="95" t="e">
        <f>_xlfn.XLOOKUP(Table11887[[#This Row],[Opp]],Table46[DEF],Table46[R+R])</f>
        <v>#N/A</v>
      </c>
      <c r="P103" s="96" t="e">
        <f>_xlfn.XLOOKUP(Table11887[[#This Row],[Opp]],Table46[DEF],Table46[TD])</f>
        <v>#N/A</v>
      </c>
      <c r="Q103" s="94" t="e">
        <f>AVERAGE(Table11887[[#This Row],[*R*]:[*R+Y*]])</f>
        <v>#N/A</v>
      </c>
    </row>
    <row r="104" spans="2:17" x14ac:dyDescent="0.35">
      <c r="B104" s="6" t="s">
        <v>345</v>
      </c>
      <c r="C104" s="97" t="s">
        <v>51</v>
      </c>
      <c r="D104" s="97" t="s">
        <v>396</v>
      </c>
      <c r="E104" s="6">
        <v>1</v>
      </c>
      <c r="F104" s="97" t="str">
        <f>'2025'!$E$29</f>
        <v>n/a</v>
      </c>
      <c r="G104" s="94" t="e" cm="1">
        <f t="array" ref="G104">_xlfn.XLOOKUP(Table11887[[#This Row],[Opp]],Table46[DEF],'2024 fSZN'!$V$3:$V$34)</f>
        <v>#N/A</v>
      </c>
      <c r="H104" s="94" t="e" cm="1">
        <f t="array" ref="H104">_xlfn.XLOOKUP(Table11887[[#This Row],[Opp]],Table46[DEF],'2024 fSZN'!$W$3:$W$34)</f>
        <v>#N/A</v>
      </c>
      <c r="I104" s="94" t="e" cm="1">
        <f t="array" ref="I104">_xlfn.XLOOKUP(Table11887[[#This Row],[Opp]],Table46[DEF],'2024 fSZN'!$X$3:$X$34)</f>
        <v>#N/A</v>
      </c>
      <c r="J104" s="94" t="e" cm="1">
        <f t="array" ref="J104">_xlfn.XLOOKUP(Table11887[[#This Row],[Opp]],Table46[DEF],'2024 fSZN'!$Y$3:$Y$34)</f>
        <v>#N/A</v>
      </c>
      <c r="K104" s="94" t="e" cm="1">
        <f t="array" ref="K104">_xlfn.XLOOKUP(Table11887[[#This Row],[Opp]],Table46[DEF],'2024 fSZN'!$Z$3:$Z$34)</f>
        <v>#N/A</v>
      </c>
      <c r="L104" s="95" t="e">
        <f>_xlfn.XLOOKUP(Table11887[[#This Row],[Opp]],Table46[DEF],Table46[R])</f>
        <v>#N/A</v>
      </c>
      <c r="M104" s="95" t="e">
        <f>_xlfn.XLOOKUP(Table11887[[#This Row],[Opp]],Table46[DEF],Table46[REC])</f>
        <v>#N/A</v>
      </c>
      <c r="N104" s="95" t="e">
        <f>_xlfn.XLOOKUP(Table11887[[#This Row],[Opp]],Table46[DEF],Table46[Y])</f>
        <v>#N/A</v>
      </c>
      <c r="O104" s="95" t="e">
        <f>_xlfn.XLOOKUP(Table11887[[#This Row],[Opp]],Table46[DEF],Table46[R+R])</f>
        <v>#N/A</v>
      </c>
      <c r="P104" s="96" t="e">
        <f>_xlfn.XLOOKUP(Table11887[[#This Row],[Opp]],Table46[DEF],Table46[TD])</f>
        <v>#N/A</v>
      </c>
      <c r="Q104" s="94" t="e">
        <f>AVERAGE(Table11887[[#This Row],[*R*]:[*R+Y*]])</f>
        <v>#N/A</v>
      </c>
    </row>
    <row r="105" spans="2:17" x14ac:dyDescent="0.35">
      <c r="B105" s="6" t="s">
        <v>351</v>
      </c>
      <c r="C105" s="97" t="s">
        <v>52</v>
      </c>
      <c r="D105" s="97" t="s">
        <v>395</v>
      </c>
      <c r="E105" s="6">
        <v>1</v>
      </c>
      <c r="F105" s="97" t="str">
        <f>'2025'!$E$30</f>
        <v>NE</v>
      </c>
      <c r="G105" s="94" cm="1">
        <f t="array" ref="G105">_xlfn.XLOOKUP(Table11887[[#This Row],[Opp]],Table46[DEF],'2024 fSZN'!$V$3:$V$34)</f>
        <v>3</v>
      </c>
      <c r="H105" s="94" cm="1">
        <f t="array" ref="H105">_xlfn.XLOOKUP(Table11887[[#This Row],[Opp]],Table46[DEF],'2024 fSZN'!$W$3:$W$34)</f>
        <v>30</v>
      </c>
      <c r="I105" s="94" cm="1">
        <f t="array" ref="I105">_xlfn.XLOOKUP(Table11887[[#This Row],[Opp]],Table46[DEF],'2024 fSZN'!$X$3:$X$34)</f>
        <v>30.5</v>
      </c>
      <c r="J105" s="94" cm="1">
        <f t="array" ref="J105">_xlfn.XLOOKUP(Table11887[[#This Row],[Opp]],Table46[DEF],'2024 fSZN'!$Y$3:$Y$34)</f>
        <v>8</v>
      </c>
      <c r="K105" s="94" cm="1">
        <f t="array" ref="K105">_xlfn.XLOOKUP(Table11887[[#This Row],[Opp]],Table46[DEF],'2024 fSZN'!$Z$3:$Z$34)</f>
        <v>2.5</v>
      </c>
      <c r="L105" s="95">
        <f>_xlfn.XLOOKUP(Table11887[[#This Row],[Opp]],Table46[DEF],Table46[R])</f>
        <v>116</v>
      </c>
      <c r="M105" s="95">
        <f>_xlfn.XLOOKUP(Table11887[[#This Row],[Opp]],Table46[DEF],Table46[REC])</f>
        <v>3.2352941176470589</v>
      </c>
      <c r="N105" s="95">
        <f>_xlfn.XLOOKUP(Table11887[[#This Row],[Opp]],Table46[DEF],Table46[Y])</f>
        <v>23.588235294117649</v>
      </c>
      <c r="O105" s="95">
        <f>_xlfn.XLOOKUP(Table11887[[#This Row],[Opp]],Table46[DEF],Table46[R+R])</f>
        <v>139.58823529411765</v>
      </c>
      <c r="P105" s="96">
        <f>_xlfn.XLOOKUP(Table11887[[#This Row],[Opp]],Table46[DEF],Table46[TD])</f>
        <v>1.2352941176470589</v>
      </c>
      <c r="Q105" s="94">
        <f>AVERAGE(Table11887[[#This Row],[*R*]:[*R+Y*]])</f>
        <v>17.875</v>
      </c>
    </row>
    <row r="106" spans="2:17" x14ac:dyDescent="0.35">
      <c r="B106" s="6" t="s">
        <v>352</v>
      </c>
      <c r="C106" s="97" t="s">
        <v>52</v>
      </c>
      <c r="D106" s="97" t="s">
        <v>394</v>
      </c>
      <c r="E106" s="6">
        <v>1</v>
      </c>
      <c r="F106" s="97" t="str">
        <f>'2025'!$E$30</f>
        <v>NE</v>
      </c>
      <c r="G106" s="94" cm="1">
        <f t="array" ref="G106">_xlfn.XLOOKUP(Table11887[[#This Row],[Opp]],Table46[DEF],'2024 fSZN'!$V$3:$V$34)</f>
        <v>3</v>
      </c>
      <c r="H106" s="94" cm="1">
        <f t="array" ref="H106">_xlfn.XLOOKUP(Table11887[[#This Row],[Opp]],Table46[DEF],'2024 fSZN'!$W$3:$W$34)</f>
        <v>30</v>
      </c>
      <c r="I106" s="94" cm="1">
        <f t="array" ref="I106">_xlfn.XLOOKUP(Table11887[[#This Row],[Opp]],Table46[DEF],'2024 fSZN'!$X$3:$X$34)</f>
        <v>30.5</v>
      </c>
      <c r="J106" s="94" cm="1">
        <f t="array" ref="J106">_xlfn.XLOOKUP(Table11887[[#This Row],[Opp]],Table46[DEF],'2024 fSZN'!$Y$3:$Y$34)</f>
        <v>8</v>
      </c>
      <c r="K106" s="94" cm="1">
        <f t="array" ref="K106">_xlfn.XLOOKUP(Table11887[[#This Row],[Opp]],Table46[DEF],'2024 fSZN'!$Z$3:$Z$34)</f>
        <v>2.5</v>
      </c>
      <c r="L106" s="95">
        <f>_xlfn.XLOOKUP(Table11887[[#This Row],[Opp]],Table46[DEF],Table46[R])</f>
        <v>116</v>
      </c>
      <c r="M106" s="95">
        <f>_xlfn.XLOOKUP(Table11887[[#This Row],[Opp]],Table46[DEF],Table46[REC])</f>
        <v>3.2352941176470589</v>
      </c>
      <c r="N106" s="95">
        <f>_xlfn.XLOOKUP(Table11887[[#This Row],[Opp]],Table46[DEF],Table46[Y])</f>
        <v>23.588235294117649</v>
      </c>
      <c r="O106" s="95">
        <f>_xlfn.XLOOKUP(Table11887[[#This Row],[Opp]],Table46[DEF],Table46[R+R])</f>
        <v>139.58823529411765</v>
      </c>
      <c r="P106" s="96">
        <f>_xlfn.XLOOKUP(Table11887[[#This Row],[Opp]],Table46[DEF],Table46[TD])</f>
        <v>1.2352941176470589</v>
      </c>
      <c r="Q106" s="94">
        <f>AVERAGE(Table11887[[#This Row],[*R*]:[*R+Y*]])</f>
        <v>17.875</v>
      </c>
    </row>
    <row r="107" spans="2:17" x14ac:dyDescent="0.35">
      <c r="B107" s="6" t="s">
        <v>526</v>
      </c>
      <c r="C107" s="97" t="s">
        <v>52</v>
      </c>
      <c r="D107" s="98" t="s">
        <v>396</v>
      </c>
      <c r="E107" s="6">
        <v>1</v>
      </c>
      <c r="F107" s="97" t="str">
        <f>'2025'!$E$30</f>
        <v>NE</v>
      </c>
      <c r="G107" s="94" cm="1">
        <f t="array" ref="G107">_xlfn.XLOOKUP(Table11887[[#This Row],[Opp]],Table46[DEF],'2024 fSZN'!$V$3:$V$34)</f>
        <v>3</v>
      </c>
      <c r="H107" s="94" cm="1">
        <f t="array" ref="H107">_xlfn.XLOOKUP(Table11887[[#This Row],[Opp]],Table46[DEF],'2024 fSZN'!$W$3:$W$34)</f>
        <v>30</v>
      </c>
      <c r="I107" s="94" cm="1">
        <f t="array" ref="I107">_xlfn.XLOOKUP(Table11887[[#This Row],[Opp]],Table46[DEF],'2024 fSZN'!$X$3:$X$34)</f>
        <v>30.5</v>
      </c>
      <c r="J107" s="94" cm="1">
        <f t="array" ref="J107">_xlfn.XLOOKUP(Table11887[[#This Row],[Opp]],Table46[DEF],'2024 fSZN'!$Y$3:$Y$34)</f>
        <v>8</v>
      </c>
      <c r="K107" s="94" cm="1">
        <f t="array" ref="K107">_xlfn.XLOOKUP(Table11887[[#This Row],[Opp]],Table46[DEF],'2024 fSZN'!$Z$3:$Z$34)</f>
        <v>2.5</v>
      </c>
      <c r="L107" s="95">
        <f>_xlfn.XLOOKUP(Table11887[[#This Row],[Opp]],Table46[DEF],Table46[R])</f>
        <v>116</v>
      </c>
      <c r="M107" s="95">
        <f>_xlfn.XLOOKUP(Table11887[[#This Row],[Opp]],Table46[DEF],Table46[REC])</f>
        <v>3.2352941176470589</v>
      </c>
      <c r="N107" s="95">
        <f>_xlfn.XLOOKUP(Table11887[[#This Row],[Opp]],Table46[DEF],Table46[Y])</f>
        <v>23.588235294117649</v>
      </c>
      <c r="O107" s="95">
        <f>_xlfn.XLOOKUP(Table11887[[#This Row],[Opp]],Table46[DEF],Table46[R+R])</f>
        <v>139.58823529411765</v>
      </c>
      <c r="P107" s="96">
        <f>_xlfn.XLOOKUP(Table11887[[#This Row],[Opp]],Table46[DEF],Table46[TD])</f>
        <v>1.2352941176470589</v>
      </c>
      <c r="Q107" s="94">
        <f>AVERAGE(Table11887[[#This Row],[*R*]:[*R+Y*]])</f>
        <v>17.875</v>
      </c>
    </row>
    <row r="108" spans="2:17" x14ac:dyDescent="0.35">
      <c r="B108" s="6" t="s">
        <v>527</v>
      </c>
      <c r="C108" s="97" t="s">
        <v>52</v>
      </c>
      <c r="D108" s="97" t="s">
        <v>407</v>
      </c>
      <c r="E108" s="6">
        <v>-1</v>
      </c>
      <c r="F108" s="97" t="str">
        <f>'2025'!$E$30</f>
        <v>NE</v>
      </c>
      <c r="G108" s="94" cm="1">
        <f t="array" ref="G108">_xlfn.XLOOKUP(Table11887[[#This Row],[Opp]],Table46[DEF],'2024 fSZN'!$V$3:$V$34)</f>
        <v>3</v>
      </c>
      <c r="H108" s="94" cm="1">
        <f t="array" ref="H108">_xlfn.XLOOKUP(Table11887[[#This Row],[Opp]],Table46[DEF],'2024 fSZN'!$W$3:$W$34)</f>
        <v>30</v>
      </c>
      <c r="I108" s="94" cm="1">
        <f t="array" ref="I108">_xlfn.XLOOKUP(Table11887[[#This Row],[Opp]],Table46[DEF],'2024 fSZN'!$X$3:$X$34)</f>
        <v>30.5</v>
      </c>
      <c r="J108" s="94" cm="1">
        <f t="array" ref="J108">_xlfn.XLOOKUP(Table11887[[#This Row],[Opp]],Table46[DEF],'2024 fSZN'!$Y$3:$Y$34)</f>
        <v>8</v>
      </c>
      <c r="K108" s="94" cm="1">
        <f t="array" ref="K108">_xlfn.XLOOKUP(Table11887[[#This Row],[Opp]],Table46[DEF],'2024 fSZN'!$Z$3:$Z$34)</f>
        <v>2.5</v>
      </c>
      <c r="L108" s="95">
        <f>_xlfn.XLOOKUP(Table11887[[#This Row],[Opp]],Table46[DEF],Table46[R])</f>
        <v>116</v>
      </c>
      <c r="M108" s="95">
        <f>_xlfn.XLOOKUP(Table11887[[#This Row],[Opp]],Table46[DEF],Table46[REC])</f>
        <v>3.2352941176470589</v>
      </c>
      <c r="N108" s="95">
        <f>_xlfn.XLOOKUP(Table11887[[#This Row],[Opp]],Table46[DEF],Table46[Y])</f>
        <v>23.588235294117649</v>
      </c>
      <c r="O108" s="95">
        <f>_xlfn.XLOOKUP(Table11887[[#This Row],[Opp]],Table46[DEF],Table46[R+R])</f>
        <v>139.58823529411765</v>
      </c>
      <c r="P108" s="96">
        <f>_xlfn.XLOOKUP(Table11887[[#This Row],[Opp]],Table46[DEF],Table46[TD])</f>
        <v>1.2352941176470589</v>
      </c>
      <c r="Q108" s="94">
        <f>AVERAGE(Table11887[[#This Row],[*R*]:[*R+Y*]])</f>
        <v>17.875</v>
      </c>
    </row>
    <row r="109" spans="2:17" x14ac:dyDescent="0.35">
      <c r="B109" s="6" t="s">
        <v>360</v>
      </c>
      <c r="C109" s="97" t="s">
        <v>53</v>
      </c>
      <c r="D109" s="97" t="s">
        <v>395</v>
      </c>
      <c r="E109" s="6">
        <v>1</v>
      </c>
      <c r="F109" s="97" t="str">
        <f>'2025'!$E$31</f>
        <v>n/a</v>
      </c>
      <c r="G109" s="94" t="e" cm="1">
        <f t="array" ref="G109">_xlfn.XLOOKUP(Table11887[[#This Row],[Opp]],Table46[DEF],'2024 fSZN'!$V$3:$V$34)</f>
        <v>#N/A</v>
      </c>
      <c r="H109" s="94" t="e" cm="1">
        <f t="array" ref="H109">_xlfn.XLOOKUP(Table11887[[#This Row],[Opp]],Table46[DEF],'2024 fSZN'!$W$3:$W$34)</f>
        <v>#N/A</v>
      </c>
      <c r="I109" s="94" t="e" cm="1">
        <f t="array" ref="I109">_xlfn.XLOOKUP(Table11887[[#This Row],[Opp]],Table46[DEF],'2024 fSZN'!$X$3:$X$34)</f>
        <v>#N/A</v>
      </c>
      <c r="J109" s="94" t="e" cm="1">
        <f t="array" ref="J109">_xlfn.XLOOKUP(Table11887[[#This Row],[Opp]],Table46[DEF],'2024 fSZN'!$Y$3:$Y$34)</f>
        <v>#N/A</v>
      </c>
      <c r="K109" s="94" t="e" cm="1">
        <f t="array" ref="K109">_xlfn.XLOOKUP(Table11887[[#This Row],[Opp]],Table46[DEF],'2024 fSZN'!$Z$3:$Z$34)</f>
        <v>#N/A</v>
      </c>
      <c r="L109" s="95" t="e">
        <f>_xlfn.XLOOKUP(Table11887[[#This Row],[Opp]],Table46[DEF],Table46[R])</f>
        <v>#N/A</v>
      </c>
      <c r="M109" s="95" t="e">
        <f>_xlfn.XLOOKUP(Table11887[[#This Row],[Opp]],Table46[DEF],Table46[REC])</f>
        <v>#N/A</v>
      </c>
      <c r="N109" s="95" t="e">
        <f>_xlfn.XLOOKUP(Table11887[[#This Row],[Opp]],Table46[DEF],Table46[Y])</f>
        <v>#N/A</v>
      </c>
      <c r="O109" s="95" t="e">
        <f>_xlfn.XLOOKUP(Table11887[[#This Row],[Opp]],Table46[DEF],Table46[R+R])</f>
        <v>#N/A</v>
      </c>
      <c r="P109" s="96" t="e">
        <f>_xlfn.XLOOKUP(Table11887[[#This Row],[Opp]],Table46[DEF],Table46[TD])</f>
        <v>#N/A</v>
      </c>
      <c r="Q109" s="94" t="e">
        <f>AVERAGE(Table11887[[#This Row],[*R*]:[*R+Y*]])</f>
        <v>#N/A</v>
      </c>
    </row>
    <row r="110" spans="2:17" x14ac:dyDescent="0.35">
      <c r="B110" s="6" t="s">
        <v>359</v>
      </c>
      <c r="C110" s="97" t="s">
        <v>53</v>
      </c>
      <c r="D110" s="97" t="s">
        <v>394</v>
      </c>
      <c r="E110" s="6">
        <v>1</v>
      </c>
      <c r="F110" s="97" t="str">
        <f>'2025'!$E$31</f>
        <v>n/a</v>
      </c>
      <c r="G110" s="94" t="e" cm="1">
        <f t="array" ref="G110">_xlfn.XLOOKUP(Table11887[[#This Row],[Opp]],Table46[DEF],'2024 fSZN'!$V$3:$V$34)</f>
        <v>#N/A</v>
      </c>
      <c r="H110" s="94" t="e" cm="1">
        <f t="array" ref="H110">_xlfn.XLOOKUP(Table11887[[#This Row],[Opp]],Table46[DEF],'2024 fSZN'!$W$3:$W$34)</f>
        <v>#N/A</v>
      </c>
      <c r="I110" s="94" t="e" cm="1">
        <f t="array" ref="I110">_xlfn.XLOOKUP(Table11887[[#This Row],[Opp]],Table46[DEF],'2024 fSZN'!$X$3:$X$34)</f>
        <v>#N/A</v>
      </c>
      <c r="J110" s="94" t="e" cm="1">
        <f t="array" ref="J110">_xlfn.XLOOKUP(Table11887[[#This Row],[Opp]],Table46[DEF],'2024 fSZN'!$Y$3:$Y$34)</f>
        <v>#N/A</v>
      </c>
      <c r="K110" s="94" t="e" cm="1">
        <f t="array" ref="K110">_xlfn.XLOOKUP(Table11887[[#This Row],[Opp]],Table46[DEF],'2024 fSZN'!$Z$3:$Z$34)</f>
        <v>#N/A</v>
      </c>
      <c r="L110" s="95" t="e">
        <f>_xlfn.XLOOKUP(Table11887[[#This Row],[Opp]],Table46[DEF],Table46[R])</f>
        <v>#N/A</v>
      </c>
      <c r="M110" s="95" t="e">
        <f>_xlfn.XLOOKUP(Table11887[[#This Row],[Opp]],Table46[DEF],Table46[REC])</f>
        <v>#N/A</v>
      </c>
      <c r="N110" s="95" t="e">
        <f>_xlfn.XLOOKUP(Table11887[[#This Row],[Opp]],Table46[DEF],Table46[Y])</f>
        <v>#N/A</v>
      </c>
      <c r="O110" s="95" t="e">
        <f>_xlfn.XLOOKUP(Table11887[[#This Row],[Opp]],Table46[DEF],Table46[R+R])</f>
        <v>#N/A</v>
      </c>
      <c r="P110" s="96" t="e">
        <f>_xlfn.XLOOKUP(Table11887[[#This Row],[Opp]],Table46[DEF],Table46[TD])</f>
        <v>#N/A</v>
      </c>
      <c r="Q110" s="94" t="e">
        <f>AVERAGE(Table11887[[#This Row],[*R*]:[*R+Y*]])</f>
        <v>#N/A</v>
      </c>
    </row>
    <row r="111" spans="2:17" x14ac:dyDescent="0.35">
      <c r="B111" s="6" t="s">
        <v>361</v>
      </c>
      <c r="C111" s="97" t="s">
        <v>53</v>
      </c>
      <c r="D111" s="97" t="s">
        <v>396</v>
      </c>
      <c r="E111" s="6">
        <v>1</v>
      </c>
      <c r="F111" s="97" t="str">
        <f>'2025'!$E$31</f>
        <v>n/a</v>
      </c>
      <c r="G111" s="94" t="e" cm="1">
        <f t="array" ref="G111">_xlfn.XLOOKUP(Table11887[[#This Row],[Opp]],Table46[DEF],'2024 fSZN'!$V$3:$V$34)</f>
        <v>#N/A</v>
      </c>
      <c r="H111" s="94" t="e" cm="1">
        <f t="array" ref="H111">_xlfn.XLOOKUP(Table11887[[#This Row],[Opp]],Table46[DEF],'2024 fSZN'!$W$3:$W$34)</f>
        <v>#N/A</v>
      </c>
      <c r="I111" s="94" t="e" cm="1">
        <f t="array" ref="I111">_xlfn.XLOOKUP(Table11887[[#This Row],[Opp]],Table46[DEF],'2024 fSZN'!$X$3:$X$34)</f>
        <v>#N/A</v>
      </c>
      <c r="J111" s="94" t="e" cm="1">
        <f t="array" ref="J111">_xlfn.XLOOKUP(Table11887[[#This Row],[Opp]],Table46[DEF],'2024 fSZN'!$Y$3:$Y$34)</f>
        <v>#N/A</v>
      </c>
      <c r="K111" s="94" t="e" cm="1">
        <f t="array" ref="K111">_xlfn.XLOOKUP(Table11887[[#This Row],[Opp]],Table46[DEF],'2024 fSZN'!$Z$3:$Z$34)</f>
        <v>#N/A</v>
      </c>
      <c r="L111" s="95" t="e">
        <f>_xlfn.XLOOKUP(Table11887[[#This Row],[Opp]],Table46[DEF],Table46[R])</f>
        <v>#N/A</v>
      </c>
      <c r="M111" s="95" t="e">
        <f>_xlfn.XLOOKUP(Table11887[[#This Row],[Opp]],Table46[DEF],Table46[REC])</f>
        <v>#N/A</v>
      </c>
      <c r="N111" s="95" t="e">
        <f>_xlfn.XLOOKUP(Table11887[[#This Row],[Opp]],Table46[DEF],Table46[Y])</f>
        <v>#N/A</v>
      </c>
      <c r="O111" s="95" t="e">
        <f>_xlfn.XLOOKUP(Table11887[[#This Row],[Opp]],Table46[DEF],Table46[R+R])</f>
        <v>#N/A</v>
      </c>
      <c r="P111" s="96" t="e">
        <f>_xlfn.XLOOKUP(Table11887[[#This Row],[Opp]],Table46[DEF],Table46[TD])</f>
        <v>#N/A</v>
      </c>
      <c r="Q111" s="94" t="e">
        <f>AVERAGE(Table11887[[#This Row],[*R*]:[*R+Y*]])</f>
        <v>#N/A</v>
      </c>
    </row>
    <row r="112" spans="2:17" x14ac:dyDescent="0.35">
      <c r="B112" s="6" t="s">
        <v>362</v>
      </c>
      <c r="C112" s="97" t="s">
        <v>53</v>
      </c>
      <c r="D112" s="97" t="s">
        <v>407</v>
      </c>
      <c r="E112" s="6">
        <v>0</v>
      </c>
      <c r="F112" s="97" t="str">
        <f>'2025'!$E$31</f>
        <v>n/a</v>
      </c>
      <c r="G112" s="94" t="e" cm="1">
        <f t="array" ref="G112">_xlfn.XLOOKUP(Table11887[[#This Row],[Opp]],Table46[DEF],'2024 fSZN'!$V$3:$V$34)</f>
        <v>#N/A</v>
      </c>
      <c r="H112" s="94" t="e" cm="1">
        <f t="array" ref="H112">_xlfn.XLOOKUP(Table11887[[#This Row],[Opp]],Table46[DEF],'2024 fSZN'!$W$3:$W$34)</f>
        <v>#N/A</v>
      </c>
      <c r="I112" s="94" t="e" cm="1">
        <f t="array" ref="I112">_xlfn.XLOOKUP(Table11887[[#This Row],[Opp]],Table46[DEF],'2024 fSZN'!$X$3:$X$34)</f>
        <v>#N/A</v>
      </c>
      <c r="J112" s="94" t="e" cm="1">
        <f t="array" ref="J112">_xlfn.XLOOKUP(Table11887[[#This Row],[Opp]],Table46[DEF],'2024 fSZN'!$Y$3:$Y$34)</f>
        <v>#N/A</v>
      </c>
      <c r="K112" s="94" t="e" cm="1">
        <f t="array" ref="K112">_xlfn.XLOOKUP(Table11887[[#This Row],[Opp]],Table46[DEF],'2024 fSZN'!$Z$3:$Z$34)</f>
        <v>#N/A</v>
      </c>
      <c r="L112" s="95" t="e">
        <f>_xlfn.XLOOKUP(Table11887[[#This Row],[Opp]],Table46[DEF],Table46[R])</f>
        <v>#N/A</v>
      </c>
      <c r="M112" s="95" t="e">
        <f>_xlfn.XLOOKUP(Table11887[[#This Row],[Opp]],Table46[DEF],Table46[REC])</f>
        <v>#N/A</v>
      </c>
      <c r="N112" s="95" t="e">
        <f>_xlfn.XLOOKUP(Table11887[[#This Row],[Opp]],Table46[DEF],Table46[Y])</f>
        <v>#N/A</v>
      </c>
      <c r="O112" s="95" t="e">
        <f>_xlfn.XLOOKUP(Table11887[[#This Row],[Opp]],Table46[DEF],Table46[R+R])</f>
        <v>#N/A</v>
      </c>
      <c r="P112" s="96" t="e">
        <f>_xlfn.XLOOKUP(Table11887[[#This Row],[Opp]],Table46[DEF],Table46[TD])</f>
        <v>#N/A</v>
      </c>
      <c r="Q112" s="94" t="e">
        <f>AVERAGE(Table11887[[#This Row],[*R*]:[*R+Y*]])</f>
        <v>#N/A</v>
      </c>
    </row>
    <row r="113" spans="2:17" x14ac:dyDescent="0.35">
      <c r="B113" s="6" t="s">
        <v>369</v>
      </c>
      <c r="C113" s="97" t="s">
        <v>54</v>
      </c>
      <c r="D113" s="97" t="s">
        <v>395</v>
      </c>
      <c r="E113" s="6">
        <v>1</v>
      </c>
      <c r="F113" s="97" t="str">
        <f>'2025'!$E$32</f>
        <v>n/a</v>
      </c>
      <c r="G113" s="94" t="e" cm="1">
        <f t="array" ref="G113">_xlfn.XLOOKUP(Table11887[[#This Row],[Opp]],Table46[DEF],'2024 fSZN'!$V$3:$V$34)</f>
        <v>#N/A</v>
      </c>
      <c r="H113" s="94" t="e" cm="1">
        <f t="array" ref="H113">_xlfn.XLOOKUP(Table11887[[#This Row],[Opp]],Table46[DEF],'2024 fSZN'!$W$3:$W$34)</f>
        <v>#N/A</v>
      </c>
      <c r="I113" s="94" t="e" cm="1">
        <f t="array" ref="I113">_xlfn.XLOOKUP(Table11887[[#This Row],[Opp]],Table46[DEF],'2024 fSZN'!$X$3:$X$34)</f>
        <v>#N/A</v>
      </c>
      <c r="J113" s="94" t="e" cm="1">
        <f t="array" ref="J113">_xlfn.XLOOKUP(Table11887[[#This Row],[Opp]],Table46[DEF],'2024 fSZN'!$Y$3:$Y$34)</f>
        <v>#N/A</v>
      </c>
      <c r="K113" s="94" t="e" cm="1">
        <f t="array" ref="K113">_xlfn.XLOOKUP(Table11887[[#This Row],[Opp]],Table46[DEF],'2024 fSZN'!$Z$3:$Z$34)</f>
        <v>#N/A</v>
      </c>
      <c r="L113" s="95" t="e">
        <f>_xlfn.XLOOKUP(Table11887[[#This Row],[Opp]],Table46[DEF],Table46[R])</f>
        <v>#N/A</v>
      </c>
      <c r="M113" s="95" t="e">
        <f>_xlfn.XLOOKUP(Table11887[[#This Row],[Opp]],Table46[DEF],Table46[REC])</f>
        <v>#N/A</v>
      </c>
      <c r="N113" s="95" t="e">
        <f>_xlfn.XLOOKUP(Table11887[[#This Row],[Opp]],Table46[DEF],Table46[Y])</f>
        <v>#N/A</v>
      </c>
      <c r="O113" s="95" t="e">
        <f>_xlfn.XLOOKUP(Table11887[[#This Row],[Opp]],Table46[DEF],Table46[R+R])</f>
        <v>#N/A</v>
      </c>
      <c r="P113" s="96" t="e">
        <f>_xlfn.XLOOKUP(Table11887[[#This Row],[Opp]],Table46[DEF],Table46[TD])</f>
        <v>#N/A</v>
      </c>
      <c r="Q113" s="94" t="e">
        <f>AVERAGE(Table11887[[#This Row],[*R*]:[*R+Y*]])</f>
        <v>#N/A</v>
      </c>
    </row>
    <row r="114" spans="2:17" x14ac:dyDescent="0.35">
      <c r="B114" s="6" t="s">
        <v>368</v>
      </c>
      <c r="C114" s="97" t="s">
        <v>54</v>
      </c>
      <c r="D114" s="97" t="s">
        <v>394</v>
      </c>
      <c r="E114" s="6">
        <v>0</v>
      </c>
      <c r="F114" s="97" t="str">
        <f>'2025'!$E$32</f>
        <v>n/a</v>
      </c>
      <c r="G114" s="94" t="e" cm="1">
        <f t="array" ref="G114">_xlfn.XLOOKUP(Table11887[[#This Row],[Opp]],Table46[DEF],'2024 fSZN'!$V$3:$V$34)</f>
        <v>#N/A</v>
      </c>
      <c r="H114" s="94" t="e" cm="1">
        <f t="array" ref="H114">_xlfn.XLOOKUP(Table11887[[#This Row],[Opp]],Table46[DEF],'2024 fSZN'!$W$3:$W$34)</f>
        <v>#N/A</v>
      </c>
      <c r="I114" s="94" t="e" cm="1">
        <f t="array" ref="I114">_xlfn.XLOOKUP(Table11887[[#This Row],[Opp]],Table46[DEF],'2024 fSZN'!$X$3:$X$34)</f>
        <v>#N/A</v>
      </c>
      <c r="J114" s="94" t="e" cm="1">
        <f t="array" ref="J114">_xlfn.XLOOKUP(Table11887[[#This Row],[Opp]],Table46[DEF],'2024 fSZN'!$Y$3:$Y$34)</f>
        <v>#N/A</v>
      </c>
      <c r="K114" s="94" t="e" cm="1">
        <f t="array" ref="K114">_xlfn.XLOOKUP(Table11887[[#This Row],[Opp]],Table46[DEF],'2024 fSZN'!$Z$3:$Z$34)</f>
        <v>#N/A</v>
      </c>
      <c r="L114" s="95" t="e">
        <f>_xlfn.XLOOKUP(Table11887[[#This Row],[Opp]],Table46[DEF],Table46[R])</f>
        <v>#N/A</v>
      </c>
      <c r="M114" s="95" t="e">
        <f>_xlfn.XLOOKUP(Table11887[[#This Row],[Opp]],Table46[DEF],Table46[REC])</f>
        <v>#N/A</v>
      </c>
      <c r="N114" s="95" t="e">
        <f>_xlfn.XLOOKUP(Table11887[[#This Row],[Opp]],Table46[DEF],Table46[Y])</f>
        <v>#N/A</v>
      </c>
      <c r="O114" s="95" t="e">
        <f>_xlfn.XLOOKUP(Table11887[[#This Row],[Opp]],Table46[DEF],Table46[R+R])</f>
        <v>#N/A</v>
      </c>
      <c r="P114" s="96" t="e">
        <f>_xlfn.XLOOKUP(Table11887[[#This Row],[Opp]],Table46[DEF],Table46[TD])</f>
        <v>#N/A</v>
      </c>
      <c r="Q114" s="94" t="e">
        <f>AVERAGE(Table11887[[#This Row],[*R*]:[*R+Y*]])</f>
        <v>#N/A</v>
      </c>
    </row>
    <row r="115" spans="2:17" x14ac:dyDescent="0.35">
      <c r="B115" s="6" t="s">
        <v>370</v>
      </c>
      <c r="C115" s="97" t="s">
        <v>54</v>
      </c>
      <c r="D115" s="97" t="s">
        <v>396</v>
      </c>
      <c r="E115" s="6">
        <v>1</v>
      </c>
      <c r="F115" s="97" t="str">
        <f>'2025'!$E$32</f>
        <v>n/a</v>
      </c>
      <c r="G115" s="94" t="e" cm="1">
        <f t="array" ref="G115">_xlfn.XLOOKUP(Table11887[[#This Row],[Opp]],Table46[DEF],'2024 fSZN'!$V$3:$V$34)</f>
        <v>#N/A</v>
      </c>
      <c r="H115" s="94" t="e" cm="1">
        <f t="array" ref="H115">_xlfn.XLOOKUP(Table11887[[#This Row],[Opp]],Table46[DEF],'2024 fSZN'!$W$3:$W$34)</f>
        <v>#N/A</v>
      </c>
      <c r="I115" s="94" t="e" cm="1">
        <f t="array" ref="I115">_xlfn.XLOOKUP(Table11887[[#This Row],[Opp]],Table46[DEF],'2024 fSZN'!$X$3:$X$34)</f>
        <v>#N/A</v>
      </c>
      <c r="J115" s="94" t="e" cm="1">
        <f t="array" ref="J115">_xlfn.XLOOKUP(Table11887[[#This Row],[Opp]],Table46[DEF],'2024 fSZN'!$Y$3:$Y$34)</f>
        <v>#N/A</v>
      </c>
      <c r="K115" s="94" t="e" cm="1">
        <f t="array" ref="K115">_xlfn.XLOOKUP(Table11887[[#This Row],[Opp]],Table46[DEF],'2024 fSZN'!$Z$3:$Z$34)</f>
        <v>#N/A</v>
      </c>
      <c r="L115" s="95" t="e">
        <f>_xlfn.XLOOKUP(Table11887[[#This Row],[Opp]],Table46[DEF],Table46[R])</f>
        <v>#N/A</v>
      </c>
      <c r="M115" s="95" t="e">
        <f>_xlfn.XLOOKUP(Table11887[[#This Row],[Opp]],Table46[DEF],Table46[REC])</f>
        <v>#N/A</v>
      </c>
      <c r="N115" s="95" t="e">
        <f>_xlfn.XLOOKUP(Table11887[[#This Row],[Opp]],Table46[DEF],Table46[Y])</f>
        <v>#N/A</v>
      </c>
      <c r="O115" s="95" t="e">
        <f>_xlfn.XLOOKUP(Table11887[[#This Row],[Opp]],Table46[DEF],Table46[R+R])</f>
        <v>#N/A</v>
      </c>
      <c r="P115" s="96" t="e">
        <f>_xlfn.XLOOKUP(Table11887[[#This Row],[Opp]],Table46[DEF],Table46[TD])</f>
        <v>#N/A</v>
      </c>
      <c r="Q115" s="94" t="e">
        <f>AVERAGE(Table11887[[#This Row],[*R*]:[*R+Y*]])</f>
        <v>#N/A</v>
      </c>
    </row>
    <row r="116" spans="2:17" x14ac:dyDescent="0.35">
      <c r="B116" s="6" t="s">
        <v>184</v>
      </c>
      <c r="C116" s="97" t="s">
        <v>54</v>
      </c>
      <c r="D116" s="97" t="s">
        <v>407</v>
      </c>
      <c r="E116" s="6">
        <v>1</v>
      </c>
      <c r="F116" s="97" t="str">
        <f>'2025'!$E$32</f>
        <v>n/a</v>
      </c>
      <c r="G116" s="94" t="e" cm="1">
        <f t="array" ref="G116">_xlfn.XLOOKUP(Table11887[[#This Row],[Opp]],Table46[DEF],'2024 fSZN'!$V$3:$V$34)</f>
        <v>#N/A</v>
      </c>
      <c r="H116" s="94" t="e" cm="1">
        <f t="array" ref="H116">_xlfn.XLOOKUP(Table11887[[#This Row],[Opp]],Table46[DEF],'2024 fSZN'!$W$3:$W$34)</f>
        <v>#N/A</v>
      </c>
      <c r="I116" s="94" t="e" cm="1">
        <f t="array" ref="I116">_xlfn.XLOOKUP(Table11887[[#This Row],[Opp]],Table46[DEF],'2024 fSZN'!$X$3:$X$34)</f>
        <v>#N/A</v>
      </c>
      <c r="J116" s="94" t="e" cm="1">
        <f t="array" ref="J116">_xlfn.XLOOKUP(Table11887[[#This Row],[Opp]],Table46[DEF],'2024 fSZN'!$Y$3:$Y$34)</f>
        <v>#N/A</v>
      </c>
      <c r="K116" s="94" t="e" cm="1">
        <f t="array" ref="K116">_xlfn.XLOOKUP(Table11887[[#This Row],[Opp]],Table46[DEF],'2024 fSZN'!$Z$3:$Z$34)</f>
        <v>#N/A</v>
      </c>
      <c r="L116" s="95" t="e">
        <f>_xlfn.XLOOKUP(Table11887[[#This Row],[Opp]],Table46[DEF],Table46[R])</f>
        <v>#N/A</v>
      </c>
      <c r="M116" s="95" t="e">
        <f>_xlfn.XLOOKUP(Table11887[[#This Row],[Opp]],Table46[DEF],Table46[REC])</f>
        <v>#N/A</v>
      </c>
      <c r="N116" s="95" t="e">
        <f>_xlfn.XLOOKUP(Table11887[[#This Row],[Opp]],Table46[DEF],Table46[Y])</f>
        <v>#N/A</v>
      </c>
      <c r="O116" s="95" t="e">
        <f>_xlfn.XLOOKUP(Table11887[[#This Row],[Opp]],Table46[DEF],Table46[R+R])</f>
        <v>#N/A</v>
      </c>
      <c r="P116" s="96" t="e">
        <f>_xlfn.XLOOKUP(Table11887[[#This Row],[Opp]],Table46[DEF],Table46[TD])</f>
        <v>#N/A</v>
      </c>
      <c r="Q116" s="94" t="e">
        <f>AVERAGE(Table11887[[#This Row],[*R*]:[*R+Y*]])</f>
        <v>#N/A</v>
      </c>
    </row>
    <row r="117" spans="2:17" x14ac:dyDescent="0.35">
      <c r="B117" s="6" t="s">
        <v>378</v>
      </c>
      <c r="C117" s="97" t="s">
        <v>55</v>
      </c>
      <c r="D117" s="97" t="s">
        <v>395</v>
      </c>
      <c r="E117" s="6">
        <v>1</v>
      </c>
      <c r="F117" s="97" t="str">
        <f>'2025'!$E$33</f>
        <v>n/a</v>
      </c>
      <c r="G117" s="94" t="e" cm="1">
        <f t="array" ref="G117">_xlfn.XLOOKUP(Table11887[[#This Row],[Opp]],Table46[DEF],'2024 fSZN'!$V$3:$V$34)</f>
        <v>#N/A</v>
      </c>
      <c r="H117" s="94" t="e" cm="1">
        <f t="array" ref="H117">_xlfn.XLOOKUP(Table11887[[#This Row],[Opp]],Table46[DEF],'2024 fSZN'!$W$3:$W$34)</f>
        <v>#N/A</v>
      </c>
      <c r="I117" s="94" t="e" cm="1">
        <f t="array" ref="I117">_xlfn.XLOOKUP(Table11887[[#This Row],[Opp]],Table46[DEF],'2024 fSZN'!$X$3:$X$34)</f>
        <v>#N/A</v>
      </c>
      <c r="J117" s="94" t="e" cm="1">
        <f t="array" ref="J117">_xlfn.XLOOKUP(Table11887[[#This Row],[Opp]],Table46[DEF],'2024 fSZN'!$Y$3:$Y$34)</f>
        <v>#N/A</v>
      </c>
      <c r="K117" s="94" t="e" cm="1">
        <f t="array" ref="K117">_xlfn.XLOOKUP(Table11887[[#This Row],[Opp]],Table46[DEF],'2024 fSZN'!$Z$3:$Z$34)</f>
        <v>#N/A</v>
      </c>
      <c r="L117" s="95" t="e">
        <f>_xlfn.XLOOKUP(Table11887[[#This Row],[Opp]],Table46[DEF],Table46[R])</f>
        <v>#N/A</v>
      </c>
      <c r="M117" s="95" t="e">
        <f>_xlfn.XLOOKUP(Table11887[[#This Row],[Opp]],Table46[DEF],Table46[REC])</f>
        <v>#N/A</v>
      </c>
      <c r="N117" s="95" t="e">
        <f>_xlfn.XLOOKUP(Table11887[[#This Row],[Opp]],Table46[DEF],Table46[Y])</f>
        <v>#N/A</v>
      </c>
      <c r="O117" s="95" t="e">
        <f>_xlfn.XLOOKUP(Table11887[[#This Row],[Opp]],Table46[DEF],Table46[R+R])</f>
        <v>#N/A</v>
      </c>
      <c r="P117" s="96" t="e">
        <f>_xlfn.XLOOKUP(Table11887[[#This Row],[Opp]],Table46[DEF],Table46[TD])</f>
        <v>#N/A</v>
      </c>
      <c r="Q117" s="94" t="e">
        <f>AVERAGE(Table11887[[#This Row],[*R*]:[*R+Y*]])</f>
        <v>#N/A</v>
      </c>
    </row>
    <row r="118" spans="2:17" x14ac:dyDescent="0.35">
      <c r="B118" s="6" t="s">
        <v>589</v>
      </c>
      <c r="C118" s="97" t="s">
        <v>55</v>
      </c>
      <c r="D118" s="97" t="s">
        <v>394</v>
      </c>
      <c r="E118" s="6">
        <v>1</v>
      </c>
      <c r="F118" s="97" t="str">
        <f>'2025'!$E$33</f>
        <v>n/a</v>
      </c>
      <c r="G118" s="94" t="e" cm="1">
        <f t="array" ref="G118">_xlfn.XLOOKUP(Table11887[[#This Row],[Opp]],Table46[DEF],'2024 fSZN'!$V$3:$V$34)</f>
        <v>#N/A</v>
      </c>
      <c r="H118" s="94" t="e" cm="1">
        <f t="array" ref="H118">_xlfn.XLOOKUP(Table11887[[#This Row],[Opp]],Table46[DEF],'2024 fSZN'!$W$3:$W$34)</f>
        <v>#N/A</v>
      </c>
      <c r="I118" s="94" t="e" cm="1">
        <f t="array" ref="I118">_xlfn.XLOOKUP(Table11887[[#This Row],[Opp]],Table46[DEF],'2024 fSZN'!$X$3:$X$34)</f>
        <v>#N/A</v>
      </c>
      <c r="J118" s="94" t="e" cm="1">
        <f t="array" ref="J118">_xlfn.XLOOKUP(Table11887[[#This Row],[Opp]],Table46[DEF],'2024 fSZN'!$Y$3:$Y$34)</f>
        <v>#N/A</v>
      </c>
      <c r="K118" s="94" t="e" cm="1">
        <f t="array" ref="K118">_xlfn.XLOOKUP(Table11887[[#This Row],[Opp]],Table46[DEF],'2024 fSZN'!$Z$3:$Z$34)</f>
        <v>#N/A</v>
      </c>
      <c r="L118" s="95" t="e">
        <f>_xlfn.XLOOKUP(Table11887[[#This Row],[Opp]],Table46[DEF],Table46[R])</f>
        <v>#N/A</v>
      </c>
      <c r="M118" s="95" t="e">
        <f>_xlfn.XLOOKUP(Table11887[[#This Row],[Opp]],Table46[DEF],Table46[REC])</f>
        <v>#N/A</v>
      </c>
      <c r="N118" s="95" t="e">
        <f>_xlfn.XLOOKUP(Table11887[[#This Row],[Opp]],Table46[DEF],Table46[Y])</f>
        <v>#N/A</v>
      </c>
      <c r="O118" s="95" t="e">
        <f>_xlfn.XLOOKUP(Table11887[[#This Row],[Opp]],Table46[DEF],Table46[R+R])</f>
        <v>#N/A</v>
      </c>
      <c r="P118" s="96" t="e">
        <f>_xlfn.XLOOKUP(Table11887[[#This Row],[Opp]],Table46[DEF],Table46[TD])</f>
        <v>#N/A</v>
      </c>
      <c r="Q118" s="94" t="e">
        <f>AVERAGE(Table11887[[#This Row],[*R*]:[*R+Y*]])</f>
        <v>#N/A</v>
      </c>
    </row>
    <row r="119" spans="2:17" x14ac:dyDescent="0.35">
      <c r="B119" s="6" t="s">
        <v>380</v>
      </c>
      <c r="C119" s="97" t="s">
        <v>55</v>
      </c>
      <c r="D119" s="97" t="s">
        <v>396</v>
      </c>
      <c r="E119" s="6">
        <v>0</v>
      </c>
      <c r="F119" s="97" t="str">
        <f>'2025'!$E$33</f>
        <v>n/a</v>
      </c>
      <c r="G119" s="94" t="e" cm="1">
        <f t="array" ref="G119">_xlfn.XLOOKUP(Table11887[[#This Row],[Opp]],Table46[DEF],'2024 fSZN'!$V$3:$V$34)</f>
        <v>#N/A</v>
      </c>
      <c r="H119" s="94" t="e" cm="1">
        <f t="array" ref="H119">_xlfn.XLOOKUP(Table11887[[#This Row],[Opp]],Table46[DEF],'2024 fSZN'!$W$3:$W$34)</f>
        <v>#N/A</v>
      </c>
      <c r="I119" s="94" t="e" cm="1">
        <f t="array" ref="I119">_xlfn.XLOOKUP(Table11887[[#This Row],[Opp]],Table46[DEF],'2024 fSZN'!$X$3:$X$34)</f>
        <v>#N/A</v>
      </c>
      <c r="J119" s="94" t="e" cm="1">
        <f t="array" ref="J119">_xlfn.XLOOKUP(Table11887[[#This Row],[Opp]],Table46[DEF],'2024 fSZN'!$Y$3:$Y$34)</f>
        <v>#N/A</v>
      </c>
      <c r="K119" s="94" t="e" cm="1">
        <f t="array" ref="K119">_xlfn.XLOOKUP(Table11887[[#This Row],[Opp]],Table46[DEF],'2024 fSZN'!$Z$3:$Z$34)</f>
        <v>#N/A</v>
      </c>
      <c r="L119" s="95" t="e">
        <f>_xlfn.XLOOKUP(Table11887[[#This Row],[Opp]],Table46[DEF],Table46[R])</f>
        <v>#N/A</v>
      </c>
      <c r="M119" s="95" t="e">
        <f>_xlfn.XLOOKUP(Table11887[[#This Row],[Opp]],Table46[DEF],Table46[REC])</f>
        <v>#N/A</v>
      </c>
      <c r="N119" s="95" t="e">
        <f>_xlfn.XLOOKUP(Table11887[[#This Row],[Opp]],Table46[DEF],Table46[Y])</f>
        <v>#N/A</v>
      </c>
      <c r="O119" s="95" t="e">
        <f>_xlfn.XLOOKUP(Table11887[[#This Row],[Opp]],Table46[DEF],Table46[R+R])</f>
        <v>#N/A</v>
      </c>
      <c r="P119" s="96" t="e">
        <f>_xlfn.XLOOKUP(Table11887[[#This Row],[Opp]],Table46[DEF],Table46[TD])</f>
        <v>#N/A</v>
      </c>
      <c r="Q119" s="94" t="e">
        <f>AVERAGE(Table11887[[#This Row],[*R*]:[*R+Y*]])</f>
        <v>#N/A</v>
      </c>
    </row>
    <row r="120" spans="2:17" x14ac:dyDescent="0.35">
      <c r="B120" s="6" t="s">
        <v>379</v>
      </c>
      <c r="C120" s="97" t="s">
        <v>55</v>
      </c>
      <c r="D120" s="97" t="s">
        <v>407</v>
      </c>
      <c r="E120" s="6">
        <v>-1</v>
      </c>
      <c r="F120" s="97" t="str">
        <f>'2025'!$E$33</f>
        <v>n/a</v>
      </c>
      <c r="G120" s="94" t="e" cm="1">
        <f t="array" ref="G120">_xlfn.XLOOKUP(Table11887[[#This Row],[Opp]],Table46[DEF],'2024 fSZN'!$V$3:$V$34)</f>
        <v>#N/A</v>
      </c>
      <c r="H120" s="94" t="e" cm="1">
        <f t="array" ref="H120">_xlfn.XLOOKUP(Table11887[[#This Row],[Opp]],Table46[DEF],'2024 fSZN'!$W$3:$W$34)</f>
        <v>#N/A</v>
      </c>
      <c r="I120" s="94" t="e" cm="1">
        <f t="array" ref="I120">_xlfn.XLOOKUP(Table11887[[#This Row],[Opp]],Table46[DEF],'2024 fSZN'!$X$3:$X$34)</f>
        <v>#N/A</v>
      </c>
      <c r="J120" s="94" t="e" cm="1">
        <f t="array" ref="J120">_xlfn.XLOOKUP(Table11887[[#This Row],[Opp]],Table46[DEF],'2024 fSZN'!$Y$3:$Y$34)</f>
        <v>#N/A</v>
      </c>
      <c r="K120" s="94" t="e" cm="1">
        <f t="array" ref="K120">_xlfn.XLOOKUP(Table11887[[#This Row],[Opp]],Table46[DEF],'2024 fSZN'!$Z$3:$Z$34)</f>
        <v>#N/A</v>
      </c>
      <c r="L120" s="95" t="e">
        <f>_xlfn.XLOOKUP(Table11887[[#This Row],[Opp]],Table46[DEF],Table46[R])</f>
        <v>#N/A</v>
      </c>
      <c r="M120" s="95" t="e">
        <f>_xlfn.XLOOKUP(Table11887[[#This Row],[Opp]],Table46[DEF],Table46[REC])</f>
        <v>#N/A</v>
      </c>
      <c r="N120" s="95" t="e">
        <f>_xlfn.XLOOKUP(Table11887[[#This Row],[Opp]],Table46[DEF],Table46[Y])</f>
        <v>#N/A</v>
      </c>
      <c r="O120" s="95" t="e">
        <f>_xlfn.XLOOKUP(Table11887[[#This Row],[Opp]],Table46[DEF],Table46[R+R])</f>
        <v>#N/A</v>
      </c>
      <c r="P120" s="96" t="e">
        <f>_xlfn.XLOOKUP(Table11887[[#This Row],[Opp]],Table46[DEF],Table46[TD])</f>
        <v>#N/A</v>
      </c>
      <c r="Q120" s="94" t="e">
        <f>AVERAGE(Table11887[[#This Row],[*R*]:[*R+Y*]])</f>
        <v>#N/A</v>
      </c>
    </row>
    <row r="121" spans="2:17" x14ac:dyDescent="0.35">
      <c r="B121" s="6" t="s">
        <v>387</v>
      </c>
      <c r="C121" s="97" t="s">
        <v>56</v>
      </c>
      <c r="D121" s="97" t="s">
        <v>395</v>
      </c>
      <c r="E121" s="6">
        <v>1</v>
      </c>
      <c r="F121" s="97" t="str">
        <f>'2025'!$E$34</f>
        <v>n/a</v>
      </c>
      <c r="G121" s="94" t="e" cm="1">
        <f t="array" ref="G121">_xlfn.XLOOKUP(Table11887[[#This Row],[Opp]],Table46[DEF],'2024 fSZN'!$V$3:$V$34)</f>
        <v>#N/A</v>
      </c>
      <c r="H121" s="94" t="e" cm="1">
        <f t="array" ref="H121">_xlfn.XLOOKUP(Table11887[[#This Row],[Opp]],Table46[DEF],'2024 fSZN'!$W$3:$W$34)</f>
        <v>#N/A</v>
      </c>
      <c r="I121" s="94" t="e" cm="1">
        <f t="array" ref="I121">_xlfn.XLOOKUP(Table11887[[#This Row],[Opp]],Table46[DEF],'2024 fSZN'!$X$3:$X$34)</f>
        <v>#N/A</v>
      </c>
      <c r="J121" s="94" t="e" cm="1">
        <f t="array" ref="J121">_xlfn.XLOOKUP(Table11887[[#This Row],[Opp]],Table46[DEF],'2024 fSZN'!$Y$3:$Y$34)</f>
        <v>#N/A</v>
      </c>
      <c r="K121" s="94" t="e" cm="1">
        <f t="array" ref="K121">_xlfn.XLOOKUP(Table11887[[#This Row],[Opp]],Table46[DEF],'2024 fSZN'!$Z$3:$Z$34)</f>
        <v>#N/A</v>
      </c>
      <c r="L121" s="95" t="e">
        <f>_xlfn.XLOOKUP(Table11887[[#This Row],[Opp]],Table46[DEF],Table46[R])</f>
        <v>#N/A</v>
      </c>
      <c r="M121" s="95" t="e">
        <f>_xlfn.XLOOKUP(Table11887[[#This Row],[Opp]],Table46[DEF],Table46[REC])</f>
        <v>#N/A</v>
      </c>
      <c r="N121" s="95" t="e">
        <f>_xlfn.XLOOKUP(Table11887[[#This Row],[Opp]],Table46[DEF],Table46[Y])</f>
        <v>#N/A</v>
      </c>
      <c r="O121" s="95" t="e">
        <f>_xlfn.XLOOKUP(Table11887[[#This Row],[Opp]],Table46[DEF],Table46[R+R])</f>
        <v>#N/A</v>
      </c>
      <c r="P121" s="96" t="e">
        <f>_xlfn.XLOOKUP(Table11887[[#This Row],[Opp]],Table46[DEF],Table46[TD])</f>
        <v>#N/A</v>
      </c>
      <c r="Q121" s="94" t="e">
        <f>AVERAGE(Table11887[[#This Row],[*R*]:[*R+Y*]])</f>
        <v>#N/A</v>
      </c>
    </row>
    <row r="122" spans="2:17" x14ac:dyDescent="0.35">
      <c r="B122" s="6" t="s">
        <v>386</v>
      </c>
      <c r="C122" s="97" t="s">
        <v>56</v>
      </c>
      <c r="D122" s="97" t="s">
        <v>394</v>
      </c>
      <c r="E122" s="6">
        <v>1</v>
      </c>
      <c r="F122" s="97" t="str">
        <f>'2025'!$E$34</f>
        <v>n/a</v>
      </c>
      <c r="G122" s="94" t="e" cm="1">
        <f t="array" ref="G122">_xlfn.XLOOKUP(Table11887[[#This Row],[Opp]],Table46[DEF],'2024 fSZN'!$V$3:$V$34)</f>
        <v>#N/A</v>
      </c>
      <c r="H122" s="94" t="e" cm="1">
        <f t="array" ref="H122">_xlfn.XLOOKUP(Table11887[[#This Row],[Opp]],Table46[DEF],'2024 fSZN'!$W$3:$W$34)</f>
        <v>#N/A</v>
      </c>
      <c r="I122" s="94" t="e" cm="1">
        <f t="array" ref="I122">_xlfn.XLOOKUP(Table11887[[#This Row],[Opp]],Table46[DEF],'2024 fSZN'!$X$3:$X$34)</f>
        <v>#N/A</v>
      </c>
      <c r="J122" s="94" t="e" cm="1">
        <f t="array" ref="J122">_xlfn.XLOOKUP(Table11887[[#This Row],[Opp]],Table46[DEF],'2024 fSZN'!$Y$3:$Y$34)</f>
        <v>#N/A</v>
      </c>
      <c r="K122" s="94" t="e" cm="1">
        <f t="array" ref="K122">_xlfn.XLOOKUP(Table11887[[#This Row],[Opp]],Table46[DEF],'2024 fSZN'!$Z$3:$Z$34)</f>
        <v>#N/A</v>
      </c>
      <c r="L122" s="95" t="e">
        <f>_xlfn.XLOOKUP(Table11887[[#This Row],[Opp]],Table46[DEF],Table46[R])</f>
        <v>#N/A</v>
      </c>
      <c r="M122" s="95" t="e">
        <f>_xlfn.XLOOKUP(Table11887[[#This Row],[Opp]],Table46[DEF],Table46[REC])</f>
        <v>#N/A</v>
      </c>
      <c r="N122" s="95" t="e">
        <f>_xlfn.XLOOKUP(Table11887[[#This Row],[Opp]],Table46[DEF],Table46[Y])</f>
        <v>#N/A</v>
      </c>
      <c r="O122" s="95" t="e">
        <f>_xlfn.XLOOKUP(Table11887[[#This Row],[Opp]],Table46[DEF],Table46[R+R])</f>
        <v>#N/A</v>
      </c>
      <c r="P122" s="96" t="e">
        <f>_xlfn.XLOOKUP(Table11887[[#This Row],[Opp]],Table46[DEF],Table46[TD])</f>
        <v>#N/A</v>
      </c>
      <c r="Q122" s="94" t="e">
        <f>AVERAGE(Table11887[[#This Row],[*R*]:[*R+Y*]])</f>
        <v>#N/A</v>
      </c>
    </row>
    <row r="123" spans="2:17" x14ac:dyDescent="0.35">
      <c r="B123" s="6" t="s">
        <v>461</v>
      </c>
      <c r="C123" s="97" t="s">
        <v>56</v>
      </c>
      <c r="D123" s="98" t="s">
        <v>396</v>
      </c>
      <c r="E123" s="6">
        <v>1</v>
      </c>
      <c r="F123" s="97" t="str">
        <f>'2025'!$E$34</f>
        <v>n/a</v>
      </c>
      <c r="G123" s="94" t="e" cm="1">
        <f t="array" ref="G123">_xlfn.XLOOKUP(Table11887[[#This Row],[Opp]],Table46[DEF],'2024 fSZN'!$V$3:$V$34)</f>
        <v>#N/A</v>
      </c>
      <c r="H123" s="94" t="e" cm="1">
        <f t="array" ref="H123">_xlfn.XLOOKUP(Table11887[[#This Row],[Opp]],Table46[DEF],'2024 fSZN'!$W$3:$W$34)</f>
        <v>#N/A</v>
      </c>
      <c r="I123" s="94" t="e" cm="1">
        <f t="array" ref="I123">_xlfn.XLOOKUP(Table11887[[#This Row],[Opp]],Table46[DEF],'2024 fSZN'!$X$3:$X$34)</f>
        <v>#N/A</v>
      </c>
      <c r="J123" s="94" t="e" cm="1">
        <f t="array" ref="J123">_xlfn.XLOOKUP(Table11887[[#This Row],[Opp]],Table46[DEF],'2024 fSZN'!$Y$3:$Y$34)</f>
        <v>#N/A</v>
      </c>
      <c r="K123" s="94" t="e" cm="1">
        <f t="array" ref="K123">_xlfn.XLOOKUP(Table11887[[#This Row],[Opp]],Table46[DEF],'2024 fSZN'!$Z$3:$Z$34)</f>
        <v>#N/A</v>
      </c>
      <c r="L123" s="95" t="e">
        <f>_xlfn.XLOOKUP(Table11887[[#This Row],[Opp]],Table46[DEF],Table46[R])</f>
        <v>#N/A</v>
      </c>
      <c r="M123" s="95" t="e">
        <f>_xlfn.XLOOKUP(Table11887[[#This Row],[Opp]],Table46[DEF],Table46[REC])</f>
        <v>#N/A</v>
      </c>
      <c r="N123" s="95" t="e">
        <f>_xlfn.XLOOKUP(Table11887[[#This Row],[Opp]],Table46[DEF],Table46[Y])</f>
        <v>#N/A</v>
      </c>
      <c r="O123" s="95" t="e">
        <f>_xlfn.XLOOKUP(Table11887[[#This Row],[Opp]],Table46[DEF],Table46[R+R])</f>
        <v>#N/A</v>
      </c>
      <c r="P123" s="96" t="e">
        <f>_xlfn.XLOOKUP(Table11887[[#This Row],[Opp]],Table46[DEF],Table46[TD])</f>
        <v>#N/A</v>
      </c>
      <c r="Q123" s="94" t="e">
        <f>AVERAGE(Table11887[[#This Row],[*R*]:[*R+Y*]])</f>
        <v>#N/A</v>
      </c>
    </row>
    <row r="124" spans="2:17" x14ac:dyDescent="0.35">
      <c r="B124" s="6" t="s">
        <v>462</v>
      </c>
      <c r="C124" s="97" t="s">
        <v>56</v>
      </c>
      <c r="D124" s="97" t="s">
        <v>407</v>
      </c>
      <c r="E124" s="6">
        <v>1</v>
      </c>
      <c r="F124" s="97" t="str">
        <f>'2025'!$E$34</f>
        <v>n/a</v>
      </c>
      <c r="G124" s="94" t="e" cm="1">
        <f t="array" ref="G124">_xlfn.XLOOKUP(Table11887[[#This Row],[Opp]],Table46[DEF],'2024 fSZN'!$V$3:$V$34)</f>
        <v>#N/A</v>
      </c>
      <c r="H124" s="94" t="e" cm="1">
        <f t="array" ref="H124">_xlfn.XLOOKUP(Table11887[[#This Row],[Opp]],Table46[DEF],'2024 fSZN'!$W$3:$W$34)</f>
        <v>#N/A</v>
      </c>
      <c r="I124" s="94" t="e" cm="1">
        <f t="array" ref="I124">_xlfn.XLOOKUP(Table11887[[#This Row],[Opp]],Table46[DEF],'2024 fSZN'!$X$3:$X$34)</f>
        <v>#N/A</v>
      </c>
      <c r="J124" s="94" t="e" cm="1">
        <f t="array" ref="J124">_xlfn.XLOOKUP(Table11887[[#This Row],[Opp]],Table46[DEF],'2024 fSZN'!$Y$3:$Y$34)</f>
        <v>#N/A</v>
      </c>
      <c r="K124" s="94" t="e" cm="1">
        <f t="array" ref="K124">_xlfn.XLOOKUP(Table11887[[#This Row],[Opp]],Table46[DEF],'2024 fSZN'!$Z$3:$Z$34)</f>
        <v>#N/A</v>
      </c>
      <c r="L124" s="95" t="e">
        <f>_xlfn.XLOOKUP(Table11887[[#This Row],[Opp]],Table46[DEF],Table46[R])</f>
        <v>#N/A</v>
      </c>
      <c r="M124" s="95" t="e">
        <f>_xlfn.XLOOKUP(Table11887[[#This Row],[Opp]],Table46[DEF],Table46[REC])</f>
        <v>#N/A</v>
      </c>
      <c r="N124" s="95" t="e">
        <f>_xlfn.XLOOKUP(Table11887[[#This Row],[Opp]],Table46[DEF],Table46[Y])</f>
        <v>#N/A</v>
      </c>
      <c r="O124" s="95" t="e">
        <f>_xlfn.XLOOKUP(Table11887[[#This Row],[Opp]],Table46[DEF],Table46[R+R])</f>
        <v>#N/A</v>
      </c>
      <c r="P124" s="96" t="e">
        <f>_xlfn.XLOOKUP(Table11887[[#This Row],[Opp]],Table46[DEF],Table46[TD])</f>
        <v>#N/A</v>
      </c>
      <c r="Q124" s="94" t="e">
        <f>AVERAGE(Table11887[[#This Row],[*R*]:[*R+Y*]])</f>
        <v>#N/A</v>
      </c>
    </row>
  </sheetData>
  <phoneticPr fontId="5" type="noConversion"/>
  <conditionalFormatting sqref="C2:C124">
    <cfRule type="cellIs" dxfId="2316" priority="196" operator="equal">
      <formula>"NYG"</formula>
    </cfRule>
    <cfRule type="cellIs" dxfId="2315" priority="197" operator="equal">
      <formula>"NO"</formula>
    </cfRule>
    <cfRule type="cellIs" dxfId="2314" priority="198" operator="equal">
      <formula>"TEN"</formula>
    </cfRule>
    <cfRule type="cellIs" dxfId="2313" priority="199" operator="equal">
      <formula>"TB"</formula>
    </cfRule>
    <cfRule type="cellIs" dxfId="2312" priority="200" operator="equal">
      <formula>"CLE"</formula>
    </cfRule>
    <cfRule type="cellIs" dxfId="2311" priority="215" operator="equal">
      <formula>"ARI"</formula>
    </cfRule>
    <cfRule type="cellIs" dxfId="2310" priority="216" operator="equal">
      <formula>"HOU"</formula>
    </cfRule>
    <cfRule type="cellIs" dxfId="2309" priority="202" operator="equal">
      <formula>"SEA"</formula>
    </cfRule>
    <cfRule type="cellIs" dxfId="2308" priority="221" operator="equal">
      <formula>"BUF"</formula>
    </cfRule>
    <cfRule type="cellIs" dxfId="2307" priority="220" operator="equal">
      <formula>"PHI"</formula>
    </cfRule>
    <cfRule type="cellIs" dxfId="2306" priority="219" operator="equal">
      <formula>"BAL"</formula>
    </cfRule>
    <cfRule type="cellIs" dxfId="2305" priority="218" operator="equal">
      <formula>"KC"</formula>
    </cfRule>
    <cfRule type="cellIs" dxfId="2304" priority="217" operator="equal">
      <formula>"IND"</formula>
    </cfRule>
    <cfRule type="cellIs" dxfId="2303" priority="214" operator="equal">
      <formula>"CIN"</formula>
    </cfRule>
    <cfRule type="cellIs" dxfId="2302" priority="213" operator="equal">
      <formula>"DAL"</formula>
    </cfRule>
    <cfRule type="cellIs" dxfId="2301" priority="212" operator="equal">
      <formula>"GB"</formula>
    </cfRule>
    <cfRule type="cellIs" dxfId="2300" priority="211" operator="equal">
      <formula>"WAS"</formula>
    </cfRule>
    <cfRule type="cellIs" dxfId="2299" priority="210" operator="equal">
      <formula>"SF"</formula>
    </cfRule>
    <cfRule type="cellIs" dxfId="2298" priority="209" operator="equal">
      <formula>"DET"</formula>
    </cfRule>
    <cfRule type="cellIs" dxfId="2297" priority="208" operator="equal">
      <formula>"MIA"</formula>
    </cfRule>
    <cfRule type="cellIs" dxfId="2296" priority="207" operator="equal">
      <formula>"CHI"</formula>
    </cfRule>
    <cfRule type="cellIs" dxfId="2295" priority="206" operator="equal">
      <formula>"JAX"</formula>
    </cfRule>
    <cfRule type="cellIs" dxfId="2294" priority="205" operator="equal">
      <formula>"ATL"</formula>
    </cfRule>
    <cfRule type="cellIs" dxfId="2293" priority="204" operator="equal">
      <formula>"LAR"</formula>
    </cfRule>
    <cfRule type="cellIs" dxfId="2292" priority="201" operator="equal">
      <formula>"NYJ"</formula>
    </cfRule>
    <cfRule type="cellIs" dxfId="2291" priority="203" operator="equal">
      <formula>"LAC"</formula>
    </cfRule>
    <cfRule type="cellIs" dxfId="2290" priority="189" operator="equal">
      <formula>"BYE"</formula>
    </cfRule>
    <cfRule type="cellIs" dxfId="2289" priority="190" operator="equal">
      <formula>"LV"</formula>
    </cfRule>
    <cfRule type="cellIs" dxfId="2288" priority="191" operator="equal">
      <formula>"NE"</formula>
    </cfRule>
    <cfRule type="cellIs" dxfId="2287" priority="192" operator="equal">
      <formula>"MIN"</formula>
    </cfRule>
    <cfRule type="cellIs" dxfId="2286" priority="193" operator="equal">
      <formula>"PIT"</formula>
    </cfRule>
    <cfRule type="cellIs" dxfId="2285" priority="194" operator="equal">
      <formula>"DEN"</formula>
    </cfRule>
    <cfRule type="cellIs" dxfId="2284" priority="195" operator="equal">
      <formula>"CAR"</formula>
    </cfRule>
  </conditionalFormatting>
  <conditionalFormatting sqref="D2:D124">
    <cfRule type="cellIs" dxfId="2283" priority="274" operator="equal">
      <formula>"QB2"</formula>
    </cfRule>
    <cfRule type="cellIs" dxfId="2282" priority="273" operator="equal">
      <formula>"RB2"</formula>
    </cfRule>
    <cfRule type="cellIs" dxfId="2281" priority="256" operator="equal">
      <formula>"WR8"</formula>
    </cfRule>
    <cfRule type="cellIs" dxfId="2280" priority="272" operator="equal">
      <formula>"WR2"</formula>
    </cfRule>
    <cfRule type="cellIs" dxfId="2279" priority="271" operator="equal">
      <formula>"TE2"</formula>
    </cfRule>
    <cfRule type="cellIs" dxfId="2278" priority="270" operator="equal">
      <formula>"QB3"</formula>
    </cfRule>
    <cfRule type="cellIs" dxfId="2277" priority="269" operator="equal">
      <formula>"RB3"</formula>
    </cfRule>
    <cfRule type="cellIs" dxfId="2276" priority="268" operator="equal">
      <formula>"WR3"</formula>
    </cfRule>
    <cfRule type="cellIs" dxfId="2275" priority="267" operator="equal">
      <formula>"TE3"</formula>
    </cfRule>
    <cfRule type="cellIs" dxfId="2274" priority="266" operator="equal">
      <formula>"QB4"</formula>
    </cfRule>
    <cfRule type="cellIs" dxfId="2273" priority="265" operator="equal">
      <formula>"RB4"</formula>
    </cfRule>
    <cfRule type="cellIs" dxfId="2272" priority="264" operator="equal">
      <formula>"WR4"</formula>
    </cfRule>
    <cfRule type="cellIs" dxfId="2271" priority="262" operator="equal">
      <formula>"QB5"</formula>
    </cfRule>
    <cfRule type="cellIs" dxfId="2270" priority="261" operator="equal">
      <formula>"RB5"</formula>
    </cfRule>
    <cfRule type="cellIs" dxfId="2269" priority="260" operator="equal">
      <formula>"WR5"</formula>
    </cfRule>
    <cfRule type="cellIs" dxfId="2268" priority="259" operator="equal">
      <formula>"TE5"</formula>
    </cfRule>
    <cfRule type="cellIs" dxfId="2267" priority="263" operator="equal">
      <formula>"TE4"</formula>
    </cfRule>
    <cfRule type="cellIs" dxfId="2266" priority="258" operator="equal">
      <formula>"WR6"</formula>
    </cfRule>
    <cfRule type="cellIs" dxfId="2265" priority="257" operator="equal">
      <formula>"WR7"</formula>
    </cfRule>
    <cfRule type="cellIs" dxfId="2264" priority="276" operator="equal">
      <formula>"WR1"</formula>
    </cfRule>
    <cfRule type="cellIs" dxfId="2263" priority="255" operator="equal">
      <formula>"WR9"</formula>
    </cfRule>
    <cfRule type="cellIs" dxfId="2262" priority="278" operator="equal">
      <formula>"QB1"</formula>
    </cfRule>
    <cfRule type="cellIs" dxfId="2261" priority="277" operator="equal">
      <formula>"RB1"</formula>
    </cfRule>
    <cfRule type="cellIs" dxfId="2260" priority="275" operator="equal">
      <formula>"TE1"</formula>
    </cfRule>
  </conditionalFormatting>
  <conditionalFormatting sqref="E2:E14">
    <cfRule type="iconSet" priority="385">
      <iconSet iconSet="3Symbols" showValue="0">
        <cfvo type="percent" val="0"/>
        <cfvo type="num" val="0"/>
        <cfvo type="num" val="1"/>
      </iconSet>
    </cfRule>
    <cfRule type="colorScale" priority="386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5:E29">
    <cfRule type="iconSet" priority="383">
      <iconSet iconSet="3Symbols" showValue="0">
        <cfvo type="percent" val="0"/>
        <cfvo type="num" val="0"/>
        <cfvo type="num" val="1"/>
      </iconSet>
    </cfRule>
    <cfRule type="colorScale" priority="38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30:E48">
    <cfRule type="iconSet" priority="381">
      <iconSet iconSet="3Symbols" showValue="0">
        <cfvo type="percent" val="0"/>
        <cfvo type="num" val="0"/>
        <cfvo type="num" val="1"/>
      </iconSet>
    </cfRule>
    <cfRule type="colorScale" priority="38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49:E63">
    <cfRule type="iconSet" priority="379">
      <iconSet iconSet="3Symbols" showValue="0">
        <cfvo type="percent" val="0"/>
        <cfvo type="num" val="0"/>
        <cfvo type="num" val="1"/>
      </iconSet>
    </cfRule>
    <cfRule type="colorScale" priority="38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64:E78">
    <cfRule type="colorScale" priority="378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377">
      <iconSet iconSet="3Symbols" showValue="0">
        <cfvo type="percent" val="0"/>
        <cfvo type="num" val="0"/>
        <cfvo type="num" val="1"/>
      </iconSet>
    </cfRule>
  </conditionalFormatting>
  <conditionalFormatting sqref="E79:E93">
    <cfRule type="iconSet" priority="375">
      <iconSet iconSet="3Symbols" showValue="0">
        <cfvo type="percent" val="0"/>
        <cfvo type="num" val="0"/>
        <cfvo type="num" val="1"/>
      </iconSet>
    </cfRule>
    <cfRule type="colorScale" priority="376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94:E110">
    <cfRule type="colorScale" priority="374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373">
      <iconSet iconSet="3Symbols" showValue="0">
        <cfvo type="percent" val="0"/>
        <cfvo type="num" val="0"/>
        <cfvo type="num" val="1"/>
      </iconSet>
    </cfRule>
  </conditionalFormatting>
  <conditionalFormatting sqref="E111:E123">
    <cfRule type="colorScale" priority="372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371">
      <iconSet iconSet="3Symbols" showValue="0">
        <cfvo type="percent" val="0"/>
        <cfvo type="num" val="0"/>
        <cfvo type="num" val="1"/>
      </iconSet>
    </cfRule>
  </conditionalFormatting>
  <conditionalFormatting sqref="E124">
    <cfRule type="iconSet" priority="279">
      <iconSet iconSet="3Symbols" showValue="0">
        <cfvo type="percent" val="0"/>
        <cfvo type="num" val="0"/>
        <cfvo type="num" val="1"/>
      </iconSet>
    </cfRule>
    <cfRule type="colorScale" priority="28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F2:F124">
    <cfRule type="cellIs" dxfId="2259" priority="104" operator="equal">
      <formula>"WAS"</formula>
    </cfRule>
    <cfRule type="cellIs" dxfId="2258" priority="103" operator="equal">
      <formula>"SF"</formula>
    </cfRule>
    <cfRule type="cellIs" dxfId="2257" priority="102" operator="equal">
      <formula>"DET"</formula>
    </cfRule>
    <cfRule type="cellIs" dxfId="2256" priority="114" operator="equal">
      <formula>"BUF"</formula>
    </cfRule>
    <cfRule type="cellIs" dxfId="2255" priority="101" operator="equal">
      <formula>"MIA"</formula>
    </cfRule>
    <cfRule type="cellIs" dxfId="2254" priority="100" operator="equal">
      <formula>"CHI"</formula>
    </cfRule>
    <cfRule type="cellIs" dxfId="2253" priority="99" operator="equal">
      <formula>"JAX"</formula>
    </cfRule>
    <cfRule type="cellIs" dxfId="2252" priority="98" operator="equal">
      <formula>"ATL"</formula>
    </cfRule>
    <cfRule type="cellIs" dxfId="2251" priority="96" operator="equal">
      <formula>"LAC"</formula>
    </cfRule>
    <cfRule type="cellIs" dxfId="2250" priority="95" operator="equal">
      <formula>"SEA"</formula>
    </cfRule>
    <cfRule type="cellIs" dxfId="2249" priority="94" operator="equal">
      <formula>"NYJ"</formula>
    </cfRule>
    <cfRule type="cellIs" dxfId="2248" priority="93" operator="equal">
      <formula>"CLE"</formula>
    </cfRule>
    <cfRule type="cellIs" dxfId="2247" priority="92" operator="equal">
      <formula>"TB"</formula>
    </cfRule>
    <cfRule type="cellIs" dxfId="2246" priority="91" operator="equal">
      <formula>"TEN"</formula>
    </cfRule>
    <cfRule type="cellIs" dxfId="2245" priority="90" operator="equal">
      <formula>"NO"</formula>
    </cfRule>
    <cfRule type="cellIs" dxfId="2244" priority="89" operator="equal">
      <formula>"NYG"</formula>
    </cfRule>
    <cfRule type="cellIs" dxfId="2243" priority="88" operator="equal">
      <formula>"CAR"</formula>
    </cfRule>
    <cfRule type="cellIs" dxfId="2242" priority="111" operator="equal">
      <formula>"KC"</formula>
    </cfRule>
    <cfRule type="cellIs" dxfId="2241" priority="86" operator="equal">
      <formula>"PIT"</formula>
    </cfRule>
    <cfRule type="cellIs" dxfId="2240" priority="85" operator="equal">
      <formula>"MIN"</formula>
    </cfRule>
    <cfRule type="cellIs" dxfId="2239" priority="84" operator="equal">
      <formula>"NE"</formula>
    </cfRule>
    <cfRule type="cellIs" dxfId="2238" priority="83" operator="equal">
      <formula>"LV"</formula>
    </cfRule>
    <cfRule type="cellIs" dxfId="2237" priority="97" operator="equal">
      <formula>"LAR"</formula>
    </cfRule>
    <cfRule type="cellIs" dxfId="2236" priority="82" operator="equal">
      <formula>"BYE"</formula>
    </cfRule>
    <cfRule type="cellIs" dxfId="2235" priority="113" operator="equal">
      <formula>"PHI"</formula>
    </cfRule>
    <cfRule type="cellIs" dxfId="2234" priority="87" operator="equal">
      <formula>"DEN"</formula>
    </cfRule>
    <cfRule type="cellIs" dxfId="2233" priority="112" operator="equal">
      <formula>"BAL"</formula>
    </cfRule>
    <cfRule type="cellIs" dxfId="2232" priority="110" operator="equal">
      <formula>"IND"</formula>
    </cfRule>
    <cfRule type="cellIs" dxfId="2231" priority="109" operator="equal">
      <formula>"HOU"</formula>
    </cfRule>
    <cfRule type="cellIs" dxfId="2230" priority="108" operator="equal">
      <formula>"ARI"</formula>
    </cfRule>
    <cfRule type="cellIs" dxfId="2229" priority="107" operator="equal">
      <formula>"CIN"</formula>
    </cfRule>
    <cfRule type="cellIs" dxfId="2228" priority="106" operator="equal">
      <formula>"DAL"</formula>
    </cfRule>
    <cfRule type="cellIs" dxfId="2227" priority="105" operator="equal">
      <formula>"GB"</formula>
    </cfRule>
  </conditionalFormatting>
  <conditionalFormatting sqref="G2:G124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:H12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124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124">
    <cfRule type="colorScale" priority="1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2:K1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:L1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2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2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12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15" right="0.15" top="0.1" bottom="0.1" header="0" footer="0"/>
  <pageSetup paperSize="3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26EBA00E-A471-4543-BE83-168374685074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G2:G124</xm:sqref>
        </x14:conditionalFormatting>
        <x14:conditionalFormatting xmlns:xm="http://schemas.microsoft.com/office/excel/2006/main">
          <x14:cfRule type="iconSet" priority="7" id="{586DCB1A-4847-4871-820D-8D1F7A92D1D9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H2:H124</xm:sqref>
        </x14:conditionalFormatting>
        <x14:conditionalFormatting xmlns:xm="http://schemas.microsoft.com/office/excel/2006/main">
          <x14:cfRule type="iconSet" priority="5" id="{B965AE5C-5E9D-4078-BFBB-615D6BA9D103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I2:I124</xm:sqref>
        </x14:conditionalFormatting>
        <x14:conditionalFormatting xmlns:xm="http://schemas.microsoft.com/office/excel/2006/main">
          <x14:cfRule type="iconSet" priority="119" id="{E015F538-46DD-4422-B011-EDE33BB1902F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J2:J124</xm:sqref>
        </x14:conditionalFormatting>
        <x14:conditionalFormatting xmlns:xm="http://schemas.microsoft.com/office/excel/2006/main">
          <x14:cfRule type="iconSet" priority="3" id="{F7739C85-19ED-4466-9456-436950DFA050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K2:K124</xm:sqref>
        </x14:conditionalFormatting>
        <x14:conditionalFormatting xmlns:xm="http://schemas.microsoft.com/office/excel/2006/main">
          <x14:cfRule type="iconSet" priority="1" id="{41AE64E3-1803-4829-BFAC-194E26D286F1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Q2:Q124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BF56-8762-45F8-BA8D-18323AAF0194}">
  <sheetPr>
    <tabColor theme="9" tint="0.79998168889431442"/>
    <pageSetUpPr fitToPage="1"/>
  </sheetPr>
  <dimension ref="B1:M213"/>
  <sheetViews>
    <sheetView zoomScaleNormal="100" workbookViewId="0">
      <selection activeCell="I219" sqref="I219"/>
    </sheetView>
  </sheetViews>
  <sheetFormatPr defaultRowHeight="14.5" x14ac:dyDescent="0.35"/>
  <cols>
    <col min="1" max="1" width="1.6328125" customWidth="1"/>
    <col min="2" max="2" width="15.6328125" bestFit="1" customWidth="1"/>
    <col min="3" max="3" width="8.453125" bestFit="1" customWidth="1"/>
    <col min="4" max="4" width="7.7265625" bestFit="1" customWidth="1"/>
    <col min="5" max="5" width="7.26953125" hidden="1" customWidth="1"/>
    <col min="6" max="6" width="7.6328125" bestFit="1" customWidth="1"/>
    <col min="7" max="7" width="7.453125" bestFit="1" customWidth="1"/>
    <col min="8" max="8" width="7.36328125" bestFit="1" customWidth="1"/>
    <col min="9" max="9" width="8.1796875" bestFit="1" customWidth="1"/>
    <col min="10" max="10" width="6" bestFit="1" customWidth="1"/>
    <col min="11" max="11" width="5.90625" bestFit="1" customWidth="1"/>
    <col min="12" max="12" width="6.7265625" bestFit="1" customWidth="1"/>
    <col min="13" max="13" width="5.90625" bestFit="1" customWidth="1"/>
  </cols>
  <sheetData>
    <row r="1" spans="2:13" ht="15" thickBot="1" x14ac:dyDescent="0.4">
      <c r="B1" s="90" t="s">
        <v>107</v>
      </c>
      <c r="C1" s="91" t="s">
        <v>58</v>
      </c>
      <c r="D1" s="91" t="s">
        <v>392</v>
      </c>
      <c r="E1" s="91" t="s">
        <v>393</v>
      </c>
      <c r="F1" s="91" t="s">
        <v>63</v>
      </c>
      <c r="G1" s="92" t="s">
        <v>657</v>
      </c>
      <c r="H1" s="92" t="s">
        <v>652</v>
      </c>
      <c r="I1" s="91" t="s">
        <v>653</v>
      </c>
      <c r="J1" s="93" t="s">
        <v>656</v>
      </c>
      <c r="K1" s="93" t="s">
        <v>104</v>
      </c>
      <c r="L1" s="93" t="s">
        <v>72</v>
      </c>
      <c r="M1" s="93" t="s">
        <v>649</v>
      </c>
    </row>
    <row r="2" spans="2:13" x14ac:dyDescent="0.35">
      <c r="B2" s="6" t="s">
        <v>137</v>
      </c>
      <c r="C2" s="97" t="s">
        <v>0</v>
      </c>
      <c r="D2" s="97" t="s">
        <v>66</v>
      </c>
      <c r="E2" s="6">
        <v>1</v>
      </c>
      <c r="F2" s="97" t="str">
        <f>'2025'!$E$3</f>
        <v>n/a</v>
      </c>
      <c r="G2" s="94" t="e" cm="1">
        <f t="array" ref="G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" s="94" t="e" cm="1">
        <f t="array" ref="H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" s="94" t="e" cm="1">
        <f t="array" ref="I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" s="95" t="e" cm="1">
        <f t="array" ref="J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" s="95" t="e" cm="1">
        <f t="array" ref="K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" s="96" t="e" cm="1">
        <f t="array" ref="L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" s="94" t="e">
        <f>AVERAGE(Table119[[#This Row],[*C*]:[*Y*]])</f>
        <v>#N/A</v>
      </c>
    </row>
    <row r="3" spans="2:13" x14ac:dyDescent="0.35">
      <c r="B3" s="6" t="s">
        <v>142</v>
      </c>
      <c r="C3" s="97" t="s">
        <v>0</v>
      </c>
      <c r="D3" s="97" t="s">
        <v>67</v>
      </c>
      <c r="E3" s="6">
        <v>1</v>
      </c>
      <c r="F3" s="97" t="str">
        <f>'2025'!$E$3</f>
        <v>n/a</v>
      </c>
      <c r="G3" s="94" t="e" cm="1">
        <f t="array" ref="G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" s="94" t="e" cm="1">
        <f t="array" ref="H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" s="94" t="e" cm="1">
        <f t="array" ref="I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" s="95" t="e" cm="1">
        <f t="array" ref="J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" s="95" t="e" cm="1">
        <f t="array" ref="K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" s="96" t="e" cm="1">
        <f t="array" ref="L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" s="94" t="e">
        <f>AVERAGE(Table119[[#This Row],[*C*]:[*Y*]])</f>
        <v>#N/A</v>
      </c>
    </row>
    <row r="4" spans="2:13" x14ac:dyDescent="0.35">
      <c r="B4" s="6" t="s">
        <v>555</v>
      </c>
      <c r="C4" s="97" t="s">
        <v>0</v>
      </c>
      <c r="D4" s="97" t="s">
        <v>68</v>
      </c>
      <c r="E4" s="6">
        <v>1</v>
      </c>
      <c r="F4" s="97" t="str">
        <f>'2025'!$E$3</f>
        <v>n/a</v>
      </c>
      <c r="G4" s="94" t="e" cm="1">
        <f t="array" ref="G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" s="94" t="e" cm="1">
        <f t="array" ref="H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" s="94" t="e" cm="1">
        <f t="array" ref="I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" s="95" t="e" cm="1">
        <f t="array" ref="J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" s="95" t="e" cm="1">
        <f t="array" ref="K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" s="96" t="e" cm="1">
        <f t="array" ref="L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" s="94" t="e">
        <f>AVERAGE(Table119[[#This Row],[*C*]:[*Y*]])</f>
        <v>#N/A</v>
      </c>
    </row>
    <row r="5" spans="2:13" x14ac:dyDescent="0.35">
      <c r="B5" s="6" t="s">
        <v>146</v>
      </c>
      <c r="C5" s="97" t="s">
        <v>0</v>
      </c>
      <c r="D5" s="97" t="s">
        <v>401</v>
      </c>
      <c r="E5" s="6">
        <v>1</v>
      </c>
      <c r="F5" s="97" t="str">
        <f>'2025'!$E$3</f>
        <v>n/a</v>
      </c>
      <c r="G5" s="94" t="e" cm="1">
        <f t="array" ref="G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" s="94" t="e" cm="1">
        <f t="array" ref="H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" s="94" t="e" cm="1">
        <f t="array" ref="I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" s="95" t="e" cm="1">
        <f t="array" ref="J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" s="95" t="e" cm="1">
        <f t="array" ref="K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" s="96" t="e" cm="1">
        <f t="array" ref="L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" s="94" t="e">
        <f>AVERAGE(Table119[[#This Row],[*C*]:[*Y*]])</f>
        <v>#N/A</v>
      </c>
    </row>
    <row r="6" spans="2:13" x14ac:dyDescent="0.35">
      <c r="B6" s="6" t="s">
        <v>556</v>
      </c>
      <c r="C6" s="97" t="s">
        <v>0</v>
      </c>
      <c r="D6" s="97" t="s">
        <v>403</v>
      </c>
      <c r="E6" s="6">
        <v>1</v>
      </c>
      <c r="F6" s="97" t="str">
        <f>'2025'!$E$3</f>
        <v>n/a</v>
      </c>
      <c r="G6" s="94" t="e" cm="1">
        <f t="array" ref="G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" s="94" t="e" cm="1">
        <f t="array" ref="H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" s="94" t="e" cm="1">
        <f t="array" ref="I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" s="95" t="e" cm="1">
        <f t="array" ref="J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" s="95" t="e" cm="1">
        <f t="array" ref="K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" s="96" t="e" cm="1">
        <f t="array" ref="L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" s="94" t="e">
        <f>AVERAGE(Table119[[#This Row],[*C*]:[*Y*]])</f>
        <v>#N/A</v>
      </c>
    </row>
    <row r="7" spans="2:13" x14ac:dyDescent="0.35">
      <c r="B7" s="6" t="s">
        <v>557</v>
      </c>
      <c r="C7" s="97" t="s">
        <v>0</v>
      </c>
      <c r="D7" s="97" t="s">
        <v>411</v>
      </c>
      <c r="E7" s="6">
        <v>-1</v>
      </c>
      <c r="F7" s="97" t="str">
        <f>'2025'!$E$3</f>
        <v>n/a</v>
      </c>
      <c r="G7" s="94" t="e" cm="1">
        <f t="array" ref="G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" s="94" t="e" cm="1">
        <f t="array" ref="H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" s="94" t="e" cm="1">
        <f t="array" ref="I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" s="95" t="e" cm="1">
        <f t="array" ref="J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" s="95" t="e" cm="1">
        <f t="array" ref="K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" s="96" t="e" cm="1">
        <f t="array" ref="L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" s="94" t="e">
        <f>AVERAGE(Table119[[#This Row],[*C*]:[*Y*]])</f>
        <v>#N/A</v>
      </c>
    </row>
    <row r="8" spans="2:13" x14ac:dyDescent="0.35">
      <c r="B8" s="6" t="s">
        <v>138</v>
      </c>
      <c r="C8" s="97" t="s">
        <v>15</v>
      </c>
      <c r="D8" s="97" t="s">
        <v>66</v>
      </c>
      <c r="E8" s="6">
        <v>1</v>
      </c>
      <c r="F8" s="97" t="str">
        <f>'2025'!$E$4</f>
        <v>n/a</v>
      </c>
      <c r="G8" s="94" t="e" cm="1">
        <f t="array" ref="G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" s="94" t="e" cm="1">
        <f t="array" ref="H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" s="94" t="e" cm="1">
        <f t="array" ref="I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" s="95" t="e" cm="1">
        <f t="array" ref="J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" s="95" t="e" cm="1">
        <f t="array" ref="K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" s="96" t="e" cm="1">
        <f t="array" ref="L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" s="94" t="e">
        <f>AVERAGE(Table119[[#This Row],[*C*]:[*Y*]])</f>
        <v>#N/A</v>
      </c>
    </row>
    <row r="9" spans="2:13" x14ac:dyDescent="0.35">
      <c r="B9" s="6" t="s">
        <v>133</v>
      </c>
      <c r="C9" s="97" t="s">
        <v>15</v>
      </c>
      <c r="D9" s="97" t="s">
        <v>67</v>
      </c>
      <c r="E9" s="6">
        <v>0</v>
      </c>
      <c r="F9" s="97" t="str">
        <f>'2025'!$E$4</f>
        <v>n/a</v>
      </c>
      <c r="G9" s="94" t="e" cm="1">
        <f t="array" ref="G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" s="94" t="e" cm="1">
        <f t="array" ref="H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" s="94" t="e" cm="1">
        <f t="array" ref="I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" s="95" t="e" cm="1">
        <f t="array" ref="J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" s="95" t="e" cm="1">
        <f t="array" ref="K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" s="96" t="e" cm="1">
        <f t="array" ref="L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" s="94" t="e">
        <f>AVERAGE(Table119[[#This Row],[*C*]:[*Y*]])</f>
        <v>#N/A</v>
      </c>
    </row>
    <row r="10" spans="2:13" x14ac:dyDescent="0.35">
      <c r="B10" s="6" t="s">
        <v>599</v>
      </c>
      <c r="C10" s="97" t="s">
        <v>15</v>
      </c>
      <c r="D10" s="97" t="s">
        <v>68</v>
      </c>
      <c r="E10" s="6">
        <v>1</v>
      </c>
      <c r="F10" s="97" t="str">
        <f>'2025'!$E$4</f>
        <v>n/a</v>
      </c>
      <c r="G10" s="94" t="e" cm="1">
        <f t="array" ref="G1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" s="94" t="e" cm="1">
        <f t="array" ref="H1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" s="94" t="e" cm="1">
        <f t="array" ref="I1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" s="95" t="e" cm="1">
        <f t="array" ref="J1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" s="95" t="e" cm="1">
        <f t="array" ref="K1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" s="96" t="e" cm="1">
        <f t="array" ref="L1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" s="94" t="e">
        <f>AVERAGE(Table119[[#This Row],[*C*]:[*Y*]])</f>
        <v>#N/A</v>
      </c>
    </row>
    <row r="11" spans="2:13" x14ac:dyDescent="0.35">
      <c r="B11" s="6" t="s">
        <v>600</v>
      </c>
      <c r="C11" s="97" t="s">
        <v>15</v>
      </c>
      <c r="D11" s="97" t="s">
        <v>401</v>
      </c>
      <c r="E11" s="6">
        <v>1</v>
      </c>
      <c r="F11" s="97" t="str">
        <f>'2025'!$E$4</f>
        <v>n/a</v>
      </c>
      <c r="G11" s="94" t="e" cm="1">
        <f t="array" ref="G1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" s="94" t="e" cm="1">
        <f t="array" ref="H1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" s="94" t="e" cm="1">
        <f t="array" ref="I1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" s="95" t="e" cm="1">
        <f t="array" ref="J1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" s="95" t="e" cm="1">
        <f t="array" ref="K1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" s="96" t="e" cm="1">
        <f t="array" ref="L1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" s="94" t="e">
        <f>AVERAGE(Table119[[#This Row],[*C*]:[*Y*]])</f>
        <v>#N/A</v>
      </c>
    </row>
    <row r="12" spans="2:13" x14ac:dyDescent="0.35">
      <c r="B12" s="6" t="s">
        <v>601</v>
      </c>
      <c r="C12" s="97" t="s">
        <v>15</v>
      </c>
      <c r="D12" s="97" t="s">
        <v>403</v>
      </c>
      <c r="E12" s="6">
        <v>1</v>
      </c>
      <c r="F12" s="97" t="str">
        <f>'2025'!$E$4</f>
        <v>n/a</v>
      </c>
      <c r="G12" s="94" t="e" cm="1">
        <f t="array" ref="G1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" s="94" t="e" cm="1">
        <f t="array" ref="H1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" s="94" t="e" cm="1">
        <f t="array" ref="I1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" s="95" t="e" cm="1">
        <f t="array" ref="J1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" s="95" t="e" cm="1">
        <f t="array" ref="K1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" s="96" t="e" cm="1">
        <f t="array" ref="L1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" s="94" t="e">
        <f>AVERAGE(Table119[[#This Row],[*C*]:[*Y*]])</f>
        <v>#N/A</v>
      </c>
    </row>
    <row r="13" spans="2:13" x14ac:dyDescent="0.35">
      <c r="B13" s="6" t="s">
        <v>602</v>
      </c>
      <c r="C13" s="97" t="s">
        <v>15</v>
      </c>
      <c r="D13" s="97" t="s">
        <v>411</v>
      </c>
      <c r="E13" s="6">
        <v>1</v>
      </c>
      <c r="F13" s="97" t="str">
        <f>'2025'!$E$4</f>
        <v>n/a</v>
      </c>
      <c r="G13" s="94" t="e" cm="1">
        <f t="array" ref="G1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" s="94" t="e" cm="1">
        <f t="array" ref="H1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" s="94" t="e" cm="1">
        <f t="array" ref="I1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" s="95" t="e" cm="1">
        <f t="array" ref="J1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" s="95" t="e" cm="1">
        <f t="array" ref="K1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" s="96" t="e" cm="1">
        <f t="array" ref="L1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" s="94" t="e">
        <f>AVERAGE(Table119[[#This Row],[*C*]:[*Y*]])</f>
        <v>#N/A</v>
      </c>
    </row>
    <row r="14" spans="2:13" x14ac:dyDescent="0.35">
      <c r="B14" s="6" t="s">
        <v>603</v>
      </c>
      <c r="C14" s="97" t="s">
        <v>15</v>
      </c>
      <c r="D14" s="97" t="s">
        <v>441</v>
      </c>
      <c r="E14" s="6">
        <v>0</v>
      </c>
      <c r="F14" s="97" t="str">
        <f>'2025'!$E$4</f>
        <v>n/a</v>
      </c>
      <c r="G14" s="94" t="e" cm="1">
        <f t="array" ref="G1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4" s="94" t="e" cm="1">
        <f t="array" ref="H1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4" s="94" t="e" cm="1">
        <f t="array" ref="I1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4" s="95" t="e" cm="1">
        <f t="array" ref="J1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4" s="95" t="e" cm="1">
        <f t="array" ref="K1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4" s="96" t="e" cm="1">
        <f t="array" ref="L1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4" s="94" t="e">
        <f>AVERAGE(Table119[[#This Row],[*C*]:[*Y*]])</f>
        <v>#N/A</v>
      </c>
    </row>
    <row r="15" spans="2:13" x14ac:dyDescent="0.35">
      <c r="B15" s="6" t="s">
        <v>143</v>
      </c>
      <c r="C15" s="97" t="s">
        <v>16</v>
      </c>
      <c r="D15" s="97" t="s">
        <v>66</v>
      </c>
      <c r="E15" s="6">
        <v>1</v>
      </c>
      <c r="F15" s="97" t="str">
        <f>'2025'!$E$5</f>
        <v>n/a</v>
      </c>
      <c r="G15" s="94" t="e" cm="1">
        <f t="array" ref="G1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" s="94" t="e" cm="1">
        <f t="array" ref="H1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" s="94" t="e" cm="1">
        <f t="array" ref="I1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" s="95" t="e" cm="1">
        <f t="array" ref="J1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" s="95" t="e" cm="1">
        <f t="array" ref="K1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" s="96" t="e" cm="1">
        <f t="array" ref="L1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" s="94" t="e">
        <f>AVERAGE(Table119[[#This Row],[*C*]:[*Y*]])</f>
        <v>#N/A</v>
      </c>
    </row>
    <row r="16" spans="2:13" x14ac:dyDescent="0.35">
      <c r="B16" s="6" t="s">
        <v>139</v>
      </c>
      <c r="C16" s="97" t="s">
        <v>16</v>
      </c>
      <c r="D16" s="97" t="s">
        <v>67</v>
      </c>
      <c r="E16" s="6">
        <v>1</v>
      </c>
      <c r="F16" s="97" t="str">
        <f>'2025'!$E$5</f>
        <v>n/a</v>
      </c>
      <c r="G16" s="94" t="e" cm="1">
        <f t="array" ref="G1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" s="94" t="e" cm="1">
        <f t="array" ref="H1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" s="94" t="e" cm="1">
        <f t="array" ref="I1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" s="95" t="e" cm="1">
        <f t="array" ref="J1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" s="95" t="e" cm="1">
        <f t="array" ref="K1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" s="96" t="e" cm="1">
        <f t="array" ref="L1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" s="94" t="e">
        <f>AVERAGE(Table119[[#This Row],[*C*]:[*Y*]])</f>
        <v>#N/A</v>
      </c>
    </row>
    <row r="17" spans="2:13" x14ac:dyDescent="0.35">
      <c r="B17" s="6" t="s">
        <v>147</v>
      </c>
      <c r="C17" s="97" t="s">
        <v>16</v>
      </c>
      <c r="D17" s="97" t="s">
        <v>68</v>
      </c>
      <c r="E17" s="6">
        <v>0</v>
      </c>
      <c r="F17" s="97" t="str">
        <f>'2025'!$E$5</f>
        <v>n/a</v>
      </c>
      <c r="G17" s="94" t="e" cm="1">
        <f t="array" ref="G1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" s="94" t="e" cm="1">
        <f t="array" ref="H1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" s="94" t="e" cm="1">
        <f t="array" ref="I1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" s="95" t="e" cm="1">
        <f t="array" ref="J1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" s="95" t="e" cm="1">
        <f t="array" ref="K1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" s="96" t="e" cm="1">
        <f t="array" ref="L1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" s="94" t="e">
        <f>AVERAGE(Table119[[#This Row],[*C*]:[*Y*]])</f>
        <v>#N/A</v>
      </c>
    </row>
    <row r="18" spans="2:13" x14ac:dyDescent="0.35">
      <c r="B18" s="6" t="s">
        <v>470</v>
      </c>
      <c r="C18" s="97" t="s">
        <v>16</v>
      </c>
      <c r="D18" s="97" t="s">
        <v>401</v>
      </c>
      <c r="E18" s="6">
        <v>1</v>
      </c>
      <c r="F18" s="97" t="str">
        <f>'2025'!$E$5</f>
        <v>n/a</v>
      </c>
      <c r="G18" s="94" t="e" cm="1">
        <f t="array" ref="G1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" s="94" t="e" cm="1">
        <f t="array" ref="H1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" s="94" t="e" cm="1">
        <f t="array" ref="I1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" s="95" t="e" cm="1">
        <f t="array" ref="J1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" s="95" t="e" cm="1">
        <f t="array" ref="K1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" s="96" t="e" cm="1">
        <f t="array" ref="L1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" s="94" t="e">
        <f>AVERAGE(Table119[[#This Row],[*C*]:[*Y*]])</f>
        <v>#N/A</v>
      </c>
    </row>
    <row r="19" spans="2:13" x14ac:dyDescent="0.35">
      <c r="B19" s="6" t="s">
        <v>471</v>
      </c>
      <c r="C19" s="97" t="s">
        <v>16</v>
      </c>
      <c r="D19" s="97" t="s">
        <v>403</v>
      </c>
      <c r="E19" s="6">
        <v>1</v>
      </c>
      <c r="F19" s="97" t="str">
        <f>'2025'!$E$5</f>
        <v>n/a</v>
      </c>
      <c r="G19" s="94" t="e" cm="1">
        <f t="array" ref="G1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" s="94" t="e" cm="1">
        <f t="array" ref="H1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" s="94" t="e" cm="1">
        <f t="array" ref="I1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" s="95" t="e" cm="1">
        <f t="array" ref="J1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" s="95" t="e" cm="1">
        <f t="array" ref="K1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" s="96" t="e" cm="1">
        <f t="array" ref="L1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" s="94" t="e">
        <f>AVERAGE(Table119[[#This Row],[*C*]:[*Y*]])</f>
        <v>#N/A</v>
      </c>
    </row>
    <row r="20" spans="2:13" x14ac:dyDescent="0.35">
      <c r="B20" s="6" t="s">
        <v>472</v>
      </c>
      <c r="C20" s="97" t="s">
        <v>16</v>
      </c>
      <c r="D20" s="97" t="s">
        <v>411</v>
      </c>
      <c r="E20" s="6">
        <v>1</v>
      </c>
      <c r="F20" s="97" t="str">
        <f>'2025'!$E$5</f>
        <v>n/a</v>
      </c>
      <c r="G20" s="94" t="e" cm="1">
        <f t="array" ref="G2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" s="94" t="e" cm="1">
        <f t="array" ref="H2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" s="94" t="e" cm="1">
        <f t="array" ref="I2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" s="95" t="e" cm="1">
        <f t="array" ref="J2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" s="95" t="e" cm="1">
        <f t="array" ref="K2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" s="96" t="e" cm="1">
        <f t="array" ref="L2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" s="94" t="e">
        <f>AVERAGE(Table119[[#This Row],[*C*]:[*Y*]])</f>
        <v>#N/A</v>
      </c>
    </row>
    <row r="21" spans="2:13" x14ac:dyDescent="0.35">
      <c r="B21" s="6" t="s">
        <v>473</v>
      </c>
      <c r="C21" s="97" t="s">
        <v>16</v>
      </c>
      <c r="D21" s="97" t="s">
        <v>441</v>
      </c>
      <c r="E21" s="6">
        <v>-1</v>
      </c>
      <c r="F21" s="97" t="str">
        <f>'2025'!$E$5</f>
        <v>n/a</v>
      </c>
      <c r="G21" s="94" t="e" cm="1">
        <f t="array" ref="G2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1" s="94" t="e" cm="1">
        <f t="array" ref="H2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1" s="94" t="e" cm="1">
        <f t="array" ref="I2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1" s="95" t="e" cm="1">
        <f t="array" ref="J2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1" s="95" t="e" cm="1">
        <f t="array" ref="K2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1" s="96" t="e" cm="1">
        <f t="array" ref="L2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1" s="94" t="e">
        <f>AVERAGE(Table119[[#This Row],[*C*]:[*Y*]])</f>
        <v>#N/A</v>
      </c>
    </row>
    <row r="22" spans="2:13" x14ac:dyDescent="0.35">
      <c r="B22" s="6" t="s">
        <v>144</v>
      </c>
      <c r="C22" s="97" t="s">
        <v>17</v>
      </c>
      <c r="D22" s="97" t="s">
        <v>66</v>
      </c>
      <c r="E22" s="6">
        <v>1</v>
      </c>
      <c r="F22" s="97" t="str">
        <f>'2025'!$E$6</f>
        <v>n/a</v>
      </c>
      <c r="G22" s="94" t="e" cm="1">
        <f t="array" ref="G2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2" s="94" t="e" cm="1">
        <f t="array" ref="H2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2" s="94" t="e" cm="1">
        <f t="array" ref="I2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2" s="95" t="e" cm="1">
        <f t="array" ref="J2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2" s="95" t="e" cm="1">
        <f t="array" ref="K2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2" s="96" t="e" cm="1">
        <f t="array" ref="L2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2" s="94" t="e">
        <f>AVERAGE(Table119[[#This Row],[*C*]:[*Y*]])</f>
        <v>#N/A</v>
      </c>
    </row>
    <row r="23" spans="2:13" x14ac:dyDescent="0.35">
      <c r="B23" s="6" t="s">
        <v>140</v>
      </c>
      <c r="C23" s="97" t="s">
        <v>17</v>
      </c>
      <c r="D23" s="97" t="s">
        <v>67</v>
      </c>
      <c r="E23" s="6">
        <v>0</v>
      </c>
      <c r="F23" s="97" t="str">
        <f>'2025'!$E$6</f>
        <v>n/a</v>
      </c>
      <c r="G23" s="94" t="e" cm="1">
        <f t="array" ref="G2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3" s="94" t="e" cm="1">
        <f t="array" ref="H2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3" s="94" t="e" cm="1">
        <f t="array" ref="I2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3" s="95" t="e" cm="1">
        <f t="array" ref="J2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3" s="95" t="e" cm="1">
        <f t="array" ref="K2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3" s="96" t="e" cm="1">
        <f t="array" ref="L2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3" s="94" t="e">
        <f>AVERAGE(Table119[[#This Row],[*C*]:[*Y*]])</f>
        <v>#N/A</v>
      </c>
    </row>
    <row r="24" spans="2:13" x14ac:dyDescent="0.35">
      <c r="B24" s="6" t="s">
        <v>148</v>
      </c>
      <c r="C24" s="97" t="s">
        <v>17</v>
      </c>
      <c r="D24" s="97" t="s">
        <v>68</v>
      </c>
      <c r="E24" s="6">
        <v>1</v>
      </c>
      <c r="F24" s="97" t="str">
        <f>'2025'!$E$6</f>
        <v>n/a</v>
      </c>
      <c r="G24" s="94" t="e" cm="1">
        <f t="array" ref="G2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4" s="94" t="e" cm="1">
        <f t="array" ref="H2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4" s="94" t="e" cm="1">
        <f t="array" ref="I2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4" s="95" t="e" cm="1">
        <f t="array" ref="J2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4" s="95" t="e" cm="1">
        <f t="array" ref="K2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4" s="96" t="e" cm="1">
        <f t="array" ref="L2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4" s="94" t="e">
        <f>AVERAGE(Table119[[#This Row],[*C*]:[*Y*]])</f>
        <v>#N/A</v>
      </c>
    </row>
    <row r="25" spans="2:13" x14ac:dyDescent="0.35">
      <c r="B25" s="6" t="s">
        <v>400</v>
      </c>
      <c r="C25" s="97" t="s">
        <v>17</v>
      </c>
      <c r="D25" s="97" t="s">
        <v>401</v>
      </c>
      <c r="E25" s="6">
        <v>1</v>
      </c>
      <c r="F25" s="97" t="str">
        <f>'2025'!$E$6</f>
        <v>n/a</v>
      </c>
      <c r="G25" s="94" t="e" cm="1">
        <f t="array" ref="G2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5" s="94" t="e" cm="1">
        <f t="array" ref="H2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5" s="94" t="e" cm="1">
        <f t="array" ref="I2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5" s="95" t="e" cm="1">
        <f t="array" ref="J2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5" s="95" t="e" cm="1">
        <f t="array" ref="K2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5" s="96" t="e" cm="1">
        <f t="array" ref="L2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5" s="94" t="e">
        <f>AVERAGE(Table119[[#This Row],[*C*]:[*Y*]])</f>
        <v>#N/A</v>
      </c>
    </row>
    <row r="26" spans="2:13" x14ac:dyDescent="0.35">
      <c r="B26" s="6" t="s">
        <v>402</v>
      </c>
      <c r="C26" s="97" t="s">
        <v>17</v>
      </c>
      <c r="D26" s="97" t="s">
        <v>403</v>
      </c>
      <c r="E26" s="6">
        <v>0</v>
      </c>
      <c r="F26" s="97" t="str">
        <f>'2025'!$E$6</f>
        <v>n/a</v>
      </c>
      <c r="G26" s="94" t="e" cm="1">
        <f t="array" ref="G2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6" s="94" t="e" cm="1">
        <f t="array" ref="H2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6" s="94" t="e" cm="1">
        <f t="array" ref="I2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6" s="95" t="e" cm="1">
        <f t="array" ref="J2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6" s="95" t="e" cm="1">
        <f t="array" ref="K2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6" s="96" t="e" cm="1">
        <f t="array" ref="L2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6" s="94" t="e">
        <f>AVERAGE(Table119[[#This Row],[*C*]:[*Y*]])</f>
        <v>#N/A</v>
      </c>
    </row>
    <row r="27" spans="2:13" x14ac:dyDescent="0.35">
      <c r="B27" s="6" t="s">
        <v>410</v>
      </c>
      <c r="C27" s="97" t="s">
        <v>17</v>
      </c>
      <c r="D27" s="97" t="s">
        <v>411</v>
      </c>
      <c r="E27" s="6">
        <v>1</v>
      </c>
      <c r="F27" s="97" t="str">
        <f>'2025'!$E$6</f>
        <v>n/a</v>
      </c>
      <c r="G27" s="94" t="e" cm="1">
        <f t="array" ref="G2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7" s="94" t="e" cm="1">
        <f t="array" ref="H2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7" s="94" t="e" cm="1">
        <f t="array" ref="I2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7" s="95" t="e" cm="1">
        <f t="array" ref="J2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7" s="95" t="e" cm="1">
        <f t="array" ref="K2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7" s="96" t="e" cm="1">
        <f t="array" ref="L2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7" s="94" t="e">
        <f>AVERAGE(Table119[[#This Row],[*C*]:[*Y*]])</f>
        <v>#N/A</v>
      </c>
    </row>
    <row r="28" spans="2:13" x14ac:dyDescent="0.35">
      <c r="B28" s="6" t="s">
        <v>141</v>
      </c>
      <c r="C28" s="97" t="s">
        <v>29</v>
      </c>
      <c r="D28" s="97" t="s">
        <v>66</v>
      </c>
      <c r="E28" s="6">
        <v>0</v>
      </c>
      <c r="F28" s="97" t="str">
        <f>'2025'!$E$7</f>
        <v>n/a</v>
      </c>
      <c r="G28" s="94" t="e" cm="1">
        <f t="array" ref="G2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8" s="94" t="e" cm="1">
        <f t="array" ref="H2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8" s="94" t="e" cm="1">
        <f t="array" ref="I2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8" s="95" t="e" cm="1">
        <f t="array" ref="J2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8" s="95" t="e" cm="1">
        <f t="array" ref="K2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8" s="96" t="e" cm="1">
        <f t="array" ref="L2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8" s="94" t="e">
        <f>AVERAGE(Table119[[#This Row],[*C*]:[*Y*]])</f>
        <v>#N/A</v>
      </c>
    </row>
    <row r="29" spans="2:13" x14ac:dyDescent="0.35">
      <c r="B29" s="6" t="s">
        <v>145</v>
      </c>
      <c r="C29" s="97" t="s">
        <v>29</v>
      </c>
      <c r="D29" s="97" t="s">
        <v>67</v>
      </c>
      <c r="E29" s="6">
        <v>1</v>
      </c>
      <c r="F29" s="97" t="str">
        <f>'2025'!$E$7</f>
        <v>n/a</v>
      </c>
      <c r="G29" s="94" t="e" cm="1">
        <f t="array" ref="G2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9" s="94" t="e" cm="1">
        <f t="array" ref="H2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9" s="94" t="e" cm="1">
        <f t="array" ref="I2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9" s="95" t="e" cm="1">
        <f t="array" ref="J2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9" s="95" t="e" cm="1">
        <f t="array" ref="K2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9" s="96" t="e" cm="1">
        <f t="array" ref="L2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9" s="94" t="e">
        <f>AVERAGE(Table119[[#This Row],[*C*]:[*Y*]])</f>
        <v>#N/A</v>
      </c>
    </row>
    <row r="30" spans="2:13" x14ac:dyDescent="0.35">
      <c r="B30" s="6" t="s">
        <v>609</v>
      </c>
      <c r="C30" s="97" t="s">
        <v>29</v>
      </c>
      <c r="D30" s="97" t="s">
        <v>68</v>
      </c>
      <c r="E30" s="6">
        <v>1</v>
      </c>
      <c r="F30" s="97" t="str">
        <f>'2025'!$E$7</f>
        <v>n/a</v>
      </c>
      <c r="G30" s="94" t="e" cm="1">
        <f t="array" ref="G3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0" s="94" t="e" cm="1">
        <f t="array" ref="H3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0" s="94" t="e" cm="1">
        <f t="array" ref="I3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0" s="95" t="e" cm="1">
        <f t="array" ref="J3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0" s="95" t="e" cm="1">
        <f t="array" ref="K3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0" s="96" t="e" cm="1">
        <f t="array" ref="L3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0" s="94" t="e">
        <f>AVERAGE(Table119[[#This Row],[*C*]:[*Y*]])</f>
        <v>#N/A</v>
      </c>
    </row>
    <row r="31" spans="2:13" x14ac:dyDescent="0.35">
      <c r="B31" s="6" t="s">
        <v>610</v>
      </c>
      <c r="C31" s="97" t="s">
        <v>29</v>
      </c>
      <c r="D31" s="97" t="s">
        <v>401</v>
      </c>
      <c r="E31" s="6">
        <v>1</v>
      </c>
      <c r="F31" s="97" t="str">
        <f>'2025'!$E$7</f>
        <v>n/a</v>
      </c>
      <c r="G31" s="94" t="e" cm="1">
        <f t="array" ref="G3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1" s="94" t="e" cm="1">
        <f t="array" ref="H3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1" s="94" t="e" cm="1">
        <f t="array" ref="I3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1" s="95" t="e" cm="1">
        <f t="array" ref="J3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1" s="95" t="e" cm="1">
        <f t="array" ref="K3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1" s="96" t="e" cm="1">
        <f t="array" ref="L3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1" s="94" t="e">
        <f>AVERAGE(Table119[[#This Row],[*C*]:[*Y*]])</f>
        <v>#N/A</v>
      </c>
    </row>
    <row r="32" spans="2:13" x14ac:dyDescent="0.35">
      <c r="B32" s="6" t="s">
        <v>611</v>
      </c>
      <c r="C32" s="97" t="s">
        <v>29</v>
      </c>
      <c r="D32" s="97" t="s">
        <v>403</v>
      </c>
      <c r="E32" s="6">
        <v>1</v>
      </c>
      <c r="F32" s="97" t="str">
        <f>'2025'!$E$7</f>
        <v>n/a</v>
      </c>
      <c r="G32" s="94" t="e" cm="1">
        <f t="array" ref="G3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2" s="94" t="e" cm="1">
        <f t="array" ref="H3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2" s="94" t="e" cm="1">
        <f t="array" ref="I3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2" s="95" t="e" cm="1">
        <f t="array" ref="J3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2" s="95" t="e" cm="1">
        <f t="array" ref="K3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2" s="96" t="e" cm="1">
        <f t="array" ref="L3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2" s="94" t="e">
        <f>AVERAGE(Table119[[#This Row],[*C*]:[*Y*]])</f>
        <v>#N/A</v>
      </c>
    </row>
    <row r="33" spans="2:13" x14ac:dyDescent="0.35">
      <c r="B33" s="6" t="s">
        <v>612</v>
      </c>
      <c r="C33" s="97" t="s">
        <v>29</v>
      </c>
      <c r="D33" s="97" t="s">
        <v>411</v>
      </c>
      <c r="E33" s="6">
        <v>1</v>
      </c>
      <c r="F33" s="97" t="str">
        <f>'2025'!$E$7</f>
        <v>n/a</v>
      </c>
      <c r="G33" s="94" t="e" cm="1">
        <f t="array" ref="G3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3" s="94" t="e" cm="1">
        <f t="array" ref="H3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3" s="94" t="e" cm="1">
        <f t="array" ref="I3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3" s="95" t="e" cm="1">
        <f t="array" ref="J3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3" s="95" t="e" cm="1">
        <f t="array" ref="K3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3" s="96" t="e" cm="1">
        <f t="array" ref="L3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3" s="94" t="e">
        <f>AVERAGE(Table119[[#This Row],[*C*]:[*Y*]])</f>
        <v>#N/A</v>
      </c>
    </row>
    <row r="34" spans="2:13" x14ac:dyDescent="0.35">
      <c r="B34" s="6" t="s">
        <v>613</v>
      </c>
      <c r="C34" s="97" t="s">
        <v>29</v>
      </c>
      <c r="D34" s="97" t="s">
        <v>441</v>
      </c>
      <c r="E34" s="6">
        <v>1</v>
      </c>
      <c r="F34" s="97" t="str">
        <f>'2025'!$E$7</f>
        <v>n/a</v>
      </c>
      <c r="G34" s="94" t="e" cm="1">
        <f t="array" ref="G3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4" s="94" t="e" cm="1">
        <f t="array" ref="H3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4" s="94" t="e" cm="1">
        <f t="array" ref="I3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4" s="95" t="e" cm="1">
        <f t="array" ref="J3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4" s="95" t="e" cm="1">
        <f t="array" ref="K3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4" s="96" t="e" cm="1">
        <f t="array" ref="L3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4" s="94" t="e">
        <f>AVERAGE(Table119[[#This Row],[*C*]:[*Y*]])</f>
        <v>#N/A</v>
      </c>
    </row>
    <row r="35" spans="2:13" x14ac:dyDescent="0.35">
      <c r="B35" s="6" t="s">
        <v>149</v>
      </c>
      <c r="C35" s="97" t="s">
        <v>29</v>
      </c>
      <c r="D35" s="97" t="s">
        <v>443</v>
      </c>
      <c r="E35" s="6">
        <v>-1</v>
      </c>
      <c r="F35" s="97" t="str">
        <f>'2025'!$E$7</f>
        <v>n/a</v>
      </c>
      <c r="G35" s="94" t="e" cm="1">
        <f t="array" ref="G3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5" s="94" t="e" cm="1">
        <f t="array" ref="H3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5" s="94" t="e" cm="1">
        <f t="array" ref="I3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5" s="95" t="e" cm="1">
        <f t="array" ref="J3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5" s="95" t="e" cm="1">
        <f t="array" ref="K3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5" s="96" t="e" cm="1">
        <f t="array" ref="L3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5" s="94" t="e">
        <f>AVERAGE(Table119[[#This Row],[*C*]:[*Y*]])</f>
        <v>#N/A</v>
      </c>
    </row>
    <row r="36" spans="2:13" x14ac:dyDescent="0.35">
      <c r="B36" s="6" t="s">
        <v>156</v>
      </c>
      <c r="C36" s="97" t="s">
        <v>30</v>
      </c>
      <c r="D36" s="97" t="s">
        <v>66</v>
      </c>
      <c r="E36" s="6">
        <v>1</v>
      </c>
      <c r="F36" s="97" t="str">
        <f>'2025'!$E$8</f>
        <v>n/a</v>
      </c>
      <c r="G36" s="94" t="e" cm="1">
        <f t="array" ref="G3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6" s="94" t="e" cm="1">
        <f t="array" ref="H3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6" s="94" t="e" cm="1">
        <f t="array" ref="I3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6" s="95" t="e" cm="1">
        <f t="array" ref="J3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6" s="95" t="e" cm="1">
        <f t="array" ref="K3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6" s="96" t="e" cm="1">
        <f t="array" ref="L3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6" s="94" t="e">
        <f>AVERAGE(Table119[[#This Row],[*C*]:[*Y*]])</f>
        <v>#N/A</v>
      </c>
    </row>
    <row r="37" spans="2:13" x14ac:dyDescent="0.35">
      <c r="B37" s="6" t="s">
        <v>157</v>
      </c>
      <c r="C37" s="97" t="s">
        <v>30</v>
      </c>
      <c r="D37" s="97" t="s">
        <v>67</v>
      </c>
      <c r="E37" s="6">
        <v>1</v>
      </c>
      <c r="F37" s="97" t="str">
        <f>'2025'!$E$8</f>
        <v>n/a</v>
      </c>
      <c r="G37" s="94" t="e" cm="1">
        <f t="array" ref="G3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7" s="94" t="e" cm="1">
        <f t="array" ref="H3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7" s="94" t="e" cm="1">
        <f t="array" ref="I3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7" s="95" t="e" cm="1">
        <f t="array" ref="J3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7" s="95" t="e" cm="1">
        <f t="array" ref="K3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7" s="96" t="e" cm="1">
        <f t="array" ref="L3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7" s="94" t="e">
        <f>AVERAGE(Table119[[#This Row],[*C*]:[*Y*]])</f>
        <v>#N/A</v>
      </c>
    </row>
    <row r="38" spans="2:13" x14ac:dyDescent="0.35">
      <c r="B38" s="6" t="s">
        <v>158</v>
      </c>
      <c r="C38" s="97" t="s">
        <v>30</v>
      </c>
      <c r="D38" s="97" t="s">
        <v>68</v>
      </c>
      <c r="E38" s="6">
        <v>1</v>
      </c>
      <c r="F38" s="97" t="str">
        <f>'2025'!$E$8</f>
        <v>n/a</v>
      </c>
      <c r="G38" s="94" t="e" cm="1">
        <f t="array" ref="G3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8" s="94" t="e" cm="1">
        <f t="array" ref="H3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8" s="94" t="e" cm="1">
        <f t="array" ref="I3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8" s="95" t="e" cm="1">
        <f t="array" ref="J3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8" s="95" t="e" cm="1">
        <f t="array" ref="K3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8" s="96" t="e" cm="1">
        <f t="array" ref="L3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8" s="94" t="e">
        <f>AVERAGE(Table119[[#This Row],[*C*]:[*Y*]])</f>
        <v>#N/A</v>
      </c>
    </row>
    <row r="39" spans="2:13" x14ac:dyDescent="0.35">
      <c r="B39" s="6" t="s">
        <v>499</v>
      </c>
      <c r="C39" s="97" t="s">
        <v>30</v>
      </c>
      <c r="D39" s="97" t="s">
        <v>401</v>
      </c>
      <c r="E39" s="6">
        <v>1</v>
      </c>
      <c r="F39" s="97" t="str">
        <f>'2025'!$E$8</f>
        <v>n/a</v>
      </c>
      <c r="G39" s="94" t="e" cm="1">
        <f t="array" ref="G3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39" s="94" t="e" cm="1">
        <f t="array" ref="H3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39" s="94" t="e" cm="1">
        <f t="array" ref="I3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39" s="95" t="e" cm="1">
        <f t="array" ref="J3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39" s="95" t="e" cm="1">
        <f t="array" ref="K3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39" s="96" t="e" cm="1">
        <f t="array" ref="L3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39" s="94" t="e">
        <f>AVERAGE(Table119[[#This Row],[*C*]:[*Y*]])</f>
        <v>#N/A</v>
      </c>
    </row>
    <row r="40" spans="2:13" x14ac:dyDescent="0.35">
      <c r="B40" s="6" t="s">
        <v>500</v>
      </c>
      <c r="C40" s="97" t="s">
        <v>30</v>
      </c>
      <c r="D40" s="97" t="s">
        <v>403</v>
      </c>
      <c r="E40" s="6">
        <v>1</v>
      </c>
      <c r="F40" s="97" t="str">
        <f>'2025'!$E$8</f>
        <v>n/a</v>
      </c>
      <c r="G40" s="94" t="e" cm="1">
        <f t="array" ref="G4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0" s="94" t="e" cm="1">
        <f t="array" ref="H4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0" s="94" t="e" cm="1">
        <f t="array" ref="I4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0" s="95" t="e" cm="1">
        <f t="array" ref="J4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0" s="95" t="e" cm="1">
        <f t="array" ref="K4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0" s="96" t="e" cm="1">
        <f t="array" ref="L4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0" s="94" t="e">
        <f>AVERAGE(Table119[[#This Row],[*C*]:[*Y*]])</f>
        <v>#N/A</v>
      </c>
    </row>
    <row r="41" spans="2:13" x14ac:dyDescent="0.35">
      <c r="B41" s="6" t="s">
        <v>501</v>
      </c>
      <c r="C41" s="97" t="s">
        <v>30</v>
      </c>
      <c r="D41" s="97" t="s">
        <v>411</v>
      </c>
      <c r="E41" s="6">
        <v>1</v>
      </c>
      <c r="F41" s="97" t="str">
        <f>'2025'!$E$8</f>
        <v>n/a</v>
      </c>
      <c r="G41" s="94" t="e" cm="1">
        <f t="array" ref="G4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1" s="94" t="e" cm="1">
        <f t="array" ref="H4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1" s="94" t="e" cm="1">
        <f t="array" ref="I4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1" s="95" t="e" cm="1">
        <f t="array" ref="J4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1" s="95" t="e" cm="1">
        <f t="array" ref="K4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1" s="96" t="e" cm="1">
        <f t="array" ref="L4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1" s="94" t="e">
        <f>AVERAGE(Table119[[#This Row],[*C*]:[*Y*]])</f>
        <v>#N/A</v>
      </c>
    </row>
    <row r="42" spans="2:13" x14ac:dyDescent="0.35">
      <c r="B42" s="6" t="s">
        <v>167</v>
      </c>
      <c r="C42" s="97" t="s">
        <v>31</v>
      </c>
      <c r="D42" s="97" t="s">
        <v>66</v>
      </c>
      <c r="E42" s="6">
        <v>1</v>
      </c>
      <c r="F42" s="97" t="str">
        <f>'2025'!$E$9</f>
        <v>n/a</v>
      </c>
      <c r="G42" s="94" t="e" cm="1">
        <f t="array" ref="G4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2" s="94" t="e" cm="1">
        <f t="array" ref="H4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2" s="94" t="e" cm="1">
        <f t="array" ref="I4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2" s="95" t="e" cm="1">
        <f t="array" ref="J4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2" s="95" t="e" cm="1">
        <f t="array" ref="K4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2" s="96" t="e" cm="1">
        <f t="array" ref="L4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2" s="94" t="e">
        <f>AVERAGE(Table119[[#This Row],[*C*]:[*Y*]])</f>
        <v>#N/A</v>
      </c>
    </row>
    <row r="43" spans="2:13" x14ac:dyDescent="0.35">
      <c r="B43" s="6" t="s">
        <v>166</v>
      </c>
      <c r="C43" s="97" t="s">
        <v>31</v>
      </c>
      <c r="D43" s="97" t="s">
        <v>67</v>
      </c>
      <c r="E43" s="6">
        <v>1</v>
      </c>
      <c r="F43" s="97" t="str">
        <f>'2025'!$E$9</f>
        <v>n/a</v>
      </c>
      <c r="G43" s="94" t="e" cm="1">
        <f t="array" ref="G4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3" s="94" t="e" cm="1">
        <f t="array" ref="H4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3" s="94" t="e" cm="1">
        <f t="array" ref="I4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3" s="95" t="e" cm="1">
        <f t="array" ref="J4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3" s="95" t="e" cm="1">
        <f t="array" ref="K4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3" s="96" t="e" cm="1">
        <f t="array" ref="L4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3" s="94" t="e">
        <f>AVERAGE(Table119[[#This Row],[*C*]:[*Y*]])</f>
        <v>#N/A</v>
      </c>
    </row>
    <row r="44" spans="2:13" x14ac:dyDescent="0.35">
      <c r="B44" s="6" t="s">
        <v>168</v>
      </c>
      <c r="C44" s="97" t="s">
        <v>31</v>
      </c>
      <c r="D44" s="97" t="s">
        <v>68</v>
      </c>
      <c r="E44" s="6">
        <v>1</v>
      </c>
      <c r="F44" s="97" t="str">
        <f>'2025'!$E$9</f>
        <v>n/a</v>
      </c>
      <c r="G44" s="94" t="e" cm="1">
        <f t="array" ref="G4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4" s="94" t="e" cm="1">
        <f t="array" ref="H4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4" s="94" t="e" cm="1">
        <f t="array" ref="I4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4" s="95" t="e" cm="1">
        <f t="array" ref="J4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4" s="95" t="e" cm="1">
        <f t="array" ref="K4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4" s="96" t="e" cm="1">
        <f t="array" ref="L4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4" s="94" t="e">
        <f>AVERAGE(Table119[[#This Row],[*C*]:[*Y*]])</f>
        <v>#N/A</v>
      </c>
    </row>
    <row r="45" spans="2:13" x14ac:dyDescent="0.35">
      <c r="B45" s="6" t="s">
        <v>477</v>
      </c>
      <c r="C45" s="97" t="s">
        <v>31</v>
      </c>
      <c r="D45" s="97" t="s">
        <v>401</v>
      </c>
      <c r="E45" s="6">
        <v>0</v>
      </c>
      <c r="F45" s="97" t="str">
        <f>'2025'!$E$9</f>
        <v>n/a</v>
      </c>
      <c r="G45" s="94" t="e" cm="1">
        <f t="array" ref="G4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5" s="94" t="e" cm="1">
        <f t="array" ref="H4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5" s="94" t="e" cm="1">
        <f t="array" ref="I4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5" s="95" t="e" cm="1">
        <f t="array" ref="J4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5" s="95" t="e" cm="1">
        <f t="array" ref="K4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5" s="96" t="e" cm="1">
        <f t="array" ref="L4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5" s="94" t="e">
        <f>AVERAGE(Table119[[#This Row],[*C*]:[*Y*]])</f>
        <v>#N/A</v>
      </c>
    </row>
    <row r="46" spans="2:13" x14ac:dyDescent="0.35">
      <c r="B46" s="6" t="s">
        <v>478</v>
      </c>
      <c r="C46" s="97" t="s">
        <v>31</v>
      </c>
      <c r="D46" s="97" t="s">
        <v>403</v>
      </c>
      <c r="E46" s="6">
        <v>1</v>
      </c>
      <c r="F46" s="97" t="str">
        <f>'2025'!$E$9</f>
        <v>n/a</v>
      </c>
      <c r="G46" s="94" t="e" cm="1">
        <f t="array" ref="G4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6" s="94" t="e" cm="1">
        <f t="array" ref="H4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6" s="94" t="e" cm="1">
        <f t="array" ref="I4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6" s="95" t="e" cm="1">
        <f t="array" ref="J4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6" s="95" t="e" cm="1">
        <f t="array" ref="K4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6" s="96" t="e" cm="1">
        <f t="array" ref="L4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6" s="94" t="e">
        <f>AVERAGE(Table119[[#This Row],[*C*]:[*Y*]])</f>
        <v>#N/A</v>
      </c>
    </row>
    <row r="47" spans="2:13" x14ac:dyDescent="0.35">
      <c r="B47" s="6" t="s">
        <v>479</v>
      </c>
      <c r="C47" s="97" t="s">
        <v>31</v>
      </c>
      <c r="D47" s="97" t="s">
        <v>411</v>
      </c>
      <c r="E47" s="6">
        <v>1</v>
      </c>
      <c r="F47" s="97" t="str">
        <f>'2025'!$E$9</f>
        <v>n/a</v>
      </c>
      <c r="G47" s="94" t="e" cm="1">
        <f t="array" ref="G4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7" s="94" t="e" cm="1">
        <f t="array" ref="H4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7" s="94" t="e" cm="1">
        <f t="array" ref="I4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7" s="95" t="e" cm="1">
        <f t="array" ref="J4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7" s="95" t="e" cm="1">
        <f t="array" ref="K4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7" s="96" t="e" cm="1">
        <f t="array" ref="L4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7" s="94" t="e">
        <f>AVERAGE(Table119[[#This Row],[*C*]:[*Y*]])</f>
        <v>#N/A</v>
      </c>
    </row>
    <row r="48" spans="2:13" x14ac:dyDescent="0.35">
      <c r="B48" s="6" t="s">
        <v>179</v>
      </c>
      <c r="C48" s="97" t="s">
        <v>32</v>
      </c>
      <c r="D48" s="97" t="s">
        <v>66</v>
      </c>
      <c r="E48" s="6">
        <v>1</v>
      </c>
      <c r="F48" s="97" t="str">
        <f>'2025'!$E$10</f>
        <v>n/a</v>
      </c>
      <c r="G48" s="94" t="e" cm="1">
        <f t="array" ref="G4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8" s="94" t="e" cm="1">
        <f t="array" ref="H4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8" s="94" t="e" cm="1">
        <f t="array" ref="I4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8" s="95" t="e" cm="1">
        <f t="array" ref="J4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8" s="95" t="e" cm="1">
        <f t="array" ref="K4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8" s="96" t="e" cm="1">
        <f t="array" ref="L4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8" s="94" t="e">
        <f>AVERAGE(Table119[[#This Row],[*C*]:[*Y*]])</f>
        <v>#N/A</v>
      </c>
    </row>
    <row r="49" spans="2:13" x14ac:dyDescent="0.35">
      <c r="B49" s="6" t="s">
        <v>180</v>
      </c>
      <c r="C49" s="97" t="s">
        <v>32</v>
      </c>
      <c r="D49" s="97" t="s">
        <v>67</v>
      </c>
      <c r="E49" s="6">
        <v>1</v>
      </c>
      <c r="F49" s="97" t="str">
        <f>'2025'!$E$10</f>
        <v>n/a</v>
      </c>
      <c r="G49" s="94" t="e" cm="1">
        <f t="array" ref="G4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49" s="94" t="e" cm="1">
        <f t="array" ref="H4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49" s="94" t="e" cm="1">
        <f t="array" ref="I4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49" s="95" t="e" cm="1">
        <f t="array" ref="J4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49" s="95" t="e" cm="1">
        <f t="array" ref="K4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49" s="96" t="e" cm="1">
        <f t="array" ref="L4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49" s="94" t="e">
        <f>AVERAGE(Table119[[#This Row],[*C*]:[*Y*]])</f>
        <v>#N/A</v>
      </c>
    </row>
    <row r="50" spans="2:13" x14ac:dyDescent="0.35">
      <c r="B50" s="6" t="s">
        <v>482</v>
      </c>
      <c r="C50" s="97" t="s">
        <v>32</v>
      </c>
      <c r="D50" s="97" t="s">
        <v>68</v>
      </c>
      <c r="E50" s="6">
        <v>1</v>
      </c>
      <c r="F50" s="97" t="str">
        <f>'2025'!$E$10</f>
        <v>n/a</v>
      </c>
      <c r="G50" s="94" t="e" cm="1">
        <f t="array" ref="G5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0" s="94" t="e" cm="1">
        <f t="array" ref="H5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0" s="94" t="e" cm="1">
        <f t="array" ref="I5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0" s="95" t="e" cm="1">
        <f t="array" ref="J5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0" s="95" t="e" cm="1">
        <f t="array" ref="K5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0" s="96" t="e" cm="1">
        <f t="array" ref="L5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0" s="94" t="e">
        <f>AVERAGE(Table119[[#This Row],[*C*]:[*Y*]])</f>
        <v>#N/A</v>
      </c>
    </row>
    <row r="51" spans="2:13" x14ac:dyDescent="0.35">
      <c r="B51" s="6" t="s">
        <v>654</v>
      </c>
      <c r="C51" s="97" t="s">
        <v>32</v>
      </c>
      <c r="D51" s="97" t="s">
        <v>401</v>
      </c>
      <c r="E51" s="6">
        <v>1</v>
      </c>
      <c r="F51" s="97" t="str">
        <f>'2025'!$E$10</f>
        <v>n/a</v>
      </c>
      <c r="G51" s="94" t="e" cm="1">
        <f t="array" ref="G5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1" s="94" t="e" cm="1">
        <f t="array" ref="H5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1" s="94" t="e" cm="1">
        <f t="array" ref="I5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1" s="95" t="e" cm="1">
        <f t="array" ref="J5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1" s="95" t="e" cm="1">
        <f t="array" ref="K5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1" s="96" t="e" cm="1">
        <f t="array" ref="L5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1" s="94" t="e">
        <f>AVERAGE(Table119[[#This Row],[*C*]:[*Y*]])</f>
        <v>#N/A</v>
      </c>
    </row>
    <row r="52" spans="2:13" x14ac:dyDescent="0.35">
      <c r="B52" s="6" t="s">
        <v>484</v>
      </c>
      <c r="C52" s="97" t="s">
        <v>32</v>
      </c>
      <c r="D52" s="97" t="s">
        <v>403</v>
      </c>
      <c r="E52" s="6">
        <v>1</v>
      </c>
      <c r="F52" s="97" t="str">
        <f>'2025'!$E$10</f>
        <v>n/a</v>
      </c>
      <c r="G52" s="94" t="e" cm="1">
        <f t="array" ref="G5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2" s="94" t="e" cm="1">
        <f t="array" ref="H5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2" s="94" t="e" cm="1">
        <f t="array" ref="I5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2" s="95" t="e" cm="1">
        <f t="array" ref="J5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2" s="95" t="e" cm="1">
        <f t="array" ref="K5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2" s="96" t="e" cm="1">
        <f t="array" ref="L5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2" s="94" t="e">
        <f>AVERAGE(Table119[[#This Row],[*C*]:[*Y*]])</f>
        <v>#N/A</v>
      </c>
    </row>
    <row r="53" spans="2:13" x14ac:dyDescent="0.35">
      <c r="B53" s="6" t="s">
        <v>485</v>
      </c>
      <c r="C53" s="97" t="s">
        <v>32</v>
      </c>
      <c r="D53" s="97" t="s">
        <v>411</v>
      </c>
      <c r="E53" s="6">
        <v>1</v>
      </c>
      <c r="F53" s="97" t="str">
        <f>'2025'!$E$10</f>
        <v>n/a</v>
      </c>
      <c r="G53" s="94" t="e" cm="1">
        <f t="array" ref="G5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3" s="94" t="e" cm="1">
        <f t="array" ref="H5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3" s="94" t="e" cm="1">
        <f t="array" ref="I5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3" s="95" t="e" cm="1">
        <f t="array" ref="J5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3" s="95" t="e" cm="1">
        <f t="array" ref="K5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3" s="96" t="e" cm="1">
        <f t="array" ref="L5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3" s="94" t="e">
        <f>AVERAGE(Table119[[#This Row],[*C*]:[*Y*]])</f>
        <v>#N/A</v>
      </c>
    </row>
    <row r="54" spans="2:13" x14ac:dyDescent="0.35">
      <c r="B54" s="6" t="s">
        <v>486</v>
      </c>
      <c r="C54" s="97" t="s">
        <v>32</v>
      </c>
      <c r="D54" s="97" t="s">
        <v>441</v>
      </c>
      <c r="E54" s="6">
        <v>-1</v>
      </c>
      <c r="F54" s="97" t="str">
        <f>'2025'!$E$10</f>
        <v>n/a</v>
      </c>
      <c r="G54" s="94" t="e" cm="1">
        <f t="array" ref="G5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4" s="94" t="e" cm="1">
        <f t="array" ref="H5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4" s="94" t="e" cm="1">
        <f t="array" ref="I5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4" s="95" t="e" cm="1">
        <f t="array" ref="J5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4" s="95" t="e" cm="1">
        <f t="array" ref="K5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4" s="96" t="e" cm="1">
        <f t="array" ref="L5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4" s="94" t="e">
        <f>AVERAGE(Table119[[#This Row],[*C*]:[*Y*]])</f>
        <v>#N/A</v>
      </c>
    </row>
    <row r="55" spans="2:13" x14ac:dyDescent="0.35">
      <c r="B55" s="6" t="s">
        <v>487</v>
      </c>
      <c r="C55" s="97" t="s">
        <v>32</v>
      </c>
      <c r="D55" s="97" t="s">
        <v>443</v>
      </c>
      <c r="E55" s="6">
        <v>-1</v>
      </c>
      <c r="F55" s="97" t="str">
        <f>'2025'!$E$10</f>
        <v>n/a</v>
      </c>
      <c r="G55" s="94" t="e" cm="1">
        <f t="array" ref="G5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5" s="94" t="e" cm="1">
        <f t="array" ref="H5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5" s="94" t="e" cm="1">
        <f t="array" ref="I5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5" s="95" t="e" cm="1">
        <f t="array" ref="J5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5" s="95" t="e" cm="1">
        <f t="array" ref="K5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5" s="96" t="e" cm="1">
        <f t="array" ref="L5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5" s="94" t="e">
        <f>AVERAGE(Table119[[#This Row],[*C*]:[*Y*]])</f>
        <v>#N/A</v>
      </c>
    </row>
    <row r="56" spans="2:13" x14ac:dyDescent="0.35">
      <c r="B56" s="6" t="s">
        <v>188</v>
      </c>
      <c r="C56" s="97" t="s">
        <v>33</v>
      </c>
      <c r="D56" s="97" t="s">
        <v>66</v>
      </c>
      <c r="E56" s="6">
        <v>1</v>
      </c>
      <c r="F56" s="97" t="str">
        <f>'2025'!$E$11</f>
        <v>n/a</v>
      </c>
      <c r="G56" s="94" t="e" cm="1">
        <f t="array" ref="G5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6" s="94" t="e" cm="1">
        <f t="array" ref="H5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6" s="94" t="e" cm="1">
        <f t="array" ref="I5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6" s="95" t="e" cm="1">
        <f t="array" ref="J5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6" s="95" t="e" cm="1">
        <f t="array" ref="K5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6" s="96" t="e" cm="1">
        <f t="array" ref="L5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6" s="94" t="e">
        <f>AVERAGE(Table119[[#This Row],[*C*]:[*Y*]])</f>
        <v>#N/A</v>
      </c>
    </row>
    <row r="57" spans="2:13" x14ac:dyDescent="0.35">
      <c r="B57" s="6" t="s">
        <v>187</v>
      </c>
      <c r="C57" s="97" t="s">
        <v>33</v>
      </c>
      <c r="D57" s="97" t="s">
        <v>67</v>
      </c>
      <c r="E57" s="6">
        <v>1</v>
      </c>
      <c r="F57" s="97" t="str">
        <f>'2025'!$E$11</f>
        <v>n/a</v>
      </c>
      <c r="G57" s="94" t="e" cm="1">
        <f t="array" ref="G5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7" s="94" t="e" cm="1">
        <f t="array" ref="H5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7" s="94" t="e" cm="1">
        <f t="array" ref="I5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7" s="95" t="e" cm="1">
        <f t="array" ref="J5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7" s="95" t="e" cm="1">
        <f t="array" ref="K5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7" s="96" t="e" cm="1">
        <f t="array" ref="L5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7" s="94" t="e">
        <f>AVERAGE(Table119[[#This Row],[*C*]:[*Y*]])</f>
        <v>#N/A</v>
      </c>
    </row>
    <row r="58" spans="2:13" x14ac:dyDescent="0.35">
      <c r="B58" s="6" t="s">
        <v>189</v>
      </c>
      <c r="C58" s="97" t="s">
        <v>33</v>
      </c>
      <c r="D58" s="97" t="s">
        <v>68</v>
      </c>
      <c r="E58" s="6">
        <v>1</v>
      </c>
      <c r="F58" s="97" t="str">
        <f>'2025'!$E$11</f>
        <v>n/a</v>
      </c>
      <c r="G58" s="94" t="e" cm="1">
        <f t="array" ref="G5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8" s="94" t="e" cm="1">
        <f t="array" ref="H5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8" s="94" t="e" cm="1">
        <f t="array" ref="I5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8" s="95" t="e" cm="1">
        <f t="array" ref="J5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8" s="95" t="e" cm="1">
        <f t="array" ref="K5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8" s="96" t="e" cm="1">
        <f t="array" ref="L5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8" s="94" t="e">
        <f>AVERAGE(Table119[[#This Row],[*C*]:[*Y*]])</f>
        <v>#N/A</v>
      </c>
    </row>
    <row r="59" spans="2:13" x14ac:dyDescent="0.35">
      <c r="B59" s="6" t="s">
        <v>190</v>
      </c>
      <c r="C59" s="97" t="s">
        <v>33</v>
      </c>
      <c r="D59" s="97" t="s">
        <v>401</v>
      </c>
      <c r="E59" s="6">
        <v>1</v>
      </c>
      <c r="F59" s="97" t="str">
        <f>'2025'!$E$11</f>
        <v>n/a</v>
      </c>
      <c r="G59" s="94" t="e" cm="1">
        <f t="array" ref="G5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59" s="94" t="e" cm="1">
        <f t="array" ref="H5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59" s="94" t="e" cm="1">
        <f t="array" ref="I5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59" s="95" t="e" cm="1">
        <f t="array" ref="J5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59" s="95" t="e" cm="1">
        <f t="array" ref="K5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59" s="96" t="e" cm="1">
        <f t="array" ref="L5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59" s="94" t="e">
        <f>AVERAGE(Table119[[#This Row],[*C*]:[*Y*]])</f>
        <v>#N/A</v>
      </c>
    </row>
    <row r="60" spans="2:13" x14ac:dyDescent="0.35">
      <c r="B60" s="6" t="s">
        <v>422</v>
      </c>
      <c r="C60" s="97" t="s">
        <v>33</v>
      </c>
      <c r="D60" s="97" t="s">
        <v>403</v>
      </c>
      <c r="E60" s="6">
        <v>-1</v>
      </c>
      <c r="F60" s="97" t="str">
        <f>'2025'!$E$11</f>
        <v>n/a</v>
      </c>
      <c r="G60" s="94" t="e" cm="1">
        <f t="array" ref="G6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0" s="94" t="e" cm="1">
        <f t="array" ref="H6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0" s="94" t="e" cm="1">
        <f t="array" ref="I6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0" s="95" t="e" cm="1">
        <f t="array" ref="J6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0" s="95" t="e" cm="1">
        <f t="array" ref="K6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0" s="96" t="e" cm="1">
        <f t="array" ref="L6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0" s="94" t="e">
        <f>AVERAGE(Table119[[#This Row],[*C*]:[*Y*]])</f>
        <v>#N/A</v>
      </c>
    </row>
    <row r="61" spans="2:13" x14ac:dyDescent="0.35">
      <c r="B61" s="6" t="s">
        <v>196</v>
      </c>
      <c r="C61" s="97" t="s">
        <v>34</v>
      </c>
      <c r="D61" s="97" t="s">
        <v>66</v>
      </c>
      <c r="E61" s="6">
        <v>1</v>
      </c>
      <c r="F61" s="97" t="str">
        <f>'2025'!$E$12</f>
        <v>n/a</v>
      </c>
      <c r="G61" s="94" t="e" cm="1">
        <f t="array" ref="G6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1" s="94" t="e" cm="1">
        <f t="array" ref="H6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1" s="94" t="e" cm="1">
        <f t="array" ref="I6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1" s="95" t="e" cm="1">
        <f t="array" ref="J6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1" s="95" t="e" cm="1">
        <f t="array" ref="K6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1" s="96" t="e" cm="1">
        <f t="array" ref="L6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1" s="94" t="e">
        <f>AVERAGE(Table119[[#This Row],[*C*]:[*Y*]])</f>
        <v>#N/A</v>
      </c>
    </row>
    <row r="62" spans="2:13" x14ac:dyDescent="0.35">
      <c r="B62" s="6" t="s">
        <v>197</v>
      </c>
      <c r="C62" s="97" t="s">
        <v>34</v>
      </c>
      <c r="D62" s="97" t="s">
        <v>67</v>
      </c>
      <c r="E62" s="6">
        <v>0</v>
      </c>
      <c r="F62" s="97" t="str">
        <f>'2025'!$E$12</f>
        <v>n/a</v>
      </c>
      <c r="G62" s="94" t="e" cm="1">
        <f t="array" ref="G6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2" s="94" t="e" cm="1">
        <f t="array" ref="H6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2" s="94" t="e" cm="1">
        <f t="array" ref="I6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2" s="95" t="e" cm="1">
        <f t="array" ref="J6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2" s="95" t="e" cm="1">
        <f t="array" ref="K6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2" s="96" t="e" cm="1">
        <f t="array" ref="L6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2" s="94" t="e">
        <f>AVERAGE(Table119[[#This Row],[*C*]:[*Y*]])</f>
        <v>#N/A</v>
      </c>
    </row>
    <row r="63" spans="2:13" x14ac:dyDescent="0.35">
      <c r="B63" s="6" t="s">
        <v>198</v>
      </c>
      <c r="C63" s="97" t="s">
        <v>34</v>
      </c>
      <c r="D63" s="97" t="s">
        <v>68</v>
      </c>
      <c r="E63" s="6">
        <v>1</v>
      </c>
      <c r="F63" s="97" t="str">
        <f>'2025'!$E$12</f>
        <v>n/a</v>
      </c>
      <c r="G63" s="94" t="e" cm="1">
        <f t="array" ref="G6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3" s="94" t="e" cm="1">
        <f t="array" ref="H6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3" s="94" t="e" cm="1">
        <f t="array" ref="I6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3" s="95" t="e" cm="1">
        <f t="array" ref="J6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3" s="95" t="e" cm="1">
        <f t="array" ref="K6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3" s="96" t="e" cm="1">
        <f t="array" ref="L6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3" s="94" t="e">
        <f>AVERAGE(Table119[[#This Row],[*C*]:[*Y*]])</f>
        <v>#N/A</v>
      </c>
    </row>
    <row r="64" spans="2:13" x14ac:dyDescent="0.35">
      <c r="B64" s="6" t="s">
        <v>578</v>
      </c>
      <c r="C64" s="97" t="s">
        <v>34</v>
      </c>
      <c r="D64" s="97" t="s">
        <v>401</v>
      </c>
      <c r="E64" s="6">
        <v>1</v>
      </c>
      <c r="F64" s="97" t="str">
        <f>'2025'!$E$12</f>
        <v>n/a</v>
      </c>
      <c r="G64" s="94" t="e" cm="1">
        <f t="array" ref="G6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4" s="94" t="e" cm="1">
        <f t="array" ref="H6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4" s="94" t="e" cm="1">
        <f t="array" ref="I6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4" s="95" t="e" cm="1">
        <f t="array" ref="J6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4" s="95" t="e" cm="1">
        <f t="array" ref="K6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4" s="96" t="e" cm="1">
        <f t="array" ref="L6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4" s="94" t="e">
        <f>AVERAGE(Table119[[#This Row],[*C*]:[*Y*]])</f>
        <v>#N/A</v>
      </c>
    </row>
    <row r="65" spans="2:13" x14ac:dyDescent="0.35">
      <c r="B65" s="6" t="s">
        <v>579</v>
      </c>
      <c r="C65" s="97" t="s">
        <v>34</v>
      </c>
      <c r="D65" s="97" t="s">
        <v>403</v>
      </c>
      <c r="E65" s="6">
        <v>1</v>
      </c>
      <c r="F65" s="97" t="str">
        <f>'2025'!$E$12</f>
        <v>n/a</v>
      </c>
      <c r="G65" s="94" t="e" cm="1">
        <f t="array" ref="G6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5" s="94" t="e" cm="1">
        <f t="array" ref="H6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5" s="94" t="e" cm="1">
        <f t="array" ref="I6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5" s="95" t="e" cm="1">
        <f t="array" ref="J6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5" s="95" t="e" cm="1">
        <f t="array" ref="K6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5" s="96" t="e" cm="1">
        <f t="array" ref="L6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5" s="94" t="e">
        <f>AVERAGE(Table119[[#This Row],[*C*]:[*Y*]])</f>
        <v>#N/A</v>
      </c>
    </row>
    <row r="66" spans="2:13" x14ac:dyDescent="0.35">
      <c r="B66" s="6" t="s">
        <v>203</v>
      </c>
      <c r="C66" s="97" t="s">
        <v>35</v>
      </c>
      <c r="D66" s="97" t="s">
        <v>66</v>
      </c>
      <c r="E66" s="6">
        <v>1</v>
      </c>
      <c r="F66" s="97" t="str">
        <f>'2025'!$E$13</f>
        <v>n/a</v>
      </c>
      <c r="G66" s="94" t="e" cm="1">
        <f t="array" ref="G6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6" s="94" t="e" cm="1">
        <f t="array" ref="H6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6" s="94" t="e" cm="1">
        <f t="array" ref="I6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6" s="95" t="e" cm="1">
        <f t="array" ref="J6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6" s="95" t="e" cm="1">
        <f t="array" ref="K6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6" s="96" t="e" cm="1">
        <f t="array" ref="L6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6" s="94" t="e">
        <f>AVERAGE(Table119[[#This Row],[*C*]:[*Y*]])</f>
        <v>#N/A</v>
      </c>
    </row>
    <row r="67" spans="2:13" x14ac:dyDescent="0.35">
      <c r="B67" s="6" t="s">
        <v>184</v>
      </c>
      <c r="C67" s="97" t="s">
        <v>35</v>
      </c>
      <c r="D67" s="97" t="s">
        <v>67</v>
      </c>
      <c r="E67" s="6">
        <v>1</v>
      </c>
      <c r="F67" s="97" t="str">
        <f>'2025'!$E$13</f>
        <v>n/a</v>
      </c>
      <c r="G67" s="94" t="e" cm="1">
        <f t="array" ref="G6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7" s="94" t="e" cm="1">
        <f t="array" ref="H6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7" s="94" t="e" cm="1">
        <f t="array" ref="I6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7" s="95" t="e" cm="1">
        <f t="array" ref="J6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7" s="95" t="e" cm="1">
        <f t="array" ref="K6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7" s="96" t="e" cm="1">
        <f t="array" ref="L6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7" s="94" t="e">
        <f>AVERAGE(Table119[[#This Row],[*C*]:[*Y*]])</f>
        <v>#N/A</v>
      </c>
    </row>
    <row r="68" spans="2:13" x14ac:dyDescent="0.35">
      <c r="B68" s="6" t="s">
        <v>505</v>
      </c>
      <c r="C68" s="97" t="s">
        <v>35</v>
      </c>
      <c r="D68" s="97" t="s">
        <v>68</v>
      </c>
      <c r="E68" s="6">
        <v>1</v>
      </c>
      <c r="F68" s="97" t="str">
        <f>'2025'!$E$13</f>
        <v>n/a</v>
      </c>
      <c r="G68" s="94" t="e" cm="1">
        <f t="array" ref="G6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8" s="94" t="e" cm="1">
        <f t="array" ref="H6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8" s="94" t="e" cm="1">
        <f t="array" ref="I6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8" s="95" t="e" cm="1">
        <f t="array" ref="J6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8" s="95" t="e" cm="1">
        <f t="array" ref="K6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8" s="96" t="e" cm="1">
        <f t="array" ref="L6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8" s="94" t="e">
        <f>AVERAGE(Table119[[#This Row],[*C*]:[*Y*]])</f>
        <v>#N/A</v>
      </c>
    </row>
    <row r="69" spans="2:13" x14ac:dyDescent="0.35">
      <c r="B69" s="6" t="s">
        <v>506</v>
      </c>
      <c r="C69" s="97" t="s">
        <v>35</v>
      </c>
      <c r="D69" s="97" t="s">
        <v>401</v>
      </c>
      <c r="E69" s="6">
        <v>1</v>
      </c>
      <c r="F69" s="97" t="str">
        <f>'2025'!$E$13</f>
        <v>n/a</v>
      </c>
      <c r="G69" s="94" t="e" cm="1">
        <f t="array" ref="G6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69" s="94" t="e" cm="1">
        <f t="array" ref="H6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69" s="94" t="e" cm="1">
        <f t="array" ref="I6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69" s="95" t="e" cm="1">
        <f t="array" ref="J6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69" s="95" t="e" cm="1">
        <f t="array" ref="K6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69" s="96" t="e" cm="1">
        <f t="array" ref="L6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69" s="94" t="e">
        <f>AVERAGE(Table119[[#This Row],[*C*]:[*Y*]])</f>
        <v>#N/A</v>
      </c>
    </row>
    <row r="70" spans="2:13" x14ac:dyDescent="0.35">
      <c r="B70" s="6" t="s">
        <v>507</v>
      </c>
      <c r="C70" s="97" t="s">
        <v>35</v>
      </c>
      <c r="D70" s="97" t="s">
        <v>403</v>
      </c>
      <c r="E70" s="6">
        <v>1</v>
      </c>
      <c r="F70" s="97" t="str">
        <f>'2025'!$E$13</f>
        <v>n/a</v>
      </c>
      <c r="G70" s="94" t="e" cm="1">
        <f t="array" ref="G7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0" s="94" t="e" cm="1">
        <f t="array" ref="H7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0" s="94" t="e" cm="1">
        <f t="array" ref="I7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0" s="95" t="e" cm="1">
        <f t="array" ref="J7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0" s="95" t="e" cm="1">
        <f t="array" ref="K7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0" s="96" t="e" cm="1">
        <f t="array" ref="L7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0" s="94" t="e">
        <f>AVERAGE(Table119[[#This Row],[*C*]:[*Y*]])</f>
        <v>#N/A</v>
      </c>
    </row>
    <row r="71" spans="2:13" x14ac:dyDescent="0.35">
      <c r="B71" s="6" t="s">
        <v>212</v>
      </c>
      <c r="C71" s="97" t="s">
        <v>36</v>
      </c>
      <c r="D71" s="97" t="s">
        <v>66</v>
      </c>
      <c r="E71" s="6">
        <v>0</v>
      </c>
      <c r="F71" s="97" t="str">
        <f>'2025'!$E$14</f>
        <v>n/a</v>
      </c>
      <c r="G71" s="94" t="e" cm="1">
        <f t="array" ref="G7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1" s="94" t="e" cm="1">
        <f t="array" ref="H7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1" s="94" t="e" cm="1">
        <f t="array" ref="I7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1" s="95" t="e" cm="1">
        <f t="array" ref="J7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1" s="95" t="e" cm="1">
        <f t="array" ref="K7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1" s="96" t="e" cm="1">
        <f t="array" ref="L7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1" s="94" t="e">
        <f>AVERAGE(Table119[[#This Row],[*C*]:[*Y*]])</f>
        <v>#N/A</v>
      </c>
    </row>
    <row r="72" spans="2:13" x14ac:dyDescent="0.35">
      <c r="B72" s="6" t="s">
        <v>211</v>
      </c>
      <c r="C72" s="97" t="s">
        <v>36</v>
      </c>
      <c r="D72" s="97" t="s">
        <v>67</v>
      </c>
      <c r="E72" s="6">
        <v>1</v>
      </c>
      <c r="F72" s="97" t="str">
        <f>'2025'!$E$14</f>
        <v>n/a</v>
      </c>
      <c r="G72" s="94" t="e" cm="1">
        <f t="array" ref="G7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2" s="94" t="e" cm="1">
        <f t="array" ref="H7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2" s="94" t="e" cm="1">
        <f t="array" ref="I7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2" s="95" t="e" cm="1">
        <f t="array" ref="J7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2" s="95" t="e" cm="1">
        <f t="array" ref="K7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2" s="96" t="e" cm="1">
        <f t="array" ref="L7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2" s="94" t="e">
        <f>AVERAGE(Table119[[#This Row],[*C*]:[*Y*]])</f>
        <v>#N/A</v>
      </c>
    </row>
    <row r="73" spans="2:13" x14ac:dyDescent="0.35">
      <c r="B73" s="6" t="s">
        <v>213</v>
      </c>
      <c r="C73" s="97" t="s">
        <v>36</v>
      </c>
      <c r="D73" s="97" t="s">
        <v>68</v>
      </c>
      <c r="E73" s="6">
        <v>1</v>
      </c>
      <c r="F73" s="97" t="str">
        <f>'2025'!$E$14</f>
        <v>n/a</v>
      </c>
      <c r="G73" s="94" t="e" cm="1">
        <f t="array" ref="G7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3" s="94" t="e" cm="1">
        <f t="array" ref="H7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3" s="94" t="e" cm="1">
        <f t="array" ref="I7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3" s="95" t="e" cm="1">
        <f t="array" ref="J7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3" s="95" t="e" cm="1">
        <f t="array" ref="K7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3" s="96" t="e" cm="1">
        <f t="array" ref="L7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3" s="94" t="e">
        <f>AVERAGE(Table119[[#This Row],[*C*]:[*Y*]])</f>
        <v>#N/A</v>
      </c>
    </row>
    <row r="74" spans="2:13" x14ac:dyDescent="0.35">
      <c r="B74" s="6" t="s">
        <v>214</v>
      </c>
      <c r="C74" s="97" t="s">
        <v>36</v>
      </c>
      <c r="D74" s="97" t="s">
        <v>401</v>
      </c>
      <c r="E74" s="6">
        <v>0</v>
      </c>
      <c r="F74" s="97" t="str">
        <f>'2025'!$E$14</f>
        <v>n/a</v>
      </c>
      <c r="G74" s="94" t="e" cm="1">
        <f t="array" ref="G7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4" s="94" t="e" cm="1">
        <f t="array" ref="H7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4" s="94" t="e" cm="1">
        <f t="array" ref="I7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4" s="95" t="e" cm="1">
        <f t="array" ref="J7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4" s="95" t="e" cm="1">
        <f t="array" ref="K7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4" s="96" t="e" cm="1">
        <f t="array" ref="L7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4" s="94" t="e">
        <f>AVERAGE(Table119[[#This Row],[*C*]:[*Y*]])</f>
        <v>#N/A</v>
      </c>
    </row>
    <row r="75" spans="2:13" x14ac:dyDescent="0.35">
      <c r="B75" s="6" t="s">
        <v>512</v>
      </c>
      <c r="C75" s="97" t="s">
        <v>36</v>
      </c>
      <c r="D75" s="97" t="s">
        <v>403</v>
      </c>
      <c r="E75" s="6">
        <v>0</v>
      </c>
      <c r="F75" s="97" t="str">
        <f>'2025'!$E$14</f>
        <v>n/a</v>
      </c>
      <c r="G75" s="94" t="e" cm="1">
        <f t="array" ref="G7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5" s="94" t="e" cm="1">
        <f t="array" ref="H7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5" s="94" t="e" cm="1">
        <f t="array" ref="I7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5" s="95" t="e" cm="1">
        <f t="array" ref="J7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5" s="95" t="e" cm="1">
        <f t="array" ref="K7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5" s="96" t="e" cm="1">
        <f t="array" ref="L7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5" s="94" t="e">
        <f>AVERAGE(Table119[[#This Row],[*C*]:[*Y*]])</f>
        <v>#N/A</v>
      </c>
    </row>
    <row r="76" spans="2:13" x14ac:dyDescent="0.35">
      <c r="B76" s="6" t="s">
        <v>513</v>
      </c>
      <c r="C76" s="97" t="s">
        <v>36</v>
      </c>
      <c r="D76" s="97" t="s">
        <v>411</v>
      </c>
      <c r="E76" s="6">
        <v>1</v>
      </c>
      <c r="F76" s="97" t="str">
        <f>'2025'!$E$14</f>
        <v>n/a</v>
      </c>
      <c r="G76" s="94" t="e" cm="1">
        <f t="array" ref="G7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6" s="94" t="e" cm="1">
        <f t="array" ref="H7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6" s="94" t="e" cm="1">
        <f t="array" ref="I7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6" s="95" t="e" cm="1">
        <f t="array" ref="J7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6" s="95" t="e" cm="1">
        <f t="array" ref="K7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6" s="96" t="e" cm="1">
        <f t="array" ref="L7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6" s="94" t="e">
        <f>AVERAGE(Table119[[#This Row],[*C*]:[*Y*]])</f>
        <v>#N/A</v>
      </c>
    </row>
    <row r="77" spans="2:13" x14ac:dyDescent="0.35">
      <c r="B77" s="6" t="s">
        <v>514</v>
      </c>
      <c r="C77" s="97" t="s">
        <v>36</v>
      </c>
      <c r="D77" s="97" t="s">
        <v>441</v>
      </c>
      <c r="E77" s="6">
        <v>-1</v>
      </c>
      <c r="F77" s="97" t="str">
        <f>'2025'!$E$14</f>
        <v>n/a</v>
      </c>
      <c r="G77" s="94" t="e" cm="1">
        <f t="array" ref="G7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7" s="94" t="e" cm="1">
        <f t="array" ref="H7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7" s="94" t="e" cm="1">
        <f t="array" ref="I7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7" s="95" t="e" cm="1">
        <f t="array" ref="J7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7" s="95" t="e" cm="1">
        <f t="array" ref="K7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7" s="96" t="e" cm="1">
        <f t="array" ref="L7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7" s="94" t="e">
        <f>AVERAGE(Table119[[#This Row],[*C*]:[*Y*]])</f>
        <v>#N/A</v>
      </c>
    </row>
    <row r="78" spans="2:13" x14ac:dyDescent="0.35">
      <c r="B78" s="6" t="s">
        <v>224</v>
      </c>
      <c r="C78" s="97" t="s">
        <v>37</v>
      </c>
      <c r="D78" s="97" t="s">
        <v>66</v>
      </c>
      <c r="E78" s="6">
        <v>1</v>
      </c>
      <c r="F78" s="97" t="str">
        <f>'2025'!$E$15</f>
        <v>n/a</v>
      </c>
      <c r="G78" s="94" t="e" cm="1">
        <f t="array" ref="G7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8" s="94" t="e" cm="1">
        <f t="array" ref="H7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8" s="94" t="e" cm="1">
        <f t="array" ref="I7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8" s="95" t="e" cm="1">
        <f t="array" ref="J7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8" s="95" t="e" cm="1">
        <f t="array" ref="K7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8" s="96" t="e" cm="1">
        <f t="array" ref="L7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8" s="94" t="e">
        <f>AVERAGE(Table119[[#This Row],[*C*]:[*Y*]])</f>
        <v>#N/A</v>
      </c>
    </row>
    <row r="79" spans="2:13" x14ac:dyDescent="0.35">
      <c r="B79" s="6" t="s">
        <v>222</v>
      </c>
      <c r="C79" s="97" t="s">
        <v>37</v>
      </c>
      <c r="D79" s="97" t="s">
        <v>67</v>
      </c>
      <c r="E79" s="6">
        <v>1</v>
      </c>
      <c r="F79" s="97" t="str">
        <f>'2025'!$E$15</f>
        <v>n/a</v>
      </c>
      <c r="G79" s="94" t="e" cm="1">
        <f t="array" ref="G7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79" s="94" t="e" cm="1">
        <f t="array" ref="H7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79" s="94" t="e" cm="1">
        <f t="array" ref="I7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79" s="95" t="e" cm="1">
        <f t="array" ref="J7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79" s="95" t="e" cm="1">
        <f t="array" ref="K7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79" s="96" t="e" cm="1">
        <f t="array" ref="L7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79" s="94" t="e">
        <f>AVERAGE(Table119[[#This Row],[*C*]:[*Y*]])</f>
        <v>#N/A</v>
      </c>
    </row>
    <row r="80" spans="2:13" x14ac:dyDescent="0.35">
      <c r="B80" s="6" t="s">
        <v>223</v>
      </c>
      <c r="C80" s="97" t="s">
        <v>37</v>
      </c>
      <c r="D80" s="97" t="s">
        <v>68</v>
      </c>
      <c r="E80" s="6">
        <v>1</v>
      </c>
      <c r="F80" s="97" t="str">
        <f>'2025'!$E$15</f>
        <v>n/a</v>
      </c>
      <c r="G80" s="94" t="e" cm="1">
        <f t="array" ref="G8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0" s="94" t="e" cm="1">
        <f t="array" ref="H8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0" s="94" t="e" cm="1">
        <f t="array" ref="I8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0" s="95" t="e" cm="1">
        <f t="array" ref="J8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0" s="95" t="e" cm="1">
        <f t="array" ref="K8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0" s="96" t="e" cm="1">
        <f t="array" ref="L8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0" s="94" t="e">
        <f>AVERAGE(Table119[[#This Row],[*C*]:[*Y*]])</f>
        <v>#N/A</v>
      </c>
    </row>
    <row r="81" spans="2:13" x14ac:dyDescent="0.35">
      <c r="B81" s="6" t="s">
        <v>225</v>
      </c>
      <c r="C81" s="97" t="s">
        <v>37</v>
      </c>
      <c r="D81" s="97" t="s">
        <v>401</v>
      </c>
      <c r="E81" s="6">
        <v>1</v>
      </c>
      <c r="F81" s="97" t="str">
        <f>'2025'!$E$15</f>
        <v>n/a</v>
      </c>
      <c r="G81" s="94" t="e" cm="1">
        <f t="array" ref="G8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1" s="94" t="e" cm="1">
        <f t="array" ref="H8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1" s="94" t="e" cm="1">
        <f t="array" ref="I8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1" s="95" t="e" cm="1">
        <f t="array" ref="J8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1" s="95" t="e" cm="1">
        <f t="array" ref="K8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1" s="96" t="e" cm="1">
        <f t="array" ref="L8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1" s="94" t="e">
        <f>AVERAGE(Table119[[#This Row],[*C*]:[*Y*]])</f>
        <v>#N/A</v>
      </c>
    </row>
    <row r="82" spans="2:13" x14ac:dyDescent="0.35">
      <c r="B82" s="6" t="s">
        <v>632</v>
      </c>
      <c r="C82" s="97" t="s">
        <v>37</v>
      </c>
      <c r="D82" s="97" t="s">
        <v>403</v>
      </c>
      <c r="E82" s="6">
        <v>1</v>
      </c>
      <c r="F82" s="97" t="str">
        <f>'2025'!$E$15</f>
        <v>n/a</v>
      </c>
      <c r="G82" s="94" t="e" cm="1">
        <f t="array" ref="G8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2" s="94" t="e" cm="1">
        <f t="array" ref="H8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2" s="94" t="e" cm="1">
        <f t="array" ref="I8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2" s="95" t="e" cm="1">
        <f t="array" ref="J8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2" s="95" t="e" cm="1">
        <f t="array" ref="K8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2" s="96" t="e" cm="1">
        <f t="array" ref="L8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2" s="94" t="e">
        <f>AVERAGE(Table119[[#This Row],[*C*]:[*Y*]])</f>
        <v>#N/A</v>
      </c>
    </row>
    <row r="83" spans="2:13" x14ac:dyDescent="0.35">
      <c r="B83" s="6" t="s">
        <v>633</v>
      </c>
      <c r="C83" s="97" t="s">
        <v>37</v>
      </c>
      <c r="D83" s="97" t="s">
        <v>411</v>
      </c>
      <c r="E83" s="6">
        <v>1</v>
      </c>
      <c r="F83" s="97" t="str">
        <f>'2025'!$E$15</f>
        <v>n/a</v>
      </c>
      <c r="G83" s="94" t="e" cm="1">
        <f t="array" ref="G8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3" s="94" t="e" cm="1">
        <f t="array" ref="H8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3" s="94" t="e" cm="1">
        <f t="array" ref="I8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3" s="95" t="e" cm="1">
        <f t="array" ref="J8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3" s="95" t="e" cm="1">
        <f t="array" ref="K8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3" s="96" t="e" cm="1">
        <f t="array" ref="L8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3" s="94" t="e">
        <f>AVERAGE(Table119[[#This Row],[*C*]:[*Y*]])</f>
        <v>#N/A</v>
      </c>
    </row>
    <row r="84" spans="2:13" x14ac:dyDescent="0.35">
      <c r="B84" s="6" t="s">
        <v>634</v>
      </c>
      <c r="C84" s="97" t="s">
        <v>37</v>
      </c>
      <c r="D84" s="97" t="s">
        <v>441</v>
      </c>
      <c r="E84" s="6">
        <v>1</v>
      </c>
      <c r="F84" s="97" t="str">
        <f>'2025'!$E$15</f>
        <v>n/a</v>
      </c>
      <c r="G84" s="94" t="e" cm="1">
        <f t="array" ref="G8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4" s="94" t="e" cm="1">
        <f t="array" ref="H8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4" s="94" t="e" cm="1">
        <f t="array" ref="I8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4" s="95" t="e" cm="1">
        <f t="array" ref="J8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4" s="95" t="e" cm="1">
        <f t="array" ref="K8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4" s="96" t="e" cm="1">
        <f t="array" ref="L8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4" s="94" t="e">
        <f>AVERAGE(Table119[[#This Row],[*C*]:[*Y*]])</f>
        <v>#N/A</v>
      </c>
    </row>
    <row r="85" spans="2:13" x14ac:dyDescent="0.35">
      <c r="B85" s="6" t="s">
        <v>635</v>
      </c>
      <c r="C85" s="97" t="s">
        <v>37</v>
      </c>
      <c r="D85" s="97" t="s">
        <v>443</v>
      </c>
      <c r="E85" s="6">
        <v>-1</v>
      </c>
      <c r="F85" s="97" t="str">
        <f>'2025'!$E$15</f>
        <v>n/a</v>
      </c>
      <c r="G85" s="94" t="e" cm="1">
        <f t="array" ref="G8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5" s="94" t="e" cm="1">
        <f t="array" ref="H8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5" s="94" t="e" cm="1">
        <f t="array" ref="I8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5" s="95" t="e" cm="1">
        <f t="array" ref="J8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5" s="95" t="e" cm="1">
        <f t="array" ref="K8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5" s="96" t="e" cm="1">
        <f t="array" ref="L8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5" s="94" t="e">
        <f>AVERAGE(Table119[[#This Row],[*C*]:[*Y*]])</f>
        <v>#N/A</v>
      </c>
    </row>
    <row r="86" spans="2:13" x14ac:dyDescent="0.35">
      <c r="B86" s="6" t="s">
        <v>231</v>
      </c>
      <c r="C86" s="97" t="s">
        <v>38</v>
      </c>
      <c r="D86" s="97" t="s">
        <v>66</v>
      </c>
      <c r="E86" s="6">
        <v>1</v>
      </c>
      <c r="F86" s="97" t="str">
        <f>'2025'!$E$16</f>
        <v>n/a</v>
      </c>
      <c r="G86" s="94" t="e" cm="1">
        <f t="array" ref="G8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6" s="94" t="e" cm="1">
        <f t="array" ref="H8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6" s="94" t="e" cm="1">
        <f t="array" ref="I8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6" s="95" t="e" cm="1">
        <f t="array" ref="J8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6" s="95" t="e" cm="1">
        <f t="array" ref="K8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6" s="96" t="e" cm="1">
        <f t="array" ref="L8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6" s="94" t="e">
        <f>AVERAGE(Table119[[#This Row],[*C*]:[*Y*]])</f>
        <v>#N/A</v>
      </c>
    </row>
    <row r="87" spans="2:13" x14ac:dyDescent="0.35">
      <c r="B87" s="6" t="s">
        <v>232</v>
      </c>
      <c r="C87" s="97" t="s">
        <v>38</v>
      </c>
      <c r="D87" s="97" t="s">
        <v>67</v>
      </c>
      <c r="E87" s="6">
        <v>0</v>
      </c>
      <c r="F87" s="97" t="str">
        <f>'2025'!$E$16</f>
        <v>n/a</v>
      </c>
      <c r="G87" s="94" t="e" cm="1">
        <f t="array" ref="G8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7" s="94" t="e" cm="1">
        <f t="array" ref="H8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7" s="94" t="e" cm="1">
        <f t="array" ref="I8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7" s="95" t="e" cm="1">
        <f t="array" ref="J8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7" s="95" t="e" cm="1">
        <f t="array" ref="K8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7" s="96" t="e" cm="1">
        <f t="array" ref="L8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7" s="94" t="e">
        <f>AVERAGE(Table119[[#This Row],[*C*]:[*Y*]])</f>
        <v>#N/A</v>
      </c>
    </row>
    <row r="88" spans="2:13" x14ac:dyDescent="0.35">
      <c r="B88" s="6" t="s">
        <v>233</v>
      </c>
      <c r="C88" s="97" t="s">
        <v>38</v>
      </c>
      <c r="D88" s="97" t="s">
        <v>68</v>
      </c>
      <c r="E88" s="6">
        <v>1</v>
      </c>
      <c r="F88" s="97" t="str">
        <f>'2025'!$E$16</f>
        <v>n/a</v>
      </c>
      <c r="G88" s="94" t="e" cm="1">
        <f t="array" ref="G8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8" s="94" t="e" cm="1">
        <f t="array" ref="H8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8" s="94" t="e" cm="1">
        <f t="array" ref="I8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8" s="95" t="e" cm="1">
        <f t="array" ref="J8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8" s="95" t="e" cm="1">
        <f t="array" ref="K8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8" s="96" t="e" cm="1">
        <f t="array" ref="L8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8" s="94" t="e">
        <f>AVERAGE(Table119[[#This Row],[*C*]:[*Y*]])</f>
        <v>#N/A</v>
      </c>
    </row>
    <row r="89" spans="2:13" x14ac:dyDescent="0.35">
      <c r="B89" s="6" t="s">
        <v>642</v>
      </c>
      <c r="C89" s="97" t="s">
        <v>38</v>
      </c>
      <c r="D89" s="97" t="s">
        <v>401</v>
      </c>
      <c r="E89" s="6">
        <v>1</v>
      </c>
      <c r="F89" s="97" t="str">
        <f>'2025'!$E$16</f>
        <v>n/a</v>
      </c>
      <c r="G89" s="94" t="e" cm="1">
        <f t="array" ref="G8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89" s="94" t="e" cm="1">
        <f t="array" ref="H8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89" s="94" t="e" cm="1">
        <f t="array" ref="I8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89" s="95" t="e" cm="1">
        <f t="array" ref="J8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89" s="95" t="e" cm="1">
        <f t="array" ref="K8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89" s="96" t="e" cm="1">
        <f t="array" ref="L8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89" s="94" t="e">
        <f>AVERAGE(Table119[[#This Row],[*C*]:[*Y*]])</f>
        <v>#N/A</v>
      </c>
    </row>
    <row r="90" spans="2:13" x14ac:dyDescent="0.35">
      <c r="B90" s="6" t="s">
        <v>643</v>
      </c>
      <c r="C90" s="97" t="s">
        <v>38</v>
      </c>
      <c r="D90" s="97" t="s">
        <v>403</v>
      </c>
      <c r="E90" s="6">
        <v>0</v>
      </c>
      <c r="F90" s="97" t="str">
        <f>'2025'!$E$16</f>
        <v>n/a</v>
      </c>
      <c r="G90" s="94" t="e" cm="1">
        <f t="array" ref="G9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0" s="94" t="e" cm="1">
        <f t="array" ref="H9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0" s="94" t="e" cm="1">
        <f t="array" ref="I9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0" s="95" t="e" cm="1">
        <f t="array" ref="J9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0" s="95" t="e" cm="1">
        <f t="array" ref="K9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0" s="96" t="e" cm="1">
        <f t="array" ref="L9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0" s="94" t="e">
        <f>AVERAGE(Table119[[#This Row],[*C*]:[*Y*]])</f>
        <v>#N/A</v>
      </c>
    </row>
    <row r="91" spans="2:13" x14ac:dyDescent="0.35">
      <c r="B91" s="6" t="s">
        <v>644</v>
      </c>
      <c r="C91" s="97" t="s">
        <v>38</v>
      </c>
      <c r="D91" s="97" t="s">
        <v>411</v>
      </c>
      <c r="E91" s="6">
        <v>1</v>
      </c>
      <c r="F91" s="97" t="str">
        <f>'2025'!$E$16</f>
        <v>n/a</v>
      </c>
      <c r="G91" s="94" t="e" cm="1">
        <f t="array" ref="G9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1" s="94" t="e" cm="1">
        <f t="array" ref="H9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1" s="94" t="e" cm="1">
        <f t="array" ref="I9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1" s="95" t="e" cm="1">
        <f t="array" ref="J9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1" s="95" t="e" cm="1">
        <f t="array" ref="K9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1" s="96" t="e" cm="1">
        <f t="array" ref="L9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1" s="94" t="e">
        <f>AVERAGE(Table119[[#This Row],[*C*]:[*Y*]])</f>
        <v>#N/A</v>
      </c>
    </row>
    <row r="92" spans="2:13" x14ac:dyDescent="0.35">
      <c r="B92" s="6" t="s">
        <v>645</v>
      </c>
      <c r="C92" s="97" t="s">
        <v>38</v>
      </c>
      <c r="D92" s="97" t="s">
        <v>441</v>
      </c>
      <c r="E92" s="6">
        <v>-1</v>
      </c>
      <c r="F92" s="97" t="str">
        <f>'2025'!$E$16</f>
        <v>n/a</v>
      </c>
      <c r="G92" s="94" t="e" cm="1">
        <f t="array" ref="G9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2" s="94" t="e" cm="1">
        <f t="array" ref="H9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2" s="94" t="e" cm="1">
        <f t="array" ref="I9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2" s="95" t="e" cm="1">
        <f t="array" ref="J9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2" s="95" t="e" cm="1">
        <f t="array" ref="K9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2" s="96" t="e" cm="1">
        <f t="array" ref="L9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2" s="94" t="e">
        <f>AVERAGE(Table119[[#This Row],[*C*]:[*Y*]])</f>
        <v>#N/A</v>
      </c>
    </row>
    <row r="93" spans="2:13" x14ac:dyDescent="0.35">
      <c r="B93" s="6" t="s">
        <v>240</v>
      </c>
      <c r="C93" s="97" t="s">
        <v>39</v>
      </c>
      <c r="D93" s="97" t="s">
        <v>66</v>
      </c>
      <c r="E93" s="6">
        <v>1</v>
      </c>
      <c r="F93" s="97" t="str">
        <f>'2025'!$E$17</f>
        <v>n/a</v>
      </c>
      <c r="G93" s="94" t="e" cm="1">
        <f t="array" ref="G9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3" s="94" t="e" cm="1">
        <f t="array" ref="H9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3" s="94" t="e" cm="1">
        <f t="array" ref="I9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3" s="95" t="e" cm="1">
        <f t="array" ref="J9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3" s="95" t="e" cm="1">
        <f t="array" ref="K9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3" s="96" t="e" cm="1">
        <f t="array" ref="L9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3" s="94" t="e">
        <f>AVERAGE(Table119[[#This Row],[*C*]:[*Y*]])</f>
        <v>#N/A</v>
      </c>
    </row>
    <row r="94" spans="2:13" x14ac:dyDescent="0.35">
      <c r="B94" s="6" t="s">
        <v>241</v>
      </c>
      <c r="C94" s="97" t="s">
        <v>39</v>
      </c>
      <c r="D94" s="97" t="s">
        <v>67</v>
      </c>
      <c r="E94" s="6">
        <v>1</v>
      </c>
      <c r="F94" s="97" t="str">
        <f>'2025'!$E$17</f>
        <v>n/a</v>
      </c>
      <c r="G94" s="94" t="e" cm="1">
        <f t="array" ref="G9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4" s="94" t="e" cm="1">
        <f t="array" ref="H9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4" s="94" t="e" cm="1">
        <f t="array" ref="I9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4" s="95" t="e" cm="1">
        <f t="array" ref="J9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4" s="95" t="e" cm="1">
        <f t="array" ref="K9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4" s="96" t="e" cm="1">
        <f t="array" ref="L9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4" s="94" t="e">
        <f>AVERAGE(Table119[[#This Row],[*C*]:[*Y*]])</f>
        <v>#N/A</v>
      </c>
    </row>
    <row r="95" spans="2:13" x14ac:dyDescent="0.35">
      <c r="B95" s="6" t="s">
        <v>242</v>
      </c>
      <c r="C95" s="97" t="s">
        <v>39</v>
      </c>
      <c r="D95" s="97" t="s">
        <v>68</v>
      </c>
      <c r="E95" s="6">
        <v>1</v>
      </c>
      <c r="F95" s="97" t="str">
        <f>'2025'!$E$17</f>
        <v>n/a</v>
      </c>
      <c r="G95" s="94" t="e" cm="1">
        <f t="array" ref="G9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5" s="94" t="e" cm="1">
        <f t="array" ref="H9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5" s="94" t="e" cm="1">
        <f t="array" ref="I9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5" s="95" t="e" cm="1">
        <f t="array" ref="J9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5" s="95" t="e" cm="1">
        <f t="array" ref="K9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5" s="96" t="e" cm="1">
        <f t="array" ref="L9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5" s="94" t="e">
        <f>AVERAGE(Table119[[#This Row],[*C*]:[*Y*]])</f>
        <v>#N/A</v>
      </c>
    </row>
    <row r="96" spans="2:13" x14ac:dyDescent="0.35">
      <c r="B96" s="6" t="s">
        <v>625</v>
      </c>
      <c r="C96" s="97" t="s">
        <v>39</v>
      </c>
      <c r="D96" s="97" t="s">
        <v>401</v>
      </c>
      <c r="E96" s="6">
        <v>1</v>
      </c>
      <c r="F96" s="97" t="str">
        <f>'2025'!$E$17</f>
        <v>n/a</v>
      </c>
      <c r="G96" s="94" t="e" cm="1">
        <f t="array" ref="G9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6" s="94" t="e" cm="1">
        <f t="array" ref="H9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6" s="94" t="e" cm="1">
        <f t="array" ref="I9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6" s="95" t="e" cm="1">
        <f t="array" ref="J9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6" s="95" t="e" cm="1">
        <f t="array" ref="K9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6" s="96" t="e" cm="1">
        <f t="array" ref="L9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6" s="94" t="e">
        <f>AVERAGE(Table119[[#This Row],[*C*]:[*Y*]])</f>
        <v>#N/A</v>
      </c>
    </row>
    <row r="97" spans="2:13" x14ac:dyDescent="0.35">
      <c r="B97" s="6" t="s">
        <v>626</v>
      </c>
      <c r="C97" s="97" t="s">
        <v>39</v>
      </c>
      <c r="D97" s="97" t="s">
        <v>403</v>
      </c>
      <c r="E97" s="6">
        <v>1</v>
      </c>
      <c r="F97" s="97" t="str">
        <f>'2025'!$E$17</f>
        <v>n/a</v>
      </c>
      <c r="G97" s="94" t="e" cm="1">
        <f t="array" ref="G9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7" s="94" t="e" cm="1">
        <f t="array" ref="H9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7" s="94" t="e" cm="1">
        <f t="array" ref="I9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7" s="95" t="e" cm="1">
        <f t="array" ref="J9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7" s="95" t="e" cm="1">
        <f t="array" ref="K9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7" s="96" t="e" cm="1">
        <f t="array" ref="L9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7" s="94" t="e">
        <f>AVERAGE(Table119[[#This Row],[*C*]:[*Y*]])</f>
        <v>#N/A</v>
      </c>
    </row>
    <row r="98" spans="2:13" x14ac:dyDescent="0.35">
      <c r="B98" s="6" t="s">
        <v>627</v>
      </c>
      <c r="C98" s="97" t="s">
        <v>39</v>
      </c>
      <c r="D98" s="97" t="s">
        <v>411</v>
      </c>
      <c r="E98" s="6">
        <v>-1</v>
      </c>
      <c r="F98" s="97" t="str">
        <f>'2025'!$E$17</f>
        <v>n/a</v>
      </c>
      <c r="G98" s="94" t="e" cm="1">
        <f t="array" ref="G9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8" s="94" t="e" cm="1">
        <f t="array" ref="H9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8" s="94" t="e" cm="1">
        <f t="array" ref="I9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8" s="95" t="e" cm="1">
        <f t="array" ref="J9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8" s="95" t="e" cm="1">
        <f t="array" ref="K9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8" s="96" t="e" cm="1">
        <f t="array" ref="L9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8" s="94" t="e">
        <f>AVERAGE(Table119[[#This Row],[*C*]:[*Y*]])</f>
        <v>#N/A</v>
      </c>
    </row>
    <row r="99" spans="2:13" x14ac:dyDescent="0.35">
      <c r="B99" s="6" t="s">
        <v>253</v>
      </c>
      <c r="C99" s="97" t="s">
        <v>40</v>
      </c>
      <c r="D99" s="97" t="s">
        <v>66</v>
      </c>
      <c r="E99" s="6">
        <v>1</v>
      </c>
      <c r="F99" s="97" t="str">
        <f>'2025'!$E$18</f>
        <v>n/a</v>
      </c>
      <c r="G99" s="94" t="e" cm="1">
        <f t="array" ref="G9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99" s="94" t="e" cm="1">
        <f t="array" ref="H9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99" s="94" t="e" cm="1">
        <f t="array" ref="I9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99" s="95" t="e" cm="1">
        <f t="array" ref="J9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99" s="95" t="e" cm="1">
        <f t="array" ref="K9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99" s="96" t="e" cm="1">
        <f t="array" ref="L9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99" s="94" t="e">
        <f>AVERAGE(Table119[[#This Row],[*C*]:[*Y*]])</f>
        <v>#N/A</v>
      </c>
    </row>
    <row r="100" spans="2:13" x14ac:dyDescent="0.35">
      <c r="B100" s="6" t="s">
        <v>251</v>
      </c>
      <c r="C100" s="97" t="s">
        <v>40</v>
      </c>
      <c r="D100" s="97" t="s">
        <v>67</v>
      </c>
      <c r="E100" s="6">
        <v>1</v>
      </c>
      <c r="F100" s="97" t="str">
        <f>'2025'!$E$18</f>
        <v>n/a</v>
      </c>
      <c r="G100" s="94" t="e" cm="1">
        <f t="array" ref="G10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0" s="94" t="e" cm="1">
        <f t="array" ref="H10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0" s="94" t="e" cm="1">
        <f t="array" ref="I10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0" s="95" t="e" cm="1">
        <f t="array" ref="J10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0" s="95" t="e" cm="1">
        <f t="array" ref="K10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0" s="96" t="e" cm="1">
        <f t="array" ref="L10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0" s="94" t="e">
        <f>AVERAGE(Table119[[#This Row],[*C*]:[*Y*]])</f>
        <v>#N/A</v>
      </c>
    </row>
    <row r="101" spans="2:13" x14ac:dyDescent="0.35">
      <c r="B101" s="6" t="s">
        <v>570</v>
      </c>
      <c r="C101" s="97" t="s">
        <v>40</v>
      </c>
      <c r="D101" s="97" t="s">
        <v>68</v>
      </c>
      <c r="E101" s="6">
        <v>1</v>
      </c>
      <c r="F101" s="97" t="str">
        <f>'2025'!$E$18</f>
        <v>n/a</v>
      </c>
      <c r="G101" s="94" t="e" cm="1">
        <f t="array" ref="G10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1" s="94" t="e" cm="1">
        <f t="array" ref="H10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1" s="94" t="e" cm="1">
        <f t="array" ref="I10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1" s="95" t="e" cm="1">
        <f t="array" ref="J10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1" s="95" t="e" cm="1">
        <f t="array" ref="K10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1" s="96" t="e" cm="1">
        <f t="array" ref="L10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1" s="94" t="e">
        <f>AVERAGE(Table119[[#This Row],[*C*]:[*Y*]])</f>
        <v>#N/A</v>
      </c>
    </row>
    <row r="102" spans="2:13" x14ac:dyDescent="0.35">
      <c r="B102" s="6" t="s">
        <v>254</v>
      </c>
      <c r="C102" s="97" t="s">
        <v>40</v>
      </c>
      <c r="D102" s="97" t="s">
        <v>401</v>
      </c>
      <c r="E102" s="6">
        <v>0</v>
      </c>
      <c r="F102" s="97" t="str">
        <f>'2025'!$E$18</f>
        <v>n/a</v>
      </c>
      <c r="G102" s="94" t="e" cm="1">
        <f t="array" ref="G10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2" s="94" t="e" cm="1">
        <f t="array" ref="H10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2" s="94" t="e" cm="1">
        <f t="array" ref="I10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2" s="95" t="e" cm="1">
        <f t="array" ref="J10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2" s="95" t="e" cm="1">
        <f t="array" ref="K10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2" s="96" t="e" cm="1">
        <f t="array" ref="L10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2" s="94" t="e">
        <f>AVERAGE(Table119[[#This Row],[*C*]:[*Y*]])</f>
        <v>#N/A</v>
      </c>
    </row>
    <row r="103" spans="2:13" x14ac:dyDescent="0.35">
      <c r="B103" s="6" t="s">
        <v>571</v>
      </c>
      <c r="C103" s="97" t="s">
        <v>40</v>
      </c>
      <c r="D103" s="97" t="s">
        <v>403</v>
      </c>
      <c r="E103" s="6">
        <v>1</v>
      </c>
      <c r="F103" s="97" t="str">
        <f>'2025'!$E$18</f>
        <v>n/a</v>
      </c>
      <c r="G103" s="94" t="e" cm="1">
        <f t="array" ref="G10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3" s="94" t="e" cm="1">
        <f t="array" ref="H10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3" s="94" t="e" cm="1">
        <f t="array" ref="I10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3" s="95" t="e" cm="1">
        <f t="array" ref="J10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3" s="95" t="e" cm="1">
        <f t="array" ref="K10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3" s="96" t="e" cm="1">
        <f t="array" ref="L10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3" s="94" t="e">
        <f>AVERAGE(Table119[[#This Row],[*C*]:[*Y*]])</f>
        <v>#N/A</v>
      </c>
    </row>
    <row r="104" spans="2:13" x14ac:dyDescent="0.35">
      <c r="B104" s="6" t="s">
        <v>572</v>
      </c>
      <c r="C104" s="97" t="s">
        <v>40</v>
      </c>
      <c r="D104" s="97" t="s">
        <v>411</v>
      </c>
      <c r="E104" s="6">
        <v>1</v>
      </c>
      <c r="F104" s="97" t="str">
        <f>'2025'!$E$18</f>
        <v>n/a</v>
      </c>
      <c r="G104" s="94" t="e" cm="1">
        <f t="array" ref="G10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4" s="94" t="e" cm="1">
        <f t="array" ref="H10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4" s="94" t="e" cm="1">
        <f t="array" ref="I10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4" s="95" t="e" cm="1">
        <f t="array" ref="J10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4" s="95" t="e" cm="1">
        <f t="array" ref="K10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4" s="96" t="e" cm="1">
        <f t="array" ref="L10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4" s="94" t="e">
        <f>AVERAGE(Table119[[#This Row],[*C*]:[*Y*]])</f>
        <v>#N/A</v>
      </c>
    </row>
    <row r="105" spans="2:13" x14ac:dyDescent="0.35">
      <c r="B105" s="6" t="s">
        <v>573</v>
      </c>
      <c r="C105" s="97" t="s">
        <v>40</v>
      </c>
      <c r="D105" s="97" t="s">
        <v>441</v>
      </c>
      <c r="E105" s="6">
        <v>1</v>
      </c>
      <c r="F105" s="97" t="str">
        <f>'2025'!$E$18</f>
        <v>n/a</v>
      </c>
      <c r="G105" s="94" t="e" cm="1">
        <f t="array" ref="G10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5" s="94" t="e" cm="1">
        <f t="array" ref="H10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5" s="94" t="e" cm="1">
        <f t="array" ref="I10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5" s="95" t="e" cm="1">
        <f t="array" ref="J10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5" s="95" t="e" cm="1">
        <f t="array" ref="K10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5" s="96" t="e" cm="1">
        <f t="array" ref="L10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5" s="94" t="e">
        <f>AVERAGE(Table119[[#This Row],[*C*]:[*Y*]])</f>
        <v>#N/A</v>
      </c>
    </row>
    <row r="106" spans="2:13" x14ac:dyDescent="0.35">
      <c r="B106" s="6" t="s">
        <v>252</v>
      </c>
      <c r="C106" s="97" t="s">
        <v>40</v>
      </c>
      <c r="D106" s="97" t="s">
        <v>443</v>
      </c>
      <c r="E106" s="6">
        <v>-1</v>
      </c>
      <c r="F106" s="97" t="str">
        <f>'2025'!$E$18</f>
        <v>n/a</v>
      </c>
      <c r="G106" s="94" t="e" cm="1">
        <f t="array" ref="G10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6" s="94" t="e" cm="1">
        <f t="array" ref="H10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6" s="94" t="e" cm="1">
        <f t="array" ref="I10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6" s="95" t="e" cm="1">
        <f t="array" ref="J10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6" s="95" t="e" cm="1">
        <f t="array" ref="K10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6" s="96" t="e" cm="1">
        <f t="array" ref="L10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6" s="94" t="e">
        <f>AVERAGE(Table119[[#This Row],[*C*]:[*Y*]])</f>
        <v>#N/A</v>
      </c>
    </row>
    <row r="107" spans="2:13" x14ac:dyDescent="0.35">
      <c r="B107" s="6" t="s">
        <v>262</v>
      </c>
      <c r="C107" s="97" t="s">
        <v>41</v>
      </c>
      <c r="D107" s="97" t="s">
        <v>66</v>
      </c>
      <c r="E107" s="6">
        <v>1</v>
      </c>
      <c r="F107" s="97" t="str">
        <f>'2025'!$E$19</f>
        <v>n/a</v>
      </c>
      <c r="G107" s="94" t="e" cm="1">
        <f t="array" ref="G10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7" s="94" t="e" cm="1">
        <f t="array" ref="H10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7" s="94" t="e" cm="1">
        <f t="array" ref="I10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7" s="95" t="e" cm="1">
        <f t="array" ref="J10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7" s="95" t="e" cm="1">
        <f t="array" ref="K10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7" s="96" t="e" cm="1">
        <f t="array" ref="L10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7" s="94" t="e">
        <f>AVERAGE(Table119[[#This Row],[*C*]:[*Y*]])</f>
        <v>#N/A</v>
      </c>
    </row>
    <row r="108" spans="2:13" x14ac:dyDescent="0.35">
      <c r="B108" s="6" t="s">
        <v>264</v>
      </c>
      <c r="C108" s="97" t="s">
        <v>41</v>
      </c>
      <c r="D108" s="97" t="s">
        <v>67</v>
      </c>
      <c r="E108" s="6">
        <v>1</v>
      </c>
      <c r="F108" s="97" t="str">
        <f>'2025'!$E$19</f>
        <v>n/a</v>
      </c>
      <c r="G108" s="94" t="e" cm="1">
        <f t="array" ref="G10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8" s="94" t="e" cm="1">
        <f t="array" ref="H10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8" s="94" t="e" cm="1">
        <f t="array" ref="I10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8" s="95" t="e" cm="1">
        <f t="array" ref="J10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8" s="95" t="e" cm="1">
        <f t="array" ref="K10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8" s="96" t="e" cm="1">
        <f t="array" ref="L10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8" s="94" t="e">
        <f>AVERAGE(Table119[[#This Row],[*C*]:[*Y*]])</f>
        <v>#N/A</v>
      </c>
    </row>
    <row r="109" spans="2:13" x14ac:dyDescent="0.35">
      <c r="B109" s="6" t="s">
        <v>261</v>
      </c>
      <c r="C109" s="97" t="s">
        <v>41</v>
      </c>
      <c r="D109" s="97" t="s">
        <v>68</v>
      </c>
      <c r="E109" s="6">
        <v>1</v>
      </c>
      <c r="F109" s="97" t="str">
        <f>'2025'!$E$19</f>
        <v>n/a</v>
      </c>
      <c r="G109" s="94" t="e" cm="1">
        <f t="array" ref="G10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09" s="94" t="e" cm="1">
        <f t="array" ref="H10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09" s="94" t="e" cm="1">
        <f t="array" ref="I10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09" s="95" t="e" cm="1">
        <f t="array" ref="J10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09" s="95" t="e" cm="1">
        <f t="array" ref="K10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09" s="96" t="e" cm="1">
        <f t="array" ref="L10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09" s="94" t="e">
        <f>AVERAGE(Table119[[#This Row],[*C*]:[*Y*]])</f>
        <v>#N/A</v>
      </c>
    </row>
    <row r="110" spans="2:13" x14ac:dyDescent="0.35">
      <c r="B110" s="6" t="s">
        <v>263</v>
      </c>
      <c r="C110" s="97" t="s">
        <v>41</v>
      </c>
      <c r="D110" s="97" t="s">
        <v>401</v>
      </c>
      <c r="E110" s="6">
        <v>1</v>
      </c>
      <c r="F110" s="97" t="str">
        <f>'2025'!$E$19</f>
        <v>n/a</v>
      </c>
      <c r="G110" s="94" t="e" cm="1">
        <f t="array" ref="G11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0" s="94" t="e" cm="1">
        <f t="array" ref="H11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0" s="94" t="e" cm="1">
        <f t="array" ref="I11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0" s="95" t="e" cm="1">
        <f t="array" ref="J11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0" s="95" t="e" cm="1">
        <f t="array" ref="K11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0" s="96" t="e" cm="1">
        <f t="array" ref="L11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0" s="94" t="e">
        <f>AVERAGE(Table119[[#This Row],[*C*]:[*Y*]])</f>
        <v>#N/A</v>
      </c>
    </row>
    <row r="111" spans="2:13" x14ac:dyDescent="0.35">
      <c r="B111" s="6" t="s">
        <v>562</v>
      </c>
      <c r="C111" s="97" t="s">
        <v>41</v>
      </c>
      <c r="D111" s="97" t="s">
        <v>403</v>
      </c>
      <c r="E111" s="6">
        <v>1</v>
      </c>
      <c r="F111" s="97" t="str">
        <f>'2025'!$E$19</f>
        <v>n/a</v>
      </c>
      <c r="G111" s="94" t="e" cm="1">
        <f t="array" ref="G11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1" s="94" t="e" cm="1">
        <f t="array" ref="H11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1" s="94" t="e" cm="1">
        <f t="array" ref="I11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1" s="95" t="e" cm="1">
        <f t="array" ref="J11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1" s="95" t="e" cm="1">
        <f t="array" ref="K11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1" s="96" t="e" cm="1">
        <f t="array" ref="L11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1" s="94" t="e">
        <f>AVERAGE(Table119[[#This Row],[*C*]:[*Y*]])</f>
        <v>#N/A</v>
      </c>
    </row>
    <row r="112" spans="2:13" x14ac:dyDescent="0.35">
      <c r="B112" s="6" t="s">
        <v>563</v>
      </c>
      <c r="C112" s="97" t="s">
        <v>41</v>
      </c>
      <c r="D112" s="97" t="s">
        <v>411</v>
      </c>
      <c r="E112" s="6">
        <v>1</v>
      </c>
      <c r="F112" s="97" t="str">
        <f>'2025'!$E$19</f>
        <v>n/a</v>
      </c>
      <c r="G112" s="94" t="e" cm="1">
        <f t="array" ref="G11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2" s="94" t="e" cm="1">
        <f t="array" ref="H11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2" s="94" t="e" cm="1">
        <f t="array" ref="I11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2" s="95" t="e" cm="1">
        <f t="array" ref="J11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2" s="95" t="e" cm="1">
        <f t="array" ref="K11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2" s="96" t="e" cm="1">
        <f t="array" ref="L11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2" s="94" t="e">
        <f>AVERAGE(Table119[[#This Row],[*C*]:[*Y*]])</f>
        <v>#N/A</v>
      </c>
    </row>
    <row r="113" spans="2:13" x14ac:dyDescent="0.35">
      <c r="B113" s="6" t="s">
        <v>272</v>
      </c>
      <c r="C113" s="97" t="s">
        <v>42</v>
      </c>
      <c r="D113" s="97" t="s">
        <v>66</v>
      </c>
      <c r="E113" s="6">
        <v>1</v>
      </c>
      <c r="F113" s="97" t="str">
        <f>'2025'!$E$20</f>
        <v>n/a</v>
      </c>
      <c r="G113" s="94" t="e" cm="1">
        <f t="array" ref="G11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3" s="94" t="e" cm="1">
        <f t="array" ref="H11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3" s="94" t="e" cm="1">
        <f t="array" ref="I11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3" s="95" t="e" cm="1">
        <f t="array" ref="J11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3" s="95" t="e" cm="1">
        <f t="array" ref="K11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3" s="96" t="e" cm="1">
        <f t="array" ref="L11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3" s="94" t="e">
        <f>AVERAGE(Table119[[#This Row],[*C*]:[*Y*]])</f>
        <v>#N/A</v>
      </c>
    </row>
    <row r="114" spans="2:13" x14ac:dyDescent="0.35">
      <c r="B114" s="6" t="s">
        <v>271</v>
      </c>
      <c r="C114" s="97" t="s">
        <v>42</v>
      </c>
      <c r="D114" s="97" t="s">
        <v>67</v>
      </c>
      <c r="E114" s="6">
        <v>1</v>
      </c>
      <c r="F114" s="97" t="str">
        <f>'2025'!$E$20</f>
        <v>n/a</v>
      </c>
      <c r="G114" s="94" t="e" cm="1">
        <f t="array" ref="G11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4" s="94" t="e" cm="1">
        <f t="array" ref="H11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4" s="94" t="e" cm="1">
        <f t="array" ref="I11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4" s="95" t="e" cm="1">
        <f t="array" ref="J11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4" s="95" t="e" cm="1">
        <f t="array" ref="K11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4" s="96" t="e" cm="1">
        <f t="array" ref="L11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4" s="94" t="e">
        <f>AVERAGE(Table119[[#This Row],[*C*]:[*Y*]])</f>
        <v>#N/A</v>
      </c>
    </row>
    <row r="115" spans="2:13" x14ac:dyDescent="0.35">
      <c r="B115" s="6" t="s">
        <v>273</v>
      </c>
      <c r="C115" s="97" t="s">
        <v>42</v>
      </c>
      <c r="D115" s="97" t="s">
        <v>68</v>
      </c>
      <c r="E115" s="6">
        <v>1</v>
      </c>
      <c r="F115" s="97" t="str">
        <f>'2025'!$E$20</f>
        <v>n/a</v>
      </c>
      <c r="G115" s="94" t="e" cm="1">
        <f t="array" ref="G11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5" s="94" t="e" cm="1">
        <f t="array" ref="H11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5" s="94" t="e" cm="1">
        <f t="array" ref="I11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5" s="95" t="e" cm="1">
        <f t="array" ref="J11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5" s="95" t="e" cm="1">
        <f t="array" ref="K11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5" s="96" t="e" cm="1">
        <f t="array" ref="L11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5" s="94" t="e">
        <f>AVERAGE(Table119[[#This Row],[*C*]:[*Y*]])</f>
        <v>#N/A</v>
      </c>
    </row>
    <row r="116" spans="2:13" x14ac:dyDescent="0.35">
      <c r="B116" s="6" t="s">
        <v>274</v>
      </c>
      <c r="C116" s="97" t="s">
        <v>42</v>
      </c>
      <c r="D116" s="97" t="s">
        <v>401</v>
      </c>
      <c r="E116" s="6">
        <v>1</v>
      </c>
      <c r="F116" s="97" t="str">
        <f>'2025'!$E$20</f>
        <v>n/a</v>
      </c>
      <c r="G116" s="94" t="e" cm="1">
        <f t="array" ref="G11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6" s="94" t="e" cm="1">
        <f t="array" ref="H11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6" s="94" t="e" cm="1">
        <f t="array" ref="I11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6" s="95" t="e" cm="1">
        <f t="array" ref="J11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6" s="95" t="e" cm="1">
        <f t="array" ref="K11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6" s="96" t="e" cm="1">
        <f t="array" ref="L11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6" s="94" t="e">
        <f>AVERAGE(Table119[[#This Row],[*C*]:[*Y*]])</f>
        <v>#N/A</v>
      </c>
    </row>
    <row r="117" spans="2:13" x14ac:dyDescent="0.35">
      <c r="B117" s="6" t="s">
        <v>549</v>
      </c>
      <c r="C117" s="97" t="s">
        <v>42</v>
      </c>
      <c r="D117" s="97" t="s">
        <v>403</v>
      </c>
      <c r="E117" s="6">
        <v>1</v>
      </c>
      <c r="F117" s="97" t="str">
        <f>'2025'!$E$20</f>
        <v>n/a</v>
      </c>
      <c r="G117" s="94" t="e" cm="1">
        <f t="array" ref="G11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7" s="94" t="e" cm="1">
        <f t="array" ref="H11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7" s="94" t="e" cm="1">
        <f t="array" ref="I11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7" s="95" t="e" cm="1">
        <f t="array" ref="J11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7" s="95" t="e" cm="1">
        <f t="array" ref="K11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7" s="96" t="e" cm="1">
        <f t="array" ref="L11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7" s="94" t="e">
        <f>AVERAGE(Table119[[#This Row],[*C*]:[*Y*]])</f>
        <v>#N/A</v>
      </c>
    </row>
    <row r="118" spans="2:13" x14ac:dyDescent="0.35">
      <c r="B118" s="6" t="s">
        <v>550</v>
      </c>
      <c r="C118" s="97" t="s">
        <v>42</v>
      </c>
      <c r="D118" s="97" t="s">
        <v>411</v>
      </c>
      <c r="E118" s="6">
        <v>1</v>
      </c>
      <c r="F118" s="97" t="str">
        <f>'2025'!$E$20</f>
        <v>n/a</v>
      </c>
      <c r="G118" s="94" t="e" cm="1">
        <f t="array" ref="G11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8" s="94" t="e" cm="1">
        <f t="array" ref="H11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8" s="94" t="e" cm="1">
        <f t="array" ref="I11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8" s="95" t="e" cm="1">
        <f t="array" ref="J11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8" s="95" t="e" cm="1">
        <f t="array" ref="K11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8" s="96" t="e" cm="1">
        <f t="array" ref="L11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8" s="94" t="e">
        <f>AVERAGE(Table119[[#This Row],[*C*]:[*Y*]])</f>
        <v>#N/A</v>
      </c>
    </row>
    <row r="119" spans="2:13" x14ac:dyDescent="0.35">
      <c r="B119" s="6" t="s">
        <v>281</v>
      </c>
      <c r="C119" s="97" t="s">
        <v>43</v>
      </c>
      <c r="D119" s="97" t="s">
        <v>66</v>
      </c>
      <c r="E119" s="6">
        <v>1</v>
      </c>
      <c r="F119" s="97" t="str">
        <f>'2025'!$E$21</f>
        <v>n/a</v>
      </c>
      <c r="G119" s="94" t="e" cm="1">
        <f t="array" ref="G11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19" s="94" t="e" cm="1">
        <f t="array" ref="H11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19" s="94" t="e" cm="1">
        <f t="array" ref="I11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19" s="95" t="e" cm="1">
        <f t="array" ref="J11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19" s="95" t="e" cm="1">
        <f t="array" ref="K11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19" s="96" t="e" cm="1">
        <f t="array" ref="L11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19" s="94" t="e">
        <f>AVERAGE(Table119[[#This Row],[*C*]:[*Y*]])</f>
        <v>#N/A</v>
      </c>
    </row>
    <row r="120" spans="2:13" x14ac:dyDescent="0.35">
      <c r="B120" s="6" t="s">
        <v>568</v>
      </c>
      <c r="C120" s="97" t="s">
        <v>43</v>
      </c>
      <c r="D120" s="97" t="s">
        <v>67</v>
      </c>
      <c r="E120" s="6">
        <v>1</v>
      </c>
      <c r="F120" s="97" t="str">
        <f>'2025'!$E$21</f>
        <v>n/a</v>
      </c>
      <c r="G120" s="94" t="e" cm="1">
        <f t="array" ref="G12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0" s="94" t="e" cm="1">
        <f t="array" ref="H12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0" s="94" t="e" cm="1">
        <f t="array" ref="I12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0" s="95" t="e" cm="1">
        <f t="array" ref="J12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0" s="95" t="e" cm="1">
        <f t="array" ref="K12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0" s="96" t="e" cm="1">
        <f t="array" ref="L12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0" s="94" t="e">
        <f>AVERAGE(Table119[[#This Row],[*C*]:[*Y*]])</f>
        <v>#N/A</v>
      </c>
    </row>
    <row r="121" spans="2:13" x14ac:dyDescent="0.35">
      <c r="B121" s="6" t="s">
        <v>283</v>
      </c>
      <c r="C121" s="97" t="s">
        <v>43</v>
      </c>
      <c r="D121" s="97" t="s">
        <v>68</v>
      </c>
      <c r="E121" s="6">
        <v>1</v>
      </c>
      <c r="F121" s="97" t="str">
        <f>'2025'!$E$21</f>
        <v>n/a</v>
      </c>
      <c r="G121" s="94" t="e" cm="1">
        <f t="array" ref="G12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1" s="94" t="e" cm="1">
        <f t="array" ref="H12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1" s="94" t="e" cm="1">
        <f t="array" ref="I12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1" s="95" t="e" cm="1">
        <f t="array" ref="J12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1" s="95" t="e" cm="1">
        <f t="array" ref="K12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1" s="96" t="e" cm="1">
        <f t="array" ref="L12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1" s="94" t="e">
        <f>AVERAGE(Table119[[#This Row],[*C*]:[*Y*]])</f>
        <v>#N/A</v>
      </c>
    </row>
    <row r="122" spans="2:13" x14ac:dyDescent="0.35">
      <c r="B122" s="6" t="s">
        <v>282</v>
      </c>
      <c r="C122" s="97" t="s">
        <v>43</v>
      </c>
      <c r="D122" s="97" t="s">
        <v>401</v>
      </c>
      <c r="E122" s="6">
        <v>1</v>
      </c>
      <c r="F122" s="97" t="str">
        <f>'2025'!$E$21</f>
        <v>n/a</v>
      </c>
      <c r="G122" s="94" t="e" cm="1">
        <f t="array" ref="G12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2" s="94" t="e" cm="1">
        <f t="array" ref="H12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2" s="94" t="e" cm="1">
        <f t="array" ref="I12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2" s="95" t="e" cm="1">
        <f t="array" ref="J12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2" s="95" t="e" cm="1">
        <f t="array" ref="K12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2" s="96" t="e" cm="1">
        <f t="array" ref="L12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2" s="94" t="e">
        <f>AVERAGE(Table119[[#This Row],[*C*]:[*Y*]])</f>
        <v>#N/A</v>
      </c>
    </row>
    <row r="123" spans="2:13" x14ac:dyDescent="0.35">
      <c r="B123" s="6" t="s">
        <v>663</v>
      </c>
      <c r="C123" s="97" t="s">
        <v>43</v>
      </c>
      <c r="D123" s="97" t="s">
        <v>403</v>
      </c>
      <c r="E123" s="97">
        <v>1</v>
      </c>
      <c r="F123" s="97" t="str">
        <f>'2025'!$E$21</f>
        <v>n/a</v>
      </c>
      <c r="G123" s="94" t="e" cm="1">
        <f t="array" ref="G12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3" s="94" t="e" cm="1">
        <f t="array" ref="H12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3" s="94" t="e" cm="1">
        <f t="array" ref="I12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3" s="95" t="e" cm="1">
        <f t="array" ref="J12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3" s="95" t="e" cm="1">
        <f t="array" ref="K12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3" s="96" t="e" cm="1">
        <f t="array" ref="L12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3" s="94" t="e">
        <f>AVERAGE(Table119[[#This Row],[*C*]:[*Y*]])</f>
        <v>#N/A</v>
      </c>
    </row>
    <row r="124" spans="2:13" x14ac:dyDescent="0.35">
      <c r="B124" s="6" t="s">
        <v>664</v>
      </c>
      <c r="C124" s="97" t="s">
        <v>43</v>
      </c>
      <c r="D124" s="97" t="s">
        <v>411</v>
      </c>
      <c r="E124" s="97">
        <v>1</v>
      </c>
      <c r="F124" s="97" t="str">
        <f>'2025'!$E$21</f>
        <v>n/a</v>
      </c>
      <c r="G124" s="94" t="e" cm="1">
        <f t="array" ref="G12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4" s="94" t="e" cm="1">
        <f t="array" ref="H12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4" s="94" t="e" cm="1">
        <f t="array" ref="I12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4" s="95" t="e" cm="1">
        <f t="array" ref="J12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4" s="95" t="e" cm="1">
        <f t="array" ref="K12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4" s="96" t="e" cm="1">
        <f t="array" ref="L12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4" s="94" t="e">
        <f>AVERAGE(Table119[[#This Row],[*C*]:[*Y*]])</f>
        <v>#N/A</v>
      </c>
    </row>
    <row r="125" spans="2:13" x14ac:dyDescent="0.35">
      <c r="B125" s="6" t="s">
        <v>290</v>
      </c>
      <c r="C125" s="97" t="s">
        <v>44</v>
      </c>
      <c r="D125" s="97" t="s">
        <v>66</v>
      </c>
      <c r="E125" s="6">
        <v>0</v>
      </c>
      <c r="F125" s="97" t="str">
        <f>'2025'!$E$22</f>
        <v>n/a</v>
      </c>
      <c r="G125" s="94" t="e" cm="1">
        <f t="array" ref="G12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5" s="94" t="e" cm="1">
        <f t="array" ref="H12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5" s="94" t="e" cm="1">
        <f t="array" ref="I12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5" s="95" t="e" cm="1">
        <f t="array" ref="J12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5" s="95" t="e" cm="1">
        <f t="array" ref="K12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5" s="96" t="e" cm="1">
        <f t="array" ref="L12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5" s="94" t="e">
        <f>AVERAGE(Table119[[#This Row],[*C*]:[*Y*]])</f>
        <v>#N/A</v>
      </c>
    </row>
    <row r="126" spans="2:13" x14ac:dyDescent="0.35">
      <c r="B126" s="6" t="s">
        <v>291</v>
      </c>
      <c r="C126" s="97" t="s">
        <v>44</v>
      </c>
      <c r="D126" s="97" t="s">
        <v>67</v>
      </c>
      <c r="E126" s="6">
        <v>1</v>
      </c>
      <c r="F126" s="97" t="str">
        <f>'2025'!$E$22</f>
        <v>n/a</v>
      </c>
      <c r="G126" s="94" t="e" cm="1">
        <f t="array" ref="G12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6" s="94" t="e" cm="1">
        <f t="array" ref="H12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6" s="94" t="e" cm="1">
        <f t="array" ref="I12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6" s="95" t="e" cm="1">
        <f t="array" ref="J12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6" s="95" t="e" cm="1">
        <f t="array" ref="K12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6" s="96" t="e" cm="1">
        <f t="array" ref="L12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6" s="94" t="e">
        <f>AVERAGE(Table119[[#This Row],[*C*]:[*Y*]])</f>
        <v>#N/A</v>
      </c>
    </row>
    <row r="127" spans="2:13" x14ac:dyDescent="0.35">
      <c r="B127" s="6" t="s">
        <v>408</v>
      </c>
      <c r="C127" s="97" t="s">
        <v>44</v>
      </c>
      <c r="D127" s="97" t="s">
        <v>68</v>
      </c>
      <c r="E127" s="6">
        <v>1</v>
      </c>
      <c r="F127" s="97" t="str">
        <f>'2025'!$E$22</f>
        <v>n/a</v>
      </c>
      <c r="G127" s="94" t="e" cm="1">
        <f t="array" ref="G12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7" s="94" t="e" cm="1">
        <f t="array" ref="H12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7" s="94" t="e" cm="1">
        <f t="array" ref="I12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7" s="95" t="e" cm="1">
        <f t="array" ref="J12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7" s="95" t="e" cm="1">
        <f t="array" ref="K12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7" s="96" t="e" cm="1">
        <f t="array" ref="L12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7" s="94" t="e">
        <f>AVERAGE(Table119[[#This Row],[*C*]:[*Y*]])</f>
        <v>#N/A</v>
      </c>
    </row>
    <row r="128" spans="2:13" x14ac:dyDescent="0.35">
      <c r="B128" s="6" t="s">
        <v>292</v>
      </c>
      <c r="C128" s="97" t="s">
        <v>44</v>
      </c>
      <c r="D128" s="97" t="s">
        <v>401</v>
      </c>
      <c r="E128" s="6">
        <v>1</v>
      </c>
      <c r="F128" s="97" t="str">
        <f>'2025'!$E$22</f>
        <v>n/a</v>
      </c>
      <c r="G128" s="94" t="e" cm="1">
        <f t="array" ref="G12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8" s="94" t="e" cm="1">
        <f t="array" ref="H12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8" s="94" t="e" cm="1">
        <f t="array" ref="I12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8" s="95" t="e" cm="1">
        <f t="array" ref="J12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8" s="95" t="e" cm="1">
        <f t="array" ref="K12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8" s="96" t="e" cm="1">
        <f t="array" ref="L12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8" s="94" t="e">
        <f>AVERAGE(Table119[[#This Row],[*C*]:[*Y*]])</f>
        <v>#N/A</v>
      </c>
    </row>
    <row r="129" spans="2:13" x14ac:dyDescent="0.35">
      <c r="B129" s="6" t="s">
        <v>409</v>
      </c>
      <c r="C129" s="97" t="s">
        <v>44</v>
      </c>
      <c r="D129" s="97" t="s">
        <v>403</v>
      </c>
      <c r="E129" s="6">
        <v>0</v>
      </c>
      <c r="F129" s="97" t="str">
        <f>'2025'!$E$22</f>
        <v>n/a</v>
      </c>
      <c r="G129" s="94" t="e" cm="1">
        <f t="array" ref="G12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29" s="94" t="e" cm="1">
        <f t="array" ref="H12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29" s="94" t="e" cm="1">
        <f t="array" ref="I12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29" s="95" t="e" cm="1">
        <f t="array" ref="J12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29" s="95" t="e" cm="1">
        <f t="array" ref="K12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29" s="96" t="e" cm="1">
        <f t="array" ref="L12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29" s="94" t="e">
        <f>AVERAGE(Table119[[#This Row],[*C*]:[*Y*]])</f>
        <v>#N/A</v>
      </c>
    </row>
    <row r="130" spans="2:13" x14ac:dyDescent="0.35">
      <c r="B130" s="6" t="s">
        <v>431</v>
      </c>
      <c r="C130" s="97" t="s">
        <v>44</v>
      </c>
      <c r="D130" s="97" t="s">
        <v>411</v>
      </c>
      <c r="E130" s="6">
        <v>1</v>
      </c>
      <c r="F130" s="97" t="str">
        <f>'2025'!$E$22</f>
        <v>n/a</v>
      </c>
      <c r="G130" s="94" t="e" cm="1">
        <f t="array" ref="G13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0" s="94" t="e" cm="1">
        <f t="array" ref="H13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0" s="94" t="e" cm="1">
        <f t="array" ref="I13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0" s="95" t="e" cm="1">
        <f t="array" ref="J13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0" s="95" t="e" cm="1">
        <f t="array" ref="K13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0" s="96" t="e" cm="1">
        <f t="array" ref="L13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0" s="94" t="e">
        <f>AVERAGE(Table119[[#This Row],[*C*]:[*Y*]])</f>
        <v>#N/A</v>
      </c>
    </row>
    <row r="131" spans="2:13" x14ac:dyDescent="0.35">
      <c r="B131" s="6" t="s">
        <v>299</v>
      </c>
      <c r="C131" s="97" t="s">
        <v>45</v>
      </c>
      <c r="D131" s="97" t="s">
        <v>66</v>
      </c>
      <c r="E131" s="6">
        <v>0</v>
      </c>
      <c r="F131" s="97" t="str">
        <f>'2025'!$E$23</f>
        <v>n/a</v>
      </c>
      <c r="G131" s="94" t="e" cm="1">
        <f t="array" ref="G13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1" s="94" t="e" cm="1">
        <f t="array" ref="H13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1" s="94" t="e" cm="1">
        <f t="array" ref="I13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1" s="95" t="e" cm="1">
        <f t="array" ref="J13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1" s="95" t="e" cm="1">
        <f t="array" ref="K13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1" s="96" t="e" cm="1">
        <f t="array" ref="L13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1" s="94" t="e">
        <f>AVERAGE(Table119[[#This Row],[*C*]:[*Y*]])</f>
        <v>#N/A</v>
      </c>
    </row>
    <row r="132" spans="2:13" x14ac:dyDescent="0.35">
      <c r="B132" s="6" t="s">
        <v>300</v>
      </c>
      <c r="C132" s="97" t="s">
        <v>45</v>
      </c>
      <c r="D132" s="97" t="s">
        <v>67</v>
      </c>
      <c r="E132" s="6">
        <v>-1</v>
      </c>
      <c r="F132" s="97" t="str">
        <f>'2025'!$E$23</f>
        <v>n/a</v>
      </c>
      <c r="G132" s="94" t="e" cm="1">
        <f t="array" ref="G13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2" s="94" t="e" cm="1">
        <f t="array" ref="H13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2" s="94" t="e" cm="1">
        <f t="array" ref="I13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2" s="95" t="e" cm="1">
        <f t="array" ref="J13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2" s="95" t="e" cm="1">
        <f t="array" ref="K13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2" s="96" t="e" cm="1">
        <f t="array" ref="L13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2" s="94" t="e">
        <f>AVERAGE(Table119[[#This Row],[*C*]:[*Y*]])</f>
        <v>#N/A</v>
      </c>
    </row>
    <row r="133" spans="2:13" x14ac:dyDescent="0.35">
      <c r="B133" s="6" t="s">
        <v>136</v>
      </c>
      <c r="C133" s="97" t="s">
        <v>45</v>
      </c>
      <c r="D133" s="97" t="s">
        <v>68</v>
      </c>
      <c r="E133" s="6">
        <v>1</v>
      </c>
      <c r="F133" s="97" t="str">
        <f>'2025'!$E$23</f>
        <v>n/a</v>
      </c>
      <c r="G133" s="94" t="e" cm="1">
        <f t="array" ref="G13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3" s="94" t="e" cm="1">
        <f t="array" ref="H13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3" s="94" t="e" cm="1">
        <f t="array" ref="I13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3" s="95" t="e" cm="1">
        <f t="array" ref="J13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3" s="95" t="e" cm="1">
        <f t="array" ref="K13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3" s="96" t="e" cm="1">
        <f t="array" ref="L13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3" s="94" t="e">
        <f>AVERAGE(Table119[[#This Row],[*C*]:[*Y*]])</f>
        <v>#N/A</v>
      </c>
    </row>
    <row r="134" spans="2:13" x14ac:dyDescent="0.35">
      <c r="B134" s="6" t="s">
        <v>301</v>
      </c>
      <c r="C134" s="97" t="s">
        <v>45</v>
      </c>
      <c r="D134" s="97" t="s">
        <v>401</v>
      </c>
      <c r="E134" s="6">
        <v>0</v>
      </c>
      <c r="F134" s="97" t="str">
        <f>'2025'!$E$23</f>
        <v>n/a</v>
      </c>
      <c r="G134" s="94" t="e" cm="1">
        <f t="array" ref="G13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4" s="94" t="e" cm="1">
        <f t="array" ref="H13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4" s="94" t="e" cm="1">
        <f t="array" ref="I13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4" s="95" t="e" cm="1">
        <f t="array" ref="J13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4" s="95" t="e" cm="1">
        <f t="array" ref="K13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4" s="96" t="e" cm="1">
        <f t="array" ref="L13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4" s="94" t="e">
        <f>AVERAGE(Table119[[#This Row],[*C*]:[*Y*]])</f>
        <v>#N/A</v>
      </c>
    </row>
    <row r="135" spans="2:13" x14ac:dyDescent="0.35">
      <c r="B135" s="6" t="s">
        <v>520</v>
      </c>
      <c r="C135" s="97" t="s">
        <v>45</v>
      </c>
      <c r="D135" s="97" t="s">
        <v>403</v>
      </c>
      <c r="E135" s="6">
        <v>0</v>
      </c>
      <c r="F135" s="97" t="str">
        <f>'2025'!$E$23</f>
        <v>n/a</v>
      </c>
      <c r="G135" s="94" t="e" cm="1">
        <f t="array" ref="G13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5" s="94" t="e" cm="1">
        <f t="array" ref="H13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5" s="94" t="e" cm="1">
        <f t="array" ref="I13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5" s="95" t="e" cm="1">
        <f t="array" ref="J13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5" s="95" t="e" cm="1">
        <f t="array" ref="K13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5" s="96" t="e" cm="1">
        <f t="array" ref="L13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5" s="94" t="e">
        <f>AVERAGE(Table119[[#This Row],[*C*]:[*Y*]])</f>
        <v>#N/A</v>
      </c>
    </row>
    <row r="136" spans="2:13" x14ac:dyDescent="0.35">
      <c r="B136" s="6" t="s">
        <v>521</v>
      </c>
      <c r="C136" s="97" t="s">
        <v>45</v>
      </c>
      <c r="D136" s="97" t="s">
        <v>411</v>
      </c>
      <c r="E136" s="6">
        <v>1</v>
      </c>
      <c r="F136" s="97" t="str">
        <f>'2025'!$E$23</f>
        <v>n/a</v>
      </c>
      <c r="G136" s="94" t="e" cm="1">
        <f t="array" ref="G13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6" s="94" t="e" cm="1">
        <f t="array" ref="H13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6" s="94" t="e" cm="1">
        <f t="array" ref="I13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6" s="95" t="e" cm="1">
        <f t="array" ref="J13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6" s="95" t="e" cm="1">
        <f t="array" ref="K13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6" s="96" t="e" cm="1">
        <f t="array" ref="L13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6" s="94" t="e">
        <f>AVERAGE(Table119[[#This Row],[*C*]:[*Y*]])</f>
        <v>#N/A</v>
      </c>
    </row>
    <row r="137" spans="2:13" x14ac:dyDescent="0.35">
      <c r="B137" s="6" t="s">
        <v>522</v>
      </c>
      <c r="C137" s="97" t="s">
        <v>45</v>
      </c>
      <c r="D137" s="97" t="s">
        <v>441</v>
      </c>
      <c r="E137" s="6">
        <v>-1</v>
      </c>
      <c r="F137" s="97" t="str">
        <f>'2025'!$E$23</f>
        <v>n/a</v>
      </c>
      <c r="G137" s="94" t="e" cm="1">
        <f t="array" ref="G13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37" s="94" t="e" cm="1">
        <f t="array" ref="H13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37" s="94" t="e" cm="1">
        <f t="array" ref="I13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37" s="95" t="e" cm="1">
        <f t="array" ref="J13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37" s="95" t="e" cm="1">
        <f t="array" ref="K13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37" s="96" t="e" cm="1">
        <f t="array" ref="L13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37" s="94" t="e">
        <f>AVERAGE(Table119[[#This Row],[*C*]:[*Y*]])</f>
        <v>#N/A</v>
      </c>
    </row>
    <row r="138" spans="2:13" x14ac:dyDescent="0.35">
      <c r="B138" s="6" t="s">
        <v>309</v>
      </c>
      <c r="C138" s="97" t="s">
        <v>46</v>
      </c>
      <c r="D138" s="97" t="s">
        <v>66</v>
      </c>
      <c r="E138" s="6">
        <v>0</v>
      </c>
      <c r="F138" s="97" t="str">
        <f>'2025'!$E$24</f>
        <v>SEA</v>
      </c>
      <c r="G138" s="94" cm="1">
        <f t="array" ref="G13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24</v>
      </c>
      <c r="H138" s="94" cm="1">
        <f t="array" ref="H13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31</v>
      </c>
      <c r="I138" s="94" cm="1">
        <f t="array" ref="I13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21</v>
      </c>
      <c r="J138" s="95" cm="1">
        <f t="array" ref="J13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4.6470588235294121</v>
      </c>
      <c r="K138" s="95" cm="1">
        <f t="array" ref="K13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50.235294117647058</v>
      </c>
      <c r="L138" s="96" cm="1">
        <f t="array" ref="L13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0.35294117647058826</v>
      </c>
      <c r="M138" s="94">
        <f>AVERAGE(Table119[[#This Row],[*C*]:[*Y*]])</f>
        <v>27.5</v>
      </c>
    </row>
    <row r="139" spans="2:13" x14ac:dyDescent="0.35">
      <c r="B139" s="6" t="s">
        <v>310</v>
      </c>
      <c r="C139" s="97" t="s">
        <v>46</v>
      </c>
      <c r="D139" s="97" t="s">
        <v>67</v>
      </c>
      <c r="E139" s="6">
        <v>1</v>
      </c>
      <c r="F139" s="97" t="str">
        <f>'2025'!$E$24</f>
        <v>SEA</v>
      </c>
      <c r="G139" s="94" cm="1">
        <f t="array" ref="G13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4</v>
      </c>
      <c r="H139" s="94" cm="1">
        <f t="array" ref="H13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9</v>
      </c>
      <c r="I139" s="94" cm="1">
        <f t="array" ref="I13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15</v>
      </c>
      <c r="J139" s="95" cm="1">
        <f t="array" ref="J13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4.4117647058823533</v>
      </c>
      <c r="K139" s="95" cm="1">
        <f t="array" ref="K13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55.411764705882355</v>
      </c>
      <c r="L139" s="96" cm="1">
        <f t="array" ref="L13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0.35294117647058826</v>
      </c>
      <c r="M139" s="94">
        <f>AVERAGE(Table119[[#This Row],[*C*]:[*Y*]])</f>
        <v>6.5</v>
      </c>
    </row>
    <row r="140" spans="2:13" x14ac:dyDescent="0.35">
      <c r="B140" s="6" t="s">
        <v>311</v>
      </c>
      <c r="C140" s="97" t="s">
        <v>46</v>
      </c>
      <c r="D140" s="97" t="s">
        <v>68</v>
      </c>
      <c r="E140" s="6">
        <v>1</v>
      </c>
      <c r="F140" s="97" t="str">
        <f>'2025'!$E$24</f>
        <v>SEA</v>
      </c>
      <c r="G140" s="94" cm="1">
        <f t="array" ref="G14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10</v>
      </c>
      <c r="H140" s="94" cm="1">
        <f t="array" ref="H14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14</v>
      </c>
      <c r="I140" s="94" cm="1">
        <f t="array" ref="I14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2</v>
      </c>
      <c r="J140" s="95" cm="1">
        <f t="array" ref="J14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2.2941176470588234</v>
      </c>
      <c r="K140" s="95" cm="1">
        <f t="array" ref="K14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27.411764705882351</v>
      </c>
      <c r="L140" s="96" cm="1">
        <f t="array" ref="L14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0.35294117647058826</v>
      </c>
      <c r="M140" s="94">
        <f>AVERAGE(Table119[[#This Row],[*C*]:[*Y*]])</f>
        <v>12</v>
      </c>
    </row>
    <row r="141" spans="2:13" x14ac:dyDescent="0.35">
      <c r="B141" s="6" t="s">
        <v>412</v>
      </c>
      <c r="C141" s="97" t="s">
        <v>46</v>
      </c>
      <c r="D141" s="97" t="s">
        <v>401</v>
      </c>
      <c r="E141" s="6">
        <v>1</v>
      </c>
      <c r="F141" s="97" t="str">
        <f>'2025'!$E$24</f>
        <v>SEA</v>
      </c>
      <c r="G141" s="94" cm="1">
        <f t="array" ref="G14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17</v>
      </c>
      <c r="H141" s="94" cm="1">
        <f t="array" ref="H14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15</v>
      </c>
      <c r="I141" s="94" cm="1">
        <f t="array" ref="I14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41" s="95" cm="1">
        <f t="array" ref="J14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0.82352941176470584</v>
      </c>
      <c r="K141" s="95" cm="1">
        <f t="array" ref="K14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9.0588235294117645</v>
      </c>
      <c r="L141" s="96" cm="1">
        <f t="array" ref="L14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41" s="94">
        <f>AVERAGE(Table119[[#This Row],[*C*]:[*Y*]])</f>
        <v>16</v>
      </c>
    </row>
    <row r="142" spans="2:13" x14ac:dyDescent="0.35">
      <c r="B142" s="6" t="s">
        <v>266</v>
      </c>
      <c r="C142" s="97" t="s">
        <v>46</v>
      </c>
      <c r="D142" s="97" t="s">
        <v>403</v>
      </c>
      <c r="E142" s="6">
        <v>0</v>
      </c>
      <c r="F142" s="97" t="str">
        <f>'2025'!$E$24</f>
        <v>SEA</v>
      </c>
      <c r="G142" s="94" cm="1">
        <f t="array" ref="G14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17</v>
      </c>
      <c r="H142" s="94" cm="1">
        <f t="array" ref="H14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15</v>
      </c>
      <c r="I142" s="94" cm="1">
        <f t="array" ref="I14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42" s="95" cm="1">
        <f t="array" ref="J14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0.82352941176470584</v>
      </c>
      <c r="K142" s="95" cm="1">
        <f t="array" ref="K14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9.0588235294117645</v>
      </c>
      <c r="L142" s="96" cm="1">
        <f t="array" ref="L14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42" s="94">
        <f>AVERAGE(Table119[[#This Row],[*C*]:[*Y*]])</f>
        <v>16</v>
      </c>
    </row>
    <row r="143" spans="2:13" x14ac:dyDescent="0.35">
      <c r="B143" s="6" t="s">
        <v>450</v>
      </c>
      <c r="C143" s="97" t="s">
        <v>46</v>
      </c>
      <c r="D143" s="97" t="s">
        <v>411</v>
      </c>
      <c r="E143" s="6">
        <v>0</v>
      </c>
      <c r="F143" s="97" t="str">
        <f>'2025'!$E$24</f>
        <v>SEA</v>
      </c>
      <c r="G143" s="94" cm="1">
        <f t="array" ref="G14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17</v>
      </c>
      <c r="H143" s="94" cm="1">
        <f t="array" ref="H14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15</v>
      </c>
      <c r="I143" s="94" cm="1">
        <f t="array" ref="I14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43" s="95" cm="1">
        <f t="array" ref="J14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0.82352941176470584</v>
      </c>
      <c r="K143" s="95" cm="1">
        <f t="array" ref="K14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9.0588235294117645</v>
      </c>
      <c r="L143" s="96" cm="1">
        <f t="array" ref="L14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43" s="94">
        <f>AVERAGE(Table119[[#This Row],[*C*]:[*Y*]])</f>
        <v>16</v>
      </c>
    </row>
    <row r="144" spans="2:13" x14ac:dyDescent="0.35">
      <c r="B144" s="6" t="s">
        <v>413</v>
      </c>
      <c r="C144" s="97" t="s">
        <v>46</v>
      </c>
      <c r="D144" s="97" t="s">
        <v>441</v>
      </c>
      <c r="E144" s="6">
        <v>-1</v>
      </c>
      <c r="F144" s="97" t="str">
        <f>'2025'!$E$24</f>
        <v>SEA</v>
      </c>
      <c r="G144" s="94" cm="1">
        <f t="array" ref="G14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17</v>
      </c>
      <c r="H144" s="94" cm="1">
        <f t="array" ref="H14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15</v>
      </c>
      <c r="I144" s="94" cm="1">
        <f t="array" ref="I14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44" s="95" cm="1">
        <f t="array" ref="J14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0.82352941176470584</v>
      </c>
      <c r="K144" s="95" cm="1">
        <f t="array" ref="K14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9.0588235294117645</v>
      </c>
      <c r="L144" s="96" cm="1">
        <f t="array" ref="L14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44" s="94">
        <f>AVERAGE(Table119[[#This Row],[*C*]:[*Y*]])</f>
        <v>16</v>
      </c>
    </row>
    <row r="145" spans="2:13" x14ac:dyDescent="0.35">
      <c r="B145" s="6" t="s">
        <v>319</v>
      </c>
      <c r="C145" s="97" t="s">
        <v>47</v>
      </c>
      <c r="D145" s="97" t="s">
        <v>66</v>
      </c>
      <c r="E145" s="6">
        <v>1</v>
      </c>
      <c r="F145" s="97" t="str">
        <f>'2025'!$E$25</f>
        <v>n/a</v>
      </c>
      <c r="G145" s="94" t="e" cm="1">
        <f t="array" ref="G14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45" s="94" t="e" cm="1">
        <f t="array" ref="H14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45" s="94" t="e" cm="1">
        <f t="array" ref="I14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45" s="95" t="e" cm="1">
        <f t="array" ref="J14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45" s="95" t="e" cm="1">
        <f t="array" ref="K14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45" s="96" t="e" cm="1">
        <f t="array" ref="L14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45" s="94" t="e">
        <f>AVERAGE(Table119[[#This Row],[*C*]:[*Y*]])</f>
        <v>#N/A</v>
      </c>
    </row>
    <row r="146" spans="2:13" x14ac:dyDescent="0.35">
      <c r="B146" s="6" t="s">
        <v>318</v>
      </c>
      <c r="C146" s="97" t="s">
        <v>47</v>
      </c>
      <c r="D146" s="97" t="s">
        <v>67</v>
      </c>
      <c r="E146" s="6">
        <v>1</v>
      </c>
      <c r="F146" s="97" t="str">
        <f>'2025'!$E$25</f>
        <v>n/a</v>
      </c>
      <c r="G146" s="94" t="e" cm="1">
        <f t="array" ref="G14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46" s="94" t="e" cm="1">
        <f t="array" ref="H14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46" s="94" t="e" cm="1">
        <f t="array" ref="I14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46" s="95" t="e" cm="1">
        <f t="array" ref="J14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46" s="95" t="e" cm="1">
        <f t="array" ref="K14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46" s="96" t="e" cm="1">
        <f t="array" ref="L14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46" s="94" t="e">
        <f>AVERAGE(Table119[[#This Row],[*C*]:[*Y*]])</f>
        <v>#N/A</v>
      </c>
    </row>
    <row r="147" spans="2:13" x14ac:dyDescent="0.35">
      <c r="B147" s="6" t="s">
        <v>320</v>
      </c>
      <c r="C147" s="97" t="s">
        <v>47</v>
      </c>
      <c r="D147" s="97" t="s">
        <v>68</v>
      </c>
      <c r="E147" s="6">
        <v>1</v>
      </c>
      <c r="F147" s="97" t="str">
        <f>'2025'!$E$25</f>
        <v>n/a</v>
      </c>
      <c r="G147" s="94" t="e" cm="1">
        <f t="array" ref="G14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47" s="94" t="e" cm="1">
        <f t="array" ref="H14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47" s="94" t="e" cm="1">
        <f t="array" ref="I14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47" s="95" t="e" cm="1">
        <f t="array" ref="J14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47" s="95" t="e" cm="1">
        <f t="array" ref="K14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47" s="96" t="e" cm="1">
        <f t="array" ref="L14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47" s="94" t="e">
        <f>AVERAGE(Table119[[#This Row],[*C*]:[*Y*]])</f>
        <v>#N/A</v>
      </c>
    </row>
    <row r="148" spans="2:13" x14ac:dyDescent="0.35">
      <c r="B148" s="6" t="s">
        <v>620</v>
      </c>
      <c r="C148" s="97" t="s">
        <v>47</v>
      </c>
      <c r="D148" s="97" t="s">
        <v>401</v>
      </c>
      <c r="E148" s="6">
        <v>1</v>
      </c>
      <c r="F148" s="97" t="str">
        <f>'2025'!$E$25</f>
        <v>n/a</v>
      </c>
      <c r="G148" s="94" t="e" cm="1">
        <f t="array" ref="G14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48" s="94" t="e" cm="1">
        <f t="array" ref="H14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48" s="94" t="e" cm="1">
        <f t="array" ref="I14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48" s="95" t="e" cm="1">
        <f t="array" ref="J14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48" s="95" t="e" cm="1">
        <f t="array" ref="K14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48" s="96" t="e" cm="1">
        <f t="array" ref="L14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48" s="94" t="e">
        <f>AVERAGE(Table119[[#This Row],[*C*]:[*Y*]])</f>
        <v>#N/A</v>
      </c>
    </row>
    <row r="149" spans="2:13" x14ac:dyDescent="0.35">
      <c r="B149" s="6" t="s">
        <v>618</v>
      </c>
      <c r="C149" s="97" t="s">
        <v>47</v>
      </c>
      <c r="D149" s="97" t="s">
        <v>403</v>
      </c>
      <c r="E149" s="6">
        <v>1</v>
      </c>
      <c r="F149" s="97" t="str">
        <f>'2025'!$E$25</f>
        <v>n/a</v>
      </c>
      <c r="G149" s="94" t="e" cm="1">
        <f t="array" ref="G14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49" s="94" t="e" cm="1">
        <f t="array" ref="H14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49" s="94" t="e" cm="1">
        <f t="array" ref="I14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49" s="95" t="e" cm="1">
        <f t="array" ref="J14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49" s="95" t="e" cm="1">
        <f t="array" ref="K14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49" s="96" t="e" cm="1">
        <f t="array" ref="L14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49" s="94" t="e">
        <f>AVERAGE(Table119[[#This Row],[*C*]:[*Y*]])</f>
        <v>#N/A</v>
      </c>
    </row>
    <row r="150" spans="2:13" x14ac:dyDescent="0.35">
      <c r="B150" s="6" t="s">
        <v>619</v>
      </c>
      <c r="C150" s="97" t="s">
        <v>47</v>
      </c>
      <c r="D150" s="97" t="s">
        <v>411</v>
      </c>
      <c r="E150" s="6">
        <v>1</v>
      </c>
      <c r="F150" s="97" t="str">
        <f>'2025'!$E$25</f>
        <v>n/a</v>
      </c>
      <c r="G150" s="94" t="e" cm="1">
        <f t="array" ref="G15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0" s="94" t="e" cm="1">
        <f t="array" ref="H15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0" s="94" t="e" cm="1">
        <f t="array" ref="I15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0" s="95" t="e" cm="1">
        <f t="array" ref="J15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0" s="95" t="e" cm="1">
        <f t="array" ref="K15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0" s="96" t="e" cm="1">
        <f t="array" ref="L15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0" s="94" t="e">
        <f>AVERAGE(Table119[[#This Row],[*C*]:[*Y*]])</f>
        <v>#N/A</v>
      </c>
    </row>
    <row r="151" spans="2:13" x14ac:dyDescent="0.35">
      <c r="B151" s="6" t="s">
        <v>621</v>
      </c>
      <c r="C151" s="97" t="s">
        <v>47</v>
      </c>
      <c r="D151" s="97" t="s">
        <v>441</v>
      </c>
      <c r="E151" s="6">
        <v>-1</v>
      </c>
      <c r="F151" s="97" t="str">
        <f>'2025'!$E$25</f>
        <v>n/a</v>
      </c>
      <c r="G151" s="94" t="e" cm="1">
        <f t="array" ref="G15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1" s="94" t="e" cm="1">
        <f t="array" ref="H15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1" s="94" t="e" cm="1">
        <f t="array" ref="I15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1" s="95" t="e" cm="1">
        <f t="array" ref="J15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1" s="95" t="e" cm="1">
        <f t="array" ref="K15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1" s="96" t="e" cm="1">
        <f t="array" ref="L15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1" s="94" t="e">
        <f>AVERAGE(Table119[[#This Row],[*C*]:[*Y*]])</f>
        <v>#N/A</v>
      </c>
    </row>
    <row r="152" spans="2:13" x14ac:dyDescent="0.35">
      <c r="B152" s="6" t="s">
        <v>327</v>
      </c>
      <c r="C152" s="97" t="s">
        <v>48</v>
      </c>
      <c r="D152" s="97" t="s">
        <v>66</v>
      </c>
      <c r="E152" s="6">
        <v>0</v>
      </c>
      <c r="F152" s="97" t="str">
        <f>'2025'!$E$26</f>
        <v>n/a</v>
      </c>
      <c r="G152" s="94" t="e" cm="1">
        <f t="array" ref="G15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2" s="94" t="e" cm="1">
        <f t="array" ref="H15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2" s="94" t="e" cm="1">
        <f t="array" ref="I15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2" s="95" t="e" cm="1">
        <f t="array" ref="J15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2" s="95" t="e" cm="1">
        <f t="array" ref="K15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2" s="96" t="e" cm="1">
        <f t="array" ref="L15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2" s="94" t="e">
        <f>AVERAGE(Table119[[#This Row],[*C*]:[*Y*]])</f>
        <v>#N/A</v>
      </c>
    </row>
    <row r="153" spans="2:13" x14ac:dyDescent="0.35">
      <c r="B153" s="6" t="s">
        <v>328</v>
      </c>
      <c r="C153" s="97" t="s">
        <v>48</v>
      </c>
      <c r="D153" s="97" t="s">
        <v>67</v>
      </c>
      <c r="E153" s="6">
        <v>1</v>
      </c>
      <c r="F153" s="97" t="str">
        <f>'2025'!$E$26</f>
        <v>n/a</v>
      </c>
      <c r="G153" s="94" t="e" cm="1">
        <f t="array" ref="G15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3" s="94" t="e" cm="1">
        <f t="array" ref="H15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3" s="94" t="e" cm="1">
        <f t="array" ref="I15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3" s="95" t="e" cm="1">
        <f t="array" ref="J15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3" s="95" t="e" cm="1">
        <f t="array" ref="K15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3" s="96" t="e" cm="1">
        <f t="array" ref="L15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3" s="94" t="e">
        <f>AVERAGE(Table119[[#This Row],[*C*]:[*Y*]])</f>
        <v>#N/A</v>
      </c>
    </row>
    <row r="154" spans="2:13" x14ac:dyDescent="0.35">
      <c r="B154" s="6" t="s">
        <v>329</v>
      </c>
      <c r="C154" s="97" t="s">
        <v>48</v>
      </c>
      <c r="D154" s="97" t="s">
        <v>68</v>
      </c>
      <c r="E154" s="6">
        <v>1</v>
      </c>
      <c r="F154" s="97" t="str">
        <f>'2025'!$E$26</f>
        <v>n/a</v>
      </c>
      <c r="G154" s="94" t="e" cm="1">
        <f t="array" ref="G15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4" s="94" t="e" cm="1">
        <f t="array" ref="H15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4" s="94" t="e" cm="1">
        <f t="array" ref="I15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4" s="95" t="e" cm="1">
        <f t="array" ref="J15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4" s="95" t="e" cm="1">
        <f t="array" ref="K15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4" s="96" t="e" cm="1">
        <f t="array" ref="L15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4" s="94" t="e">
        <f>AVERAGE(Table119[[#This Row],[*C*]:[*Y*]])</f>
        <v>#N/A</v>
      </c>
    </row>
    <row r="155" spans="2:13" x14ac:dyDescent="0.35">
      <c r="B155" s="6" t="s">
        <v>426</v>
      </c>
      <c r="C155" s="97" t="s">
        <v>48</v>
      </c>
      <c r="D155" s="97" t="s">
        <v>401</v>
      </c>
      <c r="E155" s="6">
        <v>1</v>
      </c>
      <c r="F155" s="97" t="str">
        <f>'2025'!$E$26</f>
        <v>n/a</v>
      </c>
      <c r="G155" s="94" t="e" cm="1">
        <f t="array" ref="G15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5" s="94" t="e" cm="1">
        <f t="array" ref="H15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5" s="94" t="e" cm="1">
        <f t="array" ref="I15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5" s="95" t="e" cm="1">
        <f t="array" ref="J15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5" s="95" t="e" cm="1">
        <f t="array" ref="K15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5" s="96" t="e" cm="1">
        <f t="array" ref="L15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5" s="94" t="e">
        <f>AVERAGE(Table119[[#This Row],[*C*]:[*Y*]])</f>
        <v>#N/A</v>
      </c>
    </row>
    <row r="156" spans="2:13" x14ac:dyDescent="0.35">
      <c r="B156" s="6" t="s">
        <v>428</v>
      </c>
      <c r="C156" s="97" t="s">
        <v>48</v>
      </c>
      <c r="D156" s="97" t="s">
        <v>403</v>
      </c>
      <c r="E156" s="6">
        <v>1</v>
      </c>
      <c r="F156" s="97" t="str">
        <f>'2025'!$E$26</f>
        <v>n/a</v>
      </c>
      <c r="G156" s="94" t="e" cm="1">
        <f t="array" ref="G15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6" s="94" t="e" cm="1">
        <f t="array" ref="H15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6" s="94" t="e" cm="1">
        <f t="array" ref="I15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6" s="95" t="e" cm="1">
        <f t="array" ref="J15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6" s="95" t="e" cm="1">
        <f t="array" ref="K15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6" s="96" t="e" cm="1">
        <f t="array" ref="L15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6" s="94" t="e">
        <f>AVERAGE(Table119[[#This Row],[*C*]:[*Y*]])</f>
        <v>#N/A</v>
      </c>
    </row>
    <row r="157" spans="2:13" x14ac:dyDescent="0.35">
      <c r="B157" s="6" t="s">
        <v>439</v>
      </c>
      <c r="C157" s="97" t="s">
        <v>48</v>
      </c>
      <c r="D157" s="97" t="s">
        <v>411</v>
      </c>
      <c r="E157" s="6">
        <v>1</v>
      </c>
      <c r="F157" s="97" t="str">
        <f>'2025'!$E$26</f>
        <v>n/a</v>
      </c>
      <c r="G157" s="94" t="e" cm="1">
        <f t="array" ref="G15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7" s="94" t="e" cm="1">
        <f t="array" ref="H15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7" s="94" t="e" cm="1">
        <f t="array" ref="I15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7" s="95" t="e" cm="1">
        <f t="array" ref="J15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7" s="95" t="e" cm="1">
        <f t="array" ref="K15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7" s="96" t="e" cm="1">
        <f t="array" ref="L15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7" s="94" t="e">
        <f>AVERAGE(Table119[[#This Row],[*C*]:[*Y*]])</f>
        <v>#N/A</v>
      </c>
    </row>
    <row r="158" spans="2:13" x14ac:dyDescent="0.35">
      <c r="B158" s="6" t="s">
        <v>440</v>
      </c>
      <c r="C158" s="97" t="s">
        <v>48</v>
      </c>
      <c r="D158" s="97" t="s">
        <v>441</v>
      </c>
      <c r="E158" s="6">
        <v>-1</v>
      </c>
      <c r="F158" s="97" t="str">
        <f>'2025'!$E$26</f>
        <v>n/a</v>
      </c>
      <c r="G158" s="94" t="e" cm="1">
        <f t="array" ref="G15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8" s="94" t="e" cm="1">
        <f t="array" ref="H15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8" s="94" t="e" cm="1">
        <f t="array" ref="I15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8" s="95" t="e" cm="1">
        <f t="array" ref="J15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8" s="95" t="e" cm="1">
        <f t="array" ref="K15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8" s="96" t="e" cm="1">
        <f t="array" ref="L15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8" s="94" t="e">
        <f>AVERAGE(Table119[[#This Row],[*C*]:[*Y*]])</f>
        <v>#N/A</v>
      </c>
    </row>
    <row r="159" spans="2:13" x14ac:dyDescent="0.35">
      <c r="B159" s="6" t="s">
        <v>442</v>
      </c>
      <c r="C159" s="97" t="s">
        <v>48</v>
      </c>
      <c r="D159" s="97" t="s">
        <v>443</v>
      </c>
      <c r="E159" s="6">
        <v>-1</v>
      </c>
      <c r="F159" s="97" t="str">
        <f>'2025'!$E$26</f>
        <v>n/a</v>
      </c>
      <c r="G159" s="94" t="e" cm="1">
        <f t="array" ref="G15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59" s="94" t="e" cm="1">
        <f t="array" ref="H15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59" s="94" t="e" cm="1">
        <f t="array" ref="I15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59" s="95" t="e" cm="1">
        <f t="array" ref="J15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59" s="95" t="e" cm="1">
        <f t="array" ref="K15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59" s="96" t="e" cm="1">
        <f t="array" ref="L15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59" s="94" t="e">
        <f>AVERAGE(Table119[[#This Row],[*C*]:[*Y*]])</f>
        <v>#N/A</v>
      </c>
    </row>
    <row r="160" spans="2:13" x14ac:dyDescent="0.35">
      <c r="B160" s="6" t="s">
        <v>335</v>
      </c>
      <c r="C160" s="97" t="s">
        <v>49</v>
      </c>
      <c r="D160" s="97" t="s">
        <v>66</v>
      </c>
      <c r="E160" s="6">
        <v>1</v>
      </c>
      <c r="F160" s="97" t="str">
        <f>'2025'!$E$27</f>
        <v>n/a</v>
      </c>
      <c r="G160" s="94" t="e" cm="1">
        <f t="array" ref="G16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0" s="94" t="e" cm="1">
        <f t="array" ref="H16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0" s="94" t="e" cm="1">
        <f t="array" ref="I16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0" s="95" t="e" cm="1">
        <f t="array" ref="J16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0" s="95" t="e" cm="1">
        <f t="array" ref="K16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0" s="96" t="e" cm="1">
        <f t="array" ref="L16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0" s="94" t="e">
        <f>AVERAGE(Table119[[#This Row],[*C*]:[*Y*]])</f>
        <v>#N/A</v>
      </c>
    </row>
    <row r="161" spans="2:13" x14ac:dyDescent="0.35">
      <c r="B161" s="6" t="s">
        <v>415</v>
      </c>
      <c r="C161" s="97" t="s">
        <v>49</v>
      </c>
      <c r="D161" s="97" t="s">
        <v>67</v>
      </c>
      <c r="E161" s="6">
        <v>1</v>
      </c>
      <c r="F161" s="97" t="str">
        <f>'2025'!$E$27</f>
        <v>n/a</v>
      </c>
      <c r="G161" s="94" t="e" cm="1">
        <f t="array" ref="G16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1" s="94" t="e" cm="1">
        <f t="array" ref="H16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1" s="94" t="e" cm="1">
        <f t="array" ref="I16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1" s="95" t="e" cm="1">
        <f t="array" ref="J16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1" s="95" t="e" cm="1">
        <f t="array" ref="K16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1" s="96" t="e" cm="1">
        <f t="array" ref="L16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1" s="94" t="e">
        <f>AVERAGE(Table119[[#This Row],[*C*]:[*Y*]])</f>
        <v>#N/A</v>
      </c>
    </row>
    <row r="162" spans="2:13" x14ac:dyDescent="0.35">
      <c r="B162" s="6" t="s">
        <v>416</v>
      </c>
      <c r="C162" s="97" t="s">
        <v>49</v>
      </c>
      <c r="D162" s="97" t="s">
        <v>68</v>
      </c>
      <c r="E162" s="6">
        <v>0</v>
      </c>
      <c r="F162" s="97" t="str">
        <f>'2025'!$E$27</f>
        <v>n/a</v>
      </c>
      <c r="G162" s="94" t="e" cm="1">
        <f t="array" ref="G16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2" s="94" t="e" cm="1">
        <f t="array" ref="H16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2" s="94" t="e" cm="1">
        <f t="array" ref="I16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2" s="95" t="e" cm="1">
        <f t="array" ref="J16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2" s="95" t="e" cm="1">
        <f t="array" ref="K16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2" s="96" t="e" cm="1">
        <f t="array" ref="L16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2" s="94" t="e">
        <f>AVERAGE(Table119[[#This Row],[*C*]:[*Y*]])</f>
        <v>#N/A</v>
      </c>
    </row>
    <row r="163" spans="2:13" x14ac:dyDescent="0.35">
      <c r="B163" s="6" t="s">
        <v>421</v>
      </c>
      <c r="C163" s="97" t="s">
        <v>49</v>
      </c>
      <c r="D163" s="98" t="s">
        <v>401</v>
      </c>
      <c r="E163" s="6">
        <v>0</v>
      </c>
      <c r="F163" s="97" t="str">
        <f>'2025'!$E$27</f>
        <v>n/a</v>
      </c>
      <c r="G163" s="94" t="e" cm="1">
        <f t="array" ref="G16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3" s="94" t="e" cm="1">
        <f t="array" ref="H16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3" s="94" t="e" cm="1">
        <f t="array" ref="I16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3" s="95" t="e" cm="1">
        <f t="array" ref="J16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3" s="95" t="e" cm="1">
        <f t="array" ref="K16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3" s="96" t="e" cm="1">
        <f t="array" ref="L16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3" s="94" t="e">
        <f>AVERAGE(Table119[[#This Row],[*C*]:[*Y*]])</f>
        <v>#N/A</v>
      </c>
    </row>
    <row r="164" spans="2:13" x14ac:dyDescent="0.35">
      <c r="B164" s="6" t="s">
        <v>417</v>
      </c>
      <c r="C164" s="97" t="s">
        <v>49</v>
      </c>
      <c r="D164" s="97" t="s">
        <v>403</v>
      </c>
      <c r="E164" s="6">
        <v>1</v>
      </c>
      <c r="F164" s="97" t="str">
        <f>'2025'!$E$27</f>
        <v>n/a</v>
      </c>
      <c r="G164" s="94" t="e" cm="1">
        <f t="array" ref="G16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4" s="94" t="e" cm="1">
        <f t="array" ref="H16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4" s="94" t="e" cm="1">
        <f t="array" ref="I16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4" s="95" t="e" cm="1">
        <f t="array" ref="J16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4" s="95" t="e" cm="1">
        <f t="array" ref="K16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4" s="96" t="e" cm="1">
        <f t="array" ref="L16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4" s="94" t="e">
        <f>AVERAGE(Table119[[#This Row],[*C*]:[*Y*]])</f>
        <v>#N/A</v>
      </c>
    </row>
    <row r="165" spans="2:13" x14ac:dyDescent="0.35">
      <c r="B165" s="6" t="s">
        <v>420</v>
      </c>
      <c r="C165" s="97" t="s">
        <v>49</v>
      </c>
      <c r="D165" s="97" t="s">
        <v>411</v>
      </c>
      <c r="E165" s="6">
        <v>-1</v>
      </c>
      <c r="F165" s="97" t="str">
        <f>'2025'!$E$27</f>
        <v>n/a</v>
      </c>
      <c r="G165" s="94" t="e" cm="1">
        <f t="array" ref="G16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5" s="94" t="e" cm="1">
        <f t="array" ref="H16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5" s="94" t="e" cm="1">
        <f t="array" ref="I16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5" s="95" t="e" cm="1">
        <f t="array" ref="J16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5" s="95" t="e" cm="1">
        <f t="array" ref="K16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5" s="96" t="e" cm="1">
        <f t="array" ref="L16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5" s="94" t="e">
        <f>AVERAGE(Table119[[#This Row],[*C*]:[*Y*]])</f>
        <v>#N/A</v>
      </c>
    </row>
    <row r="166" spans="2:13" x14ac:dyDescent="0.35">
      <c r="B166" s="6" t="s">
        <v>340</v>
      </c>
      <c r="C166" s="97" t="s">
        <v>50</v>
      </c>
      <c r="D166" s="97" t="s">
        <v>66</v>
      </c>
      <c r="E166" s="6">
        <v>1</v>
      </c>
      <c r="F166" s="97" t="str">
        <f>'2025'!$E$28</f>
        <v>n/a</v>
      </c>
      <c r="G166" s="94" t="e" cm="1">
        <f t="array" ref="G16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6" s="94" t="e" cm="1">
        <f t="array" ref="H16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6" s="94" t="e" cm="1">
        <f t="array" ref="I16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6" s="95" t="e" cm="1">
        <f t="array" ref="J16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6" s="95" t="e" cm="1">
        <f t="array" ref="K16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6" s="96" t="e" cm="1">
        <f t="array" ref="L16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6" s="94" t="e">
        <f>AVERAGE(Table119[[#This Row],[*C*]:[*Y*]])</f>
        <v>#N/A</v>
      </c>
    </row>
    <row r="167" spans="2:13" x14ac:dyDescent="0.35">
      <c r="B167" s="6" t="s">
        <v>341</v>
      </c>
      <c r="C167" s="97" t="s">
        <v>50</v>
      </c>
      <c r="D167" s="97" t="s">
        <v>67</v>
      </c>
      <c r="E167" s="6">
        <v>1</v>
      </c>
      <c r="F167" s="97" t="str">
        <f>'2025'!$E$28</f>
        <v>n/a</v>
      </c>
      <c r="G167" s="94" t="e" cm="1">
        <f t="array" ref="G16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7" s="94" t="e" cm="1">
        <f t="array" ref="H16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7" s="94" t="e" cm="1">
        <f t="array" ref="I16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7" s="95" t="e" cm="1">
        <f t="array" ref="J16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7" s="95" t="e" cm="1">
        <f t="array" ref="K16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7" s="96" t="e" cm="1">
        <f t="array" ref="L16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7" s="94" t="e">
        <f>AVERAGE(Table119[[#This Row],[*C*]:[*Y*]])</f>
        <v>#N/A</v>
      </c>
    </row>
    <row r="168" spans="2:13" x14ac:dyDescent="0.35">
      <c r="B168" s="6" t="s">
        <v>454</v>
      </c>
      <c r="C168" s="97" t="s">
        <v>50</v>
      </c>
      <c r="D168" s="98" t="s">
        <v>68</v>
      </c>
      <c r="E168" s="6">
        <v>1</v>
      </c>
      <c r="F168" s="97" t="str">
        <f>'2025'!$E$28</f>
        <v>n/a</v>
      </c>
      <c r="G168" s="94" t="e" cm="1">
        <f t="array" ref="G16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8" s="94" t="e" cm="1">
        <f t="array" ref="H16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8" s="94" t="e" cm="1">
        <f t="array" ref="I16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8" s="95" t="e" cm="1">
        <f t="array" ref="J16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8" s="95" t="e" cm="1">
        <f t="array" ref="K16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8" s="96" t="e" cm="1">
        <f t="array" ref="L16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8" s="94" t="e">
        <f>AVERAGE(Table119[[#This Row],[*C*]:[*Y*]])</f>
        <v>#N/A</v>
      </c>
    </row>
    <row r="169" spans="2:13" x14ac:dyDescent="0.35">
      <c r="B169" s="6" t="s">
        <v>455</v>
      </c>
      <c r="C169" s="97" t="s">
        <v>50</v>
      </c>
      <c r="D169" s="97" t="s">
        <v>401</v>
      </c>
      <c r="E169" s="6">
        <v>1</v>
      </c>
      <c r="F169" s="97" t="str">
        <f>'2025'!$E$28</f>
        <v>n/a</v>
      </c>
      <c r="G169" s="94" t="e" cm="1">
        <f t="array" ref="G16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69" s="94" t="e" cm="1">
        <f t="array" ref="H16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69" s="94" t="e" cm="1">
        <f t="array" ref="I16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69" s="95" t="e" cm="1">
        <f t="array" ref="J16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69" s="95" t="e" cm="1">
        <f t="array" ref="K16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69" s="96" t="e" cm="1">
        <f t="array" ref="L16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69" s="94" t="e">
        <f>AVERAGE(Table119[[#This Row],[*C*]:[*Y*]])</f>
        <v>#N/A</v>
      </c>
    </row>
    <row r="170" spans="2:13" x14ac:dyDescent="0.35">
      <c r="B170" s="6" t="s">
        <v>456</v>
      </c>
      <c r="C170" s="97" t="s">
        <v>50</v>
      </c>
      <c r="D170" s="97" t="s">
        <v>403</v>
      </c>
      <c r="E170" s="6">
        <v>1</v>
      </c>
      <c r="F170" s="97" t="str">
        <f>'2025'!$E$28</f>
        <v>n/a</v>
      </c>
      <c r="G170" s="94" t="e" cm="1">
        <f t="array" ref="G17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0" s="94" t="e" cm="1">
        <f t="array" ref="H17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0" s="94" t="e" cm="1">
        <f t="array" ref="I17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0" s="95" t="e" cm="1">
        <f t="array" ref="J17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0" s="95" t="e" cm="1">
        <f t="array" ref="K17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0" s="96" t="e" cm="1">
        <f t="array" ref="L17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0" s="94" t="e">
        <f>AVERAGE(Table119[[#This Row],[*C*]:[*Y*]])</f>
        <v>#N/A</v>
      </c>
    </row>
    <row r="171" spans="2:13" x14ac:dyDescent="0.35">
      <c r="B171" s="6" t="s">
        <v>457</v>
      </c>
      <c r="C171" s="97" t="s">
        <v>50</v>
      </c>
      <c r="D171" s="97" t="s">
        <v>411</v>
      </c>
      <c r="E171" s="6">
        <v>-1</v>
      </c>
      <c r="F171" s="97" t="str">
        <f>'2025'!$E$28</f>
        <v>n/a</v>
      </c>
      <c r="G171" s="94" t="e" cm="1">
        <f t="array" ref="G17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1" s="94" t="e" cm="1">
        <f t="array" ref="H17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1" s="94" t="e" cm="1">
        <f t="array" ref="I17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1" s="95" t="e" cm="1">
        <f t="array" ref="J17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1" s="95" t="e" cm="1">
        <f t="array" ref="K17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1" s="96" t="e" cm="1">
        <f t="array" ref="L17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1" s="94" t="e">
        <f>AVERAGE(Table119[[#This Row],[*C*]:[*Y*]])</f>
        <v>#N/A</v>
      </c>
    </row>
    <row r="172" spans="2:13" x14ac:dyDescent="0.35">
      <c r="B172" s="6" t="s">
        <v>348</v>
      </c>
      <c r="C172" s="97" t="s">
        <v>51</v>
      </c>
      <c r="D172" s="97" t="s">
        <v>66</v>
      </c>
      <c r="E172" s="6">
        <v>1</v>
      </c>
      <c r="F172" s="97" t="str">
        <f>'2025'!$E$29</f>
        <v>n/a</v>
      </c>
      <c r="G172" s="94" t="e" cm="1">
        <f t="array" ref="G17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2" s="94" t="e" cm="1">
        <f t="array" ref="H17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2" s="94" t="e" cm="1">
        <f t="array" ref="I17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2" s="95" t="e" cm="1">
        <f t="array" ref="J17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2" s="95" t="e" cm="1">
        <f t="array" ref="K17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2" s="96" t="e" cm="1">
        <f t="array" ref="L17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2" s="94" t="e">
        <f>AVERAGE(Table119[[#This Row],[*C*]:[*Y*]])</f>
        <v>#N/A</v>
      </c>
    </row>
    <row r="173" spans="2:13" x14ac:dyDescent="0.35">
      <c r="B173" s="6" t="s">
        <v>349</v>
      </c>
      <c r="C173" s="97" t="s">
        <v>51</v>
      </c>
      <c r="D173" s="97" t="s">
        <v>67</v>
      </c>
      <c r="E173" s="6">
        <v>0</v>
      </c>
      <c r="F173" s="97" t="str">
        <f>'2025'!$E$29</f>
        <v>n/a</v>
      </c>
      <c r="G173" s="94" t="e" cm="1">
        <f t="array" ref="G17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3" s="94" t="e" cm="1">
        <f t="array" ref="H17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3" s="94" t="e" cm="1">
        <f t="array" ref="I17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3" s="95" t="e" cm="1">
        <f t="array" ref="J17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3" s="95" t="e" cm="1">
        <f t="array" ref="K17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3" s="96" t="e" cm="1">
        <f t="array" ref="L17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3" s="94" t="e">
        <f>AVERAGE(Table119[[#This Row],[*C*]:[*Y*]])</f>
        <v>#N/A</v>
      </c>
    </row>
    <row r="174" spans="2:13" x14ac:dyDescent="0.35">
      <c r="B174" s="6" t="s">
        <v>321</v>
      </c>
      <c r="C174" s="97" t="s">
        <v>51</v>
      </c>
      <c r="D174" s="97" t="s">
        <v>68</v>
      </c>
      <c r="E174" s="6">
        <v>1</v>
      </c>
      <c r="F174" s="97" t="str">
        <f>'2025'!$E$29</f>
        <v>n/a</v>
      </c>
      <c r="G174" s="94" t="e" cm="1">
        <f t="array" ref="G17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4" s="94" t="e" cm="1">
        <f t="array" ref="H17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4" s="94" t="e" cm="1">
        <f t="array" ref="I17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4" s="95" t="e" cm="1">
        <f t="array" ref="J17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4" s="95" t="e" cm="1">
        <f t="array" ref="K17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4" s="96" t="e" cm="1">
        <f t="array" ref="L17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4" s="94" t="e">
        <f>AVERAGE(Table119[[#This Row],[*C*]:[*Y*]])</f>
        <v>#N/A</v>
      </c>
    </row>
    <row r="175" spans="2:13" x14ac:dyDescent="0.35">
      <c r="B175" s="6" t="s">
        <v>492</v>
      </c>
      <c r="C175" s="97" t="s">
        <v>51</v>
      </c>
      <c r="D175" s="97" t="s">
        <v>401</v>
      </c>
      <c r="E175" s="6">
        <v>1</v>
      </c>
      <c r="F175" s="97" t="str">
        <f>'2025'!$E$29</f>
        <v>n/a</v>
      </c>
      <c r="G175" s="94" t="e" cm="1">
        <f t="array" ref="G17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5" s="94" t="e" cm="1">
        <f t="array" ref="H17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5" s="94" t="e" cm="1">
        <f t="array" ref="I17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5" s="95" t="e" cm="1">
        <f t="array" ref="J17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5" s="95" t="e" cm="1">
        <f t="array" ref="K17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5" s="96" t="e" cm="1">
        <f t="array" ref="L17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5" s="94" t="e">
        <f>AVERAGE(Table119[[#This Row],[*C*]:[*Y*]])</f>
        <v>#N/A</v>
      </c>
    </row>
    <row r="176" spans="2:13" x14ac:dyDescent="0.35">
      <c r="B176" s="6" t="s">
        <v>493</v>
      </c>
      <c r="C176" s="97" t="s">
        <v>51</v>
      </c>
      <c r="D176" s="97" t="s">
        <v>403</v>
      </c>
      <c r="E176" s="6">
        <v>1</v>
      </c>
      <c r="F176" s="97" t="str">
        <f>'2025'!$E$29</f>
        <v>n/a</v>
      </c>
      <c r="G176" s="94" t="e" cm="1">
        <f t="array" ref="G17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76" s="94" t="e" cm="1">
        <f t="array" ref="H17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76" s="94" t="e" cm="1">
        <f t="array" ref="I17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76" s="95" t="e" cm="1">
        <f t="array" ref="J17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76" s="95" t="e" cm="1">
        <f t="array" ref="K17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76" s="96" t="e" cm="1">
        <f t="array" ref="L17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76" s="94" t="e">
        <f>AVERAGE(Table119[[#This Row],[*C*]:[*Y*]])</f>
        <v>#N/A</v>
      </c>
    </row>
    <row r="177" spans="2:13" x14ac:dyDescent="0.35">
      <c r="B177" s="6" t="s">
        <v>355</v>
      </c>
      <c r="C177" s="97" t="s">
        <v>52</v>
      </c>
      <c r="D177" s="97" t="s">
        <v>66</v>
      </c>
      <c r="E177" s="6">
        <v>1</v>
      </c>
      <c r="F177" s="97" t="str">
        <f>'2025'!$E$30</f>
        <v>NE</v>
      </c>
      <c r="G177" s="94" cm="1">
        <f t="array" ref="G17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27</v>
      </c>
      <c r="H177" s="94" cm="1">
        <f t="array" ref="H17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27</v>
      </c>
      <c r="I177" s="94" cm="1">
        <f t="array" ref="I17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13</v>
      </c>
      <c r="J177" s="95" cm="1">
        <f t="array" ref="J17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4.5294117647058822</v>
      </c>
      <c r="K177" s="95" cm="1">
        <f t="array" ref="K17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56.235294117647058</v>
      </c>
      <c r="L177" s="96" cm="1">
        <f t="array" ref="L17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0.41176470588235292</v>
      </c>
      <c r="M177" s="94">
        <f>AVERAGE(Table119[[#This Row],[*C*]:[*Y*]])</f>
        <v>27</v>
      </c>
    </row>
    <row r="178" spans="2:13" x14ac:dyDescent="0.35">
      <c r="B178" s="6" t="s">
        <v>356</v>
      </c>
      <c r="C178" s="97" t="s">
        <v>52</v>
      </c>
      <c r="D178" s="97" t="s">
        <v>67</v>
      </c>
      <c r="E178" s="6">
        <v>1</v>
      </c>
      <c r="F178" s="97" t="str">
        <f>'2025'!$E$30</f>
        <v>NE</v>
      </c>
      <c r="G178" s="94" cm="1">
        <f t="array" ref="G17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2</v>
      </c>
      <c r="H178" s="94" cm="1">
        <f t="array" ref="H17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2</v>
      </c>
      <c r="I178" s="94" cm="1">
        <f t="array" ref="I17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10</v>
      </c>
      <c r="J178" s="95" cm="1">
        <f t="array" ref="J17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4.9411764705882355</v>
      </c>
      <c r="K178" s="95" cm="1">
        <f t="array" ref="K17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62.058823529411768</v>
      </c>
      <c r="L178" s="96" cm="1">
        <f t="array" ref="L17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0.41176470588235292</v>
      </c>
      <c r="M178" s="94">
        <f>AVERAGE(Table119[[#This Row],[*C*]:[*Y*]])</f>
        <v>2</v>
      </c>
    </row>
    <row r="179" spans="2:13" x14ac:dyDescent="0.35">
      <c r="B179" s="6" t="s">
        <v>528</v>
      </c>
      <c r="C179" s="97" t="s">
        <v>52</v>
      </c>
      <c r="D179" s="97" t="s">
        <v>68</v>
      </c>
      <c r="E179" s="6">
        <v>0</v>
      </c>
      <c r="F179" s="97" t="str">
        <f>'2025'!$E$30</f>
        <v>NE</v>
      </c>
      <c r="G179" s="94" cm="1">
        <f t="array" ref="G17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26</v>
      </c>
      <c r="H179" s="94" cm="1">
        <f t="array" ref="H17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25</v>
      </c>
      <c r="I179" s="94" cm="1">
        <f t="array" ref="I17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26</v>
      </c>
      <c r="J179" s="95" cm="1">
        <f t="array" ref="J17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1.7647058823529411</v>
      </c>
      <c r="K179" s="95" cm="1">
        <f t="array" ref="K17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21.058823529411764</v>
      </c>
      <c r="L179" s="96" cm="1">
        <f t="array" ref="L17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79" s="94">
        <f>AVERAGE(Table119[[#This Row],[*C*]:[*Y*]])</f>
        <v>25.5</v>
      </c>
    </row>
    <row r="180" spans="2:13" x14ac:dyDescent="0.35">
      <c r="B180" s="6" t="s">
        <v>529</v>
      </c>
      <c r="C180" s="97" t="s">
        <v>52</v>
      </c>
      <c r="D180" s="97" t="s">
        <v>401</v>
      </c>
      <c r="E180" s="6">
        <v>0</v>
      </c>
      <c r="F180" s="97" t="str">
        <f>'2025'!$E$30</f>
        <v>NE</v>
      </c>
      <c r="G180" s="94" cm="1">
        <f t="array" ref="G18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19</v>
      </c>
      <c r="H180" s="94" cm="1">
        <f t="array" ref="H18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19</v>
      </c>
      <c r="I180" s="94" cm="1">
        <f t="array" ref="I18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80" s="95" cm="1">
        <f t="array" ref="J18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0.76470588235294112</v>
      </c>
      <c r="K180" s="95" cm="1">
        <f t="array" ref="K18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7.3529411764705879</v>
      </c>
      <c r="L180" s="96" cm="1">
        <f t="array" ref="L18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80" s="94">
        <f>AVERAGE(Table119[[#This Row],[*C*]:[*Y*]])</f>
        <v>19</v>
      </c>
    </row>
    <row r="181" spans="2:13" x14ac:dyDescent="0.35">
      <c r="B181" s="6" t="s">
        <v>530</v>
      </c>
      <c r="C181" s="97" t="s">
        <v>52</v>
      </c>
      <c r="D181" s="97" t="s">
        <v>403</v>
      </c>
      <c r="E181" s="6">
        <v>1</v>
      </c>
      <c r="F181" s="97" t="str">
        <f>'2025'!$E$30</f>
        <v>NE</v>
      </c>
      <c r="G181" s="94" cm="1">
        <f t="array" ref="G18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19</v>
      </c>
      <c r="H181" s="94" cm="1">
        <f t="array" ref="H18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19</v>
      </c>
      <c r="I181" s="94" cm="1">
        <f t="array" ref="I18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81" s="95" cm="1">
        <f t="array" ref="J18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0.76470588235294112</v>
      </c>
      <c r="K181" s="95" cm="1">
        <f t="array" ref="K18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7.3529411764705879</v>
      </c>
      <c r="L181" s="96" cm="1">
        <f t="array" ref="L18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81" s="94">
        <f>AVERAGE(Table119[[#This Row],[*C*]:[*Y*]])</f>
        <v>19</v>
      </c>
    </row>
    <row r="182" spans="2:13" x14ac:dyDescent="0.35">
      <c r="B182" s="6" t="s">
        <v>531</v>
      </c>
      <c r="C182" s="97" t="s">
        <v>52</v>
      </c>
      <c r="D182" s="97" t="s">
        <v>411</v>
      </c>
      <c r="E182" s="6">
        <v>1</v>
      </c>
      <c r="F182" s="97" t="str">
        <f>'2025'!$E$30</f>
        <v>NE</v>
      </c>
      <c r="G182" s="94" cm="1">
        <f t="array" ref="G18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19</v>
      </c>
      <c r="H182" s="94" cm="1">
        <f t="array" ref="H18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19</v>
      </c>
      <c r="I182" s="94" cm="1">
        <f t="array" ref="I18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82" s="95" cm="1">
        <f t="array" ref="J18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0.76470588235294112</v>
      </c>
      <c r="K182" s="95" cm="1">
        <f t="array" ref="K18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7.3529411764705879</v>
      </c>
      <c r="L182" s="96" cm="1">
        <f t="array" ref="L18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82" s="94">
        <f>AVERAGE(Table119[[#This Row],[*C*]:[*Y*]])</f>
        <v>19</v>
      </c>
    </row>
    <row r="183" spans="2:13" x14ac:dyDescent="0.35">
      <c r="B183" s="6" t="s">
        <v>532</v>
      </c>
      <c r="C183" s="97" t="s">
        <v>52</v>
      </c>
      <c r="D183" s="97" t="s">
        <v>441</v>
      </c>
      <c r="E183" s="6">
        <v>-1</v>
      </c>
      <c r="F183" s="97" t="str">
        <f>'2025'!$E$30</f>
        <v>NE</v>
      </c>
      <c r="G183" s="94" cm="1">
        <f t="array" ref="G18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19</v>
      </c>
      <c r="H183" s="94" cm="1">
        <f t="array" ref="H18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19</v>
      </c>
      <c r="I183" s="94" cm="1">
        <f t="array" ref="I18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7</v>
      </c>
      <c r="J183" s="95" cm="1">
        <f t="array" ref="J18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0.76470588235294112</v>
      </c>
      <c r="K183" s="95" cm="1">
        <f t="array" ref="K18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7.3529411764705879</v>
      </c>
      <c r="L183" s="96" cm="1">
        <f t="array" ref="L18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5.8823529411764705E-2</v>
      </c>
      <c r="M183" s="94">
        <f>AVERAGE(Table119[[#This Row],[*C*]:[*Y*]])</f>
        <v>19</v>
      </c>
    </row>
    <row r="184" spans="2:13" x14ac:dyDescent="0.35">
      <c r="B184" s="6" t="s">
        <v>364</v>
      </c>
      <c r="C184" s="97" t="s">
        <v>53</v>
      </c>
      <c r="D184" s="97" t="s">
        <v>66</v>
      </c>
      <c r="E184" s="6">
        <v>0</v>
      </c>
      <c r="F184" s="97" t="str">
        <f>'2025'!$E$31</f>
        <v>n/a</v>
      </c>
      <c r="G184" s="94" t="e" cm="1">
        <f t="array" ref="G18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4" s="94" t="e" cm="1">
        <f t="array" ref="H18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4" s="94" t="e" cm="1">
        <f t="array" ref="I18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4" s="95" t="e" cm="1">
        <f t="array" ref="J18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4" s="95" t="e" cm="1">
        <f t="array" ref="K18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4" s="96" t="e" cm="1">
        <f t="array" ref="L18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4" s="94" t="e">
        <f>AVERAGE(Table119[[#This Row],[*C*]:[*Y*]])</f>
        <v>#N/A</v>
      </c>
    </row>
    <row r="185" spans="2:13" x14ac:dyDescent="0.35">
      <c r="B185" s="6" t="s">
        <v>365</v>
      </c>
      <c r="C185" s="97" t="s">
        <v>53</v>
      </c>
      <c r="D185" s="97" t="s">
        <v>67</v>
      </c>
      <c r="E185" s="6">
        <v>1</v>
      </c>
      <c r="F185" s="97" t="str">
        <f>'2025'!$E$31</f>
        <v>n/a</v>
      </c>
      <c r="G185" s="94" t="e" cm="1">
        <f t="array" ref="G18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5" s="94" t="e" cm="1">
        <f t="array" ref="H18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5" s="94" t="e" cm="1">
        <f t="array" ref="I18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5" s="95" t="e" cm="1">
        <f t="array" ref="J18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5" s="95" t="e" cm="1">
        <f t="array" ref="K18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5" s="96" t="e" cm="1">
        <f t="array" ref="L18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5" s="94" t="e">
        <f>AVERAGE(Table119[[#This Row],[*C*]:[*Y*]])</f>
        <v>#N/A</v>
      </c>
    </row>
    <row r="186" spans="2:13" x14ac:dyDescent="0.35">
      <c r="B186" s="6" t="s">
        <v>541</v>
      </c>
      <c r="C186" s="97" t="s">
        <v>53</v>
      </c>
      <c r="D186" s="97" t="s">
        <v>68</v>
      </c>
      <c r="E186" s="6">
        <v>1</v>
      </c>
      <c r="F186" s="97" t="str">
        <f>'2025'!$E$31</f>
        <v>n/a</v>
      </c>
      <c r="G186" s="94" t="e" cm="1">
        <f t="array" ref="G18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6" s="94" t="e" cm="1">
        <f t="array" ref="H18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6" s="94" t="e" cm="1">
        <f t="array" ref="I18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6" s="95" t="e" cm="1">
        <f t="array" ref="J18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6" s="95" t="e" cm="1">
        <f t="array" ref="K18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6" s="96" t="e" cm="1">
        <f t="array" ref="L18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6" s="94" t="e">
        <f>AVERAGE(Table119[[#This Row],[*C*]:[*Y*]])</f>
        <v>#N/A</v>
      </c>
    </row>
    <row r="187" spans="2:13" x14ac:dyDescent="0.35">
      <c r="B187" s="6" t="s">
        <v>542</v>
      </c>
      <c r="C187" s="97" t="s">
        <v>53</v>
      </c>
      <c r="D187" s="97" t="s">
        <v>401</v>
      </c>
      <c r="E187" s="6">
        <v>1</v>
      </c>
      <c r="F187" s="97" t="str">
        <f>'2025'!$E$31</f>
        <v>n/a</v>
      </c>
      <c r="G187" s="94" t="e" cm="1">
        <f t="array" ref="G18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7" s="94" t="e" cm="1">
        <f t="array" ref="H18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7" s="94" t="e" cm="1">
        <f t="array" ref="I18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7" s="95" t="e" cm="1">
        <f t="array" ref="J18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7" s="95" t="e" cm="1">
        <f t="array" ref="K18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7" s="96" t="e" cm="1">
        <f t="array" ref="L18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7" s="94" t="e">
        <f>AVERAGE(Table119[[#This Row],[*C*]:[*Y*]])</f>
        <v>#N/A</v>
      </c>
    </row>
    <row r="188" spans="2:13" x14ac:dyDescent="0.35">
      <c r="B188" s="6" t="s">
        <v>543</v>
      </c>
      <c r="C188" s="97" t="s">
        <v>53</v>
      </c>
      <c r="D188" s="97" t="s">
        <v>403</v>
      </c>
      <c r="E188" s="6">
        <v>0</v>
      </c>
      <c r="F188" s="97" t="str">
        <f>'2025'!$E$31</f>
        <v>n/a</v>
      </c>
      <c r="G188" s="94" t="e" cm="1">
        <f t="array" ref="G18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8" s="94" t="e" cm="1">
        <f t="array" ref="H18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8" s="94" t="e" cm="1">
        <f t="array" ref="I18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8" s="95" t="e" cm="1">
        <f t="array" ref="J18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8" s="95" t="e" cm="1">
        <f t="array" ref="K18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8" s="96" t="e" cm="1">
        <f t="array" ref="L18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8" s="94" t="e">
        <f>AVERAGE(Table119[[#This Row],[*C*]:[*Y*]])</f>
        <v>#N/A</v>
      </c>
    </row>
    <row r="189" spans="2:13" x14ac:dyDescent="0.35">
      <c r="B189" s="6" t="s">
        <v>544</v>
      </c>
      <c r="C189" s="97" t="s">
        <v>53</v>
      </c>
      <c r="D189" s="97" t="s">
        <v>411</v>
      </c>
      <c r="E189" s="6">
        <v>-1</v>
      </c>
      <c r="F189" s="97" t="str">
        <f>'2025'!$E$31</f>
        <v>n/a</v>
      </c>
      <c r="G189" s="94" t="e" cm="1">
        <f t="array" ref="G18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89" s="94" t="e" cm="1">
        <f t="array" ref="H18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89" s="94" t="e" cm="1">
        <f t="array" ref="I18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89" s="95" t="e" cm="1">
        <f t="array" ref="J18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89" s="95" t="e" cm="1">
        <f t="array" ref="K18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89" s="96" t="e" cm="1">
        <f t="array" ref="L18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89" s="94" t="e">
        <f>AVERAGE(Table119[[#This Row],[*C*]:[*Y*]])</f>
        <v>#N/A</v>
      </c>
    </row>
    <row r="190" spans="2:13" x14ac:dyDescent="0.35">
      <c r="B190" s="6" t="s">
        <v>366</v>
      </c>
      <c r="C190" s="97" t="s">
        <v>53</v>
      </c>
      <c r="D190" s="97" t="s">
        <v>441</v>
      </c>
      <c r="E190" s="6">
        <v>-1</v>
      </c>
      <c r="F190" s="97" t="str">
        <f>'2025'!$E$31</f>
        <v>n/a</v>
      </c>
      <c r="G190" s="94" t="e" cm="1">
        <f t="array" ref="G19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0" s="94" t="e" cm="1">
        <f t="array" ref="H19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0" s="94" t="e" cm="1">
        <f t="array" ref="I19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0" s="95" t="e" cm="1">
        <f t="array" ref="J19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0" s="95" t="e" cm="1">
        <f t="array" ref="K19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0" s="96" t="e" cm="1">
        <f t="array" ref="L19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0" s="94" t="e">
        <f>AVERAGE(Table119[[#This Row],[*C*]:[*Y*]])</f>
        <v>#N/A</v>
      </c>
    </row>
    <row r="191" spans="2:13" x14ac:dyDescent="0.35">
      <c r="B191" s="6" t="s">
        <v>545</v>
      </c>
      <c r="C191" s="97" t="s">
        <v>53</v>
      </c>
      <c r="D191" s="97" t="s">
        <v>443</v>
      </c>
      <c r="E191" s="6">
        <v>-1</v>
      </c>
      <c r="F191" s="97" t="str">
        <f>'2025'!$E$31</f>
        <v>n/a</v>
      </c>
      <c r="G191" s="94" t="e" cm="1">
        <f t="array" ref="G19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1" s="94" t="e" cm="1">
        <f t="array" ref="H19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1" s="94" t="e" cm="1">
        <f t="array" ref="I19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1" s="95" t="e" cm="1">
        <f t="array" ref="J19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1" s="95" t="e" cm="1">
        <f t="array" ref="K19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1" s="96" t="e" cm="1">
        <f t="array" ref="L19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1" s="94" t="e">
        <f>AVERAGE(Table119[[#This Row],[*C*]:[*Y*]])</f>
        <v>#N/A</v>
      </c>
    </row>
    <row r="192" spans="2:13" x14ac:dyDescent="0.35">
      <c r="B192" s="6" t="s">
        <v>414</v>
      </c>
      <c r="C192" s="97" t="s">
        <v>53</v>
      </c>
      <c r="D192" s="97" t="s">
        <v>546</v>
      </c>
      <c r="E192" s="6">
        <v>-1</v>
      </c>
      <c r="F192" s="97" t="str">
        <f>'2025'!$E$31</f>
        <v>n/a</v>
      </c>
      <c r="G192" s="94" t="e" cm="1">
        <f t="array" ref="G19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2" s="94" t="e" cm="1">
        <f t="array" ref="H19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2" s="94" t="e" cm="1">
        <f t="array" ref="I19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2" s="95" t="e" cm="1">
        <f t="array" ref="J19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2" s="95" t="e" cm="1">
        <f t="array" ref="K19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2" s="96" t="e" cm="1">
        <f t="array" ref="L19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2" s="94" t="e">
        <f>AVERAGE(Table119[[#This Row],[*C*]:[*Y*]])</f>
        <v>#N/A</v>
      </c>
    </row>
    <row r="193" spans="2:13" x14ac:dyDescent="0.35">
      <c r="B193" s="6" t="s">
        <v>372</v>
      </c>
      <c r="C193" s="97" t="s">
        <v>54</v>
      </c>
      <c r="D193" s="97" t="s">
        <v>66</v>
      </c>
      <c r="E193" s="6">
        <v>1</v>
      </c>
      <c r="F193" s="97" t="str">
        <f>'2025'!$E$32</f>
        <v>n/a</v>
      </c>
      <c r="G193" s="94" t="e" cm="1">
        <f t="array" ref="G19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3" s="94" t="e" cm="1">
        <f t="array" ref="H19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3" s="94" t="e" cm="1">
        <f t="array" ref="I19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3" s="95" t="e" cm="1">
        <f t="array" ref="J19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3" s="95" t="e" cm="1">
        <f t="array" ref="K19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3" s="96" t="e" cm="1">
        <f t="array" ref="L19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3" s="94" t="e">
        <f>AVERAGE(Table119[[#This Row],[*C*]:[*Y*]])</f>
        <v>#N/A</v>
      </c>
    </row>
    <row r="194" spans="2:13" x14ac:dyDescent="0.35">
      <c r="B194" s="6" t="s">
        <v>374</v>
      </c>
      <c r="C194" s="97" t="s">
        <v>54</v>
      </c>
      <c r="D194" s="97" t="s">
        <v>67</v>
      </c>
      <c r="E194" s="6">
        <v>0</v>
      </c>
      <c r="F194" s="97" t="str">
        <f>'2025'!$E$32</f>
        <v>n/a</v>
      </c>
      <c r="G194" s="94" t="e" cm="1">
        <f t="array" ref="G19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4" s="94" t="e" cm="1">
        <f t="array" ref="H19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4" s="94" t="e" cm="1">
        <f t="array" ref="I19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4" s="95" t="e" cm="1">
        <f t="array" ref="J19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4" s="95" t="e" cm="1">
        <f t="array" ref="K19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4" s="96" t="e" cm="1">
        <f t="array" ref="L19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4" s="94" t="e">
        <f>AVERAGE(Table119[[#This Row],[*C*]:[*Y*]])</f>
        <v>#N/A</v>
      </c>
    </row>
    <row r="195" spans="2:13" x14ac:dyDescent="0.35">
      <c r="B195" s="6" t="s">
        <v>373</v>
      </c>
      <c r="C195" s="97" t="s">
        <v>54</v>
      </c>
      <c r="D195" s="97" t="s">
        <v>68</v>
      </c>
      <c r="E195" s="6">
        <v>1</v>
      </c>
      <c r="F195" s="97" t="str">
        <f>'2025'!$E$32</f>
        <v>n/a</v>
      </c>
      <c r="G195" s="94" t="e" cm="1">
        <f t="array" ref="G19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5" s="94" t="e" cm="1">
        <f t="array" ref="H19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5" s="94" t="e" cm="1">
        <f t="array" ref="I19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5" s="95" t="e" cm="1">
        <f t="array" ref="J19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5" s="95" t="e" cm="1">
        <f t="array" ref="K19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5" s="96" t="e" cm="1">
        <f t="array" ref="L19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5" s="94" t="e">
        <f>AVERAGE(Table119[[#This Row],[*C*]:[*Y*]])</f>
        <v>#N/A</v>
      </c>
    </row>
    <row r="196" spans="2:13" x14ac:dyDescent="0.35">
      <c r="B196" s="6" t="s">
        <v>126</v>
      </c>
      <c r="C196" s="97" t="s">
        <v>54</v>
      </c>
      <c r="D196" s="97" t="s">
        <v>401</v>
      </c>
      <c r="E196" s="6">
        <v>1</v>
      </c>
      <c r="F196" s="97" t="str">
        <f>'2025'!$E$32</f>
        <v>n/a</v>
      </c>
      <c r="G196" s="94" t="e" cm="1">
        <f t="array" ref="G19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6" s="94" t="e" cm="1">
        <f t="array" ref="H19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6" s="94" t="e" cm="1">
        <f t="array" ref="I19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6" s="95" t="e" cm="1">
        <f t="array" ref="J19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6" s="95" t="e" cm="1">
        <f t="array" ref="K19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6" s="96" t="e" cm="1">
        <f t="array" ref="L19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6" s="94" t="e">
        <f>AVERAGE(Table119[[#This Row],[*C*]:[*Y*]])</f>
        <v>#N/A</v>
      </c>
    </row>
    <row r="197" spans="2:13" x14ac:dyDescent="0.35">
      <c r="B197" s="6" t="s">
        <v>584</v>
      </c>
      <c r="C197" s="97" t="s">
        <v>54</v>
      </c>
      <c r="D197" s="97" t="s">
        <v>403</v>
      </c>
      <c r="E197" s="6">
        <v>1</v>
      </c>
      <c r="F197" s="97" t="str">
        <f>'2025'!$E$32</f>
        <v>n/a</v>
      </c>
      <c r="G197" s="94" t="e" cm="1">
        <f t="array" ref="G19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7" s="94" t="e" cm="1">
        <f t="array" ref="H19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7" s="94" t="e" cm="1">
        <f t="array" ref="I19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7" s="95" t="e" cm="1">
        <f t="array" ref="J19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7" s="95" t="e" cm="1">
        <f t="array" ref="K19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7" s="96" t="e" cm="1">
        <f t="array" ref="L19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7" s="94" t="e">
        <f>AVERAGE(Table119[[#This Row],[*C*]:[*Y*]])</f>
        <v>#N/A</v>
      </c>
    </row>
    <row r="198" spans="2:13" x14ac:dyDescent="0.35">
      <c r="B198" s="6" t="s">
        <v>343</v>
      </c>
      <c r="C198" s="97" t="s">
        <v>54</v>
      </c>
      <c r="D198" s="97" t="s">
        <v>411</v>
      </c>
      <c r="E198" s="6">
        <v>1</v>
      </c>
      <c r="F198" s="97" t="str">
        <f>'2025'!$E$32</f>
        <v>n/a</v>
      </c>
      <c r="G198" s="94" t="e" cm="1">
        <f t="array" ref="G19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8" s="94" t="e" cm="1">
        <f t="array" ref="H19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8" s="94" t="e" cm="1">
        <f t="array" ref="I19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8" s="95" t="e" cm="1">
        <f t="array" ref="J19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8" s="95" t="e" cm="1">
        <f t="array" ref="K19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8" s="96" t="e" cm="1">
        <f t="array" ref="L19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8" s="94" t="e">
        <f>AVERAGE(Table119[[#This Row],[*C*]:[*Y*]])</f>
        <v>#N/A</v>
      </c>
    </row>
    <row r="199" spans="2:13" x14ac:dyDescent="0.35">
      <c r="B199" s="6" t="s">
        <v>585</v>
      </c>
      <c r="C199" s="97" t="s">
        <v>54</v>
      </c>
      <c r="D199" s="97" t="s">
        <v>441</v>
      </c>
      <c r="E199" s="6">
        <v>1</v>
      </c>
      <c r="F199" s="97" t="str">
        <f>'2025'!$E$32</f>
        <v>n/a</v>
      </c>
      <c r="G199" s="94" t="e" cm="1">
        <f t="array" ref="G19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199" s="94" t="e" cm="1">
        <f t="array" ref="H19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199" s="94" t="e" cm="1">
        <f t="array" ref="I19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199" s="95" t="e" cm="1">
        <f t="array" ref="J19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199" s="95" t="e" cm="1">
        <f t="array" ref="K19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199" s="96" t="e" cm="1">
        <f t="array" ref="L19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199" s="94" t="e">
        <f>AVERAGE(Table119[[#This Row],[*C*]:[*Y*]])</f>
        <v>#N/A</v>
      </c>
    </row>
    <row r="200" spans="2:13" x14ac:dyDescent="0.35">
      <c r="B200" s="6" t="s">
        <v>375</v>
      </c>
      <c r="C200" s="97" t="s">
        <v>54</v>
      </c>
      <c r="D200" s="97" t="s">
        <v>443</v>
      </c>
      <c r="E200" s="6">
        <v>-1</v>
      </c>
      <c r="F200" s="97" t="str">
        <f>'2025'!$E$32</f>
        <v>n/a</v>
      </c>
      <c r="G200" s="94" t="e" cm="1">
        <f t="array" ref="G20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0" s="94" t="e" cm="1">
        <f t="array" ref="H20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0" s="94" t="e" cm="1">
        <f t="array" ref="I20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0" s="95" t="e" cm="1">
        <f t="array" ref="J20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0" s="95" t="e" cm="1">
        <f t="array" ref="K20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0" s="96" t="e" cm="1">
        <f t="array" ref="L20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0" s="94" t="e">
        <f>AVERAGE(Table119[[#This Row],[*C*]:[*Y*]])</f>
        <v>#N/A</v>
      </c>
    </row>
    <row r="201" spans="2:13" x14ac:dyDescent="0.35">
      <c r="B201" s="6" t="s">
        <v>346</v>
      </c>
      <c r="C201" s="97" t="s">
        <v>54</v>
      </c>
      <c r="D201" s="97" t="s">
        <v>546</v>
      </c>
      <c r="E201" s="6">
        <v>-1</v>
      </c>
      <c r="F201" s="97" t="str">
        <f>'2025'!$E$32</f>
        <v>n/a</v>
      </c>
      <c r="G201" s="94" t="e" cm="1">
        <f t="array" ref="G20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1" s="94" t="e" cm="1">
        <f t="array" ref="H20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1" s="94" t="e" cm="1">
        <f t="array" ref="I20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1" s="95" t="e" cm="1">
        <f t="array" ref="J20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1" s="95" t="e" cm="1">
        <f t="array" ref="K20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1" s="96" t="e" cm="1">
        <f t="array" ref="L20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1" s="94" t="e">
        <f>AVERAGE(Table119[[#This Row],[*C*]:[*Y*]])</f>
        <v>#N/A</v>
      </c>
    </row>
    <row r="202" spans="2:13" x14ac:dyDescent="0.35">
      <c r="B202" s="6" t="s">
        <v>383</v>
      </c>
      <c r="C202" s="97" t="s">
        <v>55</v>
      </c>
      <c r="D202" s="97" t="s">
        <v>66</v>
      </c>
      <c r="E202" s="6">
        <v>0</v>
      </c>
      <c r="F202" s="97" t="str">
        <f>'2025'!$E$33</f>
        <v>n/a</v>
      </c>
      <c r="G202" s="94" t="e" cm="1">
        <f t="array" ref="G20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2" s="94" t="e" cm="1">
        <f t="array" ref="H20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2" s="94" t="e" cm="1">
        <f t="array" ref="I20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2" s="95" t="e" cm="1">
        <f t="array" ref="J20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2" s="95" t="e" cm="1">
        <f t="array" ref="K20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2" s="96" t="e" cm="1">
        <f t="array" ref="L20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2" s="94" t="e">
        <f>AVERAGE(Table119[[#This Row],[*C*]:[*Y*]])</f>
        <v>#N/A</v>
      </c>
    </row>
    <row r="203" spans="2:13" x14ac:dyDescent="0.35">
      <c r="B203" s="6" t="s">
        <v>382</v>
      </c>
      <c r="C203" s="97" t="s">
        <v>55</v>
      </c>
      <c r="D203" s="97" t="s">
        <v>67</v>
      </c>
      <c r="E203" s="6">
        <v>1</v>
      </c>
      <c r="F203" s="97" t="str">
        <f>'2025'!$E$33</f>
        <v>n/a</v>
      </c>
      <c r="G203" s="94" t="e" cm="1">
        <f t="array" ref="G20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3" s="94" t="e" cm="1">
        <f t="array" ref="H20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3" s="94" t="e" cm="1">
        <f t="array" ref="I20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3" s="95" t="e" cm="1">
        <f t="array" ref="J20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3" s="95" t="e" cm="1">
        <f t="array" ref="K20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3" s="96" t="e" cm="1">
        <f t="array" ref="L20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3" s="94" t="e">
        <f>AVERAGE(Table119[[#This Row],[*C*]:[*Y*]])</f>
        <v>#N/A</v>
      </c>
    </row>
    <row r="204" spans="2:13" x14ac:dyDescent="0.35">
      <c r="B204" s="6" t="s">
        <v>384</v>
      </c>
      <c r="C204" s="97" t="s">
        <v>55</v>
      </c>
      <c r="D204" s="97" t="s">
        <v>68</v>
      </c>
      <c r="E204" s="6">
        <v>1</v>
      </c>
      <c r="F204" s="97" t="str">
        <f>'2025'!$E$33</f>
        <v>n/a</v>
      </c>
      <c r="G204" s="94" t="e" cm="1">
        <f t="array" ref="G204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4" s="94" t="e" cm="1">
        <f t="array" ref="H204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4" s="94" t="e" cm="1">
        <f t="array" ref="I204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4" s="95" t="e" cm="1">
        <f t="array" ref="J204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4" s="95" t="e" cm="1">
        <f t="array" ref="K204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4" s="96" t="e" cm="1">
        <f t="array" ref="L204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4" s="94" t="e">
        <f>AVERAGE(Table119[[#This Row],[*C*]:[*Y*]])</f>
        <v>#N/A</v>
      </c>
    </row>
    <row r="205" spans="2:13" x14ac:dyDescent="0.35">
      <c r="B205" s="6" t="s">
        <v>590</v>
      </c>
      <c r="C205" s="97" t="s">
        <v>55</v>
      </c>
      <c r="D205" s="97" t="s">
        <v>401</v>
      </c>
      <c r="E205" s="6">
        <v>1</v>
      </c>
      <c r="F205" s="97" t="str">
        <f>'2025'!$E$33</f>
        <v>n/a</v>
      </c>
      <c r="G205" s="94" t="e" cm="1">
        <f t="array" ref="G205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5" s="94" t="e" cm="1">
        <f t="array" ref="H205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5" s="94" t="e" cm="1">
        <f t="array" ref="I205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5" s="95" t="e" cm="1">
        <f t="array" ref="J205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5" s="95" t="e" cm="1">
        <f t="array" ref="K205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5" s="96" t="e" cm="1">
        <f t="array" ref="L205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5" s="94" t="e">
        <f>AVERAGE(Table119[[#This Row],[*C*]:[*Y*]])</f>
        <v>#N/A</v>
      </c>
    </row>
    <row r="206" spans="2:13" x14ac:dyDescent="0.35">
      <c r="B206" s="6" t="s">
        <v>591</v>
      </c>
      <c r="C206" s="97" t="s">
        <v>55</v>
      </c>
      <c r="D206" s="97" t="s">
        <v>403</v>
      </c>
      <c r="E206" s="6">
        <v>1</v>
      </c>
      <c r="F206" s="97" t="str">
        <f>'2025'!$E$33</f>
        <v>n/a</v>
      </c>
      <c r="G206" s="94" t="e" cm="1">
        <f t="array" ref="G206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6" s="94" t="e" cm="1">
        <f t="array" ref="H206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6" s="94" t="e" cm="1">
        <f t="array" ref="I206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6" s="95" t="e" cm="1">
        <f t="array" ref="J206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6" s="95" t="e" cm="1">
        <f t="array" ref="K206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6" s="96" t="e" cm="1">
        <f t="array" ref="L206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6" s="94" t="e">
        <f>AVERAGE(Table119[[#This Row],[*C*]:[*Y*]])</f>
        <v>#N/A</v>
      </c>
    </row>
    <row r="207" spans="2:13" x14ac:dyDescent="0.35">
      <c r="B207" s="6" t="s">
        <v>592</v>
      </c>
      <c r="C207" s="97" t="s">
        <v>55</v>
      </c>
      <c r="D207" s="97" t="s">
        <v>411</v>
      </c>
      <c r="E207" s="6">
        <v>1</v>
      </c>
      <c r="F207" s="97" t="str">
        <f>'2025'!$E$33</f>
        <v>n/a</v>
      </c>
      <c r="G207" s="94" t="e" cm="1">
        <f t="array" ref="G207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7" s="94" t="e" cm="1">
        <f t="array" ref="H207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7" s="94" t="e" cm="1">
        <f t="array" ref="I207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7" s="95" t="e" cm="1">
        <f t="array" ref="J207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7" s="95" t="e" cm="1">
        <f t="array" ref="K207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7" s="96" t="e" cm="1">
        <f t="array" ref="L207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7" s="94" t="e">
        <f>AVERAGE(Table119[[#This Row],[*C*]:[*Y*]])</f>
        <v>#N/A</v>
      </c>
    </row>
    <row r="208" spans="2:13" x14ac:dyDescent="0.35">
      <c r="B208" s="6" t="s">
        <v>593</v>
      </c>
      <c r="C208" s="97" t="s">
        <v>55</v>
      </c>
      <c r="D208" s="97" t="s">
        <v>441</v>
      </c>
      <c r="E208" s="6">
        <v>-1</v>
      </c>
      <c r="F208" s="97" t="str">
        <f>'2025'!$E$33</f>
        <v>n/a</v>
      </c>
      <c r="G208" s="94" t="e" cm="1">
        <f t="array" ref="G208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8" s="94" t="e" cm="1">
        <f t="array" ref="H208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8" s="94" t="e" cm="1">
        <f t="array" ref="I208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8" s="95" t="e" cm="1">
        <f t="array" ref="J208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8" s="95" t="e" cm="1">
        <f t="array" ref="K208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8" s="96" t="e" cm="1">
        <f t="array" ref="L208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8" s="94" t="e">
        <f>AVERAGE(Table119[[#This Row],[*C*]:[*Y*]])</f>
        <v>#N/A</v>
      </c>
    </row>
    <row r="209" spans="2:13" x14ac:dyDescent="0.35">
      <c r="B209" s="6" t="s">
        <v>390</v>
      </c>
      <c r="C209" s="97" t="s">
        <v>56</v>
      </c>
      <c r="D209" s="97" t="s">
        <v>66</v>
      </c>
      <c r="E209" s="6">
        <v>1</v>
      </c>
      <c r="F209" s="97" t="str">
        <f>'2025'!$E$34</f>
        <v>n/a</v>
      </c>
      <c r="G209" s="94" t="e" cm="1">
        <f t="array" ref="G209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09" s="94" t="e" cm="1">
        <f t="array" ref="H209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09" s="94" t="e" cm="1">
        <f t="array" ref="I209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09" s="95" t="e" cm="1">
        <f t="array" ref="J209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09" s="95" t="e" cm="1">
        <f t="array" ref="K209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09" s="96" t="e" cm="1">
        <f t="array" ref="L209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09" s="94" t="e">
        <f>AVERAGE(Table119[[#This Row],[*C*]:[*Y*]])</f>
        <v>#N/A</v>
      </c>
    </row>
    <row r="210" spans="2:13" x14ac:dyDescent="0.35">
      <c r="B210" s="6" t="s">
        <v>391</v>
      </c>
      <c r="C210" s="97" t="s">
        <v>56</v>
      </c>
      <c r="D210" s="97" t="s">
        <v>67</v>
      </c>
      <c r="E210" s="97">
        <v>1</v>
      </c>
      <c r="F210" s="97" t="str">
        <f>'2025'!$E$34</f>
        <v>n/a</v>
      </c>
      <c r="G210" s="94" t="e" cm="1">
        <f t="array" ref="G210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10" s="94" t="e" cm="1">
        <f t="array" ref="H210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10" s="94" t="e" cm="1">
        <f t="array" ref="I210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10" s="95" t="e" cm="1">
        <f t="array" ref="J210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10" s="95" t="e" cm="1">
        <f t="array" ref="K210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10" s="96" t="e" cm="1">
        <f t="array" ref="L210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10" s="94" t="e">
        <f>AVERAGE(Table119[[#This Row],[*C*]:[*Y*]])</f>
        <v>#N/A</v>
      </c>
    </row>
    <row r="211" spans="2:13" x14ac:dyDescent="0.35">
      <c r="B211" s="6" t="s">
        <v>463</v>
      </c>
      <c r="C211" s="97" t="s">
        <v>56</v>
      </c>
      <c r="D211" s="97" t="s">
        <v>68</v>
      </c>
      <c r="E211" s="6">
        <v>0</v>
      </c>
      <c r="F211" s="97" t="str">
        <f>'2025'!$E$34</f>
        <v>n/a</v>
      </c>
      <c r="G211" s="94" t="e" cm="1">
        <f t="array" ref="G211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11" s="94" t="e" cm="1">
        <f t="array" ref="H211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11" s="94" t="e" cm="1">
        <f t="array" ref="I211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11" s="95" t="e" cm="1">
        <f t="array" ref="J211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11" s="95" t="e" cm="1">
        <f t="array" ref="K211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11" s="96" t="e" cm="1">
        <f t="array" ref="L211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11" s="94" t="e">
        <f>AVERAGE(Table119[[#This Row],[*C*]:[*Y*]])</f>
        <v>#N/A</v>
      </c>
    </row>
    <row r="212" spans="2:13" x14ac:dyDescent="0.35">
      <c r="B212" s="112" t="s">
        <v>464</v>
      </c>
      <c r="C212" s="113" t="s">
        <v>56</v>
      </c>
      <c r="D212" s="113" t="s">
        <v>401</v>
      </c>
      <c r="E212" s="6">
        <v>1</v>
      </c>
      <c r="F212" s="97" t="str">
        <f>'2025'!$E$34</f>
        <v>n/a</v>
      </c>
      <c r="G212" s="94" t="e" cm="1">
        <f t="array" ref="G212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12" s="94" t="e" cm="1">
        <f t="array" ref="H212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12" s="109" t="e" cm="1">
        <f t="array" ref="I212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12" s="114" t="e" cm="1">
        <f t="array" ref="J212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12" s="95" t="e" cm="1">
        <f t="array" ref="K212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12" s="115" t="e" cm="1">
        <f t="array" ref="L212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12" s="116" t="e">
        <f>AVERAGE(Table119[[#This Row],[*C*]:[*Y*]])</f>
        <v>#N/A</v>
      </c>
    </row>
    <row r="213" spans="2:13" x14ac:dyDescent="0.35">
      <c r="B213" s="112" t="s">
        <v>465</v>
      </c>
      <c r="C213" s="113" t="s">
        <v>56</v>
      </c>
      <c r="D213" s="113" t="s">
        <v>403</v>
      </c>
      <c r="E213" s="6">
        <v>1</v>
      </c>
      <c r="F213" s="97" t="str">
        <f>'2025'!$E$34</f>
        <v>n/a</v>
      </c>
      <c r="G213" s="110" t="e" cm="1">
        <f t="array" ref="G213">_xlfn.IFS(Table119[[#This Row],[Pos.]]="WR1",_xlfn.XLOOKUP(Table119[[#This Row],[Opp]],Table4249[Defense],Table4249[WR1C]),Table119[[#This Row],[Pos.]]="WR2",_xlfn.XLOOKUP(Table119[[#This Row],[Opp]],Table4249[Defense],Table4249[WR2C]),Table119[[#This Row],[Pos.]]="WR3",_xlfn.XLOOKUP(Table119[[#This Row],[Opp]],Table4249[Defense],Table4249[WR3C]),OR(Table119[[#This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Row],[Opp]],Table4249[Defense],Table4249[WR4+C]))</f>
        <v>#N/A</v>
      </c>
      <c r="H213" s="110" t="e" cm="1">
        <f t="array" ref="H213">_xlfn.IFS(Table119[[#This Row],[Pos.]]="WR1",_xlfn.XLOOKUP(Table119[[#This Row],[Opp]],Table4249[Defense],Table4249[WR1Y]),Table119[[#This Row],[Pos.]]="WR2",_xlfn.XLOOKUP(Table119[[#This Row],[Opp]],Table4249[Defense],Table4249[WR2Y]),Table119[[#This Row],[Pos.]]="WR3",_xlfn.XLOOKUP(Table119[[#This Row],[Opp]],Table4249[Defense],Table4249[WR3Y]),OR(Table119[[#This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Row],[Opp]],Table4249[Defense],Table4249[WR4+Y]))</f>
        <v>#N/A</v>
      </c>
      <c r="I213" s="111" t="e" cm="1">
        <f t="array" ref="I213">_xlfn.IFS(Table119[[#This Row],[Pos.]]="WR1",_xlfn.XLOOKUP(Table119[[#This Row],[Opp]],Table4249[Defense],Table4249[WR1]),Table119[[#This Row],[Pos.]]="WR2",_xlfn.XLOOKUP(Table119[[#This Row],[Opp]],Table4249[Defense],Table4249[WR2]),Table119[[#This Row],[Pos.]]="WR3",_xlfn.XLOOKUP(Table119[[#This Row],[Opp]],Table4249[Defense],Table4249[WR3]),OR(Table119[[#This Row],[Pos.]]="WR4",Table119[[#This Row],[Pos.]]="WR5",Table119[[#This Row],[Pos.]]="WR6",Table119[[#This Row],[Pos.]]="WR7",Table119[[#This Row],[Pos.]]="WR8",Table119[[#This Row],[Pos.]]="WR9"),_xlfn.XLOOKUP(Table119[[#This Row],[Opp]],Table4249[Defense],Table4249[WR4+]))</f>
        <v>#N/A</v>
      </c>
      <c r="J213" s="114" t="e" cm="1">
        <f t="array" ref="J213">_xlfn.IFS(Table119[[#This Row],[Pos.]]="WR1",_xlfn.XLOOKUP(Table119[[#This Row],[Opp]],Table948[Defense],Table948[WR1C]),Table119[[#This Row],[Pos.]]="WR2",_xlfn.XLOOKUP(Table119[[#This Row],[Opp]],Table948[Defense],Table948[WR2C]),Table119[[#This Row],[Pos.]]="WR3",_xlfn.XLOOKUP(Table119[[#This Row],[Opp]],Table948[Defense],Table948[WR3C]),OR(Table119[[#This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Row],[Opp]],Table948[Defense],Table948[WR4+C]))</f>
        <v>#N/A</v>
      </c>
      <c r="K213" s="95" t="e" cm="1">
        <f t="array" ref="K213">_xlfn.IFS(Table119[[#This Row],[Pos.]]="WR1",_xlfn.XLOOKUP(Table119[[#This Row],[Opp]],Table948[Defense],Table948[WR1Y]),Table119[[#This Row],[Pos.]]="WR2",_xlfn.XLOOKUP(Table119[[#This Row],[Opp]],Table948[Defense],Table948[WR2Y]),Table119[[#This Row],[Pos.]]="WR3",_xlfn.XLOOKUP(Table119[[#This Row],[Opp]],Table948[Defense],Table948[WR3Y]),OR(Table119[[#This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Row],[Opp]],Table948[Defense],Table948[WR4+Y]))</f>
        <v>#N/A</v>
      </c>
      <c r="L213" s="115" t="e" cm="1">
        <f t="array" ref="L213">_xlfn.IFS(Table119[[#This Row],[Pos.]]="WR1",_xlfn.XLOOKUP(Table119[[#This Row],[Opp]],Table948[Defense],Table948[WR1]),Table119[[#This Row],[Pos.]]="WR2",_xlfn.XLOOKUP(Table119[[#This Row],[Opp]],Table948[Defense],Table948[WR2]),Table119[[#This Row],[Pos.]]="WR3",_xlfn.XLOOKUP(Table119[[#This Row],[Opp]],Table948[Defense],Table948[WR3]),OR(Table119[[#This Row],[Pos.]]="WR4",Table119[[#This Row],[Pos.]]="WR5",Table119[[#This Row],[Pos.]]="WR6",Table119[[#This Row],[Pos.]]="WR7",Table119[[#This Row],[Pos.]]="WR8",Table119[[#This Row],[Pos.]]="WR9"),_xlfn.XLOOKUP(Table119[[#This Row],[Opp]],Table948[Defense],Table948[WR4+]))</f>
        <v>#N/A</v>
      </c>
      <c r="M213" s="117" t="e">
        <f>AVERAGE(Table119[[#This Row],[*C*]:[*Y*]])</f>
        <v>#N/A</v>
      </c>
    </row>
  </sheetData>
  <conditionalFormatting sqref="C2:C213 F2:F213 H2:H213">
    <cfRule type="cellIs" dxfId="2226" priority="3189" operator="equal">
      <formula>"BYE"</formula>
    </cfRule>
    <cfRule type="cellIs" dxfId="2225" priority="3190" operator="equal">
      <formula>"LV"</formula>
    </cfRule>
    <cfRule type="cellIs" dxfId="2224" priority="3191" operator="equal">
      <formula>"NE"</formula>
    </cfRule>
    <cfRule type="cellIs" dxfId="2223" priority="3192" operator="equal">
      <formula>"MIN"</formula>
    </cfRule>
    <cfRule type="cellIs" dxfId="2222" priority="3193" operator="equal">
      <formula>"PIT"</formula>
    </cfRule>
    <cfRule type="cellIs" dxfId="2221" priority="3194" operator="equal">
      <formula>"DEN"</formula>
    </cfRule>
    <cfRule type="cellIs" dxfId="2220" priority="3195" operator="equal">
      <formula>"CAR"</formula>
    </cfRule>
    <cfRule type="cellIs" dxfId="2219" priority="3196" operator="equal">
      <formula>"NYG"</formula>
    </cfRule>
    <cfRule type="cellIs" dxfId="2218" priority="3197" operator="equal">
      <formula>"NO"</formula>
    </cfRule>
    <cfRule type="cellIs" dxfId="2217" priority="3198" operator="equal">
      <formula>"TEN"</formula>
    </cfRule>
    <cfRule type="cellIs" dxfId="2216" priority="3199" operator="equal">
      <formula>"TB"</formula>
    </cfRule>
    <cfRule type="cellIs" dxfId="2215" priority="3200" operator="equal">
      <formula>"CLE"</formula>
    </cfRule>
    <cfRule type="cellIs" dxfId="2214" priority="3201" operator="equal">
      <formula>"NYJ"</formula>
    </cfRule>
    <cfRule type="cellIs" dxfId="2213" priority="3202" operator="equal">
      <formula>"SEA"</formula>
    </cfRule>
    <cfRule type="cellIs" dxfId="2212" priority="3203" operator="equal">
      <formula>"LAC"</formula>
    </cfRule>
    <cfRule type="cellIs" dxfId="2211" priority="3204" operator="equal">
      <formula>"LAR"</formula>
    </cfRule>
    <cfRule type="cellIs" dxfId="2210" priority="3205" operator="equal">
      <formula>"ATL"</formula>
    </cfRule>
    <cfRule type="cellIs" dxfId="2209" priority="3206" operator="equal">
      <formula>"JAX"</formula>
    </cfRule>
    <cfRule type="cellIs" dxfId="2208" priority="3207" operator="equal">
      <formula>"CHI"</formula>
    </cfRule>
    <cfRule type="cellIs" dxfId="2207" priority="3208" operator="equal">
      <formula>"MIA"</formula>
    </cfRule>
    <cfRule type="cellIs" dxfId="2206" priority="3209" operator="equal">
      <formula>"DET"</formula>
    </cfRule>
    <cfRule type="cellIs" dxfId="2205" priority="3210" operator="equal">
      <formula>"SF"</formula>
    </cfRule>
    <cfRule type="cellIs" dxfId="2204" priority="3211" operator="equal">
      <formula>"WAS"</formula>
    </cfRule>
    <cfRule type="cellIs" dxfId="2203" priority="3212" operator="equal">
      <formula>"GB"</formula>
    </cfRule>
    <cfRule type="cellIs" dxfId="2202" priority="3213" operator="equal">
      <formula>"DAL"</formula>
    </cfRule>
    <cfRule type="cellIs" dxfId="2201" priority="3214" operator="equal">
      <formula>"CIN"</formula>
    </cfRule>
    <cfRule type="cellIs" dxfId="2200" priority="3215" operator="equal">
      <formula>"ARI"</formula>
    </cfRule>
    <cfRule type="cellIs" dxfId="2199" priority="3216" operator="equal">
      <formula>"HOU"</formula>
    </cfRule>
    <cfRule type="cellIs" dxfId="2198" priority="3217" operator="equal">
      <formula>"IND"</formula>
    </cfRule>
    <cfRule type="cellIs" dxfId="2197" priority="3218" operator="equal">
      <formula>"KC"</formula>
    </cfRule>
    <cfRule type="cellIs" dxfId="2196" priority="3219" operator="equal">
      <formula>"BAL"</formula>
    </cfRule>
    <cfRule type="cellIs" dxfId="2195" priority="3220" operator="equal">
      <formula>"PHI"</formula>
    </cfRule>
    <cfRule type="cellIs" dxfId="2194" priority="3221" operator="equal">
      <formula>"BUF"</formula>
    </cfRule>
  </conditionalFormatting>
  <conditionalFormatting sqref="D2:D213">
    <cfRule type="cellIs" dxfId="2193" priority="3381" operator="equal">
      <formula>"WR9"</formula>
    </cfRule>
    <cfRule type="cellIs" dxfId="2192" priority="3382" operator="equal">
      <formula>"WR8"</formula>
    </cfRule>
    <cfRule type="cellIs" dxfId="2191" priority="3383" operator="equal">
      <formula>"WR7"</formula>
    </cfRule>
    <cfRule type="cellIs" dxfId="2190" priority="3384" operator="equal">
      <formula>"WR6"</formula>
    </cfRule>
    <cfRule type="cellIs" dxfId="2189" priority="3385" operator="equal">
      <formula>"TE5"</formula>
    </cfRule>
    <cfRule type="cellIs" dxfId="2188" priority="3386" operator="equal">
      <formula>"WR5"</formula>
    </cfRule>
    <cfRule type="cellIs" dxfId="2187" priority="3387" operator="equal">
      <formula>"RB5"</formula>
    </cfRule>
    <cfRule type="cellIs" dxfId="2186" priority="3388" operator="equal">
      <formula>"QB5"</formula>
    </cfRule>
    <cfRule type="cellIs" dxfId="2185" priority="3389" operator="equal">
      <formula>"TE4"</formula>
    </cfRule>
    <cfRule type="cellIs" dxfId="2184" priority="3390" operator="equal">
      <formula>"WR4"</formula>
    </cfRule>
    <cfRule type="cellIs" dxfId="2183" priority="3391" operator="equal">
      <formula>"RB4"</formula>
    </cfRule>
    <cfRule type="cellIs" dxfId="2182" priority="3392" operator="equal">
      <formula>"QB4"</formula>
    </cfRule>
    <cfRule type="cellIs" dxfId="2181" priority="3393" operator="equal">
      <formula>"TE3"</formula>
    </cfRule>
    <cfRule type="cellIs" dxfId="2180" priority="3394" operator="equal">
      <formula>"WR3"</formula>
    </cfRule>
    <cfRule type="cellIs" dxfId="2179" priority="3395" operator="equal">
      <formula>"RB3"</formula>
    </cfRule>
    <cfRule type="cellIs" dxfId="2178" priority="3396" operator="equal">
      <formula>"QB3"</formula>
    </cfRule>
    <cfRule type="cellIs" dxfId="2177" priority="3397" operator="equal">
      <formula>"TE2"</formula>
    </cfRule>
    <cfRule type="cellIs" dxfId="2176" priority="3398" operator="equal">
      <formula>"WR2"</formula>
    </cfRule>
    <cfRule type="cellIs" dxfId="2175" priority="3399" operator="equal">
      <formula>"RB2"</formula>
    </cfRule>
    <cfRule type="cellIs" dxfId="2174" priority="3400" operator="equal">
      <formula>"QB2"</formula>
    </cfRule>
    <cfRule type="cellIs" dxfId="2173" priority="3401" operator="equal">
      <formula>"TE1"</formula>
    </cfRule>
    <cfRule type="cellIs" dxfId="2172" priority="3402" operator="equal">
      <formula>"WR1"</formula>
    </cfRule>
    <cfRule type="cellIs" dxfId="2171" priority="3403" operator="equal">
      <formula>"RB1"</formula>
    </cfRule>
    <cfRule type="cellIs" dxfId="2170" priority="3404" operator="equal">
      <formula>"QB1"</formula>
    </cfRule>
  </conditionalFormatting>
  <conditionalFormatting sqref="E2:E6">
    <cfRule type="colorScale" priority="373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7:E23">
    <cfRule type="iconSet" priority="3702">
      <iconSet iconSet="3Symbols" showValue="0">
        <cfvo type="percent" val="0"/>
        <cfvo type="num" val="0"/>
        <cfvo type="num" val="1"/>
      </iconSet>
    </cfRule>
    <cfRule type="colorScale" priority="370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24:E39">
    <cfRule type="iconSet" priority="3675">
      <iconSet iconSet="3Symbols" showValue="0">
        <cfvo type="percent" val="0"/>
        <cfvo type="num" val="0"/>
        <cfvo type="num" val="1"/>
      </iconSet>
    </cfRule>
    <cfRule type="colorScale" priority="3676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40:E57">
    <cfRule type="iconSet" priority="3648">
      <iconSet iconSet="3Symbols" showValue="0">
        <cfvo type="percent" val="0"/>
        <cfvo type="num" val="0"/>
        <cfvo type="num" val="1"/>
      </iconSet>
    </cfRule>
    <cfRule type="colorScale" priority="364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58:E76">
    <cfRule type="colorScale" priority="3622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3621">
      <iconSet iconSet="3Symbols" showValue="0">
        <cfvo type="percent" val="0"/>
        <cfvo type="num" val="0"/>
        <cfvo type="num" val="1"/>
      </iconSet>
    </cfRule>
  </conditionalFormatting>
  <conditionalFormatting sqref="E77:E92">
    <cfRule type="iconSet" priority="3594">
      <iconSet iconSet="3Symbols" showValue="0">
        <cfvo type="percent" val="0"/>
        <cfvo type="num" val="0"/>
        <cfvo type="num" val="1"/>
      </iconSet>
    </cfRule>
    <cfRule type="colorScale" priority="359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93:E107">
    <cfRule type="iconSet" priority="3567">
      <iconSet iconSet="3Symbols" showValue="0">
        <cfvo type="percent" val="0"/>
        <cfvo type="num" val="0"/>
        <cfvo type="num" val="1"/>
      </iconSet>
    </cfRule>
    <cfRule type="colorScale" priority="3568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08:E122">
    <cfRule type="colorScale" priority="6117">
      <colorScale>
        <cfvo type="num" val="-1"/>
        <cfvo type="num" val="0"/>
        <cfvo type="num" val="1"/>
        <color rgb="FFF8696B"/>
        <color rgb="FFFFEB84"/>
        <color rgb="FF63BE7B"/>
      </colorScale>
    </cfRule>
    <cfRule type="iconSet" priority="6116">
      <iconSet iconSet="3Symbols" showValue="0">
        <cfvo type="percent" val="0"/>
        <cfvo type="num" val="0"/>
        <cfvo type="num" val="1"/>
      </iconSet>
    </cfRule>
  </conditionalFormatting>
  <conditionalFormatting sqref="E123:E140">
    <cfRule type="iconSet" priority="3513">
      <iconSet iconSet="3Symbols" showValue="0">
        <cfvo type="percent" val="0"/>
        <cfvo type="num" val="0"/>
        <cfvo type="num" val="1"/>
      </iconSet>
    </cfRule>
    <cfRule type="colorScale" priority="351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41:E160">
    <cfRule type="iconSet" priority="3486">
      <iconSet iconSet="3Symbols" showValue="0">
        <cfvo type="percent" val="0"/>
        <cfvo type="num" val="0"/>
        <cfvo type="num" val="1"/>
      </iconSet>
    </cfRule>
    <cfRule type="colorScale" priority="3487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61:E179">
    <cfRule type="iconSet" priority="3459">
      <iconSet iconSet="3Symbols" showValue="0">
        <cfvo type="percent" val="0"/>
        <cfvo type="num" val="0"/>
        <cfvo type="num" val="1"/>
      </iconSet>
    </cfRule>
    <cfRule type="colorScale" priority="346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80:E196">
    <cfRule type="iconSet" priority="3432">
      <iconSet iconSet="3Symbols" showValue="0">
        <cfvo type="percent" val="0"/>
        <cfvo type="num" val="0"/>
        <cfvo type="num" val="1"/>
      </iconSet>
    </cfRule>
    <cfRule type="colorScale" priority="343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97:E213">
    <cfRule type="iconSet" priority="3405">
      <iconSet iconSet="3Symbols" showValue="0">
        <cfvo type="percent" val="0"/>
        <cfvo type="num" val="0"/>
        <cfvo type="num" val="1"/>
      </iconSet>
    </cfRule>
    <cfRule type="colorScale" priority="3406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G2:G213">
    <cfRule type="colorScale" priority="6121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169" priority="6122" operator="equal">
      <formula>"BYE"</formula>
    </cfRule>
    <cfRule type="cellIs" dxfId="2168" priority="6123" operator="equal">
      <formula>"LV"</formula>
    </cfRule>
    <cfRule type="cellIs" dxfId="2167" priority="6124" operator="equal">
      <formula>"NE"</formula>
    </cfRule>
    <cfRule type="cellIs" dxfId="2166" priority="6125" operator="equal">
      <formula>"MIN"</formula>
    </cfRule>
    <cfRule type="cellIs" dxfId="2165" priority="6126" operator="equal">
      <formula>"PIT"</formula>
    </cfRule>
    <cfRule type="cellIs" dxfId="2164" priority="6127" operator="equal">
      <formula>"DEN"</formula>
    </cfRule>
    <cfRule type="cellIs" dxfId="2163" priority="6128" operator="equal">
      <formula>"CAR"</formula>
    </cfRule>
    <cfRule type="cellIs" dxfId="2162" priority="6129" operator="equal">
      <formula>"NYG"</formula>
    </cfRule>
    <cfRule type="cellIs" dxfId="2161" priority="6130" operator="equal">
      <formula>"NO"</formula>
    </cfRule>
    <cfRule type="cellIs" dxfId="2160" priority="6131" operator="equal">
      <formula>"TEN"</formula>
    </cfRule>
    <cfRule type="cellIs" dxfId="2159" priority="6132" operator="equal">
      <formula>"TB"</formula>
    </cfRule>
    <cfRule type="cellIs" dxfId="2158" priority="6133" operator="equal">
      <formula>"CLE"</formula>
    </cfRule>
    <cfRule type="cellIs" dxfId="2157" priority="6134" operator="equal">
      <formula>"NYJ"</formula>
    </cfRule>
    <cfRule type="cellIs" dxfId="2156" priority="6135" operator="equal">
      <formula>"SEA"</formula>
    </cfRule>
    <cfRule type="cellIs" dxfId="2155" priority="6136" operator="equal">
      <formula>"LAC"</formula>
    </cfRule>
    <cfRule type="cellIs" dxfId="2154" priority="6137" operator="equal">
      <formula>"LAR"</formula>
    </cfRule>
    <cfRule type="cellIs" dxfId="2153" priority="6138" operator="equal">
      <formula>"ATL"</formula>
    </cfRule>
    <cfRule type="cellIs" dxfId="2152" priority="6139" operator="equal">
      <formula>"JAX"</formula>
    </cfRule>
    <cfRule type="cellIs" dxfId="2151" priority="6140" operator="equal">
      <formula>"CHI"</formula>
    </cfRule>
    <cfRule type="cellIs" dxfId="2150" priority="6141" operator="equal">
      <formula>"MIA"</formula>
    </cfRule>
    <cfRule type="cellIs" dxfId="2149" priority="6142" operator="equal">
      <formula>"DET"</formula>
    </cfRule>
    <cfRule type="cellIs" dxfId="2148" priority="6143" operator="equal">
      <formula>"SF"</formula>
    </cfRule>
    <cfRule type="cellIs" dxfId="2147" priority="6144" operator="equal">
      <formula>"WAS"</formula>
    </cfRule>
    <cfRule type="cellIs" dxfId="2146" priority="6145" operator="equal">
      <formula>"GB"</formula>
    </cfRule>
    <cfRule type="cellIs" dxfId="2145" priority="6146" operator="equal">
      <formula>"DAL"</formula>
    </cfRule>
    <cfRule type="cellIs" dxfId="2144" priority="6147" operator="equal">
      <formula>"CIN"</formula>
    </cfRule>
    <cfRule type="cellIs" dxfId="2143" priority="6148" operator="equal">
      <formula>"ARI"</formula>
    </cfRule>
    <cfRule type="cellIs" dxfId="2142" priority="6149" operator="equal">
      <formula>"HOU"</formula>
    </cfRule>
    <cfRule type="cellIs" dxfId="2141" priority="6150" operator="equal">
      <formula>"IND"</formula>
    </cfRule>
    <cfRule type="cellIs" dxfId="2140" priority="6151" operator="equal">
      <formula>"KC"</formula>
    </cfRule>
    <cfRule type="cellIs" dxfId="2139" priority="6152" operator="equal">
      <formula>"BAL"</formula>
    </cfRule>
    <cfRule type="cellIs" dxfId="2138" priority="6153" operator="equal">
      <formula>"PHI"</formula>
    </cfRule>
    <cfRule type="cellIs" dxfId="2137" priority="6154" operator="equal">
      <formula>"BUF"</formula>
    </cfRule>
  </conditionalFormatting>
  <conditionalFormatting sqref="H2:H213">
    <cfRule type="colorScale" priority="638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213">
    <cfRule type="colorScale" priority="6393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136" priority="6394" operator="equal">
      <formula>"BYE"</formula>
    </cfRule>
    <cfRule type="cellIs" dxfId="2135" priority="6395" operator="equal">
      <formula>"LV"</formula>
    </cfRule>
    <cfRule type="cellIs" dxfId="2134" priority="6396" operator="equal">
      <formula>"NE"</formula>
    </cfRule>
    <cfRule type="cellIs" dxfId="2133" priority="6397" operator="equal">
      <formula>"MIN"</formula>
    </cfRule>
    <cfRule type="cellIs" dxfId="2132" priority="6398" operator="equal">
      <formula>"PIT"</formula>
    </cfRule>
    <cfRule type="cellIs" dxfId="2131" priority="6399" operator="equal">
      <formula>"DEN"</formula>
    </cfRule>
    <cfRule type="cellIs" dxfId="2130" priority="6400" operator="equal">
      <formula>"CAR"</formula>
    </cfRule>
    <cfRule type="cellIs" dxfId="2129" priority="6401" operator="equal">
      <formula>"NYG"</formula>
    </cfRule>
    <cfRule type="cellIs" dxfId="2128" priority="6402" operator="equal">
      <formula>"NO"</formula>
    </cfRule>
    <cfRule type="cellIs" dxfId="2127" priority="6403" operator="equal">
      <formula>"TEN"</formula>
    </cfRule>
    <cfRule type="cellIs" dxfId="2126" priority="6404" operator="equal">
      <formula>"TB"</formula>
    </cfRule>
    <cfRule type="cellIs" dxfId="2125" priority="6405" operator="equal">
      <formula>"CLE"</formula>
    </cfRule>
    <cfRule type="cellIs" dxfId="2124" priority="6406" operator="equal">
      <formula>"NYJ"</formula>
    </cfRule>
    <cfRule type="cellIs" dxfId="2123" priority="6407" operator="equal">
      <formula>"SEA"</formula>
    </cfRule>
    <cfRule type="cellIs" dxfId="2122" priority="6408" operator="equal">
      <formula>"LAC"</formula>
    </cfRule>
    <cfRule type="cellIs" dxfId="2121" priority="6409" operator="equal">
      <formula>"LAR"</formula>
    </cfRule>
    <cfRule type="cellIs" dxfId="2120" priority="6410" operator="equal">
      <formula>"ATL"</formula>
    </cfRule>
    <cfRule type="cellIs" dxfId="2119" priority="6411" operator="equal">
      <formula>"JAX"</formula>
    </cfRule>
    <cfRule type="cellIs" dxfId="2118" priority="6412" operator="equal">
      <formula>"CHI"</formula>
    </cfRule>
    <cfRule type="cellIs" dxfId="2117" priority="6413" operator="equal">
      <formula>"MIA"</formula>
    </cfRule>
    <cfRule type="cellIs" dxfId="2116" priority="6414" operator="equal">
      <formula>"DET"</formula>
    </cfRule>
    <cfRule type="cellIs" dxfId="2115" priority="6415" operator="equal">
      <formula>"SF"</formula>
    </cfRule>
    <cfRule type="cellIs" dxfId="2114" priority="6416" operator="equal">
      <formula>"WAS"</formula>
    </cfRule>
    <cfRule type="cellIs" dxfId="2113" priority="6417" operator="equal">
      <formula>"GB"</formula>
    </cfRule>
    <cfRule type="cellIs" dxfId="2112" priority="6418" operator="equal">
      <formula>"DAL"</formula>
    </cfRule>
    <cfRule type="cellIs" dxfId="2111" priority="6419" operator="equal">
      <formula>"CIN"</formula>
    </cfRule>
    <cfRule type="cellIs" dxfId="2110" priority="6420" operator="equal">
      <formula>"ARI"</formula>
    </cfRule>
    <cfRule type="cellIs" dxfId="2109" priority="6421" operator="equal">
      <formula>"HOU"</formula>
    </cfRule>
    <cfRule type="cellIs" dxfId="2108" priority="6422" operator="equal">
      <formula>"IND"</formula>
    </cfRule>
    <cfRule type="cellIs" dxfId="2107" priority="6423" operator="equal">
      <formula>"KC"</formula>
    </cfRule>
    <cfRule type="cellIs" dxfId="2106" priority="6424" operator="equal">
      <formula>"BAL"</formula>
    </cfRule>
    <cfRule type="cellIs" dxfId="2105" priority="6425" operator="equal">
      <formula>"PHI"</formula>
    </cfRule>
    <cfRule type="cellIs" dxfId="2104" priority="6426" operator="equal">
      <formula>"BUF"</formula>
    </cfRule>
  </conditionalFormatting>
  <conditionalFormatting sqref="J2:J213">
    <cfRule type="colorScale" priority="6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3">
    <cfRule type="colorScale" priority="6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3">
    <cfRule type="colorScale" priority="64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213">
    <cfRule type="colorScale" priority="6469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2103" priority="6470" operator="equal">
      <formula>"BYE"</formula>
    </cfRule>
    <cfRule type="cellIs" dxfId="2102" priority="6471" operator="equal">
      <formula>"LV"</formula>
    </cfRule>
    <cfRule type="cellIs" dxfId="2101" priority="6472" operator="equal">
      <formula>"NE"</formula>
    </cfRule>
    <cfRule type="cellIs" dxfId="2100" priority="6473" operator="equal">
      <formula>"MIN"</formula>
    </cfRule>
    <cfRule type="cellIs" dxfId="2099" priority="6474" operator="equal">
      <formula>"PIT"</formula>
    </cfRule>
    <cfRule type="cellIs" dxfId="2098" priority="6475" operator="equal">
      <formula>"DEN"</formula>
    </cfRule>
    <cfRule type="cellIs" dxfId="2097" priority="6476" operator="equal">
      <formula>"CAR"</formula>
    </cfRule>
    <cfRule type="cellIs" dxfId="2096" priority="6477" operator="equal">
      <formula>"NYG"</formula>
    </cfRule>
    <cfRule type="cellIs" dxfId="2095" priority="6478" operator="equal">
      <formula>"NO"</formula>
    </cfRule>
    <cfRule type="cellIs" dxfId="2094" priority="6479" operator="equal">
      <formula>"TEN"</formula>
    </cfRule>
    <cfRule type="cellIs" dxfId="2093" priority="6480" operator="equal">
      <formula>"TB"</formula>
    </cfRule>
    <cfRule type="cellIs" dxfId="2092" priority="6481" operator="equal">
      <formula>"CLE"</formula>
    </cfRule>
    <cfRule type="cellIs" dxfId="2091" priority="6482" operator="equal">
      <formula>"NYJ"</formula>
    </cfRule>
    <cfRule type="cellIs" dxfId="2090" priority="6483" operator="equal">
      <formula>"SEA"</formula>
    </cfRule>
    <cfRule type="cellIs" dxfId="2089" priority="6484" operator="equal">
      <formula>"LAC"</formula>
    </cfRule>
    <cfRule type="cellIs" dxfId="2088" priority="6485" operator="equal">
      <formula>"LAR"</formula>
    </cfRule>
    <cfRule type="cellIs" dxfId="2087" priority="6486" operator="equal">
      <formula>"ATL"</formula>
    </cfRule>
    <cfRule type="cellIs" dxfId="2086" priority="6487" operator="equal">
      <formula>"JAX"</formula>
    </cfRule>
    <cfRule type="cellIs" dxfId="2085" priority="6488" operator="equal">
      <formula>"CHI"</formula>
    </cfRule>
    <cfRule type="cellIs" dxfId="2084" priority="6489" operator="equal">
      <formula>"MIA"</formula>
    </cfRule>
    <cfRule type="cellIs" dxfId="2083" priority="6490" operator="equal">
      <formula>"DET"</formula>
    </cfRule>
    <cfRule type="cellIs" dxfId="2082" priority="6491" operator="equal">
      <formula>"SF"</formula>
    </cfRule>
    <cfRule type="cellIs" dxfId="2081" priority="6492" operator="equal">
      <formula>"WAS"</formula>
    </cfRule>
    <cfRule type="cellIs" dxfId="2080" priority="6493" operator="equal">
      <formula>"GB"</formula>
    </cfRule>
    <cfRule type="cellIs" dxfId="2079" priority="6494" operator="equal">
      <formula>"DAL"</formula>
    </cfRule>
    <cfRule type="cellIs" dxfId="2078" priority="6495" operator="equal">
      <formula>"CIN"</formula>
    </cfRule>
    <cfRule type="cellIs" dxfId="2077" priority="6496" operator="equal">
      <formula>"ARI"</formula>
    </cfRule>
    <cfRule type="cellIs" dxfId="2076" priority="6497" operator="equal">
      <formula>"HOU"</formula>
    </cfRule>
    <cfRule type="cellIs" dxfId="2075" priority="6498" operator="equal">
      <formula>"IND"</formula>
    </cfRule>
    <cfRule type="cellIs" dxfId="2074" priority="6499" operator="equal">
      <formula>"KC"</formula>
    </cfRule>
    <cfRule type="cellIs" dxfId="2073" priority="6500" operator="equal">
      <formula>"BAL"</formula>
    </cfRule>
    <cfRule type="cellIs" dxfId="2072" priority="6501" operator="equal">
      <formula>"PHI"</formula>
    </cfRule>
    <cfRule type="cellIs" dxfId="2071" priority="6502" operator="equal">
      <formula>"BUF"</formula>
    </cfRule>
  </conditionalFormatting>
  <pageMargins left="0.15" right="0.15" top="0.1" bottom="0.1" header="0" footer="0"/>
  <pageSetup paperSize="3" scale="93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731" id="{61097394-E7A6-48F7-8774-206B53E92A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E2:E6</xm:sqref>
        </x14:conditionalFormatting>
        <x14:conditionalFormatting xmlns:xm="http://schemas.microsoft.com/office/excel/2006/main">
          <x14:cfRule type="iconSet" priority="6120" id="{0F9F5A64-D3DD-45CB-AEF3-205FCDD9B285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G2:G213</xm:sqref>
        </x14:conditionalFormatting>
        <x14:conditionalFormatting xmlns:xm="http://schemas.microsoft.com/office/excel/2006/main">
          <x14:cfRule type="iconSet" priority="6388" id="{A851AA74-A1CC-4AD9-8BE3-74F446872D15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H2:H213</xm:sqref>
        </x14:conditionalFormatting>
        <x14:conditionalFormatting xmlns:xm="http://schemas.microsoft.com/office/excel/2006/main">
          <x14:cfRule type="iconSet" priority="6392" id="{FF630372-EFE5-4EE1-901B-9AEBD9A73161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I2:I213</xm:sqref>
        </x14:conditionalFormatting>
        <x14:conditionalFormatting xmlns:xm="http://schemas.microsoft.com/office/excel/2006/main">
          <x14:cfRule type="iconSet" priority="6468" id="{C9F6ACA1-E38D-4CA7-9E10-1E6B998C4D1C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M2:M213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20A0-1271-46F5-8883-B65B45847E7B}">
  <sheetPr>
    <tabColor theme="9" tint="0.79998168889431442"/>
    <pageSetUpPr fitToPage="1"/>
  </sheetPr>
  <dimension ref="B1:M117"/>
  <sheetViews>
    <sheetView zoomScale="115" zoomScaleNormal="115" workbookViewId="0">
      <selection activeCell="G7" sqref="G7"/>
    </sheetView>
  </sheetViews>
  <sheetFormatPr defaultRowHeight="14.5" x14ac:dyDescent="0.35"/>
  <cols>
    <col min="1" max="1" width="1.6328125" customWidth="1"/>
    <col min="2" max="2" width="14.90625" bestFit="1" customWidth="1"/>
    <col min="3" max="3" width="8.453125" bestFit="1" customWidth="1"/>
    <col min="4" max="4" width="7.7265625" bestFit="1" customWidth="1"/>
    <col min="5" max="5" width="7.26953125" hidden="1" customWidth="1"/>
    <col min="6" max="6" width="7.6328125" bestFit="1" customWidth="1"/>
    <col min="7" max="7" width="7.453125" bestFit="1" customWidth="1"/>
    <col min="8" max="8" width="7.36328125" bestFit="1" customWidth="1"/>
    <col min="9" max="9" width="8.1796875" bestFit="1" customWidth="1"/>
    <col min="10" max="10" width="6" bestFit="1" customWidth="1"/>
    <col min="11" max="11" width="5.90625" bestFit="1" customWidth="1"/>
    <col min="12" max="12" width="6.7265625" bestFit="1" customWidth="1"/>
    <col min="13" max="13" width="5.90625" bestFit="1" customWidth="1"/>
  </cols>
  <sheetData>
    <row r="1" spans="2:13" ht="15" thickBot="1" x14ac:dyDescent="0.4">
      <c r="B1" s="90" t="s">
        <v>107</v>
      </c>
      <c r="C1" s="91" t="s">
        <v>58</v>
      </c>
      <c r="D1" s="91" t="s">
        <v>392</v>
      </c>
      <c r="E1" s="91" t="s">
        <v>393</v>
      </c>
      <c r="F1" s="91" t="s">
        <v>63</v>
      </c>
      <c r="G1" s="92" t="s">
        <v>657</v>
      </c>
      <c r="H1" s="92" t="s">
        <v>652</v>
      </c>
      <c r="I1" s="92" t="s">
        <v>653</v>
      </c>
      <c r="J1" s="107" t="s">
        <v>656</v>
      </c>
      <c r="K1" s="107" t="s">
        <v>104</v>
      </c>
      <c r="L1" s="107" t="s">
        <v>72</v>
      </c>
      <c r="M1" s="107" t="s">
        <v>649</v>
      </c>
    </row>
    <row r="2" spans="2:13" x14ac:dyDescent="0.35">
      <c r="B2" s="6" t="s">
        <v>128</v>
      </c>
      <c r="C2" s="97" t="s">
        <v>0</v>
      </c>
      <c r="D2" s="97" t="s">
        <v>397</v>
      </c>
      <c r="E2" s="6">
        <v>1</v>
      </c>
      <c r="F2" s="97" t="str">
        <f>'2025'!$E$3</f>
        <v>n/a</v>
      </c>
      <c r="G2" s="94" t="e" cm="1">
        <f t="array" ref="G2">_xlfn.XLOOKUP(Table12091[[#This Row],[Opp]],Table845[DEF],'2024 fSZN'!$V$37:$V$68)</f>
        <v>#N/A</v>
      </c>
      <c r="H2" s="94" t="e" cm="1">
        <f t="array" ref="H2">_xlfn.XLOOKUP(Table12091[[#This Row],[Opp]],Table845[DEF],'2024 fSZN'!$W$37:$W$68)</f>
        <v>#N/A</v>
      </c>
      <c r="I2" s="94" t="e" cm="1">
        <f t="array" ref="I2">_xlfn.XLOOKUP(Table12091[[#This Row],[Opp]],Table845[DEF],'2024 fSZN'!$X$37:$X$68)</f>
        <v>#N/A</v>
      </c>
      <c r="J2" s="95" t="e">
        <f>_xlfn.XLOOKUP(Table12091[[#This Row],[Opp]],Table845[DEF],Table845[REC])</f>
        <v>#N/A</v>
      </c>
      <c r="K2" s="95" t="e">
        <f>_xlfn.XLOOKUP(Table12091[[#This Row],[Opp]],Table845[DEF],Table845[Y])</f>
        <v>#N/A</v>
      </c>
      <c r="L2" s="96" t="e">
        <f>_xlfn.XLOOKUP(Table12091[[#This Row],[Opp]],Table845[DEF],Table845[TD])</f>
        <v>#N/A</v>
      </c>
      <c r="M2" s="94" t="e">
        <f>AVERAGE(Table12091[[#This Row],[*C*]:[*Y*]])</f>
        <v>#N/A</v>
      </c>
    </row>
    <row r="3" spans="2:13" x14ac:dyDescent="0.35">
      <c r="B3" s="6" t="s">
        <v>132</v>
      </c>
      <c r="C3" s="97" t="s">
        <v>0</v>
      </c>
      <c r="D3" s="97" t="s">
        <v>398</v>
      </c>
      <c r="E3" s="6">
        <v>1</v>
      </c>
      <c r="F3" s="97" t="str">
        <f>'2025'!$E$3</f>
        <v>n/a</v>
      </c>
      <c r="G3" s="94" t="e" cm="1">
        <f t="array" ref="G3">_xlfn.XLOOKUP(Table12091[[#This Row],[Opp]],Table845[DEF],'2024 fSZN'!$V$37:$V$68)</f>
        <v>#N/A</v>
      </c>
      <c r="H3" s="94" t="e" cm="1">
        <f t="array" ref="H3">_xlfn.XLOOKUP(Table12091[[#This Row],[Opp]],Table845[DEF],'2024 fSZN'!$W$37:$W$68)</f>
        <v>#N/A</v>
      </c>
      <c r="I3" s="94" t="e" cm="1">
        <f t="array" ref="I3">_xlfn.XLOOKUP(Table12091[[#This Row],[Opp]],Table845[DEF],'2024 fSZN'!$X$37:$X$68)</f>
        <v>#N/A</v>
      </c>
      <c r="J3" s="95" t="e">
        <f>_xlfn.XLOOKUP(Table12091[[#This Row],[Opp]],Table845[DEF],Table845[REC])</f>
        <v>#N/A</v>
      </c>
      <c r="K3" s="95" t="e">
        <f>_xlfn.XLOOKUP(Table12091[[#This Row],[Opp]],Table845[DEF],Table845[Y])</f>
        <v>#N/A</v>
      </c>
      <c r="L3" s="96" t="e">
        <f>_xlfn.XLOOKUP(Table12091[[#This Row],[Opp]],Table845[DEF],Table845[TD])</f>
        <v>#N/A</v>
      </c>
      <c r="M3" s="94" t="e">
        <f>AVERAGE(Table12091[[#This Row],[*C*]:[*Y*]])</f>
        <v>#N/A</v>
      </c>
    </row>
    <row r="4" spans="2:13" x14ac:dyDescent="0.35">
      <c r="B4" s="6" t="s">
        <v>558</v>
      </c>
      <c r="C4" s="97" t="s">
        <v>0</v>
      </c>
      <c r="D4" s="97" t="s">
        <v>430</v>
      </c>
      <c r="E4" s="6">
        <v>1</v>
      </c>
      <c r="F4" s="97" t="str">
        <f>'2025'!$E$3</f>
        <v>n/a</v>
      </c>
      <c r="G4" s="94" t="e" cm="1">
        <f t="array" ref="G4">_xlfn.XLOOKUP(Table12091[[#This Row],[Opp]],Table845[DEF],'2024 fSZN'!$V$37:$V$68)</f>
        <v>#N/A</v>
      </c>
      <c r="H4" s="94" t="e" cm="1">
        <f t="array" ref="H4">_xlfn.XLOOKUP(Table12091[[#This Row],[Opp]],Table845[DEF],'2024 fSZN'!$W$37:$W$68)</f>
        <v>#N/A</v>
      </c>
      <c r="I4" s="94" t="e" cm="1">
        <f t="array" ref="I4">_xlfn.XLOOKUP(Table12091[[#This Row],[Opp]],Table845[DEF],'2024 fSZN'!$X$37:$X$68)</f>
        <v>#N/A</v>
      </c>
      <c r="J4" s="95" t="e">
        <f>_xlfn.XLOOKUP(Table12091[[#This Row],[Opp]],Table845[DEF],Table845[REC])</f>
        <v>#N/A</v>
      </c>
      <c r="K4" s="95" t="e">
        <f>_xlfn.XLOOKUP(Table12091[[#This Row],[Opp]],Table845[DEF],Table845[Y])</f>
        <v>#N/A</v>
      </c>
      <c r="L4" s="96" t="e">
        <f>_xlfn.XLOOKUP(Table12091[[#This Row],[Opp]],Table845[DEF],Table845[TD])</f>
        <v>#N/A</v>
      </c>
      <c r="M4" s="94" t="e">
        <f>AVERAGE(Table12091[[#This Row],[*C*]:[*Y*]])</f>
        <v>#N/A</v>
      </c>
    </row>
    <row r="5" spans="2:13" x14ac:dyDescent="0.35">
      <c r="B5" s="6" t="s">
        <v>559</v>
      </c>
      <c r="C5" s="97" t="s">
        <v>0</v>
      </c>
      <c r="D5" s="97" t="s">
        <v>435</v>
      </c>
      <c r="E5" s="6">
        <v>1</v>
      </c>
      <c r="F5" s="97" t="str">
        <f>'2025'!$E$3</f>
        <v>n/a</v>
      </c>
      <c r="G5" s="94" t="e" cm="1">
        <f t="array" ref="G5">_xlfn.XLOOKUP(Table12091[[#This Row],[Opp]],Table845[DEF],'2024 fSZN'!$V$37:$V$68)</f>
        <v>#N/A</v>
      </c>
      <c r="H5" s="94" t="e" cm="1">
        <f t="array" ref="H5">_xlfn.XLOOKUP(Table12091[[#This Row],[Opp]],Table845[DEF],'2024 fSZN'!$W$37:$W$68)</f>
        <v>#N/A</v>
      </c>
      <c r="I5" s="94" t="e" cm="1">
        <f t="array" ref="I5">_xlfn.XLOOKUP(Table12091[[#This Row],[Opp]],Table845[DEF],'2024 fSZN'!$X$37:$X$68)</f>
        <v>#N/A</v>
      </c>
      <c r="J5" s="95" t="e">
        <f>_xlfn.XLOOKUP(Table12091[[#This Row],[Opp]],Table845[DEF],Table845[REC])</f>
        <v>#N/A</v>
      </c>
      <c r="K5" s="95" t="e">
        <f>_xlfn.XLOOKUP(Table12091[[#This Row],[Opp]],Table845[DEF],Table845[Y])</f>
        <v>#N/A</v>
      </c>
      <c r="L5" s="96" t="e">
        <f>_xlfn.XLOOKUP(Table12091[[#This Row],[Opp]],Table845[DEF],Table845[TD])</f>
        <v>#N/A</v>
      </c>
      <c r="M5" s="94" t="e">
        <f>AVERAGE(Table12091[[#This Row],[*C*]:[*Y*]])</f>
        <v>#N/A</v>
      </c>
    </row>
    <row r="6" spans="2:13" x14ac:dyDescent="0.35">
      <c r="B6" s="6" t="s">
        <v>596</v>
      </c>
      <c r="C6" s="97" t="s">
        <v>15</v>
      </c>
      <c r="D6" s="97" t="s">
        <v>397</v>
      </c>
      <c r="E6" s="6">
        <v>1</v>
      </c>
      <c r="F6" s="97" t="str">
        <f>'2025'!$E$4</f>
        <v>n/a</v>
      </c>
      <c r="G6" s="94" t="e" cm="1">
        <f t="array" ref="G6">_xlfn.XLOOKUP(Table12091[[#This Row],[Opp]],Table845[DEF],'2024 fSZN'!$V$37:$V$68)</f>
        <v>#N/A</v>
      </c>
      <c r="H6" s="94" t="e" cm="1">
        <f t="array" ref="H6">_xlfn.XLOOKUP(Table12091[[#This Row],[Opp]],Table845[DEF],'2024 fSZN'!$W$37:$W$68)</f>
        <v>#N/A</v>
      </c>
      <c r="I6" s="94" t="e" cm="1">
        <f t="array" ref="I6">_xlfn.XLOOKUP(Table12091[[#This Row],[Opp]],Table845[DEF],'2024 fSZN'!$X$37:$X$68)</f>
        <v>#N/A</v>
      </c>
      <c r="J6" s="95" t="e">
        <f>_xlfn.XLOOKUP(Table12091[[#This Row],[Opp]],Table845[DEF],Table845[REC])</f>
        <v>#N/A</v>
      </c>
      <c r="K6" s="95" t="e">
        <f>_xlfn.XLOOKUP(Table12091[[#This Row],[Opp]],Table845[DEF],Table845[Y])</f>
        <v>#N/A</v>
      </c>
      <c r="L6" s="96" t="e">
        <f>_xlfn.XLOOKUP(Table12091[[#This Row],[Opp]],Table845[DEF],Table845[TD])</f>
        <v>#N/A</v>
      </c>
      <c r="M6" s="94" t="e">
        <f>AVERAGE(Table12091[[#This Row],[*C*]:[*Y*]])</f>
        <v>#N/A</v>
      </c>
    </row>
    <row r="7" spans="2:13" x14ac:dyDescent="0.35">
      <c r="B7" s="6" t="s">
        <v>604</v>
      </c>
      <c r="C7" s="97" t="s">
        <v>15</v>
      </c>
      <c r="D7" s="97" t="s">
        <v>398</v>
      </c>
      <c r="E7" s="6">
        <v>1</v>
      </c>
      <c r="F7" s="97" t="str">
        <f>'2025'!$E$4</f>
        <v>n/a</v>
      </c>
      <c r="G7" s="94" t="e" cm="1">
        <f t="array" ref="G7">_xlfn.XLOOKUP(Table12091[[#This Row],[Opp]],Table845[DEF],'2024 fSZN'!$V$37:$V$68)</f>
        <v>#N/A</v>
      </c>
      <c r="H7" s="94" t="e" cm="1">
        <f t="array" ref="H7">_xlfn.XLOOKUP(Table12091[[#This Row],[Opp]],Table845[DEF],'2024 fSZN'!$W$37:$W$68)</f>
        <v>#N/A</v>
      </c>
      <c r="I7" s="94" t="e" cm="1">
        <f t="array" ref="I7">_xlfn.XLOOKUP(Table12091[[#This Row],[Opp]],Table845[DEF],'2024 fSZN'!$X$37:$X$68)</f>
        <v>#N/A</v>
      </c>
      <c r="J7" s="95" t="e">
        <f>_xlfn.XLOOKUP(Table12091[[#This Row],[Opp]],Table845[DEF],Table845[REC])</f>
        <v>#N/A</v>
      </c>
      <c r="K7" s="95" t="e">
        <f>_xlfn.XLOOKUP(Table12091[[#This Row],[Opp]],Table845[DEF],Table845[Y])</f>
        <v>#N/A</v>
      </c>
      <c r="L7" s="96" t="e">
        <f>_xlfn.XLOOKUP(Table12091[[#This Row],[Opp]],Table845[DEF],Table845[TD])</f>
        <v>#N/A</v>
      </c>
      <c r="M7" s="94" t="e">
        <f>AVERAGE(Table12091[[#This Row],[*C*]:[*Y*]])</f>
        <v>#N/A</v>
      </c>
    </row>
    <row r="8" spans="2:13" x14ac:dyDescent="0.35">
      <c r="B8" s="6" t="s">
        <v>605</v>
      </c>
      <c r="C8" s="97" t="s">
        <v>15</v>
      </c>
      <c r="D8" s="97" t="s">
        <v>430</v>
      </c>
      <c r="E8" s="6">
        <v>1</v>
      </c>
      <c r="F8" s="97" t="str">
        <f>'2025'!$E$4</f>
        <v>n/a</v>
      </c>
      <c r="G8" s="94" t="e" cm="1">
        <f t="array" ref="G8">_xlfn.XLOOKUP(Table12091[[#This Row],[Opp]],Table845[DEF],'2024 fSZN'!$V$37:$V$68)</f>
        <v>#N/A</v>
      </c>
      <c r="H8" s="94" t="e" cm="1">
        <f t="array" ref="H8">_xlfn.XLOOKUP(Table12091[[#This Row],[Opp]],Table845[DEF],'2024 fSZN'!$W$37:$W$68)</f>
        <v>#N/A</v>
      </c>
      <c r="I8" s="94" t="e" cm="1">
        <f t="array" ref="I8">_xlfn.XLOOKUP(Table12091[[#This Row],[Opp]],Table845[DEF],'2024 fSZN'!$X$37:$X$68)</f>
        <v>#N/A</v>
      </c>
      <c r="J8" s="95" t="e">
        <f>_xlfn.XLOOKUP(Table12091[[#This Row],[Opp]],Table845[DEF],Table845[REC])</f>
        <v>#N/A</v>
      </c>
      <c r="K8" s="95" t="e">
        <f>_xlfn.XLOOKUP(Table12091[[#This Row],[Opp]],Table845[DEF],Table845[Y])</f>
        <v>#N/A</v>
      </c>
      <c r="L8" s="96" t="e">
        <f>_xlfn.XLOOKUP(Table12091[[#This Row],[Opp]],Table845[DEF],Table845[TD])</f>
        <v>#N/A</v>
      </c>
      <c r="M8" s="94" t="e">
        <f>AVERAGE(Table12091[[#This Row],[*C*]:[*Y*]])</f>
        <v>#N/A</v>
      </c>
    </row>
    <row r="9" spans="2:13" x14ac:dyDescent="0.35">
      <c r="B9" s="6" t="s">
        <v>606</v>
      </c>
      <c r="C9" s="97" t="s">
        <v>15</v>
      </c>
      <c r="D9" s="97" t="s">
        <v>435</v>
      </c>
      <c r="E9" s="6">
        <v>1</v>
      </c>
      <c r="F9" s="97" t="str">
        <f>'2025'!$E$4</f>
        <v>n/a</v>
      </c>
      <c r="G9" s="94" t="e" cm="1">
        <f t="array" ref="G9">_xlfn.XLOOKUP(Table12091[[#This Row],[Opp]],Table845[DEF],'2024 fSZN'!$V$37:$V$68)</f>
        <v>#N/A</v>
      </c>
      <c r="H9" s="94" t="e" cm="1">
        <f t="array" ref="H9">_xlfn.XLOOKUP(Table12091[[#This Row],[Opp]],Table845[DEF],'2024 fSZN'!$W$37:$W$68)</f>
        <v>#N/A</v>
      </c>
      <c r="I9" s="94" t="e" cm="1">
        <f t="array" ref="I9">_xlfn.XLOOKUP(Table12091[[#This Row],[Opp]],Table845[DEF],'2024 fSZN'!$X$37:$X$68)</f>
        <v>#N/A</v>
      </c>
      <c r="J9" s="95" t="e">
        <f>_xlfn.XLOOKUP(Table12091[[#This Row],[Opp]],Table845[DEF],Table845[REC])</f>
        <v>#N/A</v>
      </c>
      <c r="K9" s="95" t="e">
        <f>_xlfn.XLOOKUP(Table12091[[#This Row],[Opp]],Table845[DEF],Table845[Y])</f>
        <v>#N/A</v>
      </c>
      <c r="L9" s="96" t="e">
        <f>_xlfn.XLOOKUP(Table12091[[#This Row],[Opp]],Table845[DEF],Table845[TD])</f>
        <v>#N/A</v>
      </c>
      <c r="M9" s="94" t="e">
        <f>AVERAGE(Table12091[[#This Row],[*C*]:[*Y*]])</f>
        <v>#N/A</v>
      </c>
    </row>
    <row r="10" spans="2:13" x14ac:dyDescent="0.35">
      <c r="B10" s="6" t="s">
        <v>129</v>
      </c>
      <c r="C10" s="97" t="s">
        <v>16</v>
      </c>
      <c r="D10" s="97" t="s">
        <v>397</v>
      </c>
      <c r="E10" s="6">
        <v>1</v>
      </c>
      <c r="F10" s="97" t="str">
        <f>'2025'!$E$5</f>
        <v>n/a</v>
      </c>
      <c r="G10" s="94" t="e" cm="1">
        <f t="array" ref="G10">_xlfn.XLOOKUP(Table12091[[#This Row],[Opp]],Table845[DEF],'2024 fSZN'!$V$37:$V$68)</f>
        <v>#N/A</v>
      </c>
      <c r="H10" s="94" t="e" cm="1">
        <f t="array" ref="H10">_xlfn.XLOOKUP(Table12091[[#This Row],[Opp]],Table845[DEF],'2024 fSZN'!$W$37:$W$68)</f>
        <v>#N/A</v>
      </c>
      <c r="I10" s="94" t="e" cm="1">
        <f t="array" ref="I10">_xlfn.XLOOKUP(Table12091[[#This Row],[Opp]],Table845[DEF],'2024 fSZN'!$X$37:$X$68)</f>
        <v>#N/A</v>
      </c>
      <c r="J10" s="95" t="e">
        <f>_xlfn.XLOOKUP(Table12091[[#This Row],[Opp]],Table845[DEF],Table845[REC])</f>
        <v>#N/A</v>
      </c>
      <c r="K10" s="95" t="e">
        <f>_xlfn.XLOOKUP(Table12091[[#This Row],[Opp]],Table845[DEF],Table845[Y])</f>
        <v>#N/A</v>
      </c>
      <c r="L10" s="96" t="e">
        <f>_xlfn.XLOOKUP(Table12091[[#This Row],[Opp]],Table845[DEF],Table845[TD])</f>
        <v>#N/A</v>
      </c>
      <c r="M10" s="94" t="e">
        <f>AVERAGE(Table12091[[#This Row],[*C*]:[*Y*]])</f>
        <v>#N/A</v>
      </c>
    </row>
    <row r="11" spans="2:13" x14ac:dyDescent="0.35">
      <c r="B11" s="6" t="s">
        <v>134</v>
      </c>
      <c r="C11" s="97" t="s">
        <v>16</v>
      </c>
      <c r="D11" s="97" t="s">
        <v>398</v>
      </c>
      <c r="E11" s="6">
        <v>0</v>
      </c>
      <c r="F11" s="97" t="str">
        <f>'2025'!$E$5</f>
        <v>n/a</v>
      </c>
      <c r="G11" s="94" t="e" cm="1">
        <f t="array" ref="G11">_xlfn.XLOOKUP(Table12091[[#This Row],[Opp]],Table845[DEF],'2024 fSZN'!$V$37:$V$68)</f>
        <v>#N/A</v>
      </c>
      <c r="H11" s="94" t="e" cm="1">
        <f t="array" ref="H11">_xlfn.XLOOKUP(Table12091[[#This Row],[Opp]],Table845[DEF],'2024 fSZN'!$W$37:$W$68)</f>
        <v>#N/A</v>
      </c>
      <c r="I11" s="94" t="e" cm="1">
        <f t="array" ref="I11">_xlfn.XLOOKUP(Table12091[[#This Row],[Opp]],Table845[DEF],'2024 fSZN'!$X$37:$X$68)</f>
        <v>#N/A</v>
      </c>
      <c r="J11" s="95" t="e">
        <f>_xlfn.XLOOKUP(Table12091[[#This Row],[Opp]],Table845[DEF],Table845[REC])</f>
        <v>#N/A</v>
      </c>
      <c r="K11" s="95" t="e">
        <f>_xlfn.XLOOKUP(Table12091[[#This Row],[Opp]],Table845[DEF],Table845[Y])</f>
        <v>#N/A</v>
      </c>
      <c r="L11" s="96" t="e">
        <f>_xlfn.XLOOKUP(Table12091[[#This Row],[Opp]],Table845[DEF],Table845[TD])</f>
        <v>#N/A</v>
      </c>
      <c r="M11" s="94" t="e">
        <f>AVERAGE(Table12091[[#This Row],[*C*]:[*Y*]])</f>
        <v>#N/A</v>
      </c>
    </row>
    <row r="12" spans="2:13" x14ac:dyDescent="0.35">
      <c r="B12" s="6" t="s">
        <v>474</v>
      </c>
      <c r="C12" s="97" t="s">
        <v>16</v>
      </c>
      <c r="D12" s="97" t="s">
        <v>430</v>
      </c>
      <c r="E12" s="6">
        <v>1</v>
      </c>
      <c r="F12" s="97" t="str">
        <f>'2025'!$E$5</f>
        <v>n/a</v>
      </c>
      <c r="G12" s="94" t="e" cm="1">
        <f t="array" ref="G12">_xlfn.XLOOKUP(Table12091[[#This Row],[Opp]],Table845[DEF],'2024 fSZN'!$V$37:$V$68)</f>
        <v>#N/A</v>
      </c>
      <c r="H12" s="94" t="e" cm="1">
        <f t="array" ref="H12">_xlfn.XLOOKUP(Table12091[[#This Row],[Opp]],Table845[DEF],'2024 fSZN'!$W$37:$W$68)</f>
        <v>#N/A</v>
      </c>
      <c r="I12" s="94" t="e" cm="1">
        <f t="array" ref="I12">_xlfn.XLOOKUP(Table12091[[#This Row],[Opp]],Table845[DEF],'2024 fSZN'!$X$37:$X$68)</f>
        <v>#N/A</v>
      </c>
      <c r="J12" s="95" t="e">
        <f>_xlfn.XLOOKUP(Table12091[[#This Row],[Opp]],Table845[DEF],Table845[REC])</f>
        <v>#N/A</v>
      </c>
      <c r="K12" s="95" t="e">
        <f>_xlfn.XLOOKUP(Table12091[[#This Row],[Opp]],Table845[DEF],Table845[Y])</f>
        <v>#N/A</v>
      </c>
      <c r="L12" s="96" t="e">
        <f>_xlfn.XLOOKUP(Table12091[[#This Row],[Opp]],Table845[DEF],Table845[TD])</f>
        <v>#N/A</v>
      </c>
      <c r="M12" s="94" t="e">
        <f>AVERAGE(Table12091[[#This Row],[*C*]:[*Y*]])</f>
        <v>#N/A</v>
      </c>
    </row>
    <row r="13" spans="2:13" x14ac:dyDescent="0.35">
      <c r="B13" s="6" t="s">
        <v>130</v>
      </c>
      <c r="C13" s="97" t="s">
        <v>17</v>
      </c>
      <c r="D13" s="97" t="s">
        <v>397</v>
      </c>
      <c r="E13" s="6">
        <v>1</v>
      </c>
      <c r="F13" s="97" t="str">
        <f>'2025'!$E$6</f>
        <v>n/a</v>
      </c>
      <c r="G13" s="94" t="e" cm="1">
        <f t="array" ref="G13">_xlfn.XLOOKUP(Table12091[[#This Row],[Opp]],Table845[DEF],'2024 fSZN'!$V$37:$V$68)</f>
        <v>#N/A</v>
      </c>
      <c r="H13" s="94" t="e" cm="1">
        <f t="array" ref="H13">_xlfn.XLOOKUP(Table12091[[#This Row],[Opp]],Table845[DEF],'2024 fSZN'!$W$37:$W$68)</f>
        <v>#N/A</v>
      </c>
      <c r="I13" s="94" t="e" cm="1">
        <f t="array" ref="I13">_xlfn.XLOOKUP(Table12091[[#This Row],[Opp]],Table845[DEF],'2024 fSZN'!$X$37:$X$68)</f>
        <v>#N/A</v>
      </c>
      <c r="J13" s="95" t="e">
        <f>_xlfn.XLOOKUP(Table12091[[#This Row],[Opp]],Table845[DEF],Table845[REC])</f>
        <v>#N/A</v>
      </c>
      <c r="K13" s="95" t="e">
        <f>_xlfn.XLOOKUP(Table12091[[#This Row],[Opp]],Table845[DEF],Table845[Y])</f>
        <v>#N/A</v>
      </c>
      <c r="L13" s="96" t="e">
        <f>_xlfn.XLOOKUP(Table12091[[#This Row],[Opp]],Table845[DEF],Table845[TD])</f>
        <v>#N/A</v>
      </c>
      <c r="M13" s="94" t="e">
        <f>AVERAGE(Table12091[[#This Row],[*C*]:[*Y*]])</f>
        <v>#N/A</v>
      </c>
    </row>
    <row r="14" spans="2:13" x14ac:dyDescent="0.35">
      <c r="B14" s="6" t="s">
        <v>135</v>
      </c>
      <c r="C14" s="97" t="s">
        <v>17</v>
      </c>
      <c r="D14" s="97" t="s">
        <v>398</v>
      </c>
      <c r="E14" s="6">
        <v>1</v>
      </c>
      <c r="F14" s="97" t="str">
        <f>'2025'!$E$6</f>
        <v>n/a</v>
      </c>
      <c r="G14" s="94" t="e" cm="1">
        <f t="array" ref="G14">_xlfn.XLOOKUP(Table12091[[#This Row],[Opp]],Table845[DEF],'2024 fSZN'!$V$37:$V$68)</f>
        <v>#N/A</v>
      </c>
      <c r="H14" s="94" t="e" cm="1">
        <f t="array" ref="H14">_xlfn.XLOOKUP(Table12091[[#This Row],[Opp]],Table845[DEF],'2024 fSZN'!$W$37:$W$68)</f>
        <v>#N/A</v>
      </c>
      <c r="I14" s="94" t="e" cm="1">
        <f t="array" ref="I14">_xlfn.XLOOKUP(Table12091[[#This Row],[Opp]],Table845[DEF],'2024 fSZN'!$X$37:$X$68)</f>
        <v>#N/A</v>
      </c>
      <c r="J14" s="95" t="e">
        <f>_xlfn.XLOOKUP(Table12091[[#This Row],[Opp]],Table845[DEF],Table845[REC])</f>
        <v>#N/A</v>
      </c>
      <c r="K14" s="95" t="e">
        <f>_xlfn.XLOOKUP(Table12091[[#This Row],[Opp]],Table845[DEF],Table845[Y])</f>
        <v>#N/A</v>
      </c>
      <c r="L14" s="96" t="e">
        <f>_xlfn.XLOOKUP(Table12091[[#This Row],[Opp]],Table845[DEF],Table845[TD])</f>
        <v>#N/A</v>
      </c>
      <c r="M14" s="94" t="e">
        <f>AVERAGE(Table12091[[#This Row],[*C*]:[*Y*]])</f>
        <v>#N/A</v>
      </c>
    </row>
    <row r="15" spans="2:13" x14ac:dyDescent="0.35">
      <c r="B15" s="6" t="s">
        <v>429</v>
      </c>
      <c r="C15" s="97" t="s">
        <v>17</v>
      </c>
      <c r="D15" s="97" t="s">
        <v>430</v>
      </c>
      <c r="E15" s="6">
        <v>1</v>
      </c>
      <c r="F15" s="97" t="str">
        <f>'2025'!$E$6</f>
        <v>n/a</v>
      </c>
      <c r="G15" s="94" t="e" cm="1">
        <f t="array" ref="G15">_xlfn.XLOOKUP(Table12091[[#This Row],[Opp]],Table845[DEF],'2024 fSZN'!$V$37:$V$68)</f>
        <v>#N/A</v>
      </c>
      <c r="H15" s="94" t="e" cm="1">
        <f t="array" ref="H15">_xlfn.XLOOKUP(Table12091[[#This Row],[Opp]],Table845[DEF],'2024 fSZN'!$W$37:$W$68)</f>
        <v>#N/A</v>
      </c>
      <c r="I15" s="94" t="e" cm="1">
        <f t="array" ref="I15">_xlfn.XLOOKUP(Table12091[[#This Row],[Opp]],Table845[DEF],'2024 fSZN'!$X$37:$X$68)</f>
        <v>#N/A</v>
      </c>
      <c r="J15" s="95" t="e">
        <f>_xlfn.XLOOKUP(Table12091[[#This Row],[Opp]],Table845[DEF],Table845[REC])</f>
        <v>#N/A</v>
      </c>
      <c r="K15" s="95" t="e">
        <f>_xlfn.XLOOKUP(Table12091[[#This Row],[Opp]],Table845[DEF],Table845[Y])</f>
        <v>#N/A</v>
      </c>
      <c r="L15" s="96" t="e">
        <f>_xlfn.XLOOKUP(Table12091[[#This Row],[Opp]],Table845[DEF],Table845[TD])</f>
        <v>#N/A</v>
      </c>
      <c r="M15" s="94" t="e">
        <f>AVERAGE(Table12091[[#This Row],[*C*]:[*Y*]])</f>
        <v>#N/A</v>
      </c>
    </row>
    <row r="16" spans="2:13" x14ac:dyDescent="0.35">
      <c r="B16" s="6" t="s">
        <v>131</v>
      </c>
      <c r="C16" s="97" t="s">
        <v>29</v>
      </c>
      <c r="D16" s="97" t="s">
        <v>397</v>
      </c>
      <c r="E16" s="6">
        <v>1</v>
      </c>
      <c r="F16" s="97" t="str">
        <f>'2025'!$E$7</f>
        <v>n/a</v>
      </c>
      <c r="G16" s="94" t="e" cm="1">
        <f t="array" ref="G16">_xlfn.XLOOKUP(Table12091[[#This Row],[Opp]],Table845[DEF],'2024 fSZN'!$V$37:$V$68)</f>
        <v>#N/A</v>
      </c>
      <c r="H16" s="94" t="e" cm="1">
        <f t="array" ref="H16">_xlfn.XLOOKUP(Table12091[[#This Row],[Opp]],Table845[DEF],'2024 fSZN'!$W$37:$W$68)</f>
        <v>#N/A</v>
      </c>
      <c r="I16" s="94" t="e" cm="1">
        <f t="array" ref="I16">_xlfn.XLOOKUP(Table12091[[#This Row],[Opp]],Table845[DEF],'2024 fSZN'!$X$37:$X$68)</f>
        <v>#N/A</v>
      </c>
      <c r="J16" s="95" t="e">
        <f>_xlfn.XLOOKUP(Table12091[[#This Row],[Opp]],Table845[DEF],Table845[REC])</f>
        <v>#N/A</v>
      </c>
      <c r="K16" s="95" t="e">
        <f>_xlfn.XLOOKUP(Table12091[[#This Row],[Opp]],Table845[DEF],Table845[Y])</f>
        <v>#N/A</v>
      </c>
      <c r="L16" s="96" t="e">
        <f>_xlfn.XLOOKUP(Table12091[[#This Row],[Opp]],Table845[DEF],Table845[TD])</f>
        <v>#N/A</v>
      </c>
      <c r="M16" s="94" t="e">
        <f>AVERAGE(Table12091[[#This Row],[*C*]:[*Y*]])</f>
        <v>#N/A</v>
      </c>
    </row>
    <row r="17" spans="2:13" x14ac:dyDescent="0.35">
      <c r="B17" s="6" t="s">
        <v>614</v>
      </c>
      <c r="C17" s="97" t="s">
        <v>29</v>
      </c>
      <c r="D17" s="97" t="s">
        <v>398</v>
      </c>
      <c r="E17" s="6">
        <v>0</v>
      </c>
      <c r="F17" s="97" t="str">
        <f>'2025'!$E$7</f>
        <v>n/a</v>
      </c>
      <c r="G17" s="94" t="e" cm="1">
        <f t="array" ref="G17">_xlfn.XLOOKUP(Table12091[[#This Row],[Opp]],Table845[DEF],'2024 fSZN'!$V$37:$V$68)</f>
        <v>#N/A</v>
      </c>
      <c r="H17" s="94" t="e" cm="1">
        <f t="array" ref="H17">_xlfn.XLOOKUP(Table12091[[#This Row],[Opp]],Table845[DEF],'2024 fSZN'!$W$37:$W$68)</f>
        <v>#N/A</v>
      </c>
      <c r="I17" s="94" t="e" cm="1">
        <f t="array" ref="I17">_xlfn.XLOOKUP(Table12091[[#This Row],[Opp]],Table845[DEF],'2024 fSZN'!$X$37:$X$68)</f>
        <v>#N/A</v>
      </c>
      <c r="J17" s="95" t="e">
        <f>_xlfn.XLOOKUP(Table12091[[#This Row],[Opp]],Table845[DEF],Table845[REC])</f>
        <v>#N/A</v>
      </c>
      <c r="K17" s="95" t="e">
        <f>_xlfn.XLOOKUP(Table12091[[#This Row],[Opp]],Table845[DEF],Table845[Y])</f>
        <v>#N/A</v>
      </c>
      <c r="L17" s="96" t="e">
        <f>_xlfn.XLOOKUP(Table12091[[#This Row],[Opp]],Table845[DEF],Table845[TD])</f>
        <v>#N/A</v>
      </c>
      <c r="M17" s="94" t="e">
        <f>AVERAGE(Table12091[[#This Row],[*C*]:[*Y*]])</f>
        <v>#N/A</v>
      </c>
    </row>
    <row r="18" spans="2:13" x14ac:dyDescent="0.35">
      <c r="B18" s="108" t="s">
        <v>372</v>
      </c>
      <c r="C18" s="97" t="s">
        <v>29</v>
      </c>
      <c r="D18" s="97" t="s">
        <v>430</v>
      </c>
      <c r="E18" s="6">
        <v>1</v>
      </c>
      <c r="F18" s="97" t="str">
        <f>'2025'!$E$7</f>
        <v>n/a</v>
      </c>
      <c r="G18" s="94" t="e" cm="1">
        <f t="array" ref="G18">_xlfn.XLOOKUP(Table12091[[#This Row],[Opp]],Table845[DEF],'2024 fSZN'!$V$37:$V$68)</f>
        <v>#N/A</v>
      </c>
      <c r="H18" s="94" t="e" cm="1">
        <f t="array" ref="H18">_xlfn.XLOOKUP(Table12091[[#This Row],[Opp]],Table845[DEF],'2024 fSZN'!$W$37:$W$68)</f>
        <v>#N/A</v>
      </c>
      <c r="I18" s="94" t="e" cm="1">
        <f t="array" ref="I18">_xlfn.XLOOKUP(Table12091[[#This Row],[Opp]],Table845[DEF],'2024 fSZN'!$X$37:$X$68)</f>
        <v>#N/A</v>
      </c>
      <c r="J18" s="95" t="e">
        <f>_xlfn.XLOOKUP(Table12091[[#This Row],[Opp]],Table845[DEF],Table845[REC])</f>
        <v>#N/A</v>
      </c>
      <c r="K18" s="95" t="e">
        <f>_xlfn.XLOOKUP(Table12091[[#This Row],[Opp]],Table845[DEF],Table845[Y])</f>
        <v>#N/A</v>
      </c>
      <c r="L18" s="96" t="e">
        <f>_xlfn.XLOOKUP(Table12091[[#This Row],[Opp]],Table845[DEF],Table845[TD])</f>
        <v>#N/A</v>
      </c>
      <c r="M18" s="94" t="e">
        <f>AVERAGE(Table12091[[#This Row],[*C*]:[*Y*]])</f>
        <v>#N/A</v>
      </c>
    </row>
    <row r="19" spans="2:13" x14ac:dyDescent="0.35">
      <c r="B19" s="6" t="s">
        <v>615</v>
      </c>
      <c r="C19" s="97" t="s">
        <v>29</v>
      </c>
      <c r="D19" s="97" t="s">
        <v>435</v>
      </c>
      <c r="E19" s="6">
        <v>1</v>
      </c>
      <c r="F19" s="97" t="str">
        <f>'2025'!$E$7</f>
        <v>n/a</v>
      </c>
      <c r="G19" s="94" t="e" cm="1">
        <f t="array" ref="G19">_xlfn.XLOOKUP(Table12091[[#This Row],[Opp]],Table845[DEF],'2024 fSZN'!$V$37:$V$68)</f>
        <v>#N/A</v>
      </c>
      <c r="H19" s="94" t="e" cm="1">
        <f t="array" ref="H19">_xlfn.XLOOKUP(Table12091[[#This Row],[Opp]],Table845[DEF],'2024 fSZN'!$W$37:$W$68)</f>
        <v>#N/A</v>
      </c>
      <c r="I19" s="94" t="e" cm="1">
        <f t="array" ref="I19">_xlfn.XLOOKUP(Table12091[[#This Row],[Opp]],Table845[DEF],'2024 fSZN'!$X$37:$X$68)</f>
        <v>#N/A</v>
      </c>
      <c r="J19" s="95" t="e">
        <f>_xlfn.XLOOKUP(Table12091[[#This Row],[Opp]],Table845[DEF],Table845[REC])</f>
        <v>#N/A</v>
      </c>
      <c r="K19" s="95" t="e">
        <f>_xlfn.XLOOKUP(Table12091[[#This Row],[Opp]],Table845[DEF],Table845[Y])</f>
        <v>#N/A</v>
      </c>
      <c r="L19" s="96" t="e">
        <f>_xlfn.XLOOKUP(Table12091[[#This Row],[Opp]],Table845[DEF],Table845[TD])</f>
        <v>#N/A</v>
      </c>
      <c r="M19" s="94" t="e">
        <f>AVERAGE(Table12091[[#This Row],[*C*]:[*Y*]])</f>
        <v>#N/A</v>
      </c>
    </row>
    <row r="20" spans="2:13" x14ac:dyDescent="0.35">
      <c r="B20" s="6" t="s">
        <v>154</v>
      </c>
      <c r="C20" s="97" t="s">
        <v>30</v>
      </c>
      <c r="D20" s="97" t="s">
        <v>397</v>
      </c>
      <c r="E20" s="6">
        <v>1</v>
      </c>
      <c r="F20" s="97" t="str">
        <f>'2025'!$E$8</f>
        <v>n/a</v>
      </c>
      <c r="G20" s="94" t="e" cm="1">
        <f t="array" ref="G20">_xlfn.XLOOKUP(Table12091[[#This Row],[Opp]],Table845[DEF],'2024 fSZN'!$V$37:$V$68)</f>
        <v>#N/A</v>
      </c>
      <c r="H20" s="94" t="e" cm="1">
        <f t="array" ref="H20">_xlfn.XLOOKUP(Table12091[[#This Row],[Opp]],Table845[DEF],'2024 fSZN'!$W$37:$W$68)</f>
        <v>#N/A</v>
      </c>
      <c r="I20" s="94" t="e" cm="1">
        <f t="array" ref="I20">_xlfn.XLOOKUP(Table12091[[#This Row],[Opp]],Table845[DEF],'2024 fSZN'!$X$37:$X$68)</f>
        <v>#N/A</v>
      </c>
      <c r="J20" s="95" t="e">
        <f>_xlfn.XLOOKUP(Table12091[[#This Row],[Opp]],Table845[DEF],Table845[REC])</f>
        <v>#N/A</v>
      </c>
      <c r="K20" s="95" t="e">
        <f>_xlfn.XLOOKUP(Table12091[[#This Row],[Opp]],Table845[DEF],Table845[Y])</f>
        <v>#N/A</v>
      </c>
      <c r="L20" s="96" t="e">
        <f>_xlfn.XLOOKUP(Table12091[[#This Row],[Opp]],Table845[DEF],Table845[TD])</f>
        <v>#N/A</v>
      </c>
      <c r="M20" s="94" t="e">
        <f>AVERAGE(Table12091[[#This Row],[*C*]:[*Y*]])</f>
        <v>#N/A</v>
      </c>
    </row>
    <row r="21" spans="2:13" x14ac:dyDescent="0.35">
      <c r="B21" s="6" t="s">
        <v>155</v>
      </c>
      <c r="C21" s="97" t="s">
        <v>30</v>
      </c>
      <c r="D21" s="97" t="s">
        <v>398</v>
      </c>
      <c r="E21" s="6">
        <v>1</v>
      </c>
      <c r="F21" s="97" t="str">
        <f>'2025'!$E$8</f>
        <v>n/a</v>
      </c>
      <c r="G21" s="94" t="e" cm="1">
        <f t="array" ref="G21">_xlfn.XLOOKUP(Table12091[[#This Row],[Opp]],Table845[DEF],'2024 fSZN'!$V$37:$V$68)</f>
        <v>#N/A</v>
      </c>
      <c r="H21" s="94" t="e" cm="1">
        <f t="array" ref="H21">_xlfn.XLOOKUP(Table12091[[#This Row],[Opp]],Table845[DEF],'2024 fSZN'!$W$37:$W$68)</f>
        <v>#N/A</v>
      </c>
      <c r="I21" s="94" t="e" cm="1">
        <f t="array" ref="I21">_xlfn.XLOOKUP(Table12091[[#This Row],[Opp]],Table845[DEF],'2024 fSZN'!$X$37:$X$68)</f>
        <v>#N/A</v>
      </c>
      <c r="J21" s="95" t="e">
        <f>_xlfn.XLOOKUP(Table12091[[#This Row],[Opp]],Table845[DEF],Table845[REC])</f>
        <v>#N/A</v>
      </c>
      <c r="K21" s="95" t="e">
        <f>_xlfn.XLOOKUP(Table12091[[#This Row],[Opp]],Table845[DEF],Table845[Y])</f>
        <v>#N/A</v>
      </c>
      <c r="L21" s="96" t="e">
        <f>_xlfn.XLOOKUP(Table12091[[#This Row],[Opp]],Table845[DEF],Table845[TD])</f>
        <v>#N/A</v>
      </c>
      <c r="M21" s="94" t="e">
        <f>AVERAGE(Table12091[[#This Row],[*C*]:[*Y*]])</f>
        <v>#N/A</v>
      </c>
    </row>
    <row r="22" spans="2:13" x14ac:dyDescent="0.35">
      <c r="B22" s="6" t="s">
        <v>502</v>
      </c>
      <c r="C22" s="97" t="s">
        <v>30</v>
      </c>
      <c r="D22" s="97" t="s">
        <v>430</v>
      </c>
      <c r="E22" s="6">
        <v>1</v>
      </c>
      <c r="F22" s="97" t="str">
        <f>'2025'!$E$8</f>
        <v>n/a</v>
      </c>
      <c r="G22" s="94" t="e" cm="1">
        <f t="array" ref="G22">_xlfn.XLOOKUP(Table12091[[#This Row],[Opp]],Table845[DEF],'2024 fSZN'!$V$37:$V$68)</f>
        <v>#N/A</v>
      </c>
      <c r="H22" s="94" t="e" cm="1">
        <f t="array" ref="H22">_xlfn.XLOOKUP(Table12091[[#This Row],[Opp]],Table845[DEF],'2024 fSZN'!$W$37:$W$68)</f>
        <v>#N/A</v>
      </c>
      <c r="I22" s="94" t="e" cm="1">
        <f t="array" ref="I22">_xlfn.XLOOKUP(Table12091[[#This Row],[Opp]],Table845[DEF],'2024 fSZN'!$X$37:$X$68)</f>
        <v>#N/A</v>
      </c>
      <c r="J22" s="95" t="e">
        <f>_xlfn.XLOOKUP(Table12091[[#This Row],[Opp]],Table845[DEF],Table845[REC])</f>
        <v>#N/A</v>
      </c>
      <c r="K22" s="95" t="e">
        <f>_xlfn.XLOOKUP(Table12091[[#This Row],[Opp]],Table845[DEF],Table845[Y])</f>
        <v>#N/A</v>
      </c>
      <c r="L22" s="96" t="e">
        <f>_xlfn.XLOOKUP(Table12091[[#This Row],[Opp]],Table845[DEF],Table845[TD])</f>
        <v>#N/A</v>
      </c>
      <c r="M22" s="94" t="e">
        <f>AVERAGE(Table12091[[#This Row],[*C*]:[*Y*]])</f>
        <v>#N/A</v>
      </c>
    </row>
    <row r="23" spans="2:13" x14ac:dyDescent="0.35">
      <c r="B23" s="6" t="s">
        <v>165</v>
      </c>
      <c r="C23" s="97" t="s">
        <v>31</v>
      </c>
      <c r="D23" s="97" t="s">
        <v>397</v>
      </c>
      <c r="E23" s="6">
        <v>1</v>
      </c>
      <c r="F23" s="97" t="str">
        <f>'2025'!$E$9</f>
        <v>n/a</v>
      </c>
      <c r="G23" s="94" t="e" cm="1">
        <f t="array" ref="G23">_xlfn.XLOOKUP(Table12091[[#This Row],[Opp]],Table845[DEF],'2024 fSZN'!$V$37:$V$68)</f>
        <v>#N/A</v>
      </c>
      <c r="H23" s="94" t="e" cm="1">
        <f t="array" ref="H23">_xlfn.XLOOKUP(Table12091[[#This Row],[Opp]],Table845[DEF],'2024 fSZN'!$W$37:$W$68)</f>
        <v>#N/A</v>
      </c>
      <c r="I23" s="94" t="e" cm="1">
        <f t="array" ref="I23">_xlfn.XLOOKUP(Table12091[[#This Row],[Opp]],Table845[DEF],'2024 fSZN'!$X$37:$X$68)</f>
        <v>#N/A</v>
      </c>
      <c r="J23" s="95" t="e">
        <f>_xlfn.XLOOKUP(Table12091[[#This Row],[Opp]],Table845[DEF],Table845[REC])</f>
        <v>#N/A</v>
      </c>
      <c r="K23" s="95" t="e">
        <f>_xlfn.XLOOKUP(Table12091[[#This Row],[Opp]],Table845[DEF],Table845[Y])</f>
        <v>#N/A</v>
      </c>
      <c r="L23" s="96" t="e">
        <f>_xlfn.XLOOKUP(Table12091[[#This Row],[Opp]],Table845[DEF],Table845[TD])</f>
        <v>#N/A</v>
      </c>
      <c r="M23" s="94" t="e">
        <f>AVERAGE(Table12091[[#This Row],[*C*]:[*Y*]])</f>
        <v>#N/A</v>
      </c>
    </row>
    <row r="24" spans="2:13" x14ac:dyDescent="0.35">
      <c r="B24" s="6" t="s">
        <v>164</v>
      </c>
      <c r="C24" s="97" t="s">
        <v>31</v>
      </c>
      <c r="D24" s="97" t="s">
        <v>398</v>
      </c>
      <c r="E24" s="6">
        <v>0</v>
      </c>
      <c r="F24" s="97" t="str">
        <f>'2025'!$E$9</f>
        <v>n/a</v>
      </c>
      <c r="G24" s="94" t="e" cm="1">
        <f t="array" ref="G24">_xlfn.XLOOKUP(Table12091[[#This Row],[Opp]],Table845[DEF],'2024 fSZN'!$V$37:$V$68)</f>
        <v>#N/A</v>
      </c>
      <c r="H24" s="94" t="e" cm="1">
        <f t="array" ref="H24">_xlfn.XLOOKUP(Table12091[[#This Row],[Opp]],Table845[DEF],'2024 fSZN'!$W$37:$W$68)</f>
        <v>#N/A</v>
      </c>
      <c r="I24" s="94" t="e" cm="1">
        <f t="array" ref="I24">_xlfn.XLOOKUP(Table12091[[#This Row],[Opp]],Table845[DEF],'2024 fSZN'!$X$37:$X$68)</f>
        <v>#N/A</v>
      </c>
      <c r="J24" s="95" t="e">
        <f>_xlfn.XLOOKUP(Table12091[[#This Row],[Opp]],Table845[DEF],Table845[REC])</f>
        <v>#N/A</v>
      </c>
      <c r="K24" s="95" t="e">
        <f>_xlfn.XLOOKUP(Table12091[[#This Row],[Opp]],Table845[DEF],Table845[Y])</f>
        <v>#N/A</v>
      </c>
      <c r="L24" s="96" t="e">
        <f>_xlfn.XLOOKUP(Table12091[[#This Row],[Opp]],Table845[DEF],Table845[TD])</f>
        <v>#N/A</v>
      </c>
      <c r="M24" s="94" t="e">
        <f>AVERAGE(Table12091[[#This Row],[*C*]:[*Y*]])</f>
        <v>#N/A</v>
      </c>
    </row>
    <row r="25" spans="2:13" x14ac:dyDescent="0.35">
      <c r="B25" s="6" t="s">
        <v>475</v>
      </c>
      <c r="C25" s="97" t="s">
        <v>31</v>
      </c>
      <c r="D25" s="97" t="s">
        <v>430</v>
      </c>
      <c r="E25" s="6">
        <v>0</v>
      </c>
      <c r="F25" s="97" t="str">
        <f>'2025'!$E$9</f>
        <v>n/a</v>
      </c>
      <c r="G25" s="94" t="e" cm="1">
        <f t="array" ref="G25">_xlfn.XLOOKUP(Table12091[[#This Row],[Opp]],Table845[DEF],'2024 fSZN'!$V$37:$V$68)</f>
        <v>#N/A</v>
      </c>
      <c r="H25" s="94" t="e" cm="1">
        <f t="array" ref="H25">_xlfn.XLOOKUP(Table12091[[#This Row],[Opp]],Table845[DEF],'2024 fSZN'!$W$37:$W$68)</f>
        <v>#N/A</v>
      </c>
      <c r="I25" s="94" t="e" cm="1">
        <f t="array" ref="I25">_xlfn.XLOOKUP(Table12091[[#This Row],[Opp]],Table845[DEF],'2024 fSZN'!$X$37:$X$68)</f>
        <v>#N/A</v>
      </c>
      <c r="J25" s="95" t="e">
        <f>_xlfn.XLOOKUP(Table12091[[#This Row],[Opp]],Table845[DEF],Table845[REC])</f>
        <v>#N/A</v>
      </c>
      <c r="K25" s="95" t="e">
        <f>_xlfn.XLOOKUP(Table12091[[#This Row],[Opp]],Table845[DEF],Table845[Y])</f>
        <v>#N/A</v>
      </c>
      <c r="L25" s="96" t="e">
        <f>_xlfn.XLOOKUP(Table12091[[#This Row],[Opp]],Table845[DEF],Table845[TD])</f>
        <v>#N/A</v>
      </c>
      <c r="M25" s="94" t="e">
        <f>AVERAGE(Table12091[[#This Row],[*C*]:[*Y*]])</f>
        <v>#N/A</v>
      </c>
    </row>
    <row r="26" spans="2:13" x14ac:dyDescent="0.35">
      <c r="B26" s="6" t="s">
        <v>476</v>
      </c>
      <c r="C26" s="97" t="s">
        <v>31</v>
      </c>
      <c r="D26" s="97" t="s">
        <v>435</v>
      </c>
      <c r="E26" s="6">
        <v>1</v>
      </c>
      <c r="F26" s="97" t="str">
        <f>'2025'!$E$9</f>
        <v>n/a</v>
      </c>
      <c r="G26" s="94" t="e" cm="1">
        <f t="array" ref="G26">_xlfn.XLOOKUP(Table12091[[#This Row],[Opp]],Table845[DEF],'2024 fSZN'!$V$37:$V$68)</f>
        <v>#N/A</v>
      </c>
      <c r="H26" s="94" t="e" cm="1">
        <f t="array" ref="H26">_xlfn.XLOOKUP(Table12091[[#This Row],[Opp]],Table845[DEF],'2024 fSZN'!$W$37:$W$68)</f>
        <v>#N/A</v>
      </c>
      <c r="I26" s="94" t="e" cm="1">
        <f t="array" ref="I26">_xlfn.XLOOKUP(Table12091[[#This Row],[Opp]],Table845[DEF],'2024 fSZN'!$X$37:$X$68)</f>
        <v>#N/A</v>
      </c>
      <c r="J26" s="95" t="e">
        <f>_xlfn.XLOOKUP(Table12091[[#This Row],[Opp]],Table845[DEF],Table845[REC])</f>
        <v>#N/A</v>
      </c>
      <c r="K26" s="95" t="e">
        <f>_xlfn.XLOOKUP(Table12091[[#This Row],[Opp]],Table845[DEF],Table845[Y])</f>
        <v>#N/A</v>
      </c>
      <c r="L26" s="96" t="e">
        <f>_xlfn.XLOOKUP(Table12091[[#This Row],[Opp]],Table845[DEF],Table845[TD])</f>
        <v>#N/A</v>
      </c>
      <c r="M26" s="94" t="e">
        <f>AVERAGE(Table12091[[#This Row],[*C*]:[*Y*]])</f>
        <v>#N/A</v>
      </c>
    </row>
    <row r="27" spans="2:13" x14ac:dyDescent="0.35">
      <c r="B27" s="6" t="s">
        <v>177</v>
      </c>
      <c r="C27" s="97" t="s">
        <v>32</v>
      </c>
      <c r="D27" s="97" t="s">
        <v>397</v>
      </c>
      <c r="E27" s="6">
        <v>1</v>
      </c>
      <c r="F27" s="97" t="str">
        <f>'2025'!$E$10</f>
        <v>n/a</v>
      </c>
      <c r="G27" s="94" t="e" cm="1">
        <f t="array" ref="G27">_xlfn.XLOOKUP(Table12091[[#This Row],[Opp]],Table845[DEF],'2024 fSZN'!$V$37:$V$68)</f>
        <v>#N/A</v>
      </c>
      <c r="H27" s="94" t="e" cm="1">
        <f t="array" ref="H27">_xlfn.XLOOKUP(Table12091[[#This Row],[Opp]],Table845[DEF],'2024 fSZN'!$W$37:$W$68)</f>
        <v>#N/A</v>
      </c>
      <c r="I27" s="94" t="e" cm="1">
        <f t="array" ref="I27">_xlfn.XLOOKUP(Table12091[[#This Row],[Opp]],Table845[DEF],'2024 fSZN'!$X$37:$X$68)</f>
        <v>#N/A</v>
      </c>
      <c r="J27" s="95" t="e">
        <f>_xlfn.XLOOKUP(Table12091[[#This Row],[Opp]],Table845[DEF],Table845[REC])</f>
        <v>#N/A</v>
      </c>
      <c r="K27" s="95" t="e">
        <f>_xlfn.XLOOKUP(Table12091[[#This Row],[Opp]],Table845[DEF],Table845[Y])</f>
        <v>#N/A</v>
      </c>
      <c r="L27" s="96" t="e">
        <f>_xlfn.XLOOKUP(Table12091[[#This Row],[Opp]],Table845[DEF],Table845[TD])</f>
        <v>#N/A</v>
      </c>
      <c r="M27" s="94" t="e">
        <f>AVERAGE(Table12091[[#This Row],[*C*]:[*Y*]])</f>
        <v>#N/A</v>
      </c>
    </row>
    <row r="28" spans="2:13" x14ac:dyDescent="0.35">
      <c r="B28" s="6" t="s">
        <v>178</v>
      </c>
      <c r="C28" s="97" t="s">
        <v>32</v>
      </c>
      <c r="D28" s="97" t="s">
        <v>398</v>
      </c>
      <c r="E28" s="6">
        <v>1</v>
      </c>
      <c r="F28" s="97" t="str">
        <f>'2025'!$E$10</f>
        <v>n/a</v>
      </c>
      <c r="G28" s="94" t="e" cm="1">
        <f t="array" ref="G28">_xlfn.XLOOKUP(Table12091[[#This Row],[Opp]],Table845[DEF],'2024 fSZN'!$V$37:$V$68)</f>
        <v>#N/A</v>
      </c>
      <c r="H28" s="94" t="e" cm="1">
        <f t="array" ref="H28">_xlfn.XLOOKUP(Table12091[[#This Row],[Opp]],Table845[DEF],'2024 fSZN'!$W$37:$W$68)</f>
        <v>#N/A</v>
      </c>
      <c r="I28" s="94" t="e" cm="1">
        <f t="array" ref="I28">_xlfn.XLOOKUP(Table12091[[#This Row],[Opp]],Table845[DEF],'2024 fSZN'!$X$37:$X$68)</f>
        <v>#N/A</v>
      </c>
      <c r="J28" s="95" t="e">
        <f>_xlfn.XLOOKUP(Table12091[[#This Row],[Opp]],Table845[DEF],Table845[REC])</f>
        <v>#N/A</v>
      </c>
      <c r="K28" s="95" t="e">
        <f>_xlfn.XLOOKUP(Table12091[[#This Row],[Opp]],Table845[DEF],Table845[Y])</f>
        <v>#N/A</v>
      </c>
      <c r="L28" s="96" t="e">
        <f>_xlfn.XLOOKUP(Table12091[[#This Row],[Opp]],Table845[DEF],Table845[TD])</f>
        <v>#N/A</v>
      </c>
      <c r="M28" s="94" t="e">
        <f>AVERAGE(Table12091[[#This Row],[*C*]:[*Y*]])</f>
        <v>#N/A</v>
      </c>
    </row>
    <row r="29" spans="2:13" x14ac:dyDescent="0.35">
      <c r="B29" s="6" t="s">
        <v>488</v>
      </c>
      <c r="C29" s="97" t="s">
        <v>32</v>
      </c>
      <c r="D29" s="97" t="s">
        <v>430</v>
      </c>
      <c r="E29" s="6">
        <v>0</v>
      </c>
      <c r="F29" s="97" t="str">
        <f>'2025'!$E$10</f>
        <v>n/a</v>
      </c>
      <c r="G29" s="94" t="e" cm="1">
        <f t="array" ref="G29">_xlfn.XLOOKUP(Table12091[[#This Row],[Opp]],Table845[DEF],'2024 fSZN'!$V$37:$V$68)</f>
        <v>#N/A</v>
      </c>
      <c r="H29" s="94" t="e" cm="1">
        <f t="array" ref="H29">_xlfn.XLOOKUP(Table12091[[#This Row],[Opp]],Table845[DEF],'2024 fSZN'!$W$37:$W$68)</f>
        <v>#N/A</v>
      </c>
      <c r="I29" s="94" t="e" cm="1">
        <f t="array" ref="I29">_xlfn.XLOOKUP(Table12091[[#This Row],[Opp]],Table845[DEF],'2024 fSZN'!$X$37:$X$68)</f>
        <v>#N/A</v>
      </c>
      <c r="J29" s="95" t="e">
        <f>_xlfn.XLOOKUP(Table12091[[#This Row],[Opp]],Table845[DEF],Table845[REC])</f>
        <v>#N/A</v>
      </c>
      <c r="K29" s="95" t="e">
        <f>_xlfn.XLOOKUP(Table12091[[#This Row],[Opp]],Table845[DEF],Table845[Y])</f>
        <v>#N/A</v>
      </c>
      <c r="L29" s="96" t="e">
        <f>_xlfn.XLOOKUP(Table12091[[#This Row],[Opp]],Table845[DEF],Table845[TD])</f>
        <v>#N/A</v>
      </c>
      <c r="M29" s="94" t="e">
        <f>AVERAGE(Table12091[[#This Row],[*C*]:[*Y*]])</f>
        <v>#N/A</v>
      </c>
    </row>
    <row r="30" spans="2:13" x14ac:dyDescent="0.35">
      <c r="B30" s="6" t="s">
        <v>186</v>
      </c>
      <c r="C30" s="97" t="s">
        <v>33</v>
      </c>
      <c r="D30" s="97" t="s">
        <v>397</v>
      </c>
      <c r="E30" s="6">
        <v>1</v>
      </c>
      <c r="F30" s="97" t="str">
        <f>'2025'!$E$11</f>
        <v>n/a</v>
      </c>
      <c r="G30" s="94" t="e" cm="1">
        <f t="array" ref="G30">_xlfn.XLOOKUP(Table12091[[#This Row],[Opp]],Table845[DEF],'2024 fSZN'!$V$37:$V$68)</f>
        <v>#N/A</v>
      </c>
      <c r="H30" s="94" t="e" cm="1">
        <f t="array" ref="H30">_xlfn.XLOOKUP(Table12091[[#This Row],[Opp]],Table845[DEF],'2024 fSZN'!$W$37:$W$68)</f>
        <v>#N/A</v>
      </c>
      <c r="I30" s="94" t="e" cm="1">
        <f t="array" ref="I30">_xlfn.XLOOKUP(Table12091[[#This Row],[Opp]],Table845[DEF],'2024 fSZN'!$X$37:$X$68)</f>
        <v>#N/A</v>
      </c>
      <c r="J30" s="95" t="e">
        <f>_xlfn.XLOOKUP(Table12091[[#This Row],[Opp]],Table845[DEF],Table845[REC])</f>
        <v>#N/A</v>
      </c>
      <c r="K30" s="95" t="e">
        <f>_xlfn.XLOOKUP(Table12091[[#This Row],[Opp]],Table845[DEF],Table845[Y])</f>
        <v>#N/A</v>
      </c>
      <c r="L30" s="96" t="e">
        <f>_xlfn.XLOOKUP(Table12091[[#This Row],[Opp]],Table845[DEF],Table845[TD])</f>
        <v>#N/A</v>
      </c>
      <c r="M30" s="94" t="e">
        <f>AVERAGE(Table12091[[#This Row],[*C*]:[*Y*]])</f>
        <v>#N/A</v>
      </c>
    </row>
    <row r="31" spans="2:13" x14ac:dyDescent="0.35">
      <c r="B31" s="6" t="s">
        <v>424</v>
      </c>
      <c r="C31" s="97" t="s">
        <v>33</v>
      </c>
      <c r="D31" s="97" t="s">
        <v>398</v>
      </c>
      <c r="E31" s="6">
        <v>1</v>
      </c>
      <c r="F31" s="97" t="str">
        <f>'2025'!$E$11</f>
        <v>n/a</v>
      </c>
      <c r="G31" s="94" t="e" cm="1">
        <f t="array" ref="G31">_xlfn.XLOOKUP(Table12091[[#This Row],[Opp]],Table845[DEF],'2024 fSZN'!$V$37:$V$68)</f>
        <v>#N/A</v>
      </c>
      <c r="H31" s="94" t="e" cm="1">
        <f t="array" ref="H31">_xlfn.XLOOKUP(Table12091[[#This Row],[Opp]],Table845[DEF],'2024 fSZN'!$W$37:$W$68)</f>
        <v>#N/A</v>
      </c>
      <c r="I31" s="94" t="e" cm="1">
        <f t="array" ref="I31">_xlfn.XLOOKUP(Table12091[[#This Row],[Opp]],Table845[DEF],'2024 fSZN'!$X$37:$X$68)</f>
        <v>#N/A</v>
      </c>
      <c r="J31" s="95" t="e">
        <f>_xlfn.XLOOKUP(Table12091[[#This Row],[Opp]],Table845[DEF],Table845[REC])</f>
        <v>#N/A</v>
      </c>
      <c r="K31" s="95" t="e">
        <f>_xlfn.XLOOKUP(Table12091[[#This Row],[Opp]],Table845[DEF],Table845[Y])</f>
        <v>#N/A</v>
      </c>
      <c r="L31" s="96" t="e">
        <f>_xlfn.XLOOKUP(Table12091[[#This Row],[Opp]],Table845[DEF],Table845[TD])</f>
        <v>#N/A</v>
      </c>
      <c r="M31" s="94" t="e">
        <f>AVERAGE(Table12091[[#This Row],[*C*]:[*Y*]])</f>
        <v>#N/A</v>
      </c>
    </row>
    <row r="32" spans="2:13" x14ac:dyDescent="0.35">
      <c r="B32" s="6" t="s">
        <v>436</v>
      </c>
      <c r="C32" s="97" t="s">
        <v>33</v>
      </c>
      <c r="D32" s="97" t="s">
        <v>430</v>
      </c>
      <c r="E32" s="6">
        <v>1</v>
      </c>
      <c r="F32" s="97" t="str">
        <f>'2025'!$E$11</f>
        <v>n/a</v>
      </c>
      <c r="G32" s="94" t="e" cm="1">
        <f t="array" ref="G32">_xlfn.XLOOKUP(Table12091[[#This Row],[Opp]],Table845[DEF],'2024 fSZN'!$V$37:$V$68)</f>
        <v>#N/A</v>
      </c>
      <c r="H32" s="94" t="e" cm="1">
        <f t="array" ref="H32">_xlfn.XLOOKUP(Table12091[[#This Row],[Opp]],Table845[DEF],'2024 fSZN'!$W$37:$W$68)</f>
        <v>#N/A</v>
      </c>
      <c r="I32" s="94" t="e" cm="1">
        <f t="array" ref="I32">_xlfn.XLOOKUP(Table12091[[#This Row],[Opp]],Table845[DEF],'2024 fSZN'!$X$37:$X$68)</f>
        <v>#N/A</v>
      </c>
      <c r="J32" s="95" t="e">
        <f>_xlfn.XLOOKUP(Table12091[[#This Row],[Opp]],Table845[DEF],Table845[REC])</f>
        <v>#N/A</v>
      </c>
      <c r="K32" s="95" t="e">
        <f>_xlfn.XLOOKUP(Table12091[[#This Row],[Opp]],Table845[DEF],Table845[Y])</f>
        <v>#N/A</v>
      </c>
      <c r="L32" s="96" t="e">
        <f>_xlfn.XLOOKUP(Table12091[[#This Row],[Opp]],Table845[DEF],Table845[TD])</f>
        <v>#N/A</v>
      </c>
      <c r="M32" s="94" t="e">
        <f>AVERAGE(Table12091[[#This Row],[*C*]:[*Y*]])</f>
        <v>#N/A</v>
      </c>
    </row>
    <row r="33" spans="2:13" x14ac:dyDescent="0.35">
      <c r="B33" s="6" t="s">
        <v>437</v>
      </c>
      <c r="C33" s="97" t="s">
        <v>33</v>
      </c>
      <c r="D33" s="97" t="s">
        <v>435</v>
      </c>
      <c r="E33" s="6">
        <v>-1</v>
      </c>
      <c r="F33" s="97" t="str">
        <f>'2025'!$E$11</f>
        <v>n/a</v>
      </c>
      <c r="G33" s="94" t="e" cm="1">
        <f t="array" ref="G33">_xlfn.XLOOKUP(Table12091[[#This Row],[Opp]],Table845[DEF],'2024 fSZN'!$V$37:$V$68)</f>
        <v>#N/A</v>
      </c>
      <c r="H33" s="94" t="e" cm="1">
        <f t="array" ref="H33">_xlfn.XLOOKUP(Table12091[[#This Row],[Opp]],Table845[DEF],'2024 fSZN'!$W$37:$W$68)</f>
        <v>#N/A</v>
      </c>
      <c r="I33" s="94" t="e" cm="1">
        <f t="array" ref="I33">_xlfn.XLOOKUP(Table12091[[#This Row],[Opp]],Table845[DEF],'2024 fSZN'!$X$37:$X$68)</f>
        <v>#N/A</v>
      </c>
      <c r="J33" s="95" t="e">
        <f>_xlfn.XLOOKUP(Table12091[[#This Row],[Opp]],Table845[DEF],Table845[REC])</f>
        <v>#N/A</v>
      </c>
      <c r="K33" s="95" t="e">
        <f>_xlfn.XLOOKUP(Table12091[[#This Row],[Opp]],Table845[DEF],Table845[Y])</f>
        <v>#N/A</v>
      </c>
      <c r="L33" s="96" t="e">
        <f>_xlfn.XLOOKUP(Table12091[[#This Row],[Opp]],Table845[DEF],Table845[TD])</f>
        <v>#N/A</v>
      </c>
      <c r="M33" s="94" t="e">
        <f>AVERAGE(Table12091[[#This Row],[*C*]:[*Y*]])</f>
        <v>#N/A</v>
      </c>
    </row>
    <row r="34" spans="2:13" x14ac:dyDescent="0.35">
      <c r="B34" s="6" t="s">
        <v>195</v>
      </c>
      <c r="C34" s="97" t="s">
        <v>34</v>
      </c>
      <c r="D34" s="97" t="s">
        <v>397</v>
      </c>
      <c r="E34" s="6">
        <v>1</v>
      </c>
      <c r="F34" s="97" t="str">
        <f>'2025'!$E$12</f>
        <v>n/a</v>
      </c>
      <c r="G34" s="94" t="e" cm="1">
        <f t="array" ref="G34">_xlfn.XLOOKUP(Table12091[[#This Row],[Opp]],Table845[DEF],'2024 fSZN'!$V$37:$V$68)</f>
        <v>#N/A</v>
      </c>
      <c r="H34" s="94" t="e" cm="1">
        <f t="array" ref="H34">_xlfn.XLOOKUP(Table12091[[#This Row],[Opp]],Table845[DEF],'2024 fSZN'!$W$37:$W$68)</f>
        <v>#N/A</v>
      </c>
      <c r="I34" s="94" t="e" cm="1">
        <f t="array" ref="I34">_xlfn.XLOOKUP(Table12091[[#This Row],[Opp]],Table845[DEF],'2024 fSZN'!$X$37:$X$68)</f>
        <v>#N/A</v>
      </c>
      <c r="J34" s="95" t="e">
        <f>_xlfn.XLOOKUP(Table12091[[#This Row],[Opp]],Table845[DEF],Table845[REC])</f>
        <v>#N/A</v>
      </c>
      <c r="K34" s="95" t="e">
        <f>_xlfn.XLOOKUP(Table12091[[#This Row],[Opp]],Table845[DEF],Table845[Y])</f>
        <v>#N/A</v>
      </c>
      <c r="L34" s="96" t="e">
        <f>_xlfn.XLOOKUP(Table12091[[#This Row],[Opp]],Table845[DEF],Table845[TD])</f>
        <v>#N/A</v>
      </c>
      <c r="M34" s="94" t="e">
        <f>AVERAGE(Table12091[[#This Row],[*C*]:[*Y*]])</f>
        <v>#N/A</v>
      </c>
    </row>
    <row r="35" spans="2:13" x14ac:dyDescent="0.35">
      <c r="B35" s="6" t="s">
        <v>580</v>
      </c>
      <c r="C35" s="97" t="s">
        <v>34</v>
      </c>
      <c r="D35" s="97" t="s">
        <v>398</v>
      </c>
      <c r="E35" s="6">
        <v>1</v>
      </c>
      <c r="F35" s="97" t="str">
        <f>'2025'!$E$12</f>
        <v>n/a</v>
      </c>
      <c r="G35" s="94" t="e" cm="1">
        <f t="array" ref="G35">_xlfn.XLOOKUP(Table12091[[#This Row],[Opp]],Table845[DEF],'2024 fSZN'!$V$37:$V$68)</f>
        <v>#N/A</v>
      </c>
      <c r="H35" s="94" t="e" cm="1">
        <f t="array" ref="H35">_xlfn.XLOOKUP(Table12091[[#This Row],[Opp]],Table845[DEF],'2024 fSZN'!$W$37:$W$68)</f>
        <v>#N/A</v>
      </c>
      <c r="I35" s="94" t="e" cm="1">
        <f t="array" ref="I35">_xlfn.XLOOKUP(Table12091[[#This Row],[Opp]],Table845[DEF],'2024 fSZN'!$X$37:$X$68)</f>
        <v>#N/A</v>
      </c>
      <c r="J35" s="95" t="e">
        <f>_xlfn.XLOOKUP(Table12091[[#This Row],[Opp]],Table845[DEF],Table845[REC])</f>
        <v>#N/A</v>
      </c>
      <c r="K35" s="95" t="e">
        <f>_xlfn.XLOOKUP(Table12091[[#This Row],[Opp]],Table845[DEF],Table845[Y])</f>
        <v>#N/A</v>
      </c>
      <c r="L35" s="96" t="e">
        <f>_xlfn.XLOOKUP(Table12091[[#This Row],[Opp]],Table845[DEF],Table845[TD])</f>
        <v>#N/A</v>
      </c>
      <c r="M35" s="94" t="e">
        <f>AVERAGE(Table12091[[#This Row],[*C*]:[*Y*]])</f>
        <v>#N/A</v>
      </c>
    </row>
    <row r="36" spans="2:13" x14ac:dyDescent="0.35">
      <c r="B36" s="6" t="s">
        <v>581</v>
      </c>
      <c r="C36" s="97" t="s">
        <v>34</v>
      </c>
      <c r="D36" s="97" t="s">
        <v>430</v>
      </c>
      <c r="E36" s="6">
        <v>-1</v>
      </c>
      <c r="F36" s="97" t="str">
        <f>'2025'!$E$12</f>
        <v>n/a</v>
      </c>
      <c r="G36" s="94" t="e" cm="1">
        <f t="array" ref="G36">_xlfn.XLOOKUP(Table12091[[#This Row],[Opp]],Table845[DEF],'2024 fSZN'!$V$37:$V$68)</f>
        <v>#N/A</v>
      </c>
      <c r="H36" s="94" t="e" cm="1">
        <f t="array" ref="H36">_xlfn.XLOOKUP(Table12091[[#This Row],[Opp]],Table845[DEF],'2024 fSZN'!$W$37:$W$68)</f>
        <v>#N/A</v>
      </c>
      <c r="I36" s="94" t="e" cm="1">
        <f t="array" ref="I36">_xlfn.XLOOKUP(Table12091[[#This Row],[Opp]],Table845[DEF],'2024 fSZN'!$X$37:$X$68)</f>
        <v>#N/A</v>
      </c>
      <c r="J36" s="95" t="e">
        <f>_xlfn.XLOOKUP(Table12091[[#This Row],[Opp]],Table845[DEF],Table845[REC])</f>
        <v>#N/A</v>
      </c>
      <c r="K36" s="95" t="e">
        <f>_xlfn.XLOOKUP(Table12091[[#This Row],[Opp]],Table845[DEF],Table845[Y])</f>
        <v>#N/A</v>
      </c>
      <c r="L36" s="96" t="e">
        <f>_xlfn.XLOOKUP(Table12091[[#This Row],[Opp]],Table845[DEF],Table845[TD])</f>
        <v>#N/A</v>
      </c>
      <c r="M36" s="94" t="e">
        <f>AVERAGE(Table12091[[#This Row],[*C*]:[*Y*]])</f>
        <v>#N/A</v>
      </c>
    </row>
    <row r="37" spans="2:13" x14ac:dyDescent="0.35">
      <c r="B37" s="6" t="s">
        <v>582</v>
      </c>
      <c r="C37" s="97" t="s">
        <v>34</v>
      </c>
      <c r="D37" s="97" t="s">
        <v>435</v>
      </c>
      <c r="E37" s="6">
        <v>1</v>
      </c>
      <c r="F37" s="97" t="str">
        <f>'2025'!$E$12</f>
        <v>n/a</v>
      </c>
      <c r="G37" s="94" t="e" cm="1">
        <f t="array" ref="G37">_xlfn.XLOOKUP(Table12091[[#This Row],[Opp]],Table845[DEF],'2024 fSZN'!$V$37:$V$68)</f>
        <v>#N/A</v>
      </c>
      <c r="H37" s="94" t="e" cm="1">
        <f t="array" ref="H37">_xlfn.XLOOKUP(Table12091[[#This Row],[Opp]],Table845[DEF],'2024 fSZN'!$W$37:$W$68)</f>
        <v>#N/A</v>
      </c>
      <c r="I37" s="94" t="e" cm="1">
        <f t="array" ref="I37">_xlfn.XLOOKUP(Table12091[[#This Row],[Opp]],Table845[DEF],'2024 fSZN'!$X$37:$X$68)</f>
        <v>#N/A</v>
      </c>
      <c r="J37" s="95" t="e">
        <f>_xlfn.XLOOKUP(Table12091[[#This Row],[Opp]],Table845[DEF],Table845[REC])</f>
        <v>#N/A</v>
      </c>
      <c r="K37" s="95" t="e">
        <f>_xlfn.XLOOKUP(Table12091[[#This Row],[Opp]],Table845[DEF],Table845[Y])</f>
        <v>#N/A</v>
      </c>
      <c r="L37" s="96" t="e">
        <f>_xlfn.XLOOKUP(Table12091[[#This Row],[Opp]],Table845[DEF],Table845[TD])</f>
        <v>#N/A</v>
      </c>
      <c r="M37" s="94" t="e">
        <f>AVERAGE(Table12091[[#This Row],[*C*]:[*Y*]])</f>
        <v>#N/A</v>
      </c>
    </row>
    <row r="38" spans="2:13" x14ac:dyDescent="0.35">
      <c r="B38" s="6" t="s">
        <v>202</v>
      </c>
      <c r="C38" s="97" t="s">
        <v>35</v>
      </c>
      <c r="D38" s="97" t="s">
        <v>397</v>
      </c>
      <c r="E38" s="6">
        <v>1</v>
      </c>
      <c r="F38" s="97" t="str">
        <f>'2025'!$E$13</f>
        <v>n/a</v>
      </c>
      <c r="G38" s="94" t="e" cm="1">
        <f t="array" ref="G38">_xlfn.XLOOKUP(Table12091[[#This Row],[Opp]],Table845[DEF],'2024 fSZN'!$V$37:$V$68)</f>
        <v>#N/A</v>
      </c>
      <c r="H38" s="94" t="e" cm="1">
        <f t="array" ref="H38">_xlfn.XLOOKUP(Table12091[[#This Row],[Opp]],Table845[DEF],'2024 fSZN'!$W$37:$W$68)</f>
        <v>#N/A</v>
      </c>
      <c r="I38" s="94" t="e" cm="1">
        <f t="array" ref="I38">_xlfn.XLOOKUP(Table12091[[#This Row],[Opp]],Table845[DEF],'2024 fSZN'!$X$37:$X$68)</f>
        <v>#N/A</v>
      </c>
      <c r="J38" s="95" t="e">
        <f>_xlfn.XLOOKUP(Table12091[[#This Row],[Opp]],Table845[DEF],Table845[REC])</f>
        <v>#N/A</v>
      </c>
      <c r="K38" s="95" t="e">
        <f>_xlfn.XLOOKUP(Table12091[[#This Row],[Opp]],Table845[DEF],Table845[Y])</f>
        <v>#N/A</v>
      </c>
      <c r="L38" s="96" t="e">
        <f>_xlfn.XLOOKUP(Table12091[[#This Row],[Opp]],Table845[DEF],Table845[TD])</f>
        <v>#N/A</v>
      </c>
      <c r="M38" s="94" t="e">
        <f>AVERAGE(Table12091[[#This Row],[*C*]:[*Y*]])</f>
        <v>#N/A</v>
      </c>
    </row>
    <row r="39" spans="2:13" x14ac:dyDescent="0.35">
      <c r="B39" s="6" t="s">
        <v>508</v>
      </c>
      <c r="C39" s="97" t="s">
        <v>35</v>
      </c>
      <c r="D39" s="97" t="s">
        <v>398</v>
      </c>
      <c r="E39" s="6">
        <v>1</v>
      </c>
      <c r="F39" s="97" t="str">
        <f>'2025'!$E$13</f>
        <v>n/a</v>
      </c>
      <c r="G39" s="94" t="e" cm="1">
        <f t="array" ref="G39">_xlfn.XLOOKUP(Table12091[[#This Row],[Opp]],Table845[DEF],'2024 fSZN'!$V$37:$V$68)</f>
        <v>#N/A</v>
      </c>
      <c r="H39" s="94" t="e" cm="1">
        <f t="array" ref="H39">_xlfn.XLOOKUP(Table12091[[#This Row],[Opp]],Table845[DEF],'2024 fSZN'!$W$37:$W$68)</f>
        <v>#N/A</v>
      </c>
      <c r="I39" s="94" t="e" cm="1">
        <f t="array" ref="I39">_xlfn.XLOOKUP(Table12091[[#This Row],[Opp]],Table845[DEF],'2024 fSZN'!$X$37:$X$68)</f>
        <v>#N/A</v>
      </c>
      <c r="J39" s="95" t="e">
        <f>_xlfn.XLOOKUP(Table12091[[#This Row],[Opp]],Table845[DEF],Table845[REC])</f>
        <v>#N/A</v>
      </c>
      <c r="K39" s="95" t="e">
        <f>_xlfn.XLOOKUP(Table12091[[#This Row],[Opp]],Table845[DEF],Table845[Y])</f>
        <v>#N/A</v>
      </c>
      <c r="L39" s="96" t="e">
        <f>_xlfn.XLOOKUP(Table12091[[#This Row],[Opp]],Table845[DEF],Table845[TD])</f>
        <v>#N/A</v>
      </c>
      <c r="M39" s="94" t="e">
        <f>AVERAGE(Table12091[[#This Row],[*C*]:[*Y*]])</f>
        <v>#N/A</v>
      </c>
    </row>
    <row r="40" spans="2:13" x14ac:dyDescent="0.35">
      <c r="B40" s="6" t="s">
        <v>509</v>
      </c>
      <c r="C40" s="97" t="s">
        <v>35</v>
      </c>
      <c r="D40" s="97" t="s">
        <v>430</v>
      </c>
      <c r="E40" s="6">
        <v>1</v>
      </c>
      <c r="F40" s="97" t="str">
        <f>'2025'!$E$13</f>
        <v>n/a</v>
      </c>
      <c r="G40" s="94" t="e" cm="1">
        <f t="array" ref="G40">_xlfn.XLOOKUP(Table12091[[#This Row],[Opp]],Table845[DEF],'2024 fSZN'!$V$37:$V$68)</f>
        <v>#N/A</v>
      </c>
      <c r="H40" s="94" t="e" cm="1">
        <f t="array" ref="H40">_xlfn.XLOOKUP(Table12091[[#This Row],[Opp]],Table845[DEF],'2024 fSZN'!$W$37:$W$68)</f>
        <v>#N/A</v>
      </c>
      <c r="I40" s="94" t="e" cm="1">
        <f t="array" ref="I40">_xlfn.XLOOKUP(Table12091[[#This Row],[Opp]],Table845[DEF],'2024 fSZN'!$X$37:$X$68)</f>
        <v>#N/A</v>
      </c>
      <c r="J40" s="95" t="e">
        <f>_xlfn.XLOOKUP(Table12091[[#This Row],[Opp]],Table845[DEF],Table845[REC])</f>
        <v>#N/A</v>
      </c>
      <c r="K40" s="95" t="e">
        <f>_xlfn.XLOOKUP(Table12091[[#This Row],[Opp]],Table845[DEF],Table845[Y])</f>
        <v>#N/A</v>
      </c>
      <c r="L40" s="96" t="e">
        <f>_xlfn.XLOOKUP(Table12091[[#This Row],[Opp]],Table845[DEF],Table845[TD])</f>
        <v>#N/A</v>
      </c>
      <c r="M40" s="94" t="e">
        <f>AVERAGE(Table12091[[#This Row],[*C*]:[*Y*]])</f>
        <v>#N/A</v>
      </c>
    </row>
    <row r="41" spans="2:13" x14ac:dyDescent="0.35">
      <c r="B41" s="6" t="s">
        <v>510</v>
      </c>
      <c r="C41" s="97" t="s">
        <v>35</v>
      </c>
      <c r="D41" s="97" t="s">
        <v>435</v>
      </c>
      <c r="E41" s="6">
        <v>-1</v>
      </c>
      <c r="F41" s="97" t="str">
        <f>'2025'!$E$13</f>
        <v>n/a</v>
      </c>
      <c r="G41" s="94" t="e" cm="1">
        <f t="array" ref="G41">_xlfn.XLOOKUP(Table12091[[#This Row],[Opp]],Table845[DEF],'2024 fSZN'!$V$37:$V$68)</f>
        <v>#N/A</v>
      </c>
      <c r="H41" s="94" t="e" cm="1">
        <f t="array" ref="H41">_xlfn.XLOOKUP(Table12091[[#This Row],[Opp]],Table845[DEF],'2024 fSZN'!$W$37:$W$68)</f>
        <v>#N/A</v>
      </c>
      <c r="I41" s="94" t="e" cm="1">
        <f t="array" ref="I41">_xlfn.XLOOKUP(Table12091[[#This Row],[Opp]],Table845[DEF],'2024 fSZN'!$X$37:$X$68)</f>
        <v>#N/A</v>
      </c>
      <c r="J41" s="95" t="e">
        <f>_xlfn.XLOOKUP(Table12091[[#This Row],[Opp]],Table845[DEF],Table845[REC])</f>
        <v>#N/A</v>
      </c>
      <c r="K41" s="95" t="e">
        <f>_xlfn.XLOOKUP(Table12091[[#This Row],[Opp]],Table845[DEF],Table845[Y])</f>
        <v>#N/A</v>
      </c>
      <c r="L41" s="96" t="e">
        <f>_xlfn.XLOOKUP(Table12091[[#This Row],[Opp]],Table845[DEF],Table845[TD])</f>
        <v>#N/A</v>
      </c>
      <c r="M41" s="94" t="e">
        <f>AVERAGE(Table12091[[#This Row],[*C*]:[*Y*]])</f>
        <v>#N/A</v>
      </c>
    </row>
    <row r="42" spans="2:13" x14ac:dyDescent="0.35">
      <c r="B42" s="6" t="s">
        <v>209</v>
      </c>
      <c r="C42" s="97" t="s">
        <v>36</v>
      </c>
      <c r="D42" s="97" t="s">
        <v>397</v>
      </c>
      <c r="E42" s="6">
        <v>1</v>
      </c>
      <c r="F42" s="97" t="str">
        <f>'2025'!$E$14</f>
        <v>n/a</v>
      </c>
      <c r="G42" s="94" t="e" cm="1">
        <f t="array" ref="G42">_xlfn.XLOOKUP(Table12091[[#This Row],[Opp]],Table845[DEF],'2024 fSZN'!$V$37:$V$68)</f>
        <v>#N/A</v>
      </c>
      <c r="H42" s="94" t="e" cm="1">
        <f t="array" ref="H42">_xlfn.XLOOKUP(Table12091[[#This Row],[Opp]],Table845[DEF],'2024 fSZN'!$W$37:$W$68)</f>
        <v>#N/A</v>
      </c>
      <c r="I42" s="94" t="e" cm="1">
        <f t="array" ref="I42">_xlfn.XLOOKUP(Table12091[[#This Row],[Opp]],Table845[DEF],'2024 fSZN'!$X$37:$X$68)</f>
        <v>#N/A</v>
      </c>
      <c r="J42" s="95" t="e">
        <f>_xlfn.XLOOKUP(Table12091[[#This Row],[Opp]],Table845[DEF],Table845[REC])</f>
        <v>#N/A</v>
      </c>
      <c r="K42" s="95" t="e">
        <f>_xlfn.XLOOKUP(Table12091[[#This Row],[Opp]],Table845[DEF],Table845[Y])</f>
        <v>#N/A</v>
      </c>
      <c r="L42" s="96" t="e">
        <f>_xlfn.XLOOKUP(Table12091[[#This Row],[Opp]],Table845[DEF],Table845[TD])</f>
        <v>#N/A</v>
      </c>
      <c r="M42" s="94" t="e">
        <f>AVERAGE(Table12091[[#This Row],[*C*]:[*Y*]])</f>
        <v>#N/A</v>
      </c>
    </row>
    <row r="43" spans="2:13" x14ac:dyDescent="0.35">
      <c r="B43" s="6" t="s">
        <v>210</v>
      </c>
      <c r="C43" s="97" t="s">
        <v>36</v>
      </c>
      <c r="D43" s="97" t="s">
        <v>398</v>
      </c>
      <c r="E43" s="6">
        <v>1</v>
      </c>
      <c r="F43" s="97" t="str">
        <f>'2025'!$E$14</f>
        <v>n/a</v>
      </c>
      <c r="G43" s="94" t="e" cm="1">
        <f t="array" ref="G43">_xlfn.XLOOKUP(Table12091[[#This Row],[Opp]],Table845[DEF],'2024 fSZN'!$V$37:$V$68)</f>
        <v>#N/A</v>
      </c>
      <c r="H43" s="94" t="e" cm="1">
        <f t="array" ref="H43">_xlfn.XLOOKUP(Table12091[[#This Row],[Opp]],Table845[DEF],'2024 fSZN'!$W$37:$W$68)</f>
        <v>#N/A</v>
      </c>
      <c r="I43" s="94" t="e" cm="1">
        <f t="array" ref="I43">_xlfn.XLOOKUP(Table12091[[#This Row],[Opp]],Table845[DEF],'2024 fSZN'!$X$37:$X$68)</f>
        <v>#N/A</v>
      </c>
      <c r="J43" s="95" t="e">
        <f>_xlfn.XLOOKUP(Table12091[[#This Row],[Opp]],Table845[DEF],Table845[REC])</f>
        <v>#N/A</v>
      </c>
      <c r="K43" s="95" t="e">
        <f>_xlfn.XLOOKUP(Table12091[[#This Row],[Opp]],Table845[DEF],Table845[Y])</f>
        <v>#N/A</v>
      </c>
      <c r="L43" s="96" t="e">
        <f>_xlfn.XLOOKUP(Table12091[[#This Row],[Opp]],Table845[DEF],Table845[TD])</f>
        <v>#N/A</v>
      </c>
      <c r="M43" s="94" t="e">
        <f>AVERAGE(Table12091[[#This Row],[*C*]:[*Y*]])</f>
        <v>#N/A</v>
      </c>
    </row>
    <row r="44" spans="2:13" x14ac:dyDescent="0.35">
      <c r="B44" s="6" t="s">
        <v>515</v>
      </c>
      <c r="C44" s="97" t="s">
        <v>36</v>
      </c>
      <c r="D44" s="97" t="s">
        <v>430</v>
      </c>
      <c r="E44" s="6">
        <v>1</v>
      </c>
      <c r="F44" s="97" t="str">
        <f>'2025'!$E$14</f>
        <v>n/a</v>
      </c>
      <c r="G44" s="94" t="e" cm="1">
        <f t="array" ref="G44">_xlfn.XLOOKUP(Table12091[[#This Row],[Opp]],Table845[DEF],'2024 fSZN'!$V$37:$V$68)</f>
        <v>#N/A</v>
      </c>
      <c r="H44" s="94" t="e" cm="1">
        <f t="array" ref="H44">_xlfn.XLOOKUP(Table12091[[#This Row],[Opp]],Table845[DEF],'2024 fSZN'!$W$37:$W$68)</f>
        <v>#N/A</v>
      </c>
      <c r="I44" s="94" t="e" cm="1">
        <f t="array" ref="I44">_xlfn.XLOOKUP(Table12091[[#This Row],[Opp]],Table845[DEF],'2024 fSZN'!$X$37:$X$68)</f>
        <v>#N/A</v>
      </c>
      <c r="J44" s="95" t="e">
        <f>_xlfn.XLOOKUP(Table12091[[#This Row],[Opp]],Table845[DEF],Table845[REC])</f>
        <v>#N/A</v>
      </c>
      <c r="K44" s="95" t="e">
        <f>_xlfn.XLOOKUP(Table12091[[#This Row],[Opp]],Table845[DEF],Table845[Y])</f>
        <v>#N/A</v>
      </c>
      <c r="L44" s="96" t="e">
        <f>_xlfn.XLOOKUP(Table12091[[#This Row],[Opp]],Table845[DEF],Table845[TD])</f>
        <v>#N/A</v>
      </c>
      <c r="M44" s="94" t="e">
        <f>AVERAGE(Table12091[[#This Row],[*C*]:[*Y*]])</f>
        <v>#N/A</v>
      </c>
    </row>
    <row r="45" spans="2:13" x14ac:dyDescent="0.35">
      <c r="B45" s="6" t="s">
        <v>516</v>
      </c>
      <c r="C45" s="97" t="s">
        <v>36</v>
      </c>
      <c r="D45" s="97" t="s">
        <v>435</v>
      </c>
      <c r="E45" s="6">
        <v>1</v>
      </c>
      <c r="F45" s="97" t="str">
        <f>'2025'!$E$14</f>
        <v>n/a</v>
      </c>
      <c r="G45" s="94" t="e" cm="1">
        <f t="array" ref="G45">_xlfn.XLOOKUP(Table12091[[#This Row],[Opp]],Table845[DEF],'2024 fSZN'!$V$37:$V$68)</f>
        <v>#N/A</v>
      </c>
      <c r="H45" s="94" t="e" cm="1">
        <f t="array" ref="H45">_xlfn.XLOOKUP(Table12091[[#This Row],[Opp]],Table845[DEF],'2024 fSZN'!$W$37:$W$68)</f>
        <v>#N/A</v>
      </c>
      <c r="I45" s="94" t="e" cm="1">
        <f t="array" ref="I45">_xlfn.XLOOKUP(Table12091[[#This Row],[Opp]],Table845[DEF],'2024 fSZN'!$X$37:$X$68)</f>
        <v>#N/A</v>
      </c>
      <c r="J45" s="95" t="e">
        <f>_xlfn.XLOOKUP(Table12091[[#This Row],[Opp]],Table845[DEF],Table845[REC])</f>
        <v>#N/A</v>
      </c>
      <c r="K45" s="95" t="e">
        <f>_xlfn.XLOOKUP(Table12091[[#This Row],[Opp]],Table845[DEF],Table845[Y])</f>
        <v>#N/A</v>
      </c>
      <c r="L45" s="96" t="e">
        <f>_xlfn.XLOOKUP(Table12091[[#This Row],[Opp]],Table845[DEF],Table845[TD])</f>
        <v>#N/A</v>
      </c>
      <c r="M45" s="94" t="e">
        <f>AVERAGE(Table12091[[#This Row],[*C*]:[*Y*]])</f>
        <v>#N/A</v>
      </c>
    </row>
    <row r="46" spans="2:13" x14ac:dyDescent="0.35">
      <c r="B46" s="6" t="s">
        <v>221</v>
      </c>
      <c r="C46" s="97" t="s">
        <v>37</v>
      </c>
      <c r="D46" s="97" t="s">
        <v>397</v>
      </c>
      <c r="E46" s="6">
        <v>1</v>
      </c>
      <c r="F46" s="97" t="str">
        <f>'2025'!$E$15</f>
        <v>n/a</v>
      </c>
      <c r="G46" s="94" t="e" cm="1">
        <f t="array" ref="G46">_xlfn.XLOOKUP(Table12091[[#This Row],[Opp]],Table845[DEF],'2024 fSZN'!$V$37:$V$68)</f>
        <v>#N/A</v>
      </c>
      <c r="H46" s="94" t="e" cm="1">
        <f t="array" ref="H46">_xlfn.XLOOKUP(Table12091[[#This Row],[Opp]],Table845[DEF],'2024 fSZN'!$W$37:$W$68)</f>
        <v>#N/A</v>
      </c>
      <c r="I46" s="94" t="e" cm="1">
        <f t="array" ref="I46">_xlfn.XLOOKUP(Table12091[[#This Row],[Opp]],Table845[DEF],'2024 fSZN'!$X$37:$X$68)</f>
        <v>#N/A</v>
      </c>
      <c r="J46" s="95" t="e">
        <f>_xlfn.XLOOKUP(Table12091[[#This Row],[Opp]],Table845[DEF],Table845[REC])</f>
        <v>#N/A</v>
      </c>
      <c r="K46" s="95" t="e">
        <f>_xlfn.XLOOKUP(Table12091[[#This Row],[Opp]],Table845[DEF],Table845[Y])</f>
        <v>#N/A</v>
      </c>
      <c r="L46" s="96" t="e">
        <f>_xlfn.XLOOKUP(Table12091[[#This Row],[Opp]],Table845[DEF],Table845[TD])</f>
        <v>#N/A</v>
      </c>
      <c r="M46" s="94" t="e">
        <f>AVERAGE(Table12091[[#This Row],[*C*]:[*Y*]])</f>
        <v>#N/A</v>
      </c>
    </row>
    <row r="47" spans="2:13" x14ac:dyDescent="0.35">
      <c r="B47" s="6" t="s">
        <v>636</v>
      </c>
      <c r="C47" s="97" t="s">
        <v>37</v>
      </c>
      <c r="D47" s="97" t="s">
        <v>398</v>
      </c>
      <c r="E47" s="6">
        <v>1</v>
      </c>
      <c r="F47" s="97" t="str">
        <f>'2025'!$E$15</f>
        <v>n/a</v>
      </c>
      <c r="G47" s="94" t="e" cm="1">
        <f t="array" ref="G47">_xlfn.XLOOKUP(Table12091[[#This Row],[Opp]],Table845[DEF],'2024 fSZN'!$V$37:$V$68)</f>
        <v>#N/A</v>
      </c>
      <c r="H47" s="94" t="e" cm="1">
        <f t="array" ref="H47">_xlfn.XLOOKUP(Table12091[[#This Row],[Opp]],Table845[DEF],'2024 fSZN'!$W$37:$W$68)</f>
        <v>#N/A</v>
      </c>
      <c r="I47" s="94" t="e" cm="1">
        <f t="array" ref="I47">_xlfn.XLOOKUP(Table12091[[#This Row],[Opp]],Table845[DEF],'2024 fSZN'!$X$37:$X$68)</f>
        <v>#N/A</v>
      </c>
      <c r="J47" s="95" t="e">
        <f>_xlfn.XLOOKUP(Table12091[[#This Row],[Opp]],Table845[DEF],Table845[REC])</f>
        <v>#N/A</v>
      </c>
      <c r="K47" s="95" t="e">
        <f>_xlfn.XLOOKUP(Table12091[[#This Row],[Opp]],Table845[DEF],Table845[Y])</f>
        <v>#N/A</v>
      </c>
      <c r="L47" s="96" t="e">
        <f>_xlfn.XLOOKUP(Table12091[[#This Row],[Opp]],Table845[DEF],Table845[TD])</f>
        <v>#N/A</v>
      </c>
      <c r="M47" s="94" t="e">
        <f>AVERAGE(Table12091[[#This Row],[*C*]:[*Y*]])</f>
        <v>#N/A</v>
      </c>
    </row>
    <row r="48" spans="2:13" x14ac:dyDescent="0.35">
      <c r="B48" s="6" t="s">
        <v>637</v>
      </c>
      <c r="C48" s="97" t="s">
        <v>37</v>
      </c>
      <c r="D48" s="97" t="s">
        <v>430</v>
      </c>
      <c r="E48" s="6">
        <v>-1</v>
      </c>
      <c r="F48" s="97" t="str">
        <f>'2025'!$E$15</f>
        <v>n/a</v>
      </c>
      <c r="G48" s="94" t="e" cm="1">
        <f t="array" ref="G48">_xlfn.XLOOKUP(Table12091[[#This Row],[Opp]],Table845[DEF],'2024 fSZN'!$V$37:$V$68)</f>
        <v>#N/A</v>
      </c>
      <c r="H48" s="94" t="e" cm="1">
        <f t="array" ref="H48">_xlfn.XLOOKUP(Table12091[[#This Row],[Opp]],Table845[DEF],'2024 fSZN'!$W$37:$W$68)</f>
        <v>#N/A</v>
      </c>
      <c r="I48" s="94" t="e" cm="1">
        <f t="array" ref="I48">_xlfn.XLOOKUP(Table12091[[#This Row],[Opp]],Table845[DEF],'2024 fSZN'!$X$37:$X$68)</f>
        <v>#N/A</v>
      </c>
      <c r="J48" s="95" t="e">
        <f>_xlfn.XLOOKUP(Table12091[[#This Row],[Opp]],Table845[DEF],Table845[REC])</f>
        <v>#N/A</v>
      </c>
      <c r="K48" s="95" t="e">
        <f>_xlfn.XLOOKUP(Table12091[[#This Row],[Opp]],Table845[DEF],Table845[Y])</f>
        <v>#N/A</v>
      </c>
      <c r="L48" s="96" t="e">
        <f>_xlfn.XLOOKUP(Table12091[[#This Row],[Opp]],Table845[DEF],Table845[TD])</f>
        <v>#N/A</v>
      </c>
      <c r="M48" s="94" t="e">
        <f>AVERAGE(Table12091[[#This Row],[*C*]:[*Y*]])</f>
        <v>#N/A</v>
      </c>
    </row>
    <row r="49" spans="2:13" x14ac:dyDescent="0.35">
      <c r="B49" s="6" t="s">
        <v>638</v>
      </c>
      <c r="C49" s="97" t="s">
        <v>37</v>
      </c>
      <c r="D49" s="97" t="s">
        <v>435</v>
      </c>
      <c r="E49" s="6">
        <v>-1</v>
      </c>
      <c r="F49" s="97" t="str">
        <f>'2025'!$E$15</f>
        <v>n/a</v>
      </c>
      <c r="G49" s="94" t="e" cm="1">
        <f t="array" ref="G49">_xlfn.XLOOKUP(Table12091[[#This Row],[Opp]],Table845[DEF],'2024 fSZN'!$V$37:$V$68)</f>
        <v>#N/A</v>
      </c>
      <c r="H49" s="94" t="e" cm="1">
        <f t="array" ref="H49">_xlfn.XLOOKUP(Table12091[[#This Row],[Opp]],Table845[DEF],'2024 fSZN'!$W$37:$W$68)</f>
        <v>#N/A</v>
      </c>
      <c r="I49" s="94" t="e" cm="1">
        <f t="array" ref="I49">_xlfn.XLOOKUP(Table12091[[#This Row],[Opp]],Table845[DEF],'2024 fSZN'!$X$37:$X$68)</f>
        <v>#N/A</v>
      </c>
      <c r="J49" s="95" t="e">
        <f>_xlfn.XLOOKUP(Table12091[[#This Row],[Opp]],Table845[DEF],Table845[REC])</f>
        <v>#N/A</v>
      </c>
      <c r="K49" s="95" t="e">
        <f>_xlfn.XLOOKUP(Table12091[[#This Row],[Opp]],Table845[DEF],Table845[Y])</f>
        <v>#N/A</v>
      </c>
      <c r="L49" s="96" t="e">
        <f>_xlfn.XLOOKUP(Table12091[[#This Row],[Opp]],Table845[DEF],Table845[TD])</f>
        <v>#N/A</v>
      </c>
      <c r="M49" s="94" t="e">
        <f>AVERAGE(Table12091[[#This Row],[*C*]:[*Y*]])</f>
        <v>#N/A</v>
      </c>
    </row>
    <row r="50" spans="2:13" x14ac:dyDescent="0.35">
      <c r="B50" s="6" t="s">
        <v>230</v>
      </c>
      <c r="C50" s="97" t="s">
        <v>38</v>
      </c>
      <c r="D50" s="97" t="s">
        <v>397</v>
      </c>
      <c r="E50" s="6">
        <v>1</v>
      </c>
      <c r="F50" s="97" t="str">
        <f>'2025'!$E$16</f>
        <v>n/a</v>
      </c>
      <c r="G50" s="94" t="e" cm="1">
        <f t="array" ref="G50">_xlfn.XLOOKUP(Table12091[[#This Row],[Opp]],Table845[DEF],'2024 fSZN'!$V$37:$V$68)</f>
        <v>#N/A</v>
      </c>
      <c r="H50" s="94" t="e" cm="1">
        <f t="array" ref="H50">_xlfn.XLOOKUP(Table12091[[#This Row],[Opp]],Table845[DEF],'2024 fSZN'!$W$37:$W$68)</f>
        <v>#N/A</v>
      </c>
      <c r="I50" s="94" t="e" cm="1">
        <f t="array" ref="I50">_xlfn.XLOOKUP(Table12091[[#This Row],[Opp]],Table845[DEF],'2024 fSZN'!$X$37:$X$68)</f>
        <v>#N/A</v>
      </c>
      <c r="J50" s="95" t="e">
        <f>_xlfn.XLOOKUP(Table12091[[#This Row],[Opp]],Table845[DEF],Table845[REC])</f>
        <v>#N/A</v>
      </c>
      <c r="K50" s="95" t="e">
        <f>_xlfn.XLOOKUP(Table12091[[#This Row],[Opp]],Table845[DEF],Table845[Y])</f>
        <v>#N/A</v>
      </c>
      <c r="L50" s="96" t="e">
        <f>_xlfn.XLOOKUP(Table12091[[#This Row],[Opp]],Table845[DEF],Table845[TD])</f>
        <v>#N/A</v>
      </c>
      <c r="M50" s="94" t="e">
        <f>AVERAGE(Table12091[[#This Row],[*C*]:[*Y*]])</f>
        <v>#N/A</v>
      </c>
    </row>
    <row r="51" spans="2:13" x14ac:dyDescent="0.35">
      <c r="B51" s="6" t="s">
        <v>646</v>
      </c>
      <c r="C51" s="97" t="s">
        <v>38</v>
      </c>
      <c r="D51" s="97" t="s">
        <v>398</v>
      </c>
      <c r="E51" s="6">
        <v>1</v>
      </c>
      <c r="F51" s="97" t="str">
        <f>'2025'!$E$16</f>
        <v>n/a</v>
      </c>
      <c r="G51" s="94" t="e" cm="1">
        <f t="array" ref="G51">_xlfn.XLOOKUP(Table12091[[#This Row],[Opp]],Table845[DEF],'2024 fSZN'!$V$37:$V$68)</f>
        <v>#N/A</v>
      </c>
      <c r="H51" s="94" t="e" cm="1">
        <f t="array" ref="H51">_xlfn.XLOOKUP(Table12091[[#This Row],[Opp]],Table845[DEF],'2024 fSZN'!$W$37:$W$68)</f>
        <v>#N/A</v>
      </c>
      <c r="I51" s="94" t="e" cm="1">
        <f t="array" ref="I51">_xlfn.XLOOKUP(Table12091[[#This Row],[Opp]],Table845[DEF],'2024 fSZN'!$X$37:$X$68)</f>
        <v>#N/A</v>
      </c>
      <c r="J51" s="95" t="e">
        <f>_xlfn.XLOOKUP(Table12091[[#This Row],[Opp]],Table845[DEF],Table845[REC])</f>
        <v>#N/A</v>
      </c>
      <c r="K51" s="95" t="e">
        <f>_xlfn.XLOOKUP(Table12091[[#This Row],[Opp]],Table845[DEF],Table845[Y])</f>
        <v>#N/A</v>
      </c>
      <c r="L51" s="96" t="e">
        <f>_xlfn.XLOOKUP(Table12091[[#This Row],[Opp]],Table845[DEF],Table845[TD])</f>
        <v>#N/A</v>
      </c>
      <c r="M51" s="94" t="e">
        <f>AVERAGE(Table12091[[#This Row],[*C*]:[*Y*]])</f>
        <v>#N/A</v>
      </c>
    </row>
    <row r="52" spans="2:13" x14ac:dyDescent="0.35">
      <c r="B52" s="6" t="s">
        <v>647</v>
      </c>
      <c r="C52" s="97" t="s">
        <v>38</v>
      </c>
      <c r="D52" s="97" t="s">
        <v>430</v>
      </c>
      <c r="E52" s="6">
        <v>1</v>
      </c>
      <c r="F52" s="97" t="str">
        <f>'2025'!$E$16</f>
        <v>n/a</v>
      </c>
      <c r="G52" s="94" t="e" cm="1">
        <f t="array" ref="G52">_xlfn.XLOOKUP(Table12091[[#This Row],[Opp]],Table845[DEF],'2024 fSZN'!$V$37:$V$68)</f>
        <v>#N/A</v>
      </c>
      <c r="H52" s="94" t="e" cm="1">
        <f t="array" ref="H52">_xlfn.XLOOKUP(Table12091[[#This Row],[Opp]],Table845[DEF],'2024 fSZN'!$W$37:$W$68)</f>
        <v>#N/A</v>
      </c>
      <c r="I52" s="94" t="e" cm="1">
        <f t="array" ref="I52">_xlfn.XLOOKUP(Table12091[[#This Row],[Opp]],Table845[DEF],'2024 fSZN'!$X$37:$X$68)</f>
        <v>#N/A</v>
      </c>
      <c r="J52" s="95" t="e">
        <f>_xlfn.XLOOKUP(Table12091[[#This Row],[Opp]],Table845[DEF],Table845[REC])</f>
        <v>#N/A</v>
      </c>
      <c r="K52" s="95" t="e">
        <f>_xlfn.XLOOKUP(Table12091[[#This Row],[Opp]],Table845[DEF],Table845[Y])</f>
        <v>#N/A</v>
      </c>
      <c r="L52" s="96" t="e">
        <f>_xlfn.XLOOKUP(Table12091[[#This Row],[Opp]],Table845[DEF],Table845[TD])</f>
        <v>#N/A</v>
      </c>
      <c r="M52" s="94" t="e">
        <f>AVERAGE(Table12091[[#This Row],[*C*]:[*Y*]])</f>
        <v>#N/A</v>
      </c>
    </row>
    <row r="53" spans="2:13" x14ac:dyDescent="0.35">
      <c r="B53" s="6" t="s">
        <v>648</v>
      </c>
      <c r="C53" s="97" t="s">
        <v>38</v>
      </c>
      <c r="D53" s="97" t="s">
        <v>435</v>
      </c>
      <c r="E53" s="6">
        <v>1</v>
      </c>
      <c r="F53" s="97" t="str">
        <f>'2025'!$E$16</f>
        <v>n/a</v>
      </c>
      <c r="G53" s="94" t="e" cm="1">
        <f t="array" ref="G53">_xlfn.XLOOKUP(Table12091[[#This Row],[Opp]],Table845[DEF],'2024 fSZN'!$V$37:$V$68)</f>
        <v>#N/A</v>
      </c>
      <c r="H53" s="94" t="e" cm="1">
        <f t="array" ref="H53">_xlfn.XLOOKUP(Table12091[[#This Row],[Opp]],Table845[DEF],'2024 fSZN'!$W$37:$W$68)</f>
        <v>#N/A</v>
      </c>
      <c r="I53" s="94" t="e" cm="1">
        <f t="array" ref="I53">_xlfn.XLOOKUP(Table12091[[#This Row],[Opp]],Table845[DEF],'2024 fSZN'!$X$37:$X$68)</f>
        <v>#N/A</v>
      </c>
      <c r="J53" s="95" t="e">
        <f>_xlfn.XLOOKUP(Table12091[[#This Row],[Opp]],Table845[DEF],Table845[REC])</f>
        <v>#N/A</v>
      </c>
      <c r="K53" s="95" t="e">
        <f>_xlfn.XLOOKUP(Table12091[[#This Row],[Opp]],Table845[DEF],Table845[Y])</f>
        <v>#N/A</v>
      </c>
      <c r="L53" s="96" t="e">
        <f>_xlfn.XLOOKUP(Table12091[[#This Row],[Opp]],Table845[DEF],Table845[TD])</f>
        <v>#N/A</v>
      </c>
      <c r="M53" s="94" t="e">
        <f>AVERAGE(Table12091[[#This Row],[*C*]:[*Y*]])</f>
        <v>#N/A</v>
      </c>
    </row>
    <row r="54" spans="2:13" x14ac:dyDescent="0.35">
      <c r="B54" s="6" t="s">
        <v>239</v>
      </c>
      <c r="C54" s="97" t="s">
        <v>39</v>
      </c>
      <c r="D54" s="97" t="s">
        <v>397</v>
      </c>
      <c r="E54" s="6">
        <v>1</v>
      </c>
      <c r="F54" s="97" t="str">
        <f>'2025'!$E$17</f>
        <v>n/a</v>
      </c>
      <c r="G54" s="94" t="e" cm="1">
        <f t="array" ref="G54">_xlfn.XLOOKUP(Table12091[[#This Row],[Opp]],Table845[DEF],'2024 fSZN'!$V$37:$V$68)</f>
        <v>#N/A</v>
      </c>
      <c r="H54" s="94" t="e" cm="1">
        <f t="array" ref="H54">_xlfn.XLOOKUP(Table12091[[#This Row],[Opp]],Table845[DEF],'2024 fSZN'!$W$37:$W$68)</f>
        <v>#N/A</v>
      </c>
      <c r="I54" s="94" t="e" cm="1">
        <f t="array" ref="I54">_xlfn.XLOOKUP(Table12091[[#This Row],[Opp]],Table845[DEF],'2024 fSZN'!$X$37:$X$68)</f>
        <v>#N/A</v>
      </c>
      <c r="J54" s="95" t="e">
        <f>_xlfn.XLOOKUP(Table12091[[#This Row],[Opp]],Table845[DEF],Table845[REC])</f>
        <v>#N/A</v>
      </c>
      <c r="K54" s="95" t="e">
        <f>_xlfn.XLOOKUP(Table12091[[#This Row],[Opp]],Table845[DEF],Table845[Y])</f>
        <v>#N/A</v>
      </c>
      <c r="L54" s="96" t="e">
        <f>_xlfn.XLOOKUP(Table12091[[#This Row],[Opp]],Table845[DEF],Table845[TD])</f>
        <v>#N/A</v>
      </c>
      <c r="M54" s="94" t="e">
        <f>AVERAGE(Table12091[[#This Row],[*C*]:[*Y*]])</f>
        <v>#N/A</v>
      </c>
    </row>
    <row r="55" spans="2:13" x14ac:dyDescent="0.35">
      <c r="B55" s="6" t="s">
        <v>628</v>
      </c>
      <c r="C55" s="97" t="s">
        <v>39</v>
      </c>
      <c r="D55" s="97" t="s">
        <v>398</v>
      </c>
      <c r="E55" s="6">
        <v>1</v>
      </c>
      <c r="F55" s="97" t="str">
        <f>'2025'!$E$17</f>
        <v>n/a</v>
      </c>
      <c r="G55" s="94" t="e" cm="1">
        <f t="array" ref="G55">_xlfn.XLOOKUP(Table12091[[#This Row],[Opp]],Table845[DEF],'2024 fSZN'!$V$37:$V$68)</f>
        <v>#N/A</v>
      </c>
      <c r="H55" s="94" t="e" cm="1">
        <f t="array" ref="H55">_xlfn.XLOOKUP(Table12091[[#This Row],[Opp]],Table845[DEF],'2024 fSZN'!$W$37:$W$68)</f>
        <v>#N/A</v>
      </c>
      <c r="I55" s="94" t="e" cm="1">
        <f t="array" ref="I55">_xlfn.XLOOKUP(Table12091[[#This Row],[Opp]],Table845[DEF],'2024 fSZN'!$X$37:$X$68)</f>
        <v>#N/A</v>
      </c>
      <c r="J55" s="95" t="e">
        <f>_xlfn.XLOOKUP(Table12091[[#This Row],[Opp]],Table845[DEF],Table845[REC])</f>
        <v>#N/A</v>
      </c>
      <c r="K55" s="95" t="e">
        <f>_xlfn.XLOOKUP(Table12091[[#This Row],[Opp]],Table845[DEF],Table845[Y])</f>
        <v>#N/A</v>
      </c>
      <c r="L55" s="96" t="e">
        <f>_xlfn.XLOOKUP(Table12091[[#This Row],[Opp]],Table845[DEF],Table845[TD])</f>
        <v>#N/A</v>
      </c>
      <c r="M55" s="94" t="e">
        <f>AVERAGE(Table12091[[#This Row],[*C*]:[*Y*]])</f>
        <v>#N/A</v>
      </c>
    </row>
    <row r="56" spans="2:13" x14ac:dyDescent="0.35">
      <c r="B56" s="6" t="s">
        <v>629</v>
      </c>
      <c r="C56" s="97" t="s">
        <v>39</v>
      </c>
      <c r="D56" s="97" t="s">
        <v>430</v>
      </c>
      <c r="E56" s="6">
        <v>1</v>
      </c>
      <c r="F56" s="97" t="str">
        <f>'2025'!$E$17</f>
        <v>n/a</v>
      </c>
      <c r="G56" s="94" t="e" cm="1">
        <f t="array" ref="G56">_xlfn.XLOOKUP(Table12091[[#This Row],[Opp]],Table845[DEF],'2024 fSZN'!$V$37:$V$68)</f>
        <v>#N/A</v>
      </c>
      <c r="H56" s="94" t="e" cm="1">
        <f t="array" ref="H56">_xlfn.XLOOKUP(Table12091[[#This Row],[Opp]],Table845[DEF],'2024 fSZN'!$W$37:$W$68)</f>
        <v>#N/A</v>
      </c>
      <c r="I56" s="94" t="e" cm="1">
        <f t="array" ref="I56">_xlfn.XLOOKUP(Table12091[[#This Row],[Opp]],Table845[DEF],'2024 fSZN'!$X$37:$X$68)</f>
        <v>#N/A</v>
      </c>
      <c r="J56" s="95" t="e">
        <f>_xlfn.XLOOKUP(Table12091[[#This Row],[Opp]],Table845[DEF],Table845[REC])</f>
        <v>#N/A</v>
      </c>
      <c r="K56" s="95" t="e">
        <f>_xlfn.XLOOKUP(Table12091[[#This Row],[Opp]],Table845[DEF],Table845[Y])</f>
        <v>#N/A</v>
      </c>
      <c r="L56" s="96" t="e">
        <f>_xlfn.XLOOKUP(Table12091[[#This Row],[Opp]],Table845[DEF],Table845[TD])</f>
        <v>#N/A</v>
      </c>
      <c r="M56" s="94" t="e">
        <f>AVERAGE(Table12091[[#This Row],[*C*]:[*Y*]])</f>
        <v>#N/A</v>
      </c>
    </row>
    <row r="57" spans="2:13" x14ac:dyDescent="0.35">
      <c r="B57" s="6" t="s">
        <v>249</v>
      </c>
      <c r="C57" s="97" t="s">
        <v>40</v>
      </c>
      <c r="D57" s="97" t="s">
        <v>397</v>
      </c>
      <c r="E57" s="6">
        <v>1</v>
      </c>
      <c r="F57" s="97" t="str">
        <f>'2025'!$E$18</f>
        <v>n/a</v>
      </c>
      <c r="G57" s="94" t="e" cm="1">
        <f t="array" ref="G57">_xlfn.XLOOKUP(Table12091[[#This Row],[Opp]],Table845[DEF],'2024 fSZN'!$V$37:$V$68)</f>
        <v>#N/A</v>
      </c>
      <c r="H57" s="94" t="e" cm="1">
        <f t="array" ref="H57">_xlfn.XLOOKUP(Table12091[[#This Row],[Opp]],Table845[DEF],'2024 fSZN'!$W$37:$W$68)</f>
        <v>#N/A</v>
      </c>
      <c r="I57" s="94" t="e" cm="1">
        <f t="array" ref="I57">_xlfn.XLOOKUP(Table12091[[#This Row],[Opp]],Table845[DEF],'2024 fSZN'!$X$37:$X$68)</f>
        <v>#N/A</v>
      </c>
      <c r="J57" s="95" t="e">
        <f>_xlfn.XLOOKUP(Table12091[[#This Row],[Opp]],Table845[DEF],Table845[REC])</f>
        <v>#N/A</v>
      </c>
      <c r="K57" s="95" t="e">
        <f>_xlfn.XLOOKUP(Table12091[[#This Row],[Opp]],Table845[DEF],Table845[Y])</f>
        <v>#N/A</v>
      </c>
      <c r="L57" s="96" t="e">
        <f>_xlfn.XLOOKUP(Table12091[[#This Row],[Opp]],Table845[DEF],Table845[TD])</f>
        <v>#N/A</v>
      </c>
      <c r="M57" s="94" t="e">
        <f>AVERAGE(Table12091[[#This Row],[*C*]:[*Y*]])</f>
        <v>#N/A</v>
      </c>
    </row>
    <row r="58" spans="2:13" x14ac:dyDescent="0.35">
      <c r="B58" s="6" t="s">
        <v>250</v>
      </c>
      <c r="C58" s="97" t="s">
        <v>40</v>
      </c>
      <c r="D58" s="97" t="s">
        <v>398</v>
      </c>
      <c r="E58" s="6">
        <v>1</v>
      </c>
      <c r="F58" s="97" t="str">
        <f>'2025'!$E$18</f>
        <v>n/a</v>
      </c>
      <c r="G58" s="94" t="e" cm="1">
        <f t="array" ref="G58">_xlfn.XLOOKUP(Table12091[[#This Row],[Opp]],Table845[DEF],'2024 fSZN'!$V$37:$V$68)</f>
        <v>#N/A</v>
      </c>
      <c r="H58" s="94" t="e" cm="1">
        <f t="array" ref="H58">_xlfn.XLOOKUP(Table12091[[#This Row],[Opp]],Table845[DEF],'2024 fSZN'!$W$37:$W$68)</f>
        <v>#N/A</v>
      </c>
      <c r="I58" s="94" t="e" cm="1">
        <f t="array" ref="I58">_xlfn.XLOOKUP(Table12091[[#This Row],[Opp]],Table845[DEF],'2024 fSZN'!$X$37:$X$68)</f>
        <v>#N/A</v>
      </c>
      <c r="J58" s="95" t="e">
        <f>_xlfn.XLOOKUP(Table12091[[#This Row],[Opp]],Table845[DEF],Table845[REC])</f>
        <v>#N/A</v>
      </c>
      <c r="K58" s="95" t="e">
        <f>_xlfn.XLOOKUP(Table12091[[#This Row],[Opp]],Table845[DEF],Table845[Y])</f>
        <v>#N/A</v>
      </c>
      <c r="L58" s="96" t="e">
        <f>_xlfn.XLOOKUP(Table12091[[#This Row],[Opp]],Table845[DEF],Table845[TD])</f>
        <v>#N/A</v>
      </c>
      <c r="M58" s="94" t="e">
        <f>AVERAGE(Table12091[[#This Row],[*C*]:[*Y*]])</f>
        <v>#N/A</v>
      </c>
    </row>
    <row r="59" spans="2:13" x14ac:dyDescent="0.35">
      <c r="B59" s="6" t="s">
        <v>574</v>
      </c>
      <c r="C59" s="97" t="s">
        <v>40</v>
      </c>
      <c r="D59" s="97" t="s">
        <v>430</v>
      </c>
      <c r="E59" s="6">
        <v>1</v>
      </c>
      <c r="F59" s="97" t="str">
        <f>'2025'!$E$18</f>
        <v>n/a</v>
      </c>
      <c r="G59" s="94" t="e" cm="1">
        <f t="array" ref="G59">_xlfn.XLOOKUP(Table12091[[#This Row],[Opp]],Table845[DEF],'2024 fSZN'!$V$37:$V$68)</f>
        <v>#N/A</v>
      </c>
      <c r="H59" s="94" t="e" cm="1">
        <f t="array" ref="H59">_xlfn.XLOOKUP(Table12091[[#This Row],[Opp]],Table845[DEF],'2024 fSZN'!$W$37:$W$68)</f>
        <v>#N/A</v>
      </c>
      <c r="I59" s="94" t="e" cm="1">
        <f t="array" ref="I59">_xlfn.XLOOKUP(Table12091[[#This Row],[Opp]],Table845[DEF],'2024 fSZN'!$X$37:$X$68)</f>
        <v>#N/A</v>
      </c>
      <c r="J59" s="95" t="e">
        <f>_xlfn.XLOOKUP(Table12091[[#This Row],[Opp]],Table845[DEF],Table845[REC])</f>
        <v>#N/A</v>
      </c>
      <c r="K59" s="95" t="e">
        <f>_xlfn.XLOOKUP(Table12091[[#This Row],[Opp]],Table845[DEF],Table845[Y])</f>
        <v>#N/A</v>
      </c>
      <c r="L59" s="96" t="e">
        <f>_xlfn.XLOOKUP(Table12091[[#This Row],[Opp]],Table845[DEF],Table845[TD])</f>
        <v>#N/A</v>
      </c>
      <c r="M59" s="94" t="e">
        <f>AVERAGE(Table12091[[#This Row],[*C*]:[*Y*]])</f>
        <v>#N/A</v>
      </c>
    </row>
    <row r="60" spans="2:13" x14ac:dyDescent="0.35">
      <c r="B60" s="6" t="s">
        <v>575</v>
      </c>
      <c r="C60" s="97" t="s">
        <v>40</v>
      </c>
      <c r="D60" s="97" t="s">
        <v>435</v>
      </c>
      <c r="E60" s="6">
        <v>1</v>
      </c>
      <c r="F60" s="97" t="str">
        <f>'2025'!$E$18</f>
        <v>n/a</v>
      </c>
      <c r="G60" s="94" t="e" cm="1">
        <f t="array" ref="G60">_xlfn.XLOOKUP(Table12091[[#This Row],[Opp]],Table845[DEF],'2024 fSZN'!$V$37:$V$68)</f>
        <v>#N/A</v>
      </c>
      <c r="H60" s="94" t="e" cm="1">
        <f t="array" ref="H60">_xlfn.XLOOKUP(Table12091[[#This Row],[Opp]],Table845[DEF],'2024 fSZN'!$W$37:$W$68)</f>
        <v>#N/A</v>
      </c>
      <c r="I60" s="94" t="e" cm="1">
        <f t="array" ref="I60">_xlfn.XLOOKUP(Table12091[[#This Row],[Opp]],Table845[DEF],'2024 fSZN'!$X$37:$X$68)</f>
        <v>#N/A</v>
      </c>
      <c r="J60" s="95" t="e">
        <f>_xlfn.XLOOKUP(Table12091[[#This Row],[Opp]],Table845[DEF],Table845[REC])</f>
        <v>#N/A</v>
      </c>
      <c r="K60" s="95" t="e">
        <f>_xlfn.XLOOKUP(Table12091[[#This Row],[Opp]],Table845[DEF],Table845[Y])</f>
        <v>#N/A</v>
      </c>
      <c r="L60" s="96" t="e">
        <f>_xlfn.XLOOKUP(Table12091[[#This Row],[Opp]],Table845[DEF],Table845[TD])</f>
        <v>#N/A</v>
      </c>
      <c r="M60" s="94" t="e">
        <f>AVERAGE(Table12091[[#This Row],[*C*]:[*Y*]])</f>
        <v>#N/A</v>
      </c>
    </row>
    <row r="61" spans="2:13" x14ac:dyDescent="0.35">
      <c r="B61" s="6" t="s">
        <v>260</v>
      </c>
      <c r="C61" s="97" t="s">
        <v>41</v>
      </c>
      <c r="D61" s="97" t="s">
        <v>397</v>
      </c>
      <c r="E61" s="6">
        <v>1</v>
      </c>
      <c r="F61" s="97" t="str">
        <f>'2025'!$E$19</f>
        <v>n/a</v>
      </c>
      <c r="G61" s="94" t="e" cm="1">
        <f t="array" ref="G61">_xlfn.XLOOKUP(Table12091[[#This Row],[Opp]],Table845[DEF],'2024 fSZN'!$V$37:$V$68)</f>
        <v>#N/A</v>
      </c>
      <c r="H61" s="94" t="e" cm="1">
        <f t="array" ref="H61">_xlfn.XLOOKUP(Table12091[[#This Row],[Opp]],Table845[DEF],'2024 fSZN'!$W$37:$W$68)</f>
        <v>#N/A</v>
      </c>
      <c r="I61" s="94" t="e" cm="1">
        <f t="array" ref="I61">_xlfn.XLOOKUP(Table12091[[#This Row],[Opp]],Table845[DEF],'2024 fSZN'!$X$37:$X$68)</f>
        <v>#N/A</v>
      </c>
      <c r="J61" s="95" t="e">
        <f>_xlfn.XLOOKUP(Table12091[[#This Row],[Opp]],Table845[DEF],Table845[REC])</f>
        <v>#N/A</v>
      </c>
      <c r="K61" s="95" t="e">
        <f>_xlfn.XLOOKUP(Table12091[[#This Row],[Opp]],Table845[DEF],Table845[Y])</f>
        <v>#N/A</v>
      </c>
      <c r="L61" s="96" t="e">
        <f>_xlfn.XLOOKUP(Table12091[[#This Row],[Opp]],Table845[DEF],Table845[TD])</f>
        <v>#N/A</v>
      </c>
      <c r="M61" s="94" t="e">
        <f>AVERAGE(Table12091[[#This Row],[*C*]:[*Y*]])</f>
        <v>#N/A</v>
      </c>
    </row>
    <row r="62" spans="2:13" x14ac:dyDescent="0.35">
      <c r="B62" s="6" t="s">
        <v>259</v>
      </c>
      <c r="C62" s="97" t="s">
        <v>41</v>
      </c>
      <c r="D62" s="97" t="s">
        <v>398</v>
      </c>
      <c r="E62" s="6">
        <v>1</v>
      </c>
      <c r="F62" s="97" t="str">
        <f>'2025'!$E$19</f>
        <v>n/a</v>
      </c>
      <c r="G62" s="94" t="e" cm="1">
        <f t="array" ref="G62">_xlfn.XLOOKUP(Table12091[[#This Row],[Opp]],Table845[DEF],'2024 fSZN'!$V$37:$V$68)</f>
        <v>#N/A</v>
      </c>
      <c r="H62" s="94" t="e" cm="1">
        <f t="array" ref="H62">_xlfn.XLOOKUP(Table12091[[#This Row],[Opp]],Table845[DEF],'2024 fSZN'!$W$37:$W$68)</f>
        <v>#N/A</v>
      </c>
      <c r="I62" s="94" t="e" cm="1">
        <f t="array" ref="I62">_xlfn.XLOOKUP(Table12091[[#This Row],[Opp]],Table845[DEF],'2024 fSZN'!$X$37:$X$68)</f>
        <v>#N/A</v>
      </c>
      <c r="J62" s="95" t="e">
        <f>_xlfn.XLOOKUP(Table12091[[#This Row],[Opp]],Table845[DEF],Table845[REC])</f>
        <v>#N/A</v>
      </c>
      <c r="K62" s="95" t="e">
        <f>_xlfn.XLOOKUP(Table12091[[#This Row],[Opp]],Table845[DEF],Table845[Y])</f>
        <v>#N/A</v>
      </c>
      <c r="L62" s="96" t="e">
        <f>_xlfn.XLOOKUP(Table12091[[#This Row],[Opp]],Table845[DEF],Table845[TD])</f>
        <v>#N/A</v>
      </c>
      <c r="M62" s="94" t="e">
        <f>AVERAGE(Table12091[[#This Row],[*C*]:[*Y*]])</f>
        <v>#N/A</v>
      </c>
    </row>
    <row r="63" spans="2:13" x14ac:dyDescent="0.35">
      <c r="B63" s="6" t="s">
        <v>560</v>
      </c>
      <c r="C63" s="97" t="s">
        <v>41</v>
      </c>
      <c r="D63" s="97" t="s">
        <v>430</v>
      </c>
      <c r="E63" s="6">
        <v>1</v>
      </c>
      <c r="F63" s="97" t="str">
        <f>'2025'!$E$19</f>
        <v>n/a</v>
      </c>
      <c r="G63" s="94" t="e" cm="1">
        <f t="array" ref="G63">_xlfn.XLOOKUP(Table12091[[#This Row],[Opp]],Table845[DEF],'2024 fSZN'!$V$37:$V$68)</f>
        <v>#N/A</v>
      </c>
      <c r="H63" s="94" t="e" cm="1">
        <f t="array" ref="H63">_xlfn.XLOOKUP(Table12091[[#This Row],[Opp]],Table845[DEF],'2024 fSZN'!$W$37:$W$68)</f>
        <v>#N/A</v>
      </c>
      <c r="I63" s="94" t="e" cm="1">
        <f t="array" ref="I63">_xlfn.XLOOKUP(Table12091[[#This Row],[Opp]],Table845[DEF],'2024 fSZN'!$X$37:$X$68)</f>
        <v>#N/A</v>
      </c>
      <c r="J63" s="95" t="e">
        <f>_xlfn.XLOOKUP(Table12091[[#This Row],[Opp]],Table845[DEF],Table845[REC])</f>
        <v>#N/A</v>
      </c>
      <c r="K63" s="95" t="e">
        <f>_xlfn.XLOOKUP(Table12091[[#This Row],[Opp]],Table845[DEF],Table845[Y])</f>
        <v>#N/A</v>
      </c>
      <c r="L63" s="96" t="e">
        <f>_xlfn.XLOOKUP(Table12091[[#This Row],[Opp]],Table845[DEF],Table845[TD])</f>
        <v>#N/A</v>
      </c>
      <c r="M63" s="94" t="e">
        <f>AVERAGE(Table12091[[#This Row],[*C*]:[*Y*]])</f>
        <v>#N/A</v>
      </c>
    </row>
    <row r="64" spans="2:13" x14ac:dyDescent="0.35">
      <c r="B64" s="6" t="s">
        <v>564</v>
      </c>
      <c r="C64" s="97" t="s">
        <v>41</v>
      </c>
      <c r="D64" s="97" t="s">
        <v>435</v>
      </c>
      <c r="E64" s="6">
        <v>1</v>
      </c>
      <c r="F64" s="97" t="str">
        <f>'2025'!$E$19</f>
        <v>n/a</v>
      </c>
      <c r="G64" s="94" t="e" cm="1">
        <f t="array" ref="G64">_xlfn.XLOOKUP(Table12091[[#This Row],[Opp]],Table845[DEF],'2024 fSZN'!$V$37:$V$68)</f>
        <v>#N/A</v>
      </c>
      <c r="H64" s="94" t="e" cm="1">
        <f t="array" ref="H64">_xlfn.XLOOKUP(Table12091[[#This Row],[Opp]],Table845[DEF],'2024 fSZN'!$W$37:$W$68)</f>
        <v>#N/A</v>
      </c>
      <c r="I64" s="94" t="e" cm="1">
        <f t="array" ref="I64">_xlfn.XLOOKUP(Table12091[[#This Row],[Opp]],Table845[DEF],'2024 fSZN'!$X$37:$X$68)</f>
        <v>#N/A</v>
      </c>
      <c r="J64" s="95" t="e">
        <f>_xlfn.XLOOKUP(Table12091[[#This Row],[Opp]],Table845[DEF],Table845[REC])</f>
        <v>#N/A</v>
      </c>
      <c r="K64" s="95" t="e">
        <f>_xlfn.XLOOKUP(Table12091[[#This Row],[Opp]],Table845[DEF],Table845[Y])</f>
        <v>#N/A</v>
      </c>
      <c r="L64" s="96" t="e">
        <f>_xlfn.XLOOKUP(Table12091[[#This Row],[Opp]],Table845[DEF],Table845[TD])</f>
        <v>#N/A</v>
      </c>
      <c r="M64" s="94" t="e">
        <f>AVERAGE(Table12091[[#This Row],[*C*]:[*Y*]])</f>
        <v>#N/A</v>
      </c>
    </row>
    <row r="65" spans="2:13" x14ac:dyDescent="0.35">
      <c r="B65" s="6" t="s">
        <v>269</v>
      </c>
      <c r="C65" s="97" t="s">
        <v>42</v>
      </c>
      <c r="D65" s="97" t="s">
        <v>397</v>
      </c>
      <c r="E65" s="6">
        <v>1</v>
      </c>
      <c r="F65" s="97" t="str">
        <f>'2025'!$E$20</f>
        <v>n/a</v>
      </c>
      <c r="G65" s="94" t="e" cm="1">
        <f t="array" ref="G65">_xlfn.XLOOKUP(Table12091[[#This Row],[Opp]],Table845[DEF],'2024 fSZN'!$V$37:$V$68)</f>
        <v>#N/A</v>
      </c>
      <c r="H65" s="94" t="e" cm="1">
        <f t="array" ref="H65">_xlfn.XLOOKUP(Table12091[[#This Row],[Opp]],Table845[DEF],'2024 fSZN'!$W$37:$W$68)</f>
        <v>#N/A</v>
      </c>
      <c r="I65" s="94" t="e" cm="1">
        <f t="array" ref="I65">_xlfn.XLOOKUP(Table12091[[#This Row],[Opp]],Table845[DEF],'2024 fSZN'!$X$37:$X$68)</f>
        <v>#N/A</v>
      </c>
      <c r="J65" s="95" t="e">
        <f>_xlfn.XLOOKUP(Table12091[[#This Row],[Opp]],Table845[DEF],Table845[REC])</f>
        <v>#N/A</v>
      </c>
      <c r="K65" s="95" t="e">
        <f>_xlfn.XLOOKUP(Table12091[[#This Row],[Opp]],Table845[DEF],Table845[Y])</f>
        <v>#N/A</v>
      </c>
      <c r="L65" s="96" t="e">
        <f>_xlfn.XLOOKUP(Table12091[[#This Row],[Opp]],Table845[DEF],Table845[TD])</f>
        <v>#N/A</v>
      </c>
      <c r="M65" s="94" t="e">
        <f>AVERAGE(Table12091[[#This Row],[*C*]:[*Y*]])</f>
        <v>#N/A</v>
      </c>
    </row>
    <row r="66" spans="2:13" x14ac:dyDescent="0.35">
      <c r="B66" s="6" t="s">
        <v>270</v>
      </c>
      <c r="C66" s="97" t="s">
        <v>42</v>
      </c>
      <c r="D66" s="97" t="s">
        <v>398</v>
      </c>
      <c r="E66" s="6">
        <v>1</v>
      </c>
      <c r="F66" s="97" t="str">
        <f>'2025'!$E$20</f>
        <v>n/a</v>
      </c>
      <c r="G66" s="94" t="e" cm="1">
        <f t="array" ref="G66">_xlfn.XLOOKUP(Table12091[[#This Row],[Opp]],Table845[DEF],'2024 fSZN'!$V$37:$V$68)</f>
        <v>#N/A</v>
      </c>
      <c r="H66" s="94" t="e" cm="1">
        <f t="array" ref="H66">_xlfn.XLOOKUP(Table12091[[#This Row],[Opp]],Table845[DEF],'2024 fSZN'!$W$37:$W$68)</f>
        <v>#N/A</v>
      </c>
      <c r="I66" s="94" t="e" cm="1">
        <f t="array" ref="I66">_xlfn.XLOOKUP(Table12091[[#This Row],[Opp]],Table845[DEF],'2024 fSZN'!$X$37:$X$68)</f>
        <v>#N/A</v>
      </c>
      <c r="J66" s="95" t="e">
        <f>_xlfn.XLOOKUP(Table12091[[#This Row],[Opp]],Table845[DEF],Table845[REC])</f>
        <v>#N/A</v>
      </c>
      <c r="K66" s="95" t="e">
        <f>_xlfn.XLOOKUP(Table12091[[#This Row],[Opp]],Table845[DEF],Table845[Y])</f>
        <v>#N/A</v>
      </c>
      <c r="L66" s="96" t="e">
        <f>_xlfn.XLOOKUP(Table12091[[#This Row],[Opp]],Table845[DEF],Table845[TD])</f>
        <v>#N/A</v>
      </c>
      <c r="M66" s="94" t="e">
        <f>AVERAGE(Table12091[[#This Row],[*C*]:[*Y*]])</f>
        <v>#N/A</v>
      </c>
    </row>
    <row r="67" spans="2:13" x14ac:dyDescent="0.35">
      <c r="B67" s="6" t="s">
        <v>551</v>
      </c>
      <c r="C67" s="97" t="s">
        <v>42</v>
      </c>
      <c r="D67" s="97" t="s">
        <v>430</v>
      </c>
      <c r="E67" s="6">
        <v>1</v>
      </c>
      <c r="F67" s="97" t="str">
        <f>'2025'!$E$20</f>
        <v>n/a</v>
      </c>
      <c r="G67" s="94" t="e" cm="1">
        <f t="array" ref="G67">_xlfn.XLOOKUP(Table12091[[#This Row],[Opp]],Table845[DEF],'2024 fSZN'!$V$37:$V$68)</f>
        <v>#N/A</v>
      </c>
      <c r="H67" s="94" t="e" cm="1">
        <f t="array" ref="H67">_xlfn.XLOOKUP(Table12091[[#This Row],[Opp]],Table845[DEF],'2024 fSZN'!$W$37:$W$68)</f>
        <v>#N/A</v>
      </c>
      <c r="I67" s="94" t="e" cm="1">
        <f t="array" ref="I67">_xlfn.XLOOKUP(Table12091[[#This Row],[Opp]],Table845[DEF],'2024 fSZN'!$X$37:$X$68)</f>
        <v>#N/A</v>
      </c>
      <c r="J67" s="95" t="e">
        <f>_xlfn.XLOOKUP(Table12091[[#This Row],[Opp]],Table845[DEF],Table845[REC])</f>
        <v>#N/A</v>
      </c>
      <c r="K67" s="95" t="e">
        <f>_xlfn.XLOOKUP(Table12091[[#This Row],[Opp]],Table845[DEF],Table845[Y])</f>
        <v>#N/A</v>
      </c>
      <c r="L67" s="96" t="e">
        <f>_xlfn.XLOOKUP(Table12091[[#This Row],[Opp]],Table845[DEF],Table845[TD])</f>
        <v>#N/A</v>
      </c>
      <c r="M67" s="94" t="e">
        <f>AVERAGE(Table12091[[#This Row],[*C*]:[*Y*]])</f>
        <v>#N/A</v>
      </c>
    </row>
    <row r="68" spans="2:13" x14ac:dyDescent="0.35">
      <c r="B68" s="6" t="s">
        <v>552</v>
      </c>
      <c r="C68" s="97" t="s">
        <v>42</v>
      </c>
      <c r="D68" s="97" t="s">
        <v>435</v>
      </c>
      <c r="E68" s="6">
        <v>1</v>
      </c>
      <c r="F68" s="97" t="str">
        <f>'2025'!$E$20</f>
        <v>n/a</v>
      </c>
      <c r="G68" s="94" t="e" cm="1">
        <f t="array" ref="G68">_xlfn.XLOOKUP(Table12091[[#This Row],[Opp]],Table845[DEF],'2024 fSZN'!$V$37:$V$68)</f>
        <v>#N/A</v>
      </c>
      <c r="H68" s="94" t="e" cm="1">
        <f t="array" ref="H68">_xlfn.XLOOKUP(Table12091[[#This Row],[Opp]],Table845[DEF],'2024 fSZN'!$W$37:$W$68)</f>
        <v>#N/A</v>
      </c>
      <c r="I68" s="94" t="e" cm="1">
        <f t="array" ref="I68">_xlfn.XLOOKUP(Table12091[[#This Row],[Opp]],Table845[DEF],'2024 fSZN'!$X$37:$X$68)</f>
        <v>#N/A</v>
      </c>
      <c r="J68" s="95" t="e">
        <f>_xlfn.XLOOKUP(Table12091[[#This Row],[Opp]],Table845[DEF],Table845[REC])</f>
        <v>#N/A</v>
      </c>
      <c r="K68" s="95" t="e">
        <f>_xlfn.XLOOKUP(Table12091[[#This Row],[Opp]],Table845[DEF],Table845[Y])</f>
        <v>#N/A</v>
      </c>
      <c r="L68" s="96" t="e">
        <f>_xlfn.XLOOKUP(Table12091[[#This Row],[Opp]],Table845[DEF],Table845[TD])</f>
        <v>#N/A</v>
      </c>
      <c r="M68" s="94" t="e">
        <f>AVERAGE(Table12091[[#This Row],[*C*]:[*Y*]])</f>
        <v>#N/A</v>
      </c>
    </row>
    <row r="69" spans="2:13" x14ac:dyDescent="0.35">
      <c r="B69" s="6" t="s">
        <v>278</v>
      </c>
      <c r="C69" s="97" t="s">
        <v>43</v>
      </c>
      <c r="D69" s="97" t="s">
        <v>397</v>
      </c>
      <c r="E69" s="6">
        <v>1</v>
      </c>
      <c r="F69" s="97" t="str">
        <f>'2025'!$E$21</f>
        <v>n/a</v>
      </c>
      <c r="G69" s="94" t="e" cm="1">
        <f t="array" ref="G69">_xlfn.XLOOKUP(Table12091[[#This Row],[Opp]],Table845[DEF],'2024 fSZN'!$V$37:$V$68)</f>
        <v>#N/A</v>
      </c>
      <c r="H69" s="94" t="e" cm="1">
        <f t="array" ref="H69">_xlfn.XLOOKUP(Table12091[[#This Row],[Opp]],Table845[DEF],'2024 fSZN'!$W$37:$W$68)</f>
        <v>#N/A</v>
      </c>
      <c r="I69" s="94" t="e" cm="1">
        <f t="array" ref="I69">_xlfn.XLOOKUP(Table12091[[#This Row],[Opp]],Table845[DEF],'2024 fSZN'!$X$37:$X$68)</f>
        <v>#N/A</v>
      </c>
      <c r="J69" s="95" t="e">
        <f>_xlfn.XLOOKUP(Table12091[[#This Row],[Opp]],Table845[DEF],Table845[REC])</f>
        <v>#N/A</v>
      </c>
      <c r="K69" s="95" t="e">
        <f>_xlfn.XLOOKUP(Table12091[[#This Row],[Opp]],Table845[DEF],Table845[Y])</f>
        <v>#N/A</v>
      </c>
      <c r="L69" s="96" t="e">
        <f>_xlfn.XLOOKUP(Table12091[[#This Row],[Opp]],Table845[DEF],Table845[TD])</f>
        <v>#N/A</v>
      </c>
      <c r="M69" s="94" t="e">
        <f>AVERAGE(Table12091[[#This Row],[*C*]:[*Y*]])</f>
        <v>#N/A</v>
      </c>
    </row>
    <row r="70" spans="2:13" x14ac:dyDescent="0.35">
      <c r="B70" s="6" t="s">
        <v>279</v>
      </c>
      <c r="C70" s="97" t="s">
        <v>43</v>
      </c>
      <c r="D70" s="97" t="s">
        <v>398</v>
      </c>
      <c r="E70" s="6">
        <v>1</v>
      </c>
      <c r="F70" s="97" t="str">
        <f>'2025'!$E$21</f>
        <v>n/a</v>
      </c>
      <c r="G70" s="94" t="e" cm="1">
        <f t="array" ref="G70">_xlfn.XLOOKUP(Table12091[[#This Row],[Opp]],Table845[DEF],'2024 fSZN'!$V$37:$V$68)</f>
        <v>#N/A</v>
      </c>
      <c r="H70" s="94" t="e" cm="1">
        <f t="array" ref="H70">_xlfn.XLOOKUP(Table12091[[#This Row],[Opp]],Table845[DEF],'2024 fSZN'!$W$37:$W$68)</f>
        <v>#N/A</v>
      </c>
      <c r="I70" s="94" t="e" cm="1">
        <f t="array" ref="I70">_xlfn.XLOOKUP(Table12091[[#This Row],[Opp]],Table845[DEF],'2024 fSZN'!$X$37:$X$68)</f>
        <v>#N/A</v>
      </c>
      <c r="J70" s="95" t="e">
        <f>_xlfn.XLOOKUP(Table12091[[#This Row],[Opp]],Table845[DEF],Table845[REC])</f>
        <v>#N/A</v>
      </c>
      <c r="K70" s="95" t="e">
        <f>_xlfn.XLOOKUP(Table12091[[#This Row],[Opp]],Table845[DEF],Table845[Y])</f>
        <v>#N/A</v>
      </c>
      <c r="L70" s="96" t="e">
        <f>_xlfn.XLOOKUP(Table12091[[#This Row],[Opp]],Table845[DEF],Table845[TD])</f>
        <v>#N/A</v>
      </c>
      <c r="M70" s="94" t="e">
        <f>AVERAGE(Table12091[[#This Row],[*C*]:[*Y*]])</f>
        <v>#N/A</v>
      </c>
    </row>
    <row r="71" spans="2:13" x14ac:dyDescent="0.35">
      <c r="B71" s="6" t="s">
        <v>569</v>
      </c>
      <c r="C71" s="97" t="s">
        <v>43</v>
      </c>
      <c r="D71" s="97" t="s">
        <v>430</v>
      </c>
      <c r="E71" s="6">
        <v>1</v>
      </c>
      <c r="F71" s="97" t="str">
        <f>'2025'!$E$21</f>
        <v>n/a</v>
      </c>
      <c r="G71" s="94" t="e" cm="1">
        <f t="array" ref="G71">_xlfn.XLOOKUP(Table12091[[#This Row],[Opp]],Table845[DEF],'2024 fSZN'!$V$37:$V$68)</f>
        <v>#N/A</v>
      </c>
      <c r="H71" s="94" t="e" cm="1">
        <f t="array" ref="H71">_xlfn.XLOOKUP(Table12091[[#This Row],[Opp]],Table845[DEF],'2024 fSZN'!$W$37:$W$68)</f>
        <v>#N/A</v>
      </c>
      <c r="I71" s="94" t="e" cm="1">
        <f t="array" ref="I71">_xlfn.XLOOKUP(Table12091[[#This Row],[Opp]],Table845[DEF],'2024 fSZN'!$X$37:$X$68)</f>
        <v>#N/A</v>
      </c>
      <c r="J71" s="95" t="e">
        <f>_xlfn.XLOOKUP(Table12091[[#This Row],[Opp]],Table845[DEF],Table845[REC])</f>
        <v>#N/A</v>
      </c>
      <c r="K71" s="95" t="e">
        <f>_xlfn.XLOOKUP(Table12091[[#This Row],[Opp]],Table845[DEF],Table845[Y])</f>
        <v>#N/A</v>
      </c>
      <c r="L71" s="96" t="e">
        <f>_xlfn.XLOOKUP(Table12091[[#This Row],[Opp]],Table845[DEF],Table845[TD])</f>
        <v>#N/A</v>
      </c>
      <c r="M71" s="94" t="e">
        <f>AVERAGE(Table12091[[#This Row],[*C*]:[*Y*]])</f>
        <v>#N/A</v>
      </c>
    </row>
    <row r="72" spans="2:13" x14ac:dyDescent="0.35">
      <c r="B72" s="6" t="s">
        <v>289</v>
      </c>
      <c r="C72" s="97" t="s">
        <v>44</v>
      </c>
      <c r="D72" s="97" t="s">
        <v>397</v>
      </c>
      <c r="E72" s="6">
        <v>1</v>
      </c>
      <c r="F72" s="97" t="str">
        <f>'2025'!$E$22</f>
        <v>n/a</v>
      </c>
      <c r="G72" s="94" t="e" cm="1">
        <f t="array" ref="G72">_xlfn.XLOOKUP(Table12091[[#This Row],[Opp]],Table845[DEF],'2024 fSZN'!$V$37:$V$68)</f>
        <v>#N/A</v>
      </c>
      <c r="H72" s="94" t="e" cm="1">
        <f t="array" ref="H72">_xlfn.XLOOKUP(Table12091[[#This Row],[Opp]],Table845[DEF],'2024 fSZN'!$W$37:$W$68)</f>
        <v>#N/A</v>
      </c>
      <c r="I72" s="94" t="e" cm="1">
        <f t="array" ref="I72">_xlfn.XLOOKUP(Table12091[[#This Row],[Opp]],Table845[DEF],'2024 fSZN'!$X$37:$X$68)</f>
        <v>#N/A</v>
      </c>
      <c r="J72" s="95" t="e">
        <f>_xlfn.XLOOKUP(Table12091[[#This Row],[Opp]],Table845[DEF],Table845[REC])</f>
        <v>#N/A</v>
      </c>
      <c r="K72" s="95" t="e">
        <f>_xlfn.XLOOKUP(Table12091[[#This Row],[Opp]],Table845[DEF],Table845[Y])</f>
        <v>#N/A</v>
      </c>
      <c r="L72" s="96" t="e">
        <f>_xlfn.XLOOKUP(Table12091[[#This Row],[Opp]],Table845[DEF],Table845[TD])</f>
        <v>#N/A</v>
      </c>
      <c r="M72" s="94" t="e">
        <f>AVERAGE(Table12091[[#This Row],[*C*]:[*Y*]])</f>
        <v>#N/A</v>
      </c>
    </row>
    <row r="73" spans="2:13" x14ac:dyDescent="0.35">
      <c r="B73" s="6" t="s">
        <v>120</v>
      </c>
      <c r="C73" s="97" t="s">
        <v>44</v>
      </c>
      <c r="D73" s="97" t="s">
        <v>398</v>
      </c>
      <c r="E73" s="6">
        <v>1</v>
      </c>
      <c r="F73" s="97" t="str">
        <f>'2025'!$E$22</f>
        <v>n/a</v>
      </c>
      <c r="G73" s="94" t="e" cm="1">
        <f t="array" ref="G73">_xlfn.XLOOKUP(Table12091[[#This Row],[Opp]],Table845[DEF],'2024 fSZN'!$V$37:$V$68)</f>
        <v>#N/A</v>
      </c>
      <c r="H73" s="94" t="e" cm="1">
        <f t="array" ref="H73">_xlfn.XLOOKUP(Table12091[[#This Row],[Opp]],Table845[DEF],'2024 fSZN'!$W$37:$W$68)</f>
        <v>#N/A</v>
      </c>
      <c r="I73" s="94" t="e" cm="1">
        <f t="array" ref="I73">_xlfn.XLOOKUP(Table12091[[#This Row],[Opp]],Table845[DEF],'2024 fSZN'!$X$37:$X$68)</f>
        <v>#N/A</v>
      </c>
      <c r="J73" s="95" t="e">
        <f>_xlfn.XLOOKUP(Table12091[[#This Row],[Opp]],Table845[DEF],Table845[REC])</f>
        <v>#N/A</v>
      </c>
      <c r="K73" s="95" t="e">
        <f>_xlfn.XLOOKUP(Table12091[[#This Row],[Opp]],Table845[DEF],Table845[Y])</f>
        <v>#N/A</v>
      </c>
      <c r="L73" s="96" t="e">
        <f>_xlfn.XLOOKUP(Table12091[[#This Row],[Opp]],Table845[DEF],Table845[TD])</f>
        <v>#N/A</v>
      </c>
      <c r="M73" s="94" t="e">
        <f>AVERAGE(Table12091[[#This Row],[*C*]:[*Y*]])</f>
        <v>#N/A</v>
      </c>
    </row>
    <row r="74" spans="2:13" x14ac:dyDescent="0.35">
      <c r="B74" s="6" t="s">
        <v>432</v>
      </c>
      <c r="C74" s="97" t="s">
        <v>44</v>
      </c>
      <c r="D74" s="97" t="s">
        <v>430</v>
      </c>
      <c r="E74" s="6">
        <v>1</v>
      </c>
      <c r="F74" s="97" t="str">
        <f>'2025'!$E$22</f>
        <v>n/a</v>
      </c>
      <c r="G74" s="94" t="e" cm="1">
        <f t="array" ref="G74">_xlfn.XLOOKUP(Table12091[[#This Row],[Opp]],Table845[DEF],'2024 fSZN'!$V$37:$V$68)</f>
        <v>#N/A</v>
      </c>
      <c r="H74" s="94" t="e" cm="1">
        <f t="array" ref="H74">_xlfn.XLOOKUP(Table12091[[#This Row],[Opp]],Table845[DEF],'2024 fSZN'!$W$37:$W$68)</f>
        <v>#N/A</v>
      </c>
      <c r="I74" s="94" t="e" cm="1">
        <f t="array" ref="I74">_xlfn.XLOOKUP(Table12091[[#This Row],[Opp]],Table845[DEF],'2024 fSZN'!$X$37:$X$68)</f>
        <v>#N/A</v>
      </c>
      <c r="J74" s="95" t="e">
        <f>_xlfn.XLOOKUP(Table12091[[#This Row],[Opp]],Table845[DEF],Table845[REC])</f>
        <v>#N/A</v>
      </c>
      <c r="K74" s="95" t="e">
        <f>_xlfn.XLOOKUP(Table12091[[#This Row],[Opp]],Table845[DEF],Table845[Y])</f>
        <v>#N/A</v>
      </c>
      <c r="L74" s="96" t="e">
        <f>_xlfn.XLOOKUP(Table12091[[#This Row],[Opp]],Table845[DEF],Table845[TD])</f>
        <v>#N/A</v>
      </c>
      <c r="M74" s="94" t="e">
        <f>AVERAGE(Table12091[[#This Row],[*C*]:[*Y*]])</f>
        <v>#N/A</v>
      </c>
    </row>
    <row r="75" spans="2:13" x14ac:dyDescent="0.35">
      <c r="B75" s="6" t="s">
        <v>434</v>
      </c>
      <c r="C75" s="97" t="s">
        <v>44</v>
      </c>
      <c r="D75" s="97" t="s">
        <v>435</v>
      </c>
      <c r="E75" s="6">
        <v>-1</v>
      </c>
      <c r="F75" s="97" t="str">
        <f>'2025'!$E$22</f>
        <v>n/a</v>
      </c>
      <c r="G75" s="94" t="e" cm="1">
        <f t="array" ref="G75">_xlfn.XLOOKUP(Table12091[[#This Row],[Opp]],Table845[DEF],'2024 fSZN'!$V$37:$V$68)</f>
        <v>#N/A</v>
      </c>
      <c r="H75" s="94" t="e" cm="1">
        <f t="array" ref="H75">_xlfn.XLOOKUP(Table12091[[#This Row],[Opp]],Table845[DEF],'2024 fSZN'!$W$37:$W$68)</f>
        <v>#N/A</v>
      </c>
      <c r="I75" s="94" t="e" cm="1">
        <f t="array" ref="I75">_xlfn.XLOOKUP(Table12091[[#This Row],[Opp]],Table845[DEF],'2024 fSZN'!$X$37:$X$68)</f>
        <v>#N/A</v>
      </c>
      <c r="J75" s="95" t="e">
        <f>_xlfn.XLOOKUP(Table12091[[#This Row],[Opp]],Table845[DEF],Table845[REC])</f>
        <v>#N/A</v>
      </c>
      <c r="K75" s="95" t="e">
        <f>_xlfn.XLOOKUP(Table12091[[#This Row],[Opp]],Table845[DEF],Table845[Y])</f>
        <v>#N/A</v>
      </c>
      <c r="L75" s="96" t="e">
        <f>_xlfn.XLOOKUP(Table12091[[#This Row],[Opp]],Table845[DEF],Table845[TD])</f>
        <v>#N/A</v>
      </c>
      <c r="M75" s="94" t="e">
        <f>AVERAGE(Table12091[[#This Row],[*C*]:[*Y*]])</f>
        <v>#N/A</v>
      </c>
    </row>
    <row r="76" spans="2:13" x14ac:dyDescent="0.35">
      <c r="B76" s="6" t="s">
        <v>297</v>
      </c>
      <c r="C76" s="97" t="s">
        <v>45</v>
      </c>
      <c r="D76" s="97" t="s">
        <v>397</v>
      </c>
      <c r="E76" s="6">
        <v>1</v>
      </c>
      <c r="F76" s="97" t="str">
        <f>'2025'!$E$23</f>
        <v>n/a</v>
      </c>
      <c r="G76" s="94" t="e" cm="1">
        <f t="array" ref="G76">_xlfn.XLOOKUP(Table12091[[#This Row],[Opp]],Table845[DEF],'2024 fSZN'!$V$37:$V$68)</f>
        <v>#N/A</v>
      </c>
      <c r="H76" s="94" t="e" cm="1">
        <f t="array" ref="H76">_xlfn.XLOOKUP(Table12091[[#This Row],[Opp]],Table845[DEF],'2024 fSZN'!$W$37:$W$68)</f>
        <v>#N/A</v>
      </c>
      <c r="I76" s="94" t="e" cm="1">
        <f t="array" ref="I76">_xlfn.XLOOKUP(Table12091[[#This Row],[Opp]],Table845[DEF],'2024 fSZN'!$X$37:$X$68)</f>
        <v>#N/A</v>
      </c>
      <c r="J76" s="95" t="e">
        <f>_xlfn.XLOOKUP(Table12091[[#This Row],[Opp]],Table845[DEF],Table845[REC])</f>
        <v>#N/A</v>
      </c>
      <c r="K76" s="95" t="e">
        <f>_xlfn.XLOOKUP(Table12091[[#This Row],[Opp]],Table845[DEF],Table845[Y])</f>
        <v>#N/A</v>
      </c>
      <c r="L76" s="96" t="e">
        <f>_xlfn.XLOOKUP(Table12091[[#This Row],[Opp]],Table845[DEF],Table845[TD])</f>
        <v>#N/A</v>
      </c>
      <c r="M76" s="94" t="e">
        <f>AVERAGE(Table12091[[#This Row],[*C*]:[*Y*]])</f>
        <v>#N/A</v>
      </c>
    </row>
    <row r="77" spans="2:13" x14ac:dyDescent="0.35">
      <c r="B77" s="6" t="s">
        <v>298</v>
      </c>
      <c r="C77" s="97" t="s">
        <v>45</v>
      </c>
      <c r="D77" s="97" t="s">
        <v>398</v>
      </c>
      <c r="E77" s="6">
        <v>1</v>
      </c>
      <c r="F77" s="97" t="str">
        <f>'2025'!$E$23</f>
        <v>n/a</v>
      </c>
      <c r="G77" s="94" t="e" cm="1">
        <f t="array" ref="G77">_xlfn.XLOOKUP(Table12091[[#This Row],[Opp]],Table845[DEF],'2024 fSZN'!$V$37:$V$68)</f>
        <v>#N/A</v>
      </c>
      <c r="H77" s="94" t="e" cm="1">
        <f t="array" ref="H77">_xlfn.XLOOKUP(Table12091[[#This Row],[Opp]],Table845[DEF],'2024 fSZN'!$W$37:$W$68)</f>
        <v>#N/A</v>
      </c>
      <c r="I77" s="94" t="e" cm="1">
        <f t="array" ref="I77">_xlfn.XLOOKUP(Table12091[[#This Row],[Opp]],Table845[DEF],'2024 fSZN'!$X$37:$X$68)</f>
        <v>#N/A</v>
      </c>
      <c r="J77" s="95" t="e">
        <f>_xlfn.XLOOKUP(Table12091[[#This Row],[Opp]],Table845[DEF],Table845[REC])</f>
        <v>#N/A</v>
      </c>
      <c r="K77" s="95" t="e">
        <f>_xlfn.XLOOKUP(Table12091[[#This Row],[Opp]],Table845[DEF],Table845[Y])</f>
        <v>#N/A</v>
      </c>
      <c r="L77" s="96" t="e">
        <f>_xlfn.XLOOKUP(Table12091[[#This Row],[Opp]],Table845[DEF],Table845[TD])</f>
        <v>#N/A</v>
      </c>
      <c r="M77" s="94" t="e">
        <f>AVERAGE(Table12091[[#This Row],[*C*]:[*Y*]])</f>
        <v>#N/A</v>
      </c>
    </row>
    <row r="78" spans="2:13" x14ac:dyDescent="0.35">
      <c r="B78" s="6" t="s">
        <v>523</v>
      </c>
      <c r="C78" s="97" t="s">
        <v>45</v>
      </c>
      <c r="D78" s="98" t="s">
        <v>430</v>
      </c>
      <c r="E78" s="6">
        <v>-1</v>
      </c>
      <c r="F78" s="97" t="str">
        <f>'2025'!$E$23</f>
        <v>n/a</v>
      </c>
      <c r="G78" s="94" t="e" cm="1">
        <f t="array" ref="G78">_xlfn.XLOOKUP(Table12091[[#This Row],[Opp]],Table845[DEF],'2024 fSZN'!$V$37:$V$68)</f>
        <v>#N/A</v>
      </c>
      <c r="H78" s="94" t="e" cm="1">
        <f t="array" ref="H78">_xlfn.XLOOKUP(Table12091[[#This Row],[Opp]],Table845[DEF],'2024 fSZN'!$W$37:$W$68)</f>
        <v>#N/A</v>
      </c>
      <c r="I78" s="94" t="e" cm="1">
        <f t="array" ref="I78">_xlfn.XLOOKUP(Table12091[[#This Row],[Opp]],Table845[DEF],'2024 fSZN'!$X$37:$X$68)</f>
        <v>#N/A</v>
      </c>
      <c r="J78" s="95" t="e">
        <f>_xlfn.XLOOKUP(Table12091[[#This Row],[Opp]],Table845[DEF],Table845[REC])</f>
        <v>#N/A</v>
      </c>
      <c r="K78" s="95" t="e">
        <f>_xlfn.XLOOKUP(Table12091[[#This Row],[Opp]],Table845[DEF],Table845[Y])</f>
        <v>#N/A</v>
      </c>
      <c r="L78" s="96" t="e">
        <f>_xlfn.XLOOKUP(Table12091[[#This Row],[Opp]],Table845[DEF],Table845[TD])</f>
        <v>#N/A</v>
      </c>
      <c r="M78" s="94" t="e">
        <f>AVERAGE(Table12091[[#This Row],[*C*]:[*Y*]])</f>
        <v>#N/A</v>
      </c>
    </row>
    <row r="79" spans="2:13" x14ac:dyDescent="0.35">
      <c r="B79" s="6" t="s">
        <v>307</v>
      </c>
      <c r="C79" s="97" t="s">
        <v>46</v>
      </c>
      <c r="D79" s="97" t="s">
        <v>397</v>
      </c>
      <c r="E79" s="6">
        <v>1</v>
      </c>
      <c r="F79" s="97" t="str">
        <f>'2025'!$E$24</f>
        <v>SEA</v>
      </c>
      <c r="G79" s="94" cm="1">
        <f t="array" ref="G79">_xlfn.XLOOKUP(Table12091[[#This Row],[Opp]],Table845[DEF],'2024 fSZN'!$V$37:$V$68)</f>
        <v>17</v>
      </c>
      <c r="H79" s="94" cm="1">
        <f t="array" ref="H79">_xlfn.XLOOKUP(Table12091[[#This Row],[Opp]],Table845[DEF],'2024 fSZN'!$W$37:$W$68)</f>
        <v>15</v>
      </c>
      <c r="I79" s="94" cm="1">
        <f t="array" ref="I79">_xlfn.XLOOKUP(Table12091[[#This Row],[Opp]],Table845[DEF],'2024 fSZN'!$X$37:$X$68)</f>
        <v>26</v>
      </c>
      <c r="J79" s="95">
        <f>_xlfn.XLOOKUP(Table12091[[#This Row],[Opp]],Table845[DEF],Table845[REC])</f>
        <v>5.0588235294117645</v>
      </c>
      <c r="K79" s="95">
        <f>_xlfn.XLOOKUP(Table12091[[#This Row],[Opp]],Table845[DEF],Table845[Y])</f>
        <v>52.352941176470587</v>
      </c>
      <c r="L79" s="96">
        <f>_xlfn.XLOOKUP(Table12091[[#This Row],[Opp]],Table845[DEF],Table845[TD])</f>
        <v>0.23529411764705882</v>
      </c>
      <c r="M79" s="94">
        <f>AVERAGE(Table12091[[#This Row],[*C*]:[*Y*]])</f>
        <v>16</v>
      </c>
    </row>
    <row r="80" spans="2:13" x14ac:dyDescent="0.35">
      <c r="B80" s="6" t="s">
        <v>308</v>
      </c>
      <c r="C80" s="97" t="s">
        <v>46</v>
      </c>
      <c r="D80" s="97" t="s">
        <v>398</v>
      </c>
      <c r="E80" s="6">
        <v>1</v>
      </c>
      <c r="F80" s="97" t="str">
        <f>'2025'!$E$24</f>
        <v>SEA</v>
      </c>
      <c r="G80" s="94" cm="1">
        <f t="array" ref="G80">_xlfn.XLOOKUP(Table12091[[#This Row],[Opp]],Table845[DEF],'2024 fSZN'!$V$37:$V$68)</f>
        <v>17</v>
      </c>
      <c r="H80" s="94" cm="1">
        <f t="array" ref="H80">_xlfn.XLOOKUP(Table12091[[#This Row],[Opp]],Table845[DEF],'2024 fSZN'!$W$37:$W$68)</f>
        <v>15</v>
      </c>
      <c r="I80" s="94" cm="1">
        <f t="array" ref="I80">_xlfn.XLOOKUP(Table12091[[#This Row],[Opp]],Table845[DEF],'2024 fSZN'!$X$37:$X$68)</f>
        <v>26</v>
      </c>
      <c r="J80" s="95">
        <f>_xlfn.XLOOKUP(Table12091[[#This Row],[Opp]],Table845[DEF],Table845[REC])</f>
        <v>5.0588235294117645</v>
      </c>
      <c r="K80" s="95">
        <f>_xlfn.XLOOKUP(Table12091[[#This Row],[Opp]],Table845[DEF],Table845[Y])</f>
        <v>52.352941176470587</v>
      </c>
      <c r="L80" s="96">
        <f>_xlfn.XLOOKUP(Table12091[[#This Row],[Opp]],Table845[DEF],Table845[TD])</f>
        <v>0.23529411764705882</v>
      </c>
      <c r="M80" s="94">
        <f>AVERAGE(Table12091[[#This Row],[*C*]:[*Y*]])</f>
        <v>16</v>
      </c>
    </row>
    <row r="81" spans="2:13" x14ac:dyDescent="0.35">
      <c r="B81" s="6" t="s">
        <v>317</v>
      </c>
      <c r="C81" s="97" t="s">
        <v>47</v>
      </c>
      <c r="D81" s="97" t="s">
        <v>397</v>
      </c>
      <c r="E81" s="6">
        <v>1</v>
      </c>
      <c r="F81" s="97" t="str">
        <f>'2025'!$E$25</f>
        <v>n/a</v>
      </c>
      <c r="G81" s="94" t="e" cm="1">
        <f t="array" ref="G81">_xlfn.XLOOKUP(Table12091[[#This Row],[Opp]],Table845[DEF],'2024 fSZN'!$V$37:$V$68)</f>
        <v>#N/A</v>
      </c>
      <c r="H81" s="94" t="e" cm="1">
        <f t="array" ref="H81">_xlfn.XLOOKUP(Table12091[[#This Row],[Opp]],Table845[DEF],'2024 fSZN'!$W$37:$W$68)</f>
        <v>#N/A</v>
      </c>
      <c r="I81" s="94" t="e" cm="1">
        <f t="array" ref="I81">_xlfn.XLOOKUP(Table12091[[#This Row],[Opp]],Table845[DEF],'2024 fSZN'!$X$37:$X$68)</f>
        <v>#N/A</v>
      </c>
      <c r="J81" s="95" t="e">
        <f>_xlfn.XLOOKUP(Table12091[[#This Row],[Opp]],Table845[DEF],Table845[REC])</f>
        <v>#N/A</v>
      </c>
      <c r="K81" s="95" t="e">
        <f>_xlfn.XLOOKUP(Table12091[[#This Row],[Opp]],Table845[DEF],Table845[Y])</f>
        <v>#N/A</v>
      </c>
      <c r="L81" s="96" t="e">
        <f>_xlfn.XLOOKUP(Table12091[[#This Row],[Opp]],Table845[DEF],Table845[TD])</f>
        <v>#N/A</v>
      </c>
      <c r="M81" s="94" t="e">
        <f>AVERAGE(Table12091[[#This Row],[*C*]:[*Y*]])</f>
        <v>#N/A</v>
      </c>
    </row>
    <row r="82" spans="2:13" x14ac:dyDescent="0.35">
      <c r="B82" s="6" t="s">
        <v>622</v>
      </c>
      <c r="C82" s="97" t="s">
        <v>47</v>
      </c>
      <c r="D82" s="97" t="s">
        <v>398</v>
      </c>
      <c r="E82" s="6">
        <v>1</v>
      </c>
      <c r="F82" s="97" t="str">
        <f>'2025'!$E$25</f>
        <v>n/a</v>
      </c>
      <c r="G82" s="94" t="e" cm="1">
        <f t="array" ref="G82">_xlfn.XLOOKUP(Table12091[[#This Row],[Opp]],Table845[DEF],'2024 fSZN'!$V$37:$V$68)</f>
        <v>#N/A</v>
      </c>
      <c r="H82" s="94" t="e" cm="1">
        <f t="array" ref="H82">_xlfn.XLOOKUP(Table12091[[#This Row],[Opp]],Table845[DEF],'2024 fSZN'!$W$37:$W$68)</f>
        <v>#N/A</v>
      </c>
      <c r="I82" s="94" t="e" cm="1">
        <f t="array" ref="I82">_xlfn.XLOOKUP(Table12091[[#This Row],[Opp]],Table845[DEF],'2024 fSZN'!$X$37:$X$68)</f>
        <v>#N/A</v>
      </c>
      <c r="J82" s="95" t="e">
        <f>_xlfn.XLOOKUP(Table12091[[#This Row],[Opp]],Table845[DEF],Table845[REC])</f>
        <v>#N/A</v>
      </c>
      <c r="K82" s="95" t="e">
        <f>_xlfn.XLOOKUP(Table12091[[#This Row],[Opp]],Table845[DEF],Table845[Y])</f>
        <v>#N/A</v>
      </c>
      <c r="L82" s="96" t="e">
        <f>_xlfn.XLOOKUP(Table12091[[#This Row],[Opp]],Table845[DEF],Table845[TD])</f>
        <v>#N/A</v>
      </c>
      <c r="M82" s="94" t="e">
        <f>AVERAGE(Table12091[[#This Row],[*C*]:[*Y*]])</f>
        <v>#N/A</v>
      </c>
    </row>
    <row r="83" spans="2:13" x14ac:dyDescent="0.35">
      <c r="B83" s="6" t="s">
        <v>290</v>
      </c>
      <c r="C83" s="97" t="s">
        <v>47</v>
      </c>
      <c r="D83" s="97" t="s">
        <v>430</v>
      </c>
      <c r="E83" s="6">
        <v>-1</v>
      </c>
      <c r="F83" s="97" t="str">
        <f>'2025'!$E$25</f>
        <v>n/a</v>
      </c>
      <c r="G83" s="94" t="e" cm="1">
        <f t="array" ref="G83">_xlfn.XLOOKUP(Table12091[[#This Row],[Opp]],Table845[DEF],'2024 fSZN'!$V$37:$V$68)</f>
        <v>#N/A</v>
      </c>
      <c r="H83" s="94" t="e" cm="1">
        <f t="array" ref="H83">_xlfn.XLOOKUP(Table12091[[#This Row],[Opp]],Table845[DEF],'2024 fSZN'!$W$37:$W$68)</f>
        <v>#N/A</v>
      </c>
      <c r="I83" s="94" t="e" cm="1">
        <f t="array" ref="I83">_xlfn.XLOOKUP(Table12091[[#This Row],[Opp]],Table845[DEF],'2024 fSZN'!$X$37:$X$68)</f>
        <v>#N/A</v>
      </c>
      <c r="J83" s="95" t="e">
        <f>_xlfn.XLOOKUP(Table12091[[#This Row],[Opp]],Table845[DEF],Table845[REC])</f>
        <v>#N/A</v>
      </c>
      <c r="K83" s="95" t="e">
        <f>_xlfn.XLOOKUP(Table12091[[#This Row],[Opp]],Table845[DEF],Table845[Y])</f>
        <v>#N/A</v>
      </c>
      <c r="L83" s="96" t="e">
        <f>_xlfn.XLOOKUP(Table12091[[#This Row],[Opp]],Table845[DEF],Table845[TD])</f>
        <v>#N/A</v>
      </c>
      <c r="M83" s="94" t="e">
        <f>AVERAGE(Table12091[[#This Row],[*C*]:[*Y*]])</f>
        <v>#N/A</v>
      </c>
    </row>
    <row r="84" spans="2:13" x14ac:dyDescent="0.35">
      <c r="B84" s="6" t="s">
        <v>623</v>
      </c>
      <c r="C84" s="97" t="s">
        <v>47</v>
      </c>
      <c r="D84" s="97" t="s">
        <v>435</v>
      </c>
      <c r="E84" s="6">
        <v>-1</v>
      </c>
      <c r="F84" s="97" t="str">
        <f>'2025'!$E$25</f>
        <v>n/a</v>
      </c>
      <c r="G84" s="94" t="e" cm="1">
        <f t="array" ref="G84">_xlfn.XLOOKUP(Table12091[[#This Row],[Opp]],Table845[DEF],'2024 fSZN'!$V$37:$V$68)</f>
        <v>#N/A</v>
      </c>
      <c r="H84" s="94" t="e" cm="1">
        <f t="array" ref="H84">_xlfn.XLOOKUP(Table12091[[#This Row],[Opp]],Table845[DEF],'2024 fSZN'!$W$37:$W$68)</f>
        <v>#N/A</v>
      </c>
      <c r="I84" s="94" t="e" cm="1">
        <f t="array" ref="I84">_xlfn.XLOOKUP(Table12091[[#This Row],[Opp]],Table845[DEF],'2024 fSZN'!$X$37:$X$68)</f>
        <v>#N/A</v>
      </c>
      <c r="J84" s="95" t="e">
        <f>_xlfn.XLOOKUP(Table12091[[#This Row],[Opp]],Table845[DEF],Table845[REC])</f>
        <v>#N/A</v>
      </c>
      <c r="K84" s="95" t="e">
        <f>_xlfn.XLOOKUP(Table12091[[#This Row],[Opp]],Table845[DEF],Table845[Y])</f>
        <v>#N/A</v>
      </c>
      <c r="L84" s="96" t="e">
        <f>_xlfn.XLOOKUP(Table12091[[#This Row],[Opp]],Table845[DEF],Table845[TD])</f>
        <v>#N/A</v>
      </c>
      <c r="M84" s="94" t="e">
        <f>AVERAGE(Table12091[[#This Row],[*C*]:[*Y*]])</f>
        <v>#N/A</v>
      </c>
    </row>
    <row r="85" spans="2:13" x14ac:dyDescent="0.35">
      <c r="B85" s="6" t="s">
        <v>126</v>
      </c>
      <c r="C85" s="97" t="s">
        <v>48</v>
      </c>
      <c r="D85" s="97" t="s">
        <v>397</v>
      </c>
      <c r="E85" s="6">
        <v>1</v>
      </c>
      <c r="F85" s="97" t="str">
        <f>'2025'!$E$26</f>
        <v>n/a</v>
      </c>
      <c r="G85" s="94" t="e" cm="1">
        <f t="array" ref="G85">_xlfn.XLOOKUP(Table12091[[#This Row],[Opp]],Table845[DEF],'2024 fSZN'!$V$37:$V$68)</f>
        <v>#N/A</v>
      </c>
      <c r="H85" s="94" t="e" cm="1">
        <f t="array" ref="H85">_xlfn.XLOOKUP(Table12091[[#This Row],[Opp]],Table845[DEF],'2024 fSZN'!$W$37:$W$68)</f>
        <v>#N/A</v>
      </c>
      <c r="I85" s="94" t="e" cm="1">
        <f t="array" ref="I85">_xlfn.XLOOKUP(Table12091[[#This Row],[Opp]],Table845[DEF],'2024 fSZN'!$X$37:$X$68)</f>
        <v>#N/A</v>
      </c>
      <c r="J85" s="95" t="e">
        <f>_xlfn.XLOOKUP(Table12091[[#This Row],[Opp]],Table845[DEF],Table845[REC])</f>
        <v>#N/A</v>
      </c>
      <c r="K85" s="95" t="e">
        <f>_xlfn.XLOOKUP(Table12091[[#This Row],[Opp]],Table845[DEF],Table845[Y])</f>
        <v>#N/A</v>
      </c>
      <c r="L85" s="96" t="e">
        <f>_xlfn.XLOOKUP(Table12091[[#This Row],[Opp]],Table845[DEF],Table845[TD])</f>
        <v>#N/A</v>
      </c>
      <c r="M85" s="94" t="e">
        <f>AVERAGE(Table12091[[#This Row],[*C*]:[*Y*]])</f>
        <v>#N/A</v>
      </c>
    </row>
    <row r="86" spans="2:13" x14ac:dyDescent="0.35">
      <c r="B86" s="6" t="s">
        <v>427</v>
      </c>
      <c r="C86" s="97" t="s">
        <v>48</v>
      </c>
      <c r="D86" s="97" t="s">
        <v>398</v>
      </c>
      <c r="E86" s="6">
        <v>1</v>
      </c>
      <c r="F86" s="97" t="str">
        <f>'2025'!$E$26</f>
        <v>n/a</v>
      </c>
      <c r="G86" s="94" t="e" cm="1">
        <f t="array" ref="G86">_xlfn.XLOOKUP(Table12091[[#This Row],[Opp]],Table845[DEF],'2024 fSZN'!$V$37:$V$68)</f>
        <v>#N/A</v>
      </c>
      <c r="H86" s="94" t="e" cm="1">
        <f t="array" ref="H86">_xlfn.XLOOKUP(Table12091[[#This Row],[Opp]],Table845[DEF],'2024 fSZN'!$W$37:$W$68)</f>
        <v>#N/A</v>
      </c>
      <c r="I86" s="94" t="e" cm="1">
        <f t="array" ref="I86">_xlfn.XLOOKUP(Table12091[[#This Row],[Opp]],Table845[DEF],'2024 fSZN'!$X$37:$X$68)</f>
        <v>#N/A</v>
      </c>
      <c r="J86" s="95" t="e">
        <f>_xlfn.XLOOKUP(Table12091[[#This Row],[Opp]],Table845[DEF],Table845[REC])</f>
        <v>#N/A</v>
      </c>
      <c r="K86" s="95" t="e">
        <f>_xlfn.XLOOKUP(Table12091[[#This Row],[Opp]],Table845[DEF],Table845[Y])</f>
        <v>#N/A</v>
      </c>
      <c r="L86" s="96" t="e">
        <f>_xlfn.XLOOKUP(Table12091[[#This Row],[Opp]],Table845[DEF],Table845[TD])</f>
        <v>#N/A</v>
      </c>
      <c r="M86" s="94" t="e">
        <f>AVERAGE(Table12091[[#This Row],[*C*]:[*Y*]])</f>
        <v>#N/A</v>
      </c>
    </row>
    <row r="87" spans="2:13" x14ac:dyDescent="0.35">
      <c r="B87" s="6" t="s">
        <v>444</v>
      </c>
      <c r="C87" s="97" t="s">
        <v>48</v>
      </c>
      <c r="D87" s="97" t="s">
        <v>430</v>
      </c>
      <c r="E87" s="6">
        <v>1</v>
      </c>
      <c r="F87" s="97" t="str">
        <f>'2025'!$E$26</f>
        <v>n/a</v>
      </c>
      <c r="G87" s="94" t="e" cm="1">
        <f t="array" ref="G87">_xlfn.XLOOKUP(Table12091[[#This Row],[Opp]],Table845[DEF],'2024 fSZN'!$V$37:$V$68)</f>
        <v>#N/A</v>
      </c>
      <c r="H87" s="94" t="e" cm="1">
        <f t="array" ref="H87">_xlfn.XLOOKUP(Table12091[[#This Row],[Opp]],Table845[DEF],'2024 fSZN'!$W$37:$W$68)</f>
        <v>#N/A</v>
      </c>
      <c r="I87" s="94" t="e" cm="1">
        <f t="array" ref="I87">_xlfn.XLOOKUP(Table12091[[#This Row],[Opp]],Table845[DEF],'2024 fSZN'!$X$37:$X$68)</f>
        <v>#N/A</v>
      </c>
      <c r="J87" s="95" t="e">
        <f>_xlfn.XLOOKUP(Table12091[[#This Row],[Opp]],Table845[DEF],Table845[REC])</f>
        <v>#N/A</v>
      </c>
      <c r="K87" s="95" t="e">
        <f>_xlfn.XLOOKUP(Table12091[[#This Row],[Opp]],Table845[DEF],Table845[Y])</f>
        <v>#N/A</v>
      </c>
      <c r="L87" s="96" t="e">
        <f>_xlfn.XLOOKUP(Table12091[[#This Row],[Opp]],Table845[DEF],Table845[TD])</f>
        <v>#N/A</v>
      </c>
      <c r="M87" s="94" t="e">
        <f>AVERAGE(Table12091[[#This Row],[*C*]:[*Y*]])</f>
        <v>#N/A</v>
      </c>
    </row>
    <row r="88" spans="2:13" x14ac:dyDescent="0.35">
      <c r="B88" s="6" t="s">
        <v>445</v>
      </c>
      <c r="C88" s="97" t="s">
        <v>48</v>
      </c>
      <c r="D88" s="97" t="s">
        <v>435</v>
      </c>
      <c r="E88" s="6">
        <v>1</v>
      </c>
      <c r="F88" s="97" t="str">
        <f>'2025'!$E$26</f>
        <v>n/a</v>
      </c>
      <c r="G88" s="94" t="e" cm="1">
        <f t="array" ref="G88">_xlfn.XLOOKUP(Table12091[[#This Row],[Opp]],Table845[DEF],'2024 fSZN'!$V$37:$V$68)</f>
        <v>#N/A</v>
      </c>
      <c r="H88" s="94" t="e" cm="1">
        <f t="array" ref="H88">_xlfn.XLOOKUP(Table12091[[#This Row],[Opp]],Table845[DEF],'2024 fSZN'!$W$37:$W$68)</f>
        <v>#N/A</v>
      </c>
      <c r="I88" s="94" t="e" cm="1">
        <f t="array" ref="I88">_xlfn.XLOOKUP(Table12091[[#This Row],[Opp]],Table845[DEF],'2024 fSZN'!$X$37:$X$68)</f>
        <v>#N/A</v>
      </c>
      <c r="J88" s="95" t="e">
        <f>_xlfn.XLOOKUP(Table12091[[#This Row],[Opp]],Table845[DEF],Table845[REC])</f>
        <v>#N/A</v>
      </c>
      <c r="K88" s="95" t="e">
        <f>_xlfn.XLOOKUP(Table12091[[#This Row],[Opp]],Table845[DEF],Table845[Y])</f>
        <v>#N/A</v>
      </c>
      <c r="L88" s="96" t="e">
        <f>_xlfn.XLOOKUP(Table12091[[#This Row],[Opp]],Table845[DEF],Table845[TD])</f>
        <v>#N/A</v>
      </c>
      <c r="M88" s="94" t="e">
        <f>AVERAGE(Table12091[[#This Row],[*C*]:[*Y*]])</f>
        <v>#N/A</v>
      </c>
    </row>
    <row r="89" spans="2:13" x14ac:dyDescent="0.35">
      <c r="B89" s="6" t="s">
        <v>334</v>
      </c>
      <c r="C89" s="97" t="s">
        <v>49</v>
      </c>
      <c r="D89" s="97" t="s">
        <v>397</v>
      </c>
      <c r="E89" s="6">
        <v>1</v>
      </c>
      <c r="F89" s="97" t="str">
        <f>'2025'!$E$27</f>
        <v>n/a</v>
      </c>
      <c r="G89" s="94" t="e" cm="1">
        <f t="array" ref="G89">_xlfn.XLOOKUP(Table12091[[#This Row],[Opp]],Table845[DEF],'2024 fSZN'!$V$37:$V$68)</f>
        <v>#N/A</v>
      </c>
      <c r="H89" s="94" t="e" cm="1">
        <f t="array" ref="H89">_xlfn.XLOOKUP(Table12091[[#This Row],[Opp]],Table845[DEF],'2024 fSZN'!$W$37:$W$68)</f>
        <v>#N/A</v>
      </c>
      <c r="I89" s="94" t="e" cm="1">
        <f t="array" ref="I89">_xlfn.XLOOKUP(Table12091[[#This Row],[Opp]],Table845[DEF],'2024 fSZN'!$X$37:$X$68)</f>
        <v>#N/A</v>
      </c>
      <c r="J89" s="95" t="e">
        <f>_xlfn.XLOOKUP(Table12091[[#This Row],[Opp]],Table845[DEF],Table845[REC])</f>
        <v>#N/A</v>
      </c>
      <c r="K89" s="95" t="e">
        <f>_xlfn.XLOOKUP(Table12091[[#This Row],[Opp]],Table845[DEF],Table845[Y])</f>
        <v>#N/A</v>
      </c>
      <c r="L89" s="96" t="e">
        <f>_xlfn.XLOOKUP(Table12091[[#This Row],[Opp]],Table845[DEF],Table845[TD])</f>
        <v>#N/A</v>
      </c>
      <c r="M89" s="94" t="e">
        <f>AVERAGE(Table12091[[#This Row],[*C*]:[*Y*]])</f>
        <v>#N/A</v>
      </c>
    </row>
    <row r="90" spans="2:13" x14ac:dyDescent="0.35">
      <c r="B90" s="6" t="s">
        <v>418</v>
      </c>
      <c r="C90" s="97" t="s">
        <v>49</v>
      </c>
      <c r="D90" s="97" t="s">
        <v>398</v>
      </c>
      <c r="E90" s="6">
        <v>1</v>
      </c>
      <c r="F90" s="97" t="str">
        <f>'2025'!$E$27</f>
        <v>n/a</v>
      </c>
      <c r="G90" s="94" t="e" cm="1">
        <f t="array" ref="G90">_xlfn.XLOOKUP(Table12091[[#This Row],[Opp]],Table845[DEF],'2024 fSZN'!$V$37:$V$68)</f>
        <v>#N/A</v>
      </c>
      <c r="H90" s="94" t="e" cm="1">
        <f t="array" ref="H90">_xlfn.XLOOKUP(Table12091[[#This Row],[Opp]],Table845[DEF],'2024 fSZN'!$W$37:$W$68)</f>
        <v>#N/A</v>
      </c>
      <c r="I90" s="94" t="e" cm="1">
        <f t="array" ref="I90">_xlfn.XLOOKUP(Table12091[[#This Row],[Opp]],Table845[DEF],'2024 fSZN'!$X$37:$X$68)</f>
        <v>#N/A</v>
      </c>
      <c r="J90" s="95" t="e">
        <f>_xlfn.XLOOKUP(Table12091[[#This Row],[Opp]],Table845[DEF],Table845[REC])</f>
        <v>#N/A</v>
      </c>
      <c r="K90" s="95" t="e">
        <f>_xlfn.XLOOKUP(Table12091[[#This Row],[Opp]],Table845[DEF],Table845[Y])</f>
        <v>#N/A</v>
      </c>
      <c r="L90" s="96" t="e">
        <f>_xlfn.XLOOKUP(Table12091[[#This Row],[Opp]],Table845[DEF],Table845[TD])</f>
        <v>#N/A</v>
      </c>
      <c r="M90" s="94" t="e">
        <f>AVERAGE(Table12091[[#This Row],[*C*]:[*Y*]])</f>
        <v>#N/A</v>
      </c>
    </row>
    <row r="91" spans="2:13" x14ac:dyDescent="0.35">
      <c r="B91" s="6" t="s">
        <v>446</v>
      </c>
      <c r="C91" s="97" t="s">
        <v>49</v>
      </c>
      <c r="D91" s="97" t="s">
        <v>430</v>
      </c>
      <c r="E91" s="6">
        <v>1</v>
      </c>
      <c r="F91" s="97" t="str">
        <f>'2025'!$E$27</f>
        <v>n/a</v>
      </c>
      <c r="G91" s="94" t="e" cm="1">
        <f t="array" ref="G91">_xlfn.XLOOKUP(Table12091[[#This Row],[Opp]],Table845[DEF],'2024 fSZN'!$V$37:$V$68)</f>
        <v>#N/A</v>
      </c>
      <c r="H91" s="94" t="e" cm="1">
        <f t="array" ref="H91">_xlfn.XLOOKUP(Table12091[[#This Row],[Opp]],Table845[DEF],'2024 fSZN'!$W$37:$W$68)</f>
        <v>#N/A</v>
      </c>
      <c r="I91" s="94" t="e" cm="1">
        <f t="array" ref="I91">_xlfn.XLOOKUP(Table12091[[#This Row],[Opp]],Table845[DEF],'2024 fSZN'!$X$37:$X$68)</f>
        <v>#N/A</v>
      </c>
      <c r="J91" s="95" t="e">
        <f>_xlfn.XLOOKUP(Table12091[[#This Row],[Opp]],Table845[DEF],Table845[REC])</f>
        <v>#N/A</v>
      </c>
      <c r="K91" s="95" t="e">
        <f>_xlfn.XLOOKUP(Table12091[[#This Row],[Opp]],Table845[DEF],Table845[Y])</f>
        <v>#N/A</v>
      </c>
      <c r="L91" s="96" t="e">
        <f>_xlfn.XLOOKUP(Table12091[[#This Row],[Opp]],Table845[DEF],Table845[TD])</f>
        <v>#N/A</v>
      </c>
      <c r="M91" s="94" t="e">
        <f>AVERAGE(Table12091[[#This Row],[*C*]:[*Y*]])</f>
        <v>#N/A</v>
      </c>
    </row>
    <row r="92" spans="2:13" x14ac:dyDescent="0.35">
      <c r="B92" s="6" t="s">
        <v>447</v>
      </c>
      <c r="C92" s="97" t="s">
        <v>49</v>
      </c>
      <c r="D92" s="97" t="s">
        <v>435</v>
      </c>
      <c r="E92" s="6">
        <v>1</v>
      </c>
      <c r="F92" s="97" t="str">
        <f>'2025'!$E$27</f>
        <v>n/a</v>
      </c>
      <c r="G92" s="94" t="e" cm="1">
        <f t="array" ref="G92">_xlfn.XLOOKUP(Table12091[[#This Row],[Opp]],Table845[DEF],'2024 fSZN'!$V$37:$V$68)</f>
        <v>#N/A</v>
      </c>
      <c r="H92" s="94" t="e" cm="1">
        <f t="array" ref="H92">_xlfn.XLOOKUP(Table12091[[#This Row],[Opp]],Table845[DEF],'2024 fSZN'!$W$37:$W$68)</f>
        <v>#N/A</v>
      </c>
      <c r="I92" s="94" t="e" cm="1">
        <f t="array" ref="I92">_xlfn.XLOOKUP(Table12091[[#This Row],[Opp]],Table845[DEF],'2024 fSZN'!$X$37:$X$68)</f>
        <v>#N/A</v>
      </c>
      <c r="J92" s="95" t="e">
        <f>_xlfn.XLOOKUP(Table12091[[#This Row],[Opp]],Table845[DEF],Table845[REC])</f>
        <v>#N/A</v>
      </c>
      <c r="K92" s="95" t="e">
        <f>_xlfn.XLOOKUP(Table12091[[#This Row],[Opp]],Table845[DEF],Table845[Y])</f>
        <v>#N/A</v>
      </c>
      <c r="L92" s="96" t="e">
        <f>_xlfn.XLOOKUP(Table12091[[#This Row],[Opp]],Table845[DEF],Table845[TD])</f>
        <v>#N/A</v>
      </c>
      <c r="M92" s="94" t="e">
        <f>AVERAGE(Table12091[[#This Row],[*C*]:[*Y*]])</f>
        <v>#N/A</v>
      </c>
    </row>
    <row r="93" spans="2:13" x14ac:dyDescent="0.35">
      <c r="B93" s="6" t="s">
        <v>339</v>
      </c>
      <c r="C93" s="97" t="s">
        <v>50</v>
      </c>
      <c r="D93" s="97" t="s">
        <v>397</v>
      </c>
      <c r="E93" s="6">
        <v>1</v>
      </c>
      <c r="F93" s="97" t="str">
        <f>'2025'!$E$28</f>
        <v>n/a</v>
      </c>
      <c r="G93" s="94" t="e" cm="1">
        <f t="array" ref="G93">_xlfn.XLOOKUP(Table12091[[#This Row],[Opp]],Table845[DEF],'2024 fSZN'!$V$37:$V$68)</f>
        <v>#N/A</v>
      </c>
      <c r="H93" s="94" t="e" cm="1">
        <f t="array" ref="H93">_xlfn.XLOOKUP(Table12091[[#This Row],[Opp]],Table845[DEF],'2024 fSZN'!$W$37:$W$68)</f>
        <v>#N/A</v>
      </c>
      <c r="I93" s="94" t="e" cm="1">
        <f t="array" ref="I93">_xlfn.XLOOKUP(Table12091[[#This Row],[Opp]],Table845[DEF],'2024 fSZN'!$X$37:$X$68)</f>
        <v>#N/A</v>
      </c>
      <c r="J93" s="95" t="e">
        <f>_xlfn.XLOOKUP(Table12091[[#This Row],[Opp]],Table845[DEF],Table845[REC])</f>
        <v>#N/A</v>
      </c>
      <c r="K93" s="95" t="e">
        <f>_xlfn.XLOOKUP(Table12091[[#This Row],[Opp]],Table845[DEF],Table845[Y])</f>
        <v>#N/A</v>
      </c>
      <c r="L93" s="96" t="e">
        <f>_xlfn.XLOOKUP(Table12091[[#This Row],[Opp]],Table845[DEF],Table845[TD])</f>
        <v>#N/A</v>
      </c>
      <c r="M93" s="94" t="e">
        <f>AVERAGE(Table12091[[#This Row],[*C*]:[*Y*]])</f>
        <v>#N/A</v>
      </c>
    </row>
    <row r="94" spans="2:13" x14ac:dyDescent="0.35">
      <c r="B94" s="6" t="s">
        <v>458</v>
      </c>
      <c r="C94" s="97" t="s">
        <v>50</v>
      </c>
      <c r="D94" s="97" t="s">
        <v>398</v>
      </c>
      <c r="E94" s="6">
        <v>1</v>
      </c>
      <c r="F94" s="97" t="str">
        <f>'2025'!$E$28</f>
        <v>n/a</v>
      </c>
      <c r="G94" s="94" t="e" cm="1">
        <f t="array" ref="G94">_xlfn.XLOOKUP(Table12091[[#This Row],[Opp]],Table845[DEF],'2024 fSZN'!$V$37:$V$68)</f>
        <v>#N/A</v>
      </c>
      <c r="H94" s="94" t="e" cm="1">
        <f t="array" ref="H94">_xlfn.XLOOKUP(Table12091[[#This Row],[Opp]],Table845[DEF],'2024 fSZN'!$W$37:$W$68)</f>
        <v>#N/A</v>
      </c>
      <c r="I94" s="94" t="e" cm="1">
        <f t="array" ref="I94">_xlfn.XLOOKUP(Table12091[[#This Row],[Opp]],Table845[DEF],'2024 fSZN'!$X$37:$X$68)</f>
        <v>#N/A</v>
      </c>
      <c r="J94" s="95" t="e">
        <f>_xlfn.XLOOKUP(Table12091[[#This Row],[Opp]],Table845[DEF],Table845[REC])</f>
        <v>#N/A</v>
      </c>
      <c r="K94" s="95" t="e">
        <f>_xlfn.XLOOKUP(Table12091[[#This Row],[Opp]],Table845[DEF],Table845[Y])</f>
        <v>#N/A</v>
      </c>
      <c r="L94" s="96" t="e">
        <f>_xlfn.XLOOKUP(Table12091[[#This Row],[Opp]],Table845[DEF],Table845[TD])</f>
        <v>#N/A</v>
      </c>
      <c r="M94" s="94" t="e">
        <f>AVERAGE(Table12091[[#This Row],[*C*]:[*Y*]])</f>
        <v>#N/A</v>
      </c>
    </row>
    <row r="95" spans="2:13" x14ac:dyDescent="0.35">
      <c r="B95" s="6" t="s">
        <v>459</v>
      </c>
      <c r="C95" s="97" t="s">
        <v>50</v>
      </c>
      <c r="D95" s="97" t="s">
        <v>430</v>
      </c>
      <c r="E95" s="6">
        <v>1</v>
      </c>
      <c r="F95" s="97" t="str">
        <f>'2025'!$E$28</f>
        <v>n/a</v>
      </c>
      <c r="G95" s="94" t="e" cm="1">
        <f t="array" ref="G95">_xlfn.XLOOKUP(Table12091[[#This Row],[Opp]],Table845[DEF],'2024 fSZN'!$V$37:$V$68)</f>
        <v>#N/A</v>
      </c>
      <c r="H95" s="94" t="e" cm="1">
        <f t="array" ref="H95">_xlfn.XLOOKUP(Table12091[[#This Row],[Opp]],Table845[DEF],'2024 fSZN'!$W$37:$W$68)</f>
        <v>#N/A</v>
      </c>
      <c r="I95" s="94" t="e" cm="1">
        <f t="array" ref="I95">_xlfn.XLOOKUP(Table12091[[#This Row],[Opp]],Table845[DEF],'2024 fSZN'!$X$37:$X$68)</f>
        <v>#N/A</v>
      </c>
      <c r="J95" s="95" t="e">
        <f>_xlfn.XLOOKUP(Table12091[[#This Row],[Opp]],Table845[DEF],Table845[REC])</f>
        <v>#N/A</v>
      </c>
      <c r="K95" s="95" t="e">
        <f>_xlfn.XLOOKUP(Table12091[[#This Row],[Opp]],Table845[DEF],Table845[Y])</f>
        <v>#N/A</v>
      </c>
      <c r="L95" s="96" t="e">
        <f>_xlfn.XLOOKUP(Table12091[[#This Row],[Opp]],Table845[DEF],Table845[TD])</f>
        <v>#N/A</v>
      </c>
      <c r="M95" s="94" t="e">
        <f>AVERAGE(Table12091[[#This Row],[*C*]:[*Y*]])</f>
        <v>#N/A</v>
      </c>
    </row>
    <row r="96" spans="2:13" x14ac:dyDescent="0.35">
      <c r="B96" s="6" t="s">
        <v>347</v>
      </c>
      <c r="C96" s="97" t="s">
        <v>51</v>
      </c>
      <c r="D96" s="97" t="s">
        <v>397</v>
      </c>
      <c r="E96" s="6">
        <v>1</v>
      </c>
      <c r="F96" s="97" t="str">
        <f>'2025'!$E$29</f>
        <v>n/a</v>
      </c>
      <c r="G96" s="94" t="e" cm="1">
        <f t="array" ref="G96">_xlfn.XLOOKUP(Table12091[[#This Row],[Opp]],Table845[DEF],'2024 fSZN'!$V$37:$V$68)</f>
        <v>#N/A</v>
      </c>
      <c r="H96" s="94" t="e" cm="1">
        <f t="array" ref="H96">_xlfn.XLOOKUP(Table12091[[#This Row],[Opp]],Table845[DEF],'2024 fSZN'!$W$37:$W$68)</f>
        <v>#N/A</v>
      </c>
      <c r="I96" s="94" t="e" cm="1">
        <f t="array" ref="I96">_xlfn.XLOOKUP(Table12091[[#This Row],[Opp]],Table845[DEF],'2024 fSZN'!$X$37:$X$68)</f>
        <v>#N/A</v>
      </c>
      <c r="J96" s="95" t="e">
        <f>_xlfn.XLOOKUP(Table12091[[#This Row],[Opp]],Table845[DEF],Table845[REC])</f>
        <v>#N/A</v>
      </c>
      <c r="K96" s="95" t="e">
        <f>_xlfn.XLOOKUP(Table12091[[#This Row],[Opp]],Table845[DEF],Table845[Y])</f>
        <v>#N/A</v>
      </c>
      <c r="L96" s="96" t="e">
        <f>_xlfn.XLOOKUP(Table12091[[#This Row],[Opp]],Table845[DEF],Table845[TD])</f>
        <v>#N/A</v>
      </c>
      <c r="M96" s="94" t="e">
        <f>AVERAGE(Table12091[[#This Row],[*C*]:[*Y*]])</f>
        <v>#N/A</v>
      </c>
    </row>
    <row r="97" spans="2:13" x14ac:dyDescent="0.35">
      <c r="B97" s="6" t="s">
        <v>346</v>
      </c>
      <c r="C97" s="97" t="s">
        <v>51</v>
      </c>
      <c r="D97" s="97" t="s">
        <v>398</v>
      </c>
      <c r="E97" s="6">
        <v>0</v>
      </c>
      <c r="F97" s="97" t="str">
        <f>'2025'!$E$29</f>
        <v>n/a</v>
      </c>
      <c r="G97" s="94" t="e" cm="1">
        <f t="array" ref="G97">_xlfn.XLOOKUP(Table12091[[#This Row],[Opp]],Table845[DEF],'2024 fSZN'!$V$37:$V$68)</f>
        <v>#N/A</v>
      </c>
      <c r="H97" s="94" t="e" cm="1">
        <f t="array" ref="H97">_xlfn.XLOOKUP(Table12091[[#This Row],[Opp]],Table845[DEF],'2024 fSZN'!$W$37:$W$68)</f>
        <v>#N/A</v>
      </c>
      <c r="I97" s="94" t="e" cm="1">
        <f t="array" ref="I97">_xlfn.XLOOKUP(Table12091[[#This Row],[Opp]],Table845[DEF],'2024 fSZN'!$X$37:$X$68)</f>
        <v>#N/A</v>
      </c>
      <c r="J97" s="95" t="e">
        <f>_xlfn.XLOOKUP(Table12091[[#This Row],[Opp]],Table845[DEF],Table845[REC])</f>
        <v>#N/A</v>
      </c>
      <c r="K97" s="95" t="e">
        <f>_xlfn.XLOOKUP(Table12091[[#This Row],[Opp]],Table845[DEF],Table845[Y])</f>
        <v>#N/A</v>
      </c>
      <c r="L97" s="96" t="e">
        <f>_xlfn.XLOOKUP(Table12091[[#This Row],[Opp]],Table845[DEF],Table845[TD])</f>
        <v>#N/A</v>
      </c>
      <c r="M97" s="94" t="e">
        <f>AVERAGE(Table12091[[#This Row],[*C*]:[*Y*]])</f>
        <v>#N/A</v>
      </c>
    </row>
    <row r="98" spans="2:13" x14ac:dyDescent="0.35">
      <c r="B98" s="6" t="s">
        <v>494</v>
      </c>
      <c r="C98" s="97" t="s">
        <v>51</v>
      </c>
      <c r="D98" s="97" t="s">
        <v>430</v>
      </c>
      <c r="E98" s="6">
        <v>1</v>
      </c>
      <c r="F98" s="97" t="str">
        <f>'2025'!$E$29</f>
        <v>n/a</v>
      </c>
      <c r="G98" s="94" t="e" cm="1">
        <f t="array" ref="G98">_xlfn.XLOOKUP(Table12091[[#This Row],[Opp]],Table845[DEF],'2024 fSZN'!$V$37:$V$68)</f>
        <v>#N/A</v>
      </c>
      <c r="H98" s="94" t="e" cm="1">
        <f t="array" ref="H98">_xlfn.XLOOKUP(Table12091[[#This Row],[Opp]],Table845[DEF],'2024 fSZN'!$W$37:$W$68)</f>
        <v>#N/A</v>
      </c>
      <c r="I98" s="94" t="e" cm="1">
        <f t="array" ref="I98">_xlfn.XLOOKUP(Table12091[[#This Row],[Opp]],Table845[DEF],'2024 fSZN'!$X$37:$X$68)</f>
        <v>#N/A</v>
      </c>
      <c r="J98" s="95" t="e">
        <f>_xlfn.XLOOKUP(Table12091[[#This Row],[Opp]],Table845[DEF],Table845[REC])</f>
        <v>#N/A</v>
      </c>
      <c r="K98" s="95" t="e">
        <f>_xlfn.XLOOKUP(Table12091[[#This Row],[Opp]],Table845[DEF],Table845[Y])</f>
        <v>#N/A</v>
      </c>
      <c r="L98" s="96" t="e">
        <f>_xlfn.XLOOKUP(Table12091[[#This Row],[Opp]],Table845[DEF],Table845[TD])</f>
        <v>#N/A</v>
      </c>
      <c r="M98" s="94" t="e">
        <f>AVERAGE(Table12091[[#This Row],[*C*]:[*Y*]])</f>
        <v>#N/A</v>
      </c>
    </row>
    <row r="99" spans="2:13" x14ac:dyDescent="0.35">
      <c r="B99" s="6" t="s">
        <v>495</v>
      </c>
      <c r="C99" s="97" t="s">
        <v>51</v>
      </c>
      <c r="D99" s="97" t="s">
        <v>435</v>
      </c>
      <c r="E99" s="6">
        <v>1</v>
      </c>
      <c r="F99" s="97" t="str">
        <f>'2025'!$E$29</f>
        <v>n/a</v>
      </c>
      <c r="G99" s="94" t="e" cm="1">
        <f t="array" ref="G99">_xlfn.XLOOKUP(Table12091[[#This Row],[Opp]],Table845[DEF],'2024 fSZN'!$V$37:$V$68)</f>
        <v>#N/A</v>
      </c>
      <c r="H99" s="94" t="e" cm="1">
        <f t="array" ref="H99">_xlfn.XLOOKUP(Table12091[[#This Row],[Opp]],Table845[DEF],'2024 fSZN'!$W$37:$W$68)</f>
        <v>#N/A</v>
      </c>
      <c r="I99" s="94" t="e" cm="1">
        <f t="array" ref="I99">_xlfn.XLOOKUP(Table12091[[#This Row],[Opp]],Table845[DEF],'2024 fSZN'!$X$37:$X$68)</f>
        <v>#N/A</v>
      </c>
      <c r="J99" s="95" t="e">
        <f>_xlfn.XLOOKUP(Table12091[[#This Row],[Opp]],Table845[DEF],Table845[REC])</f>
        <v>#N/A</v>
      </c>
      <c r="K99" s="95" t="e">
        <f>_xlfn.XLOOKUP(Table12091[[#This Row],[Opp]],Table845[DEF],Table845[Y])</f>
        <v>#N/A</v>
      </c>
      <c r="L99" s="96" t="e">
        <f>_xlfn.XLOOKUP(Table12091[[#This Row],[Opp]],Table845[DEF],Table845[TD])</f>
        <v>#N/A</v>
      </c>
      <c r="M99" s="94" t="e">
        <f>AVERAGE(Table12091[[#This Row],[*C*]:[*Y*]])</f>
        <v>#N/A</v>
      </c>
    </row>
    <row r="100" spans="2:13" x14ac:dyDescent="0.35">
      <c r="B100" s="6" t="s">
        <v>354</v>
      </c>
      <c r="C100" s="97" t="s">
        <v>52</v>
      </c>
      <c r="D100" s="97" t="s">
        <v>397</v>
      </c>
      <c r="E100" s="6">
        <v>1</v>
      </c>
      <c r="F100" s="97" t="str">
        <f>'2025'!$E$30</f>
        <v>NE</v>
      </c>
      <c r="G100" s="94" cm="1">
        <f t="array" ref="G100">_xlfn.XLOOKUP(Table12091[[#This Row],[Opp]],Table845[DEF],'2024 fSZN'!$V$37:$V$68)</f>
        <v>16</v>
      </c>
      <c r="H100" s="94" cm="1">
        <f t="array" ref="H100">_xlfn.XLOOKUP(Table12091[[#This Row],[Opp]],Table845[DEF],'2024 fSZN'!$W$37:$W$68)</f>
        <v>17</v>
      </c>
      <c r="I100" s="94" cm="1">
        <f t="array" ref="I100">_xlfn.XLOOKUP(Table12091[[#This Row],[Opp]],Table845[DEF],'2024 fSZN'!$X$37:$X$68)</f>
        <v>19</v>
      </c>
      <c r="J100" s="95">
        <f>_xlfn.XLOOKUP(Table12091[[#This Row],[Opp]],Table845[DEF],Table845[REC])</f>
        <v>5.117647058823529</v>
      </c>
      <c r="K100" s="95">
        <f>_xlfn.XLOOKUP(Table12091[[#This Row],[Opp]],Table845[DEF],Table845[Y])</f>
        <v>50.235294117647058</v>
      </c>
      <c r="L100" s="96">
        <f>_xlfn.XLOOKUP(Table12091[[#This Row],[Opp]],Table845[DEF],Table845[TD])</f>
        <v>0.29411764705882354</v>
      </c>
      <c r="M100" s="94">
        <f>AVERAGE(Table12091[[#This Row],[*C*]:[*Y*]])</f>
        <v>16.5</v>
      </c>
    </row>
    <row r="101" spans="2:13" x14ac:dyDescent="0.35">
      <c r="B101" s="6" t="s">
        <v>353</v>
      </c>
      <c r="C101" s="97" t="s">
        <v>52</v>
      </c>
      <c r="D101" s="97" t="s">
        <v>398</v>
      </c>
      <c r="E101" s="6">
        <v>1</v>
      </c>
      <c r="F101" s="97" t="str">
        <f>'2025'!$E$30</f>
        <v>NE</v>
      </c>
      <c r="G101" s="94" cm="1">
        <f t="array" ref="G101">_xlfn.XLOOKUP(Table12091[[#This Row],[Opp]],Table845[DEF],'2024 fSZN'!$V$37:$V$68)</f>
        <v>16</v>
      </c>
      <c r="H101" s="94" cm="1">
        <f t="array" ref="H101">_xlfn.XLOOKUP(Table12091[[#This Row],[Opp]],Table845[DEF],'2024 fSZN'!$W$37:$W$68)</f>
        <v>17</v>
      </c>
      <c r="I101" s="94" cm="1">
        <f t="array" ref="I101">_xlfn.XLOOKUP(Table12091[[#This Row],[Opp]],Table845[DEF],'2024 fSZN'!$X$37:$X$68)</f>
        <v>19</v>
      </c>
      <c r="J101" s="95">
        <f>_xlfn.XLOOKUP(Table12091[[#This Row],[Opp]],Table845[DEF],Table845[REC])</f>
        <v>5.117647058823529</v>
      </c>
      <c r="K101" s="95">
        <f>_xlfn.XLOOKUP(Table12091[[#This Row],[Opp]],Table845[DEF],Table845[Y])</f>
        <v>50.235294117647058</v>
      </c>
      <c r="L101" s="96">
        <f>_xlfn.XLOOKUP(Table12091[[#This Row],[Opp]],Table845[DEF],Table845[TD])</f>
        <v>0.29411764705882354</v>
      </c>
      <c r="M101" s="94">
        <f>AVERAGE(Table12091[[#This Row],[*C*]:[*Y*]])</f>
        <v>16.5</v>
      </c>
    </row>
    <row r="102" spans="2:13" x14ac:dyDescent="0.35">
      <c r="B102" s="6" t="s">
        <v>533</v>
      </c>
      <c r="C102" s="97" t="s">
        <v>52</v>
      </c>
      <c r="D102" s="97" t="s">
        <v>430</v>
      </c>
      <c r="E102" s="6">
        <v>1</v>
      </c>
      <c r="F102" s="97" t="str">
        <f>'2025'!$E$30</f>
        <v>NE</v>
      </c>
      <c r="G102" s="94" cm="1">
        <f t="array" ref="G102">_xlfn.XLOOKUP(Table12091[[#This Row],[Opp]],Table845[DEF],'2024 fSZN'!$V$37:$V$68)</f>
        <v>16</v>
      </c>
      <c r="H102" s="94" cm="1">
        <f t="array" ref="H102">_xlfn.XLOOKUP(Table12091[[#This Row],[Opp]],Table845[DEF],'2024 fSZN'!$W$37:$W$68)</f>
        <v>17</v>
      </c>
      <c r="I102" s="94" cm="1">
        <f t="array" ref="I102">_xlfn.XLOOKUP(Table12091[[#This Row],[Opp]],Table845[DEF],'2024 fSZN'!$X$37:$X$68)</f>
        <v>19</v>
      </c>
      <c r="J102" s="95">
        <f>_xlfn.XLOOKUP(Table12091[[#This Row],[Opp]],Table845[DEF],Table845[REC])</f>
        <v>5.117647058823529</v>
      </c>
      <c r="K102" s="95">
        <f>_xlfn.XLOOKUP(Table12091[[#This Row],[Opp]],Table845[DEF],Table845[Y])</f>
        <v>50.235294117647058</v>
      </c>
      <c r="L102" s="96">
        <f>_xlfn.XLOOKUP(Table12091[[#This Row],[Opp]],Table845[DEF],Table845[TD])</f>
        <v>0.29411764705882354</v>
      </c>
      <c r="M102" s="94">
        <f>AVERAGE(Table12091[[#This Row],[*C*]:[*Y*]])</f>
        <v>16.5</v>
      </c>
    </row>
    <row r="103" spans="2:13" x14ac:dyDescent="0.35">
      <c r="B103" s="6" t="s">
        <v>534</v>
      </c>
      <c r="C103" s="97" t="s">
        <v>52</v>
      </c>
      <c r="D103" s="97" t="s">
        <v>435</v>
      </c>
      <c r="E103" s="6">
        <v>1</v>
      </c>
      <c r="F103" s="97" t="str">
        <f>'2025'!$E$30</f>
        <v>NE</v>
      </c>
      <c r="G103" s="94" cm="1">
        <f t="array" ref="G103">_xlfn.XLOOKUP(Table12091[[#This Row],[Opp]],Table845[DEF],'2024 fSZN'!$V$37:$V$68)</f>
        <v>16</v>
      </c>
      <c r="H103" s="94" cm="1">
        <f t="array" ref="H103">_xlfn.XLOOKUP(Table12091[[#This Row],[Opp]],Table845[DEF],'2024 fSZN'!$W$37:$W$68)</f>
        <v>17</v>
      </c>
      <c r="I103" s="94" cm="1">
        <f t="array" ref="I103">_xlfn.XLOOKUP(Table12091[[#This Row],[Opp]],Table845[DEF],'2024 fSZN'!$X$37:$X$68)</f>
        <v>19</v>
      </c>
      <c r="J103" s="95">
        <f>_xlfn.XLOOKUP(Table12091[[#This Row],[Opp]],Table845[DEF],Table845[REC])</f>
        <v>5.117647058823529</v>
      </c>
      <c r="K103" s="95">
        <f>_xlfn.XLOOKUP(Table12091[[#This Row],[Opp]],Table845[DEF],Table845[Y])</f>
        <v>50.235294117647058</v>
      </c>
      <c r="L103" s="96">
        <f>_xlfn.XLOOKUP(Table12091[[#This Row],[Opp]],Table845[DEF],Table845[TD])</f>
        <v>0.29411764705882354</v>
      </c>
      <c r="M103" s="94">
        <f>AVERAGE(Table12091[[#This Row],[*C*]:[*Y*]])</f>
        <v>16.5</v>
      </c>
    </row>
    <row r="104" spans="2:13" x14ac:dyDescent="0.35">
      <c r="B104" s="6" t="s">
        <v>363</v>
      </c>
      <c r="C104" s="97" t="s">
        <v>53</v>
      </c>
      <c r="D104" s="97" t="s">
        <v>397</v>
      </c>
      <c r="E104" s="6">
        <v>1</v>
      </c>
      <c r="F104" s="97" t="str">
        <f>'2025'!$E$31</f>
        <v>n/a</v>
      </c>
      <c r="G104" s="94" t="e" cm="1">
        <f t="array" ref="G104">_xlfn.XLOOKUP(Table12091[[#This Row],[Opp]],Table845[DEF],'2024 fSZN'!$V$37:$V$68)</f>
        <v>#N/A</v>
      </c>
      <c r="H104" s="94" t="e" cm="1">
        <f t="array" ref="H104">_xlfn.XLOOKUP(Table12091[[#This Row],[Opp]],Table845[DEF],'2024 fSZN'!$W$37:$W$68)</f>
        <v>#N/A</v>
      </c>
      <c r="I104" s="94" t="e" cm="1">
        <f t="array" ref="I104">_xlfn.XLOOKUP(Table12091[[#This Row],[Opp]],Table845[DEF],'2024 fSZN'!$X$37:$X$68)</f>
        <v>#N/A</v>
      </c>
      <c r="J104" s="95" t="e">
        <f>_xlfn.XLOOKUP(Table12091[[#This Row],[Opp]],Table845[DEF],Table845[REC])</f>
        <v>#N/A</v>
      </c>
      <c r="K104" s="95" t="e">
        <f>_xlfn.XLOOKUP(Table12091[[#This Row],[Opp]],Table845[DEF],Table845[Y])</f>
        <v>#N/A</v>
      </c>
      <c r="L104" s="96" t="e">
        <f>_xlfn.XLOOKUP(Table12091[[#This Row],[Opp]],Table845[DEF],Table845[TD])</f>
        <v>#N/A</v>
      </c>
      <c r="M104" s="94" t="e">
        <f>AVERAGE(Table12091[[#This Row],[*C*]:[*Y*]])</f>
        <v>#N/A</v>
      </c>
    </row>
    <row r="105" spans="2:13" x14ac:dyDescent="0.35">
      <c r="B105" s="6" t="s">
        <v>535</v>
      </c>
      <c r="C105" s="97" t="s">
        <v>53</v>
      </c>
      <c r="D105" s="97" t="s">
        <v>398</v>
      </c>
      <c r="E105" s="6">
        <v>1</v>
      </c>
      <c r="F105" s="97" t="str">
        <f>'2025'!$E$31</f>
        <v>n/a</v>
      </c>
      <c r="G105" s="94" t="e" cm="1">
        <f t="array" ref="G105">_xlfn.XLOOKUP(Table12091[[#This Row],[Opp]],Table845[DEF],'2024 fSZN'!$V$37:$V$68)</f>
        <v>#N/A</v>
      </c>
      <c r="H105" s="94" t="e" cm="1">
        <f t="array" ref="H105">_xlfn.XLOOKUP(Table12091[[#This Row],[Opp]],Table845[DEF],'2024 fSZN'!$W$37:$W$68)</f>
        <v>#N/A</v>
      </c>
      <c r="I105" s="94" t="e" cm="1">
        <f t="array" ref="I105">_xlfn.XLOOKUP(Table12091[[#This Row],[Opp]],Table845[DEF],'2024 fSZN'!$X$37:$X$68)</f>
        <v>#N/A</v>
      </c>
      <c r="J105" s="95" t="e">
        <f>_xlfn.XLOOKUP(Table12091[[#This Row],[Opp]],Table845[DEF],Table845[REC])</f>
        <v>#N/A</v>
      </c>
      <c r="K105" s="95" t="e">
        <f>_xlfn.XLOOKUP(Table12091[[#This Row],[Opp]],Table845[DEF],Table845[Y])</f>
        <v>#N/A</v>
      </c>
      <c r="L105" s="96" t="e">
        <f>_xlfn.XLOOKUP(Table12091[[#This Row],[Opp]],Table845[DEF],Table845[TD])</f>
        <v>#N/A</v>
      </c>
      <c r="M105" s="94" t="e">
        <f>AVERAGE(Table12091[[#This Row],[*C*]:[*Y*]])</f>
        <v>#N/A</v>
      </c>
    </row>
    <row r="106" spans="2:13" x14ac:dyDescent="0.35">
      <c r="B106" s="6" t="s">
        <v>540</v>
      </c>
      <c r="C106" s="97" t="s">
        <v>53</v>
      </c>
      <c r="D106" s="97" t="s">
        <v>430</v>
      </c>
      <c r="E106" s="6">
        <v>1</v>
      </c>
      <c r="F106" s="97" t="str">
        <f>'2025'!$E$31</f>
        <v>n/a</v>
      </c>
      <c r="G106" s="94" t="e" cm="1">
        <f t="array" ref="G106">_xlfn.XLOOKUP(Table12091[[#This Row],[Opp]],Table845[DEF],'2024 fSZN'!$V$37:$V$68)</f>
        <v>#N/A</v>
      </c>
      <c r="H106" s="94" t="e" cm="1">
        <f t="array" ref="H106">_xlfn.XLOOKUP(Table12091[[#This Row],[Opp]],Table845[DEF],'2024 fSZN'!$W$37:$W$68)</f>
        <v>#N/A</v>
      </c>
      <c r="I106" s="94" t="e" cm="1">
        <f t="array" ref="I106">_xlfn.XLOOKUP(Table12091[[#This Row],[Opp]],Table845[DEF],'2024 fSZN'!$X$37:$X$68)</f>
        <v>#N/A</v>
      </c>
      <c r="J106" s="95" t="e">
        <f>_xlfn.XLOOKUP(Table12091[[#This Row],[Opp]],Table845[DEF],Table845[REC])</f>
        <v>#N/A</v>
      </c>
      <c r="K106" s="95" t="e">
        <f>_xlfn.XLOOKUP(Table12091[[#This Row],[Opp]],Table845[DEF],Table845[Y])</f>
        <v>#N/A</v>
      </c>
      <c r="L106" s="96" t="e">
        <f>_xlfn.XLOOKUP(Table12091[[#This Row],[Opp]],Table845[DEF],Table845[TD])</f>
        <v>#N/A</v>
      </c>
      <c r="M106" s="94" t="e">
        <f>AVERAGE(Table12091[[#This Row],[*C*]:[*Y*]])</f>
        <v>#N/A</v>
      </c>
    </row>
    <row r="107" spans="2:13" x14ac:dyDescent="0.35">
      <c r="B107" s="6" t="s">
        <v>371</v>
      </c>
      <c r="C107" s="97" t="s">
        <v>54</v>
      </c>
      <c r="D107" s="97" t="s">
        <v>397</v>
      </c>
      <c r="E107" s="6">
        <v>0</v>
      </c>
      <c r="F107" s="97" t="str">
        <f>'2025'!$E$32</f>
        <v>n/a</v>
      </c>
      <c r="G107" s="94" t="e" cm="1">
        <f t="array" ref="G107">_xlfn.XLOOKUP(Table12091[[#This Row],[Opp]],Table845[DEF],'2024 fSZN'!$V$37:$V$68)</f>
        <v>#N/A</v>
      </c>
      <c r="H107" s="94" t="e" cm="1">
        <f t="array" ref="H107">_xlfn.XLOOKUP(Table12091[[#This Row],[Opp]],Table845[DEF],'2024 fSZN'!$W$37:$W$68)</f>
        <v>#N/A</v>
      </c>
      <c r="I107" s="94" t="e" cm="1">
        <f t="array" ref="I107">_xlfn.XLOOKUP(Table12091[[#This Row],[Opp]],Table845[DEF],'2024 fSZN'!$X$37:$X$68)</f>
        <v>#N/A</v>
      </c>
      <c r="J107" s="95" t="e">
        <f>_xlfn.XLOOKUP(Table12091[[#This Row],[Opp]],Table845[DEF],Table845[REC])</f>
        <v>#N/A</v>
      </c>
      <c r="K107" s="95" t="e">
        <f>_xlfn.XLOOKUP(Table12091[[#This Row],[Opp]],Table845[DEF],Table845[Y])</f>
        <v>#N/A</v>
      </c>
      <c r="L107" s="96" t="e">
        <f>_xlfn.XLOOKUP(Table12091[[#This Row],[Opp]],Table845[DEF],Table845[TD])</f>
        <v>#N/A</v>
      </c>
      <c r="M107" s="94" t="e">
        <f>AVERAGE(Table12091[[#This Row],[*C*]:[*Y*]])</f>
        <v>#N/A</v>
      </c>
    </row>
    <row r="108" spans="2:13" x14ac:dyDescent="0.35">
      <c r="B108" s="6" t="s">
        <v>586</v>
      </c>
      <c r="C108" s="97" t="s">
        <v>54</v>
      </c>
      <c r="D108" s="97" t="s">
        <v>398</v>
      </c>
      <c r="E108" s="6">
        <v>1</v>
      </c>
      <c r="F108" s="97" t="str">
        <f>'2025'!$E$32</f>
        <v>n/a</v>
      </c>
      <c r="G108" s="94" t="e" cm="1">
        <f t="array" ref="G108">_xlfn.XLOOKUP(Table12091[[#This Row],[Opp]],Table845[DEF],'2024 fSZN'!$V$37:$V$68)</f>
        <v>#N/A</v>
      </c>
      <c r="H108" s="94" t="e" cm="1">
        <f t="array" ref="H108">_xlfn.XLOOKUP(Table12091[[#This Row],[Opp]],Table845[DEF],'2024 fSZN'!$W$37:$W$68)</f>
        <v>#N/A</v>
      </c>
      <c r="I108" s="94" t="e" cm="1">
        <f t="array" ref="I108">_xlfn.XLOOKUP(Table12091[[#This Row],[Opp]],Table845[DEF],'2024 fSZN'!$X$37:$X$68)</f>
        <v>#N/A</v>
      </c>
      <c r="J108" s="95" t="e">
        <f>_xlfn.XLOOKUP(Table12091[[#This Row],[Opp]],Table845[DEF],Table845[REC])</f>
        <v>#N/A</v>
      </c>
      <c r="K108" s="95" t="e">
        <f>_xlfn.XLOOKUP(Table12091[[#This Row],[Opp]],Table845[DEF],Table845[Y])</f>
        <v>#N/A</v>
      </c>
      <c r="L108" s="96" t="e">
        <f>_xlfn.XLOOKUP(Table12091[[#This Row],[Opp]],Table845[DEF],Table845[TD])</f>
        <v>#N/A</v>
      </c>
      <c r="M108" s="94" t="e">
        <f>AVERAGE(Table12091[[#This Row],[*C*]:[*Y*]])</f>
        <v>#N/A</v>
      </c>
    </row>
    <row r="109" spans="2:13" x14ac:dyDescent="0.35">
      <c r="B109" s="6" t="s">
        <v>587</v>
      </c>
      <c r="C109" s="97" t="s">
        <v>54</v>
      </c>
      <c r="D109" s="97" t="s">
        <v>430</v>
      </c>
      <c r="E109" s="6">
        <v>1</v>
      </c>
      <c r="F109" s="97" t="str">
        <f>'2025'!$E$32</f>
        <v>n/a</v>
      </c>
      <c r="G109" s="94" t="e" cm="1">
        <f t="array" ref="G109">_xlfn.XLOOKUP(Table12091[[#This Row],[Opp]],Table845[DEF],'2024 fSZN'!$V$37:$V$68)</f>
        <v>#N/A</v>
      </c>
      <c r="H109" s="94" t="e" cm="1">
        <f t="array" ref="H109">_xlfn.XLOOKUP(Table12091[[#This Row],[Opp]],Table845[DEF],'2024 fSZN'!$W$37:$W$68)</f>
        <v>#N/A</v>
      </c>
      <c r="I109" s="94" t="e" cm="1">
        <f t="array" ref="I109">_xlfn.XLOOKUP(Table12091[[#This Row],[Opp]],Table845[DEF],'2024 fSZN'!$X$37:$X$68)</f>
        <v>#N/A</v>
      </c>
      <c r="J109" s="95" t="e">
        <f>_xlfn.XLOOKUP(Table12091[[#This Row],[Opp]],Table845[DEF],Table845[REC])</f>
        <v>#N/A</v>
      </c>
      <c r="K109" s="95" t="e">
        <f>_xlfn.XLOOKUP(Table12091[[#This Row],[Opp]],Table845[DEF],Table845[Y])</f>
        <v>#N/A</v>
      </c>
      <c r="L109" s="96" t="e">
        <f>_xlfn.XLOOKUP(Table12091[[#This Row],[Opp]],Table845[DEF],Table845[TD])</f>
        <v>#N/A</v>
      </c>
      <c r="M109" s="94" t="e">
        <f>AVERAGE(Table12091[[#This Row],[*C*]:[*Y*]])</f>
        <v>#N/A</v>
      </c>
    </row>
    <row r="110" spans="2:13" x14ac:dyDescent="0.35">
      <c r="B110" s="6" t="s">
        <v>588</v>
      </c>
      <c r="C110" s="97" t="s">
        <v>54</v>
      </c>
      <c r="D110" s="97" t="s">
        <v>435</v>
      </c>
      <c r="E110" s="6">
        <v>1</v>
      </c>
      <c r="F110" s="97" t="str">
        <f>'2025'!$E$32</f>
        <v>n/a</v>
      </c>
      <c r="G110" s="94" t="e" cm="1">
        <f t="array" ref="G110">_xlfn.XLOOKUP(Table12091[[#This Row],[Opp]],Table845[DEF],'2024 fSZN'!$V$37:$V$68)</f>
        <v>#N/A</v>
      </c>
      <c r="H110" s="94" t="e" cm="1">
        <f t="array" ref="H110">_xlfn.XLOOKUP(Table12091[[#This Row],[Opp]],Table845[DEF],'2024 fSZN'!$W$37:$W$68)</f>
        <v>#N/A</v>
      </c>
      <c r="I110" s="94" t="e" cm="1">
        <f t="array" ref="I110">_xlfn.XLOOKUP(Table12091[[#This Row],[Opp]],Table845[DEF],'2024 fSZN'!$X$37:$X$68)</f>
        <v>#N/A</v>
      </c>
      <c r="J110" s="95" t="e">
        <f>_xlfn.XLOOKUP(Table12091[[#This Row],[Opp]],Table845[DEF],Table845[REC])</f>
        <v>#N/A</v>
      </c>
      <c r="K110" s="95" t="e">
        <f>_xlfn.XLOOKUP(Table12091[[#This Row],[Opp]],Table845[DEF],Table845[Y])</f>
        <v>#N/A</v>
      </c>
      <c r="L110" s="96" t="e">
        <f>_xlfn.XLOOKUP(Table12091[[#This Row],[Opp]],Table845[DEF],Table845[TD])</f>
        <v>#N/A</v>
      </c>
      <c r="M110" s="94" t="e">
        <f>AVERAGE(Table12091[[#This Row],[*C*]:[*Y*]])</f>
        <v>#N/A</v>
      </c>
    </row>
    <row r="111" spans="2:13" x14ac:dyDescent="0.35">
      <c r="B111" s="6" t="s">
        <v>381</v>
      </c>
      <c r="C111" s="97" t="s">
        <v>55</v>
      </c>
      <c r="D111" s="97" t="s">
        <v>397</v>
      </c>
      <c r="E111" s="6">
        <v>1</v>
      </c>
      <c r="F111" s="97" t="str">
        <f>'2025'!$E$33</f>
        <v>n/a</v>
      </c>
      <c r="G111" s="94" t="e" cm="1">
        <f t="array" ref="G111">_xlfn.XLOOKUP(Table12091[[#This Row],[Opp]],Table845[DEF],'2024 fSZN'!$V$37:$V$68)</f>
        <v>#N/A</v>
      </c>
      <c r="H111" s="94" t="e" cm="1">
        <f t="array" ref="H111">_xlfn.XLOOKUP(Table12091[[#This Row],[Opp]],Table845[DEF],'2024 fSZN'!$W$37:$W$68)</f>
        <v>#N/A</v>
      </c>
      <c r="I111" s="94" t="e" cm="1">
        <f t="array" ref="I111">_xlfn.XLOOKUP(Table12091[[#This Row],[Opp]],Table845[DEF],'2024 fSZN'!$X$37:$X$68)</f>
        <v>#N/A</v>
      </c>
      <c r="J111" s="95" t="e">
        <f>_xlfn.XLOOKUP(Table12091[[#This Row],[Opp]],Table845[DEF],Table845[REC])</f>
        <v>#N/A</v>
      </c>
      <c r="K111" s="95" t="e">
        <f>_xlfn.XLOOKUP(Table12091[[#This Row],[Opp]],Table845[DEF],Table845[Y])</f>
        <v>#N/A</v>
      </c>
      <c r="L111" s="96" t="e">
        <f>_xlfn.XLOOKUP(Table12091[[#This Row],[Opp]],Table845[DEF],Table845[TD])</f>
        <v>#N/A</v>
      </c>
      <c r="M111" s="94" t="e">
        <f>AVERAGE(Table12091[[#This Row],[*C*]:[*Y*]])</f>
        <v>#N/A</v>
      </c>
    </row>
    <row r="112" spans="2:13" x14ac:dyDescent="0.35">
      <c r="B112" s="6" t="s">
        <v>594</v>
      </c>
      <c r="C112" s="97" t="s">
        <v>55</v>
      </c>
      <c r="D112" s="97" t="s">
        <v>398</v>
      </c>
      <c r="E112" s="6">
        <v>1</v>
      </c>
      <c r="F112" s="97" t="str">
        <f>'2025'!$E$33</f>
        <v>n/a</v>
      </c>
      <c r="G112" s="94" t="e" cm="1">
        <f t="array" ref="G112">_xlfn.XLOOKUP(Table12091[[#This Row],[Opp]],Table845[DEF],'2024 fSZN'!$V$37:$V$68)</f>
        <v>#N/A</v>
      </c>
      <c r="H112" s="94" t="e" cm="1">
        <f t="array" ref="H112">_xlfn.XLOOKUP(Table12091[[#This Row],[Opp]],Table845[DEF],'2024 fSZN'!$W$37:$W$68)</f>
        <v>#N/A</v>
      </c>
      <c r="I112" s="94" t="e" cm="1">
        <f t="array" ref="I112">_xlfn.XLOOKUP(Table12091[[#This Row],[Opp]],Table845[DEF],'2024 fSZN'!$X$37:$X$68)</f>
        <v>#N/A</v>
      </c>
      <c r="J112" s="95" t="e">
        <f>_xlfn.XLOOKUP(Table12091[[#This Row],[Opp]],Table845[DEF],Table845[REC])</f>
        <v>#N/A</v>
      </c>
      <c r="K112" s="95" t="e">
        <f>_xlfn.XLOOKUP(Table12091[[#This Row],[Opp]],Table845[DEF],Table845[Y])</f>
        <v>#N/A</v>
      </c>
      <c r="L112" s="96" t="e">
        <f>_xlfn.XLOOKUP(Table12091[[#This Row],[Opp]],Table845[DEF],Table845[TD])</f>
        <v>#N/A</v>
      </c>
      <c r="M112" s="94" t="e">
        <f>AVERAGE(Table12091[[#This Row],[*C*]:[*Y*]])</f>
        <v>#N/A</v>
      </c>
    </row>
    <row r="113" spans="2:13" x14ac:dyDescent="0.35">
      <c r="B113" s="6" t="s">
        <v>595</v>
      </c>
      <c r="C113" s="97" t="s">
        <v>55</v>
      </c>
      <c r="D113" s="97" t="s">
        <v>430</v>
      </c>
      <c r="E113" s="6">
        <v>1</v>
      </c>
      <c r="F113" s="97" t="str">
        <f>'2025'!$E$33</f>
        <v>n/a</v>
      </c>
      <c r="G113" s="94" t="e" cm="1">
        <f t="array" ref="G113">_xlfn.XLOOKUP(Table12091[[#This Row],[Opp]],Table845[DEF],'2024 fSZN'!$V$37:$V$68)</f>
        <v>#N/A</v>
      </c>
      <c r="H113" s="94" t="e" cm="1">
        <f t="array" ref="H113">_xlfn.XLOOKUP(Table12091[[#This Row],[Opp]],Table845[DEF],'2024 fSZN'!$W$37:$W$68)</f>
        <v>#N/A</v>
      </c>
      <c r="I113" s="94" t="e" cm="1">
        <f t="array" ref="I113">_xlfn.XLOOKUP(Table12091[[#This Row],[Opp]],Table845[DEF],'2024 fSZN'!$X$37:$X$68)</f>
        <v>#N/A</v>
      </c>
      <c r="J113" s="95" t="e">
        <f>_xlfn.XLOOKUP(Table12091[[#This Row],[Opp]],Table845[DEF],Table845[REC])</f>
        <v>#N/A</v>
      </c>
      <c r="K113" s="95" t="e">
        <f>_xlfn.XLOOKUP(Table12091[[#This Row],[Opp]],Table845[DEF],Table845[Y])</f>
        <v>#N/A</v>
      </c>
      <c r="L113" s="96" t="e">
        <f>_xlfn.XLOOKUP(Table12091[[#This Row],[Opp]],Table845[DEF],Table845[TD])</f>
        <v>#N/A</v>
      </c>
      <c r="M113" s="94" t="e">
        <f>AVERAGE(Table12091[[#This Row],[*C*]:[*Y*]])</f>
        <v>#N/A</v>
      </c>
    </row>
    <row r="114" spans="2:13" x14ac:dyDescent="0.35">
      <c r="B114" s="6" t="s">
        <v>388</v>
      </c>
      <c r="C114" s="97" t="s">
        <v>56</v>
      </c>
      <c r="D114" s="97" t="s">
        <v>397</v>
      </c>
      <c r="E114" s="6">
        <v>1</v>
      </c>
      <c r="F114" s="97" t="str">
        <f>'2025'!$E$34</f>
        <v>n/a</v>
      </c>
      <c r="G114" s="94" t="e" cm="1">
        <f t="array" ref="G114">_xlfn.XLOOKUP(Table12091[[#This Row],[Opp]],Table845[DEF],'2024 fSZN'!$V$37:$V$68)</f>
        <v>#N/A</v>
      </c>
      <c r="H114" s="94" t="e" cm="1">
        <f t="array" ref="H114">_xlfn.XLOOKUP(Table12091[[#This Row],[Opp]],Table845[DEF],'2024 fSZN'!$W$37:$W$68)</f>
        <v>#N/A</v>
      </c>
      <c r="I114" s="94" t="e" cm="1">
        <f t="array" ref="I114">_xlfn.XLOOKUP(Table12091[[#This Row],[Opp]],Table845[DEF],'2024 fSZN'!$X$37:$X$68)</f>
        <v>#N/A</v>
      </c>
      <c r="J114" s="95" t="e">
        <f>_xlfn.XLOOKUP(Table12091[[#This Row],[Opp]],Table845[DEF],Table845[REC])</f>
        <v>#N/A</v>
      </c>
      <c r="K114" s="95" t="e">
        <f>_xlfn.XLOOKUP(Table12091[[#This Row],[Opp]],Table845[DEF],Table845[Y])</f>
        <v>#N/A</v>
      </c>
      <c r="L114" s="96" t="e">
        <f>_xlfn.XLOOKUP(Table12091[[#This Row],[Opp]],Table845[DEF],Table845[TD])</f>
        <v>#N/A</v>
      </c>
      <c r="M114" s="94" t="e">
        <f>AVERAGE(Table12091[[#This Row],[*C*]:[*Y*]])</f>
        <v>#N/A</v>
      </c>
    </row>
    <row r="115" spans="2:13" x14ac:dyDescent="0.35">
      <c r="B115" s="6" t="s">
        <v>466</v>
      </c>
      <c r="C115" s="97" t="s">
        <v>56</v>
      </c>
      <c r="D115" s="97" t="s">
        <v>398</v>
      </c>
      <c r="E115" s="6">
        <v>1</v>
      </c>
      <c r="F115" s="97" t="str">
        <f>'2025'!$E$34</f>
        <v>n/a</v>
      </c>
      <c r="G115" s="94" t="e" cm="1">
        <f t="array" ref="G115">_xlfn.XLOOKUP(Table12091[[#This Row],[Opp]],Table845[DEF],'2024 fSZN'!$V$37:$V$68)</f>
        <v>#N/A</v>
      </c>
      <c r="H115" s="94" t="e" cm="1">
        <f t="array" ref="H115">_xlfn.XLOOKUP(Table12091[[#This Row],[Opp]],Table845[DEF],'2024 fSZN'!$W$37:$W$68)</f>
        <v>#N/A</v>
      </c>
      <c r="I115" s="94" t="e" cm="1">
        <f t="array" ref="I115">_xlfn.XLOOKUP(Table12091[[#This Row],[Opp]],Table845[DEF],'2024 fSZN'!$X$37:$X$68)</f>
        <v>#N/A</v>
      </c>
      <c r="J115" s="95" t="e">
        <f>_xlfn.XLOOKUP(Table12091[[#This Row],[Opp]],Table845[DEF],Table845[REC])</f>
        <v>#N/A</v>
      </c>
      <c r="K115" s="95" t="e">
        <f>_xlfn.XLOOKUP(Table12091[[#This Row],[Opp]],Table845[DEF],Table845[Y])</f>
        <v>#N/A</v>
      </c>
      <c r="L115" s="96" t="e">
        <f>_xlfn.XLOOKUP(Table12091[[#This Row],[Opp]],Table845[DEF],Table845[TD])</f>
        <v>#N/A</v>
      </c>
      <c r="M115" s="94" t="e">
        <f>AVERAGE(Table12091[[#This Row],[*C*]:[*Y*]])</f>
        <v>#N/A</v>
      </c>
    </row>
    <row r="116" spans="2:13" x14ac:dyDescent="0.35">
      <c r="B116" s="6" t="s">
        <v>389</v>
      </c>
      <c r="C116" s="97" t="s">
        <v>56</v>
      </c>
      <c r="D116" s="97" t="s">
        <v>430</v>
      </c>
      <c r="E116" s="6">
        <v>1</v>
      </c>
      <c r="F116" s="97" t="str">
        <f>'2025'!$E$34</f>
        <v>n/a</v>
      </c>
      <c r="G116" s="94" t="e" cm="1">
        <f t="array" ref="G116">_xlfn.XLOOKUP(Table12091[[#This Row],[Opp]],Table845[DEF],'2024 fSZN'!$V$37:$V$68)</f>
        <v>#N/A</v>
      </c>
      <c r="H116" s="94" t="e" cm="1">
        <f t="array" ref="H116">_xlfn.XLOOKUP(Table12091[[#This Row],[Opp]],Table845[DEF],'2024 fSZN'!$W$37:$W$68)</f>
        <v>#N/A</v>
      </c>
      <c r="I116" s="94" t="e" cm="1">
        <f t="array" ref="I116">_xlfn.XLOOKUP(Table12091[[#This Row],[Opp]],Table845[DEF],'2024 fSZN'!$X$37:$X$68)</f>
        <v>#N/A</v>
      </c>
      <c r="J116" s="95" t="e">
        <f>_xlfn.XLOOKUP(Table12091[[#This Row],[Opp]],Table845[DEF],Table845[REC])</f>
        <v>#N/A</v>
      </c>
      <c r="K116" s="95" t="e">
        <f>_xlfn.XLOOKUP(Table12091[[#This Row],[Opp]],Table845[DEF],Table845[Y])</f>
        <v>#N/A</v>
      </c>
      <c r="L116" s="96" t="e">
        <f>_xlfn.XLOOKUP(Table12091[[#This Row],[Opp]],Table845[DEF],Table845[TD])</f>
        <v>#N/A</v>
      </c>
      <c r="M116" s="94" t="e">
        <f>AVERAGE(Table12091[[#This Row],[*C*]:[*Y*]])</f>
        <v>#N/A</v>
      </c>
    </row>
    <row r="117" spans="2:13" x14ac:dyDescent="0.35">
      <c r="B117" s="6" t="s">
        <v>467</v>
      </c>
      <c r="C117" s="97" t="s">
        <v>56</v>
      </c>
      <c r="D117" s="97" t="s">
        <v>435</v>
      </c>
      <c r="E117" s="6">
        <v>1</v>
      </c>
      <c r="F117" s="97" t="str">
        <f>'2025'!$E$34</f>
        <v>n/a</v>
      </c>
      <c r="G117" s="94" t="e" cm="1">
        <f t="array" ref="G117">_xlfn.XLOOKUP(Table12091[[#This Row],[Opp]],Table845[DEF],'2024 fSZN'!$V$37:$V$68)</f>
        <v>#N/A</v>
      </c>
      <c r="H117" s="94" t="e" cm="1">
        <f t="array" ref="H117">_xlfn.XLOOKUP(Table12091[[#This Row],[Opp]],Table845[DEF],'2024 fSZN'!$W$37:$W$68)</f>
        <v>#N/A</v>
      </c>
      <c r="I117" s="94" t="e" cm="1">
        <f t="array" ref="I117">_xlfn.XLOOKUP(Table12091[[#This Row],[Opp]],Table845[DEF],'2024 fSZN'!$X$37:$X$68)</f>
        <v>#N/A</v>
      </c>
      <c r="J117" s="95" t="e">
        <f>_xlfn.XLOOKUP(Table12091[[#This Row],[Opp]],Table845[DEF],Table845[REC])</f>
        <v>#N/A</v>
      </c>
      <c r="K117" s="95" t="e">
        <f>_xlfn.XLOOKUP(Table12091[[#This Row],[Opp]],Table845[DEF],Table845[Y])</f>
        <v>#N/A</v>
      </c>
      <c r="L117" s="96" t="e">
        <f>_xlfn.XLOOKUP(Table12091[[#This Row],[Opp]],Table845[DEF],Table845[TD])</f>
        <v>#N/A</v>
      </c>
      <c r="M117" s="94" t="e">
        <f>AVERAGE(Table12091[[#This Row],[*C*]:[*Y*]])</f>
        <v>#N/A</v>
      </c>
    </row>
  </sheetData>
  <conditionalFormatting sqref="C2:C117">
    <cfRule type="cellIs" dxfId="2070" priority="130" operator="equal">
      <formula>"SEA"</formula>
    </cfRule>
    <cfRule type="cellIs" dxfId="2069" priority="142" operator="equal">
      <formula>"CIN"</formula>
    </cfRule>
    <cfRule type="cellIs" dxfId="2068" priority="141" operator="equal">
      <formula>"DAL"</formula>
    </cfRule>
    <cfRule type="cellIs" dxfId="2067" priority="139" operator="equal">
      <formula>"WAS"</formula>
    </cfRule>
    <cfRule type="cellIs" dxfId="2066" priority="138" operator="equal">
      <formula>"SF"</formula>
    </cfRule>
    <cfRule type="cellIs" dxfId="2065" priority="137" operator="equal">
      <formula>"DET"</formula>
    </cfRule>
    <cfRule type="cellIs" dxfId="2064" priority="136" operator="equal">
      <formula>"MIA"</formula>
    </cfRule>
    <cfRule type="cellIs" dxfId="2063" priority="131" operator="equal">
      <formula>"LAC"</formula>
    </cfRule>
    <cfRule type="cellIs" dxfId="2062" priority="135" operator="equal">
      <formula>"CHI"</formula>
    </cfRule>
    <cfRule type="cellIs" dxfId="2061" priority="134" operator="equal">
      <formula>"JAX"</formula>
    </cfRule>
    <cfRule type="cellIs" dxfId="2060" priority="133" operator="equal">
      <formula>"ATL"</formula>
    </cfRule>
    <cfRule type="cellIs" dxfId="2059" priority="132" operator="equal">
      <formula>"LAR"</formula>
    </cfRule>
    <cfRule type="cellIs" dxfId="2058" priority="117" operator="equal">
      <formula>"BYE"</formula>
    </cfRule>
    <cfRule type="cellIs" dxfId="2057" priority="118" operator="equal">
      <formula>"LV"</formula>
    </cfRule>
    <cfRule type="cellIs" dxfId="2056" priority="119" operator="equal">
      <formula>"NE"</formula>
    </cfRule>
    <cfRule type="cellIs" dxfId="2055" priority="120" operator="equal">
      <formula>"MIN"</formula>
    </cfRule>
    <cfRule type="cellIs" dxfId="2054" priority="121" operator="equal">
      <formula>"PIT"</formula>
    </cfRule>
    <cfRule type="cellIs" dxfId="2053" priority="122" operator="equal">
      <formula>"DEN"</formula>
    </cfRule>
    <cfRule type="cellIs" dxfId="2052" priority="123" operator="equal">
      <formula>"CAR"</formula>
    </cfRule>
    <cfRule type="cellIs" dxfId="2051" priority="124" operator="equal">
      <formula>"NYG"</formula>
    </cfRule>
    <cfRule type="cellIs" dxfId="2050" priority="125" operator="equal">
      <formula>"NO"</formula>
    </cfRule>
    <cfRule type="cellIs" dxfId="2049" priority="147" operator="equal">
      <formula>"BAL"</formula>
    </cfRule>
    <cfRule type="cellIs" dxfId="2048" priority="126" operator="equal">
      <formula>"TEN"</formula>
    </cfRule>
    <cfRule type="cellIs" dxfId="2047" priority="127" operator="equal">
      <formula>"TB"</formula>
    </cfRule>
    <cfRule type="cellIs" dxfId="2046" priority="128" operator="equal">
      <formula>"CLE"</formula>
    </cfRule>
    <cfRule type="cellIs" dxfId="2045" priority="129" operator="equal">
      <formula>"NYJ"</formula>
    </cfRule>
    <cfRule type="cellIs" dxfId="2044" priority="149" operator="equal">
      <formula>"BUF"</formula>
    </cfRule>
    <cfRule type="cellIs" dxfId="2043" priority="148" operator="equal">
      <formula>"PHI"</formula>
    </cfRule>
    <cfRule type="cellIs" dxfId="2042" priority="140" operator="equal">
      <formula>"GB"</formula>
    </cfRule>
    <cfRule type="cellIs" dxfId="2041" priority="146" operator="equal">
      <formula>"KC"</formula>
    </cfRule>
    <cfRule type="cellIs" dxfId="2040" priority="145" operator="equal">
      <formula>"IND"</formula>
    </cfRule>
    <cfRule type="cellIs" dxfId="2039" priority="144" operator="equal">
      <formula>"HOU"</formula>
    </cfRule>
    <cfRule type="cellIs" dxfId="2038" priority="143" operator="equal">
      <formula>"ARI"</formula>
    </cfRule>
  </conditionalFormatting>
  <conditionalFormatting sqref="D2:D117">
    <cfRule type="cellIs" dxfId="2037" priority="348" operator="equal">
      <formula>"QB1"</formula>
    </cfRule>
    <cfRule type="cellIs" dxfId="2036" priority="347" operator="equal">
      <formula>"RB1"</formula>
    </cfRule>
    <cfRule type="cellIs" dxfId="2035" priority="346" operator="equal">
      <formula>"WR1"</formula>
    </cfRule>
    <cfRule type="cellIs" dxfId="2034" priority="345" operator="equal">
      <formula>"TE1"</formula>
    </cfRule>
    <cfRule type="cellIs" dxfId="2033" priority="344" operator="equal">
      <formula>"QB2"</formula>
    </cfRule>
    <cfRule type="cellIs" dxfId="2032" priority="343" operator="equal">
      <formula>"RB2"</formula>
    </cfRule>
    <cfRule type="cellIs" dxfId="2031" priority="341" operator="equal">
      <formula>"TE2"</formula>
    </cfRule>
    <cfRule type="cellIs" dxfId="2030" priority="340" operator="equal">
      <formula>"QB3"</formula>
    </cfRule>
    <cfRule type="cellIs" dxfId="2029" priority="339" operator="equal">
      <formula>"RB3"</formula>
    </cfRule>
    <cfRule type="cellIs" dxfId="2028" priority="338" operator="equal">
      <formula>"WR3"</formula>
    </cfRule>
    <cfRule type="cellIs" dxfId="2027" priority="337" operator="equal">
      <formula>"TE3"</formula>
    </cfRule>
    <cfRule type="cellIs" dxfId="2026" priority="336" operator="equal">
      <formula>"QB4"</formula>
    </cfRule>
    <cfRule type="cellIs" dxfId="2025" priority="342" operator="equal">
      <formula>"WR2"</formula>
    </cfRule>
    <cfRule type="cellIs" dxfId="2024" priority="335" operator="equal">
      <formula>"RB4"</formula>
    </cfRule>
    <cfRule type="cellIs" dxfId="2023" priority="334" operator="equal">
      <formula>"WR4"</formula>
    </cfRule>
    <cfRule type="cellIs" dxfId="2022" priority="333" operator="equal">
      <formula>"TE4"</formula>
    </cfRule>
    <cfRule type="cellIs" dxfId="2021" priority="332" operator="equal">
      <formula>"QB5"</formula>
    </cfRule>
    <cfRule type="cellIs" dxfId="2020" priority="331" operator="equal">
      <formula>"RB5"</formula>
    </cfRule>
    <cfRule type="cellIs" dxfId="2019" priority="330" operator="equal">
      <formula>"WR5"</formula>
    </cfRule>
    <cfRule type="cellIs" dxfId="2018" priority="328" operator="equal">
      <formula>"WR6"</formula>
    </cfRule>
    <cfRule type="cellIs" dxfId="2017" priority="327" operator="equal">
      <formula>"WR7"</formula>
    </cfRule>
    <cfRule type="cellIs" dxfId="2016" priority="326" operator="equal">
      <formula>"WR8"</formula>
    </cfRule>
    <cfRule type="cellIs" dxfId="2015" priority="325" operator="equal">
      <formula>"WR9"</formula>
    </cfRule>
    <cfRule type="cellIs" dxfId="2014" priority="329" operator="equal">
      <formula>"TE5"</formula>
    </cfRule>
  </conditionalFormatting>
  <conditionalFormatting sqref="E2:E8">
    <cfRule type="iconSet" priority="363">
      <iconSet iconSet="3Symbols" showValue="0">
        <cfvo type="percent" val="0"/>
        <cfvo type="num" val="0"/>
        <cfvo type="num" val="1"/>
      </iconSet>
    </cfRule>
    <cfRule type="colorScale" priority="36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9:E26">
    <cfRule type="iconSet" priority="361">
      <iconSet iconSet="3Symbols" showValue="0">
        <cfvo type="percent" val="0"/>
        <cfvo type="num" val="0"/>
        <cfvo type="num" val="1"/>
      </iconSet>
    </cfRule>
    <cfRule type="colorScale" priority="36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27:E41">
    <cfRule type="iconSet" priority="359">
      <iconSet iconSet="3Symbols" showValue="0">
        <cfvo type="percent" val="0"/>
        <cfvo type="num" val="0"/>
        <cfvo type="num" val="1"/>
      </iconSet>
    </cfRule>
    <cfRule type="colorScale" priority="36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42:E59">
    <cfRule type="iconSet" priority="357">
      <iconSet iconSet="3Symbols" showValue="0">
        <cfvo type="percent" val="0"/>
        <cfvo type="num" val="0"/>
        <cfvo type="num" val="1"/>
      </iconSet>
    </cfRule>
    <cfRule type="colorScale" priority="358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60:E74">
    <cfRule type="iconSet" priority="355">
      <iconSet iconSet="3Symbols" showValue="0">
        <cfvo type="percent" val="0"/>
        <cfvo type="num" val="0"/>
        <cfvo type="num" val="1"/>
      </iconSet>
    </cfRule>
    <cfRule type="colorScale" priority="356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75:E90">
    <cfRule type="iconSet" priority="353">
      <iconSet iconSet="3Symbols" showValue="0">
        <cfvo type="percent" val="0"/>
        <cfvo type="num" val="0"/>
        <cfvo type="num" val="1"/>
      </iconSet>
    </cfRule>
    <cfRule type="colorScale" priority="35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91:E105">
    <cfRule type="iconSet" priority="351">
      <iconSet iconSet="3Symbols" showValue="0">
        <cfvo type="percent" val="0"/>
        <cfvo type="num" val="0"/>
        <cfvo type="num" val="1"/>
      </iconSet>
    </cfRule>
    <cfRule type="colorScale" priority="35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06:E117">
    <cfRule type="colorScale" priority="34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F2:F117">
    <cfRule type="cellIs" dxfId="2013" priority="31" operator="equal">
      <formula>"SF"</formula>
    </cfRule>
    <cfRule type="cellIs" dxfId="2012" priority="30" operator="equal">
      <formula>"DET"</formula>
    </cfRule>
    <cfRule type="cellIs" dxfId="2011" priority="28" operator="equal">
      <formula>"CHI"</formula>
    </cfRule>
    <cfRule type="cellIs" dxfId="2010" priority="27" operator="equal">
      <formula>"JAX"</formula>
    </cfRule>
    <cfRule type="cellIs" dxfId="2009" priority="26" operator="equal">
      <formula>"ATL"</formula>
    </cfRule>
    <cfRule type="cellIs" dxfId="2008" priority="25" operator="equal">
      <formula>"LAR"</formula>
    </cfRule>
    <cfRule type="cellIs" dxfId="2007" priority="24" operator="equal">
      <formula>"LAC"</formula>
    </cfRule>
    <cfRule type="cellIs" dxfId="2006" priority="23" operator="equal">
      <formula>"SEA"</formula>
    </cfRule>
    <cfRule type="cellIs" dxfId="2005" priority="22" operator="equal">
      <formula>"NYJ"</formula>
    </cfRule>
    <cfRule type="cellIs" dxfId="2004" priority="21" operator="equal">
      <formula>"CLE"</formula>
    </cfRule>
    <cfRule type="cellIs" dxfId="2003" priority="20" operator="equal">
      <formula>"TB"</formula>
    </cfRule>
    <cfRule type="cellIs" dxfId="2002" priority="19" operator="equal">
      <formula>"TEN"</formula>
    </cfRule>
    <cfRule type="cellIs" dxfId="2001" priority="18" operator="equal">
      <formula>"NO"</formula>
    </cfRule>
    <cfRule type="cellIs" dxfId="2000" priority="17" operator="equal">
      <formula>"NYG"</formula>
    </cfRule>
    <cfRule type="cellIs" dxfId="1999" priority="16" operator="equal">
      <formula>"CAR"</formula>
    </cfRule>
    <cfRule type="cellIs" dxfId="1998" priority="37" operator="equal">
      <formula>"HOU"</formula>
    </cfRule>
    <cfRule type="cellIs" dxfId="1997" priority="13" operator="equal">
      <formula>"MIN"</formula>
    </cfRule>
    <cfRule type="cellIs" dxfId="1996" priority="12" operator="equal">
      <formula>"NE"</formula>
    </cfRule>
    <cfRule type="cellIs" dxfId="1995" priority="11" operator="equal">
      <formula>"LV"</formula>
    </cfRule>
    <cfRule type="cellIs" dxfId="1994" priority="10" operator="equal">
      <formula>"BYE"</formula>
    </cfRule>
    <cfRule type="cellIs" dxfId="1993" priority="15" operator="equal">
      <formula>"DEN"</formula>
    </cfRule>
    <cfRule type="cellIs" dxfId="1992" priority="42" operator="equal">
      <formula>"BUF"</formula>
    </cfRule>
    <cfRule type="cellIs" dxfId="1991" priority="41" operator="equal">
      <formula>"PHI"</formula>
    </cfRule>
    <cfRule type="cellIs" dxfId="1990" priority="40" operator="equal">
      <formula>"BAL"</formula>
    </cfRule>
    <cfRule type="cellIs" dxfId="1989" priority="39" operator="equal">
      <formula>"KC"</formula>
    </cfRule>
    <cfRule type="cellIs" dxfId="1988" priority="38" operator="equal">
      <formula>"IND"</formula>
    </cfRule>
    <cfRule type="cellIs" dxfId="1987" priority="14" operator="equal">
      <formula>"PIT"</formula>
    </cfRule>
    <cfRule type="cellIs" dxfId="1986" priority="36" operator="equal">
      <formula>"ARI"</formula>
    </cfRule>
    <cfRule type="cellIs" dxfId="1985" priority="35" operator="equal">
      <formula>"CIN"</formula>
    </cfRule>
    <cfRule type="cellIs" dxfId="1984" priority="34" operator="equal">
      <formula>"DAL"</formula>
    </cfRule>
    <cfRule type="cellIs" dxfId="1983" priority="33" operator="equal">
      <formula>"GB"</formula>
    </cfRule>
    <cfRule type="cellIs" dxfId="1982" priority="32" operator="equal">
      <formula>"WAS"</formula>
    </cfRule>
    <cfRule type="cellIs" dxfId="1981" priority="29" operator="equal">
      <formula>"MIA"</formula>
    </cfRule>
  </conditionalFormatting>
  <conditionalFormatting sqref="G2:G117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:H117">
    <cfRule type="colorScale" priority="1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117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1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11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15" right="0.15" top="0.1" bottom="0.1" header="0" footer="0"/>
  <pageSetup paperSize="3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0" id="{C0CA887F-7F11-4EE3-B1C9-5E3C54D3DB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E106:E117</xm:sqref>
        </x14:conditionalFormatting>
        <x14:conditionalFormatting xmlns:xm="http://schemas.microsoft.com/office/excel/2006/main">
          <x14:cfRule type="iconSet" priority="5" id="{4EAD7D13-4E63-4883-A832-61FA53DA200F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G2:G117</xm:sqref>
        </x14:conditionalFormatting>
        <x14:conditionalFormatting xmlns:xm="http://schemas.microsoft.com/office/excel/2006/main">
          <x14:cfRule type="iconSet" priority="109" id="{00BB2FBC-9192-4818-99A7-628F0C5EC473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H2:H117</xm:sqref>
        </x14:conditionalFormatting>
        <x14:conditionalFormatting xmlns:xm="http://schemas.microsoft.com/office/excel/2006/main">
          <x14:cfRule type="iconSet" priority="3" id="{7EC2B82C-2771-40EA-8490-8281B43678A2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I2:I117</xm:sqref>
        </x14:conditionalFormatting>
        <x14:conditionalFormatting xmlns:xm="http://schemas.microsoft.com/office/excel/2006/main">
          <x14:cfRule type="iconSet" priority="1" id="{597B7B3D-34FA-413F-BB48-A2637F67E023}">
            <x14:iconSet iconSet="3Star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M2:M117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A720-FF4B-4B24-9D24-71DF25520FE1}">
  <sheetPr>
    <tabColor theme="0" tint="-0.34998626667073579"/>
    <pageSetUpPr fitToPage="1"/>
  </sheetPr>
  <dimension ref="A1:AJ703"/>
  <sheetViews>
    <sheetView topLeftCell="A310" zoomScale="85" zoomScaleNormal="85" workbookViewId="0">
      <selection activeCell="AK5" sqref="AK5"/>
    </sheetView>
  </sheetViews>
  <sheetFormatPr defaultRowHeight="14.5" x14ac:dyDescent="0.35"/>
  <cols>
    <col min="1" max="1" width="4.6328125" bestFit="1" customWidth="1"/>
    <col min="2" max="2" width="9.6328125" bestFit="1" customWidth="1"/>
    <col min="3" max="3" width="9.90625" bestFit="1" customWidth="1"/>
    <col min="4" max="4" width="8.7265625" bestFit="1" customWidth="1"/>
    <col min="5" max="5" width="9.90625" bestFit="1" customWidth="1"/>
    <col min="6" max="6" width="10.6328125" bestFit="1" customWidth="1"/>
    <col min="7" max="7" width="11.54296875" bestFit="1" customWidth="1"/>
    <col min="8" max="8" width="10.26953125" bestFit="1" customWidth="1"/>
    <col min="9" max="9" width="12.453125" bestFit="1" customWidth="1"/>
    <col min="10" max="10" width="11.54296875" bestFit="1" customWidth="1"/>
    <col min="11" max="11" width="13.90625" bestFit="1" customWidth="1"/>
    <col min="12" max="12" width="13" bestFit="1" customWidth="1"/>
    <col min="13" max="13" width="13.90625" bestFit="1" customWidth="1"/>
    <col min="14" max="14" width="13" bestFit="1" customWidth="1"/>
    <col min="15" max="15" width="13.90625" bestFit="1" customWidth="1"/>
    <col min="16" max="16" width="13" bestFit="1" customWidth="1"/>
    <col min="17" max="17" width="14.81640625" bestFit="1" customWidth="1"/>
    <col min="18" max="18" width="13.90625" bestFit="1" customWidth="1"/>
    <col min="19" max="19" width="12.1796875" bestFit="1" customWidth="1"/>
    <col min="20" max="20" width="11.26953125" bestFit="1" customWidth="1"/>
    <col min="21" max="21" width="9.90625" bestFit="1" customWidth="1"/>
    <col min="22" max="22" width="10.6328125" bestFit="1" customWidth="1"/>
    <col min="23" max="25" width="11.1796875" bestFit="1" customWidth="1"/>
    <col min="26" max="26" width="12.08984375" bestFit="1" customWidth="1"/>
    <col min="27" max="27" width="9.453125" bestFit="1" customWidth="1"/>
    <col min="28" max="28" width="11.36328125" bestFit="1" customWidth="1"/>
    <col min="29" max="29" width="10.81640625" bestFit="1" customWidth="1"/>
    <col min="30" max="30" width="10.6328125" bestFit="1" customWidth="1"/>
  </cols>
  <sheetData>
    <row r="1" spans="1:36" x14ac:dyDescent="0.35">
      <c r="A1" s="230" t="s">
        <v>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</row>
    <row r="2" spans="1:36" x14ac:dyDescent="0.35">
      <c r="A2" s="20" t="s">
        <v>63</v>
      </c>
      <c r="B2" s="6" t="s">
        <v>1</v>
      </c>
      <c r="C2" s="7" t="s">
        <v>18</v>
      </c>
      <c r="D2" s="8" t="s">
        <v>19</v>
      </c>
      <c r="E2" s="9" t="s">
        <v>20</v>
      </c>
      <c r="F2" s="10" t="s">
        <v>21</v>
      </c>
      <c r="G2" s="11" t="s">
        <v>22</v>
      </c>
      <c r="H2" s="12" t="s">
        <v>23</v>
      </c>
      <c r="I2" s="13" t="s">
        <v>667</v>
      </c>
      <c r="J2" s="13" t="s">
        <v>668</v>
      </c>
      <c r="K2" s="13" t="s">
        <v>665</v>
      </c>
      <c r="L2" s="13" t="s">
        <v>666</v>
      </c>
      <c r="M2" s="14" t="s">
        <v>2</v>
      </c>
      <c r="N2" s="14" t="s">
        <v>24</v>
      </c>
      <c r="O2" s="15" t="s">
        <v>3</v>
      </c>
      <c r="P2" s="15" t="s">
        <v>25</v>
      </c>
      <c r="Q2" s="16" t="s">
        <v>4</v>
      </c>
      <c r="R2" s="16" t="s">
        <v>26</v>
      </c>
      <c r="S2" s="17" t="s">
        <v>5</v>
      </c>
      <c r="T2" s="17" t="s">
        <v>27</v>
      </c>
      <c r="U2" s="18" t="s">
        <v>669</v>
      </c>
      <c r="V2" s="18" t="s">
        <v>670</v>
      </c>
      <c r="W2" s="18" t="s">
        <v>675</v>
      </c>
      <c r="X2" s="18" t="s">
        <v>671</v>
      </c>
      <c r="Y2" s="6" t="s">
        <v>6</v>
      </c>
      <c r="Z2" s="6" t="s">
        <v>7</v>
      </c>
      <c r="AA2" s="6" t="s">
        <v>674</v>
      </c>
      <c r="AB2" s="6" t="s">
        <v>8</v>
      </c>
      <c r="AC2" s="6" t="s">
        <v>9</v>
      </c>
      <c r="AD2" s="6" t="s">
        <v>10</v>
      </c>
      <c r="AE2" s="6" t="s">
        <v>11</v>
      </c>
      <c r="AF2" s="6" t="s">
        <v>673</v>
      </c>
      <c r="AG2" s="6" t="s">
        <v>672</v>
      </c>
      <c r="AH2" s="6" t="s">
        <v>12</v>
      </c>
      <c r="AI2" s="8" t="s">
        <v>14</v>
      </c>
      <c r="AJ2" s="11" t="s">
        <v>13</v>
      </c>
    </row>
    <row r="3" spans="1:36" x14ac:dyDescent="0.35">
      <c r="A3" s="19" t="s">
        <v>47</v>
      </c>
      <c r="B3" s="5">
        <v>1</v>
      </c>
      <c r="C3" s="4">
        <v>214</v>
      </c>
      <c r="D3" s="4">
        <v>0</v>
      </c>
      <c r="E3" s="4">
        <v>29</v>
      </c>
      <c r="F3" s="4">
        <v>45</v>
      </c>
      <c r="G3" s="4">
        <v>33</v>
      </c>
      <c r="H3" s="4">
        <v>0</v>
      </c>
      <c r="I3" s="4">
        <v>2</v>
      </c>
      <c r="J3" s="4">
        <v>12</v>
      </c>
      <c r="K3" s="4">
        <v>0</v>
      </c>
      <c r="L3" s="4">
        <v>0</v>
      </c>
      <c r="M3" s="4">
        <v>7</v>
      </c>
      <c r="N3" s="4">
        <v>54</v>
      </c>
      <c r="O3" s="4">
        <v>6</v>
      </c>
      <c r="P3" s="4">
        <v>33</v>
      </c>
      <c r="Q3" s="4">
        <v>3</v>
      </c>
      <c r="R3" s="4">
        <v>26</v>
      </c>
      <c r="S3" s="4">
        <v>1</v>
      </c>
      <c r="T3" s="4">
        <v>13</v>
      </c>
      <c r="U3" s="4">
        <v>8</v>
      </c>
      <c r="V3" s="4">
        <v>76</v>
      </c>
      <c r="W3" s="4">
        <v>0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Table2121418198598100[[#This Row],[QB PY]]+Table2121418198598100[[#This Row],[QB RY]]</f>
        <v>243</v>
      </c>
      <c r="AJ3" s="4">
        <f>Table2121418198598100[[#This Row],[RB1 RY]]+Table2121418198598100[[#This Row],[RB2+ RY]]+Table2121418198598100[[#This Row],[RB1 RecY]]+Table2121418198598100[[#This Row],[RB2 RecY]]</f>
        <v>90</v>
      </c>
    </row>
    <row r="4" spans="1:36" x14ac:dyDescent="0.35">
      <c r="A4" s="19" t="s">
        <v>29</v>
      </c>
      <c r="B4" s="1">
        <v>2</v>
      </c>
      <c r="C4" s="2">
        <v>328</v>
      </c>
      <c r="D4" s="2">
        <v>3</v>
      </c>
      <c r="E4" s="2">
        <v>2</v>
      </c>
      <c r="F4" s="2">
        <v>38</v>
      </c>
      <c r="G4" s="2">
        <v>9</v>
      </c>
      <c r="H4" s="2">
        <v>0</v>
      </c>
      <c r="I4" s="2">
        <v>5</v>
      </c>
      <c r="J4" s="2">
        <v>39</v>
      </c>
      <c r="K4" s="2">
        <v>2</v>
      </c>
      <c r="L4" s="2">
        <v>12</v>
      </c>
      <c r="M4" s="2">
        <v>6</v>
      </c>
      <c r="N4" s="2">
        <v>100</v>
      </c>
      <c r="O4" s="2">
        <v>7</v>
      </c>
      <c r="P4" s="2">
        <v>48</v>
      </c>
      <c r="Q4" s="2">
        <v>1</v>
      </c>
      <c r="R4" s="2">
        <v>-2</v>
      </c>
      <c r="S4" s="2">
        <v>3</v>
      </c>
      <c r="T4" s="2">
        <v>48</v>
      </c>
      <c r="U4" s="2">
        <v>7</v>
      </c>
      <c r="V4" s="2">
        <v>54</v>
      </c>
      <c r="W4" s="2">
        <v>4</v>
      </c>
      <c r="X4" s="2">
        <v>29</v>
      </c>
      <c r="Y4" s="2">
        <v>0</v>
      </c>
      <c r="Z4" s="2">
        <v>1</v>
      </c>
      <c r="AA4" s="2">
        <v>0</v>
      </c>
      <c r="AB4" s="2">
        <v>0</v>
      </c>
      <c r="AC4" s="2">
        <v>2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4">
        <f>Table2121418198598100[[#This Row],[QB PY]]+Table2121418198598100[[#This Row],[QB RY]]</f>
        <v>330</v>
      </c>
      <c r="AJ4" s="4">
        <f>Table2121418198598100[[#This Row],[RB1 RY]]+Table2121418198598100[[#This Row],[RB2+ RY]]+Table2121418198598100[[#This Row],[RB1 RecY]]+Table2121418198598100[[#This Row],[RB2 RecY]]</f>
        <v>98</v>
      </c>
    </row>
    <row r="5" spans="1:36" x14ac:dyDescent="0.35">
      <c r="A5" s="19" t="s">
        <v>53</v>
      </c>
      <c r="B5" s="1">
        <v>3</v>
      </c>
      <c r="C5" s="2">
        <v>284</v>
      </c>
      <c r="D5" s="2">
        <v>1</v>
      </c>
      <c r="E5" s="2">
        <v>-1</v>
      </c>
      <c r="F5" s="2">
        <v>52</v>
      </c>
      <c r="G5" s="2">
        <v>22</v>
      </c>
      <c r="H5" s="2">
        <v>0</v>
      </c>
      <c r="I5" s="2">
        <v>10</v>
      </c>
      <c r="J5" s="2">
        <v>88</v>
      </c>
      <c r="K5" s="2">
        <v>1</v>
      </c>
      <c r="L5" s="2">
        <v>1</v>
      </c>
      <c r="M5" s="2">
        <v>8</v>
      </c>
      <c r="N5" s="2">
        <v>117</v>
      </c>
      <c r="O5" s="2">
        <v>4</v>
      </c>
      <c r="P5" s="2">
        <v>38</v>
      </c>
      <c r="Q5" s="2">
        <v>1</v>
      </c>
      <c r="R5" s="2">
        <v>10</v>
      </c>
      <c r="S5" s="2">
        <v>1</v>
      </c>
      <c r="T5" s="2">
        <v>9</v>
      </c>
      <c r="U5" s="2">
        <v>2</v>
      </c>
      <c r="V5" s="2">
        <v>21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4">
        <f>Table2121418198598100[[#This Row],[QB PY]]+Table2121418198598100[[#This Row],[QB RY]]</f>
        <v>283</v>
      </c>
      <c r="AJ5" s="4">
        <f>Table2121418198598100[[#This Row],[RB1 RY]]+Table2121418198598100[[#This Row],[RB2+ RY]]+Table2121418198598100[[#This Row],[RB1 RecY]]+Table2121418198598100[[#This Row],[RB2 RecY]]</f>
        <v>163</v>
      </c>
    </row>
    <row r="6" spans="1:36" x14ac:dyDescent="0.35">
      <c r="A6" s="19" t="s">
        <v>52</v>
      </c>
      <c r="B6" s="1">
        <v>4</v>
      </c>
      <c r="C6" s="2">
        <v>242</v>
      </c>
      <c r="D6" s="2">
        <v>1</v>
      </c>
      <c r="E6" s="2">
        <v>24</v>
      </c>
      <c r="F6" s="2">
        <v>81</v>
      </c>
      <c r="G6" s="2">
        <v>39</v>
      </c>
      <c r="H6" s="2">
        <v>11</v>
      </c>
      <c r="I6" s="2">
        <v>1</v>
      </c>
      <c r="J6" s="2">
        <v>29</v>
      </c>
      <c r="K6" s="2">
        <v>2</v>
      </c>
      <c r="L6" s="2">
        <v>5</v>
      </c>
      <c r="M6" s="2">
        <v>4</v>
      </c>
      <c r="N6" s="2">
        <v>79</v>
      </c>
      <c r="O6" s="2">
        <v>4</v>
      </c>
      <c r="P6" s="2">
        <v>26</v>
      </c>
      <c r="Q6" s="2">
        <v>1</v>
      </c>
      <c r="R6" s="2">
        <v>10</v>
      </c>
      <c r="S6" s="2">
        <v>1</v>
      </c>
      <c r="T6" s="2">
        <v>17</v>
      </c>
      <c r="U6" s="2">
        <v>3</v>
      </c>
      <c r="V6" s="2">
        <v>32</v>
      </c>
      <c r="W6" s="2">
        <v>2</v>
      </c>
      <c r="X6" s="2">
        <v>44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0</v>
      </c>
      <c r="AI6" s="4">
        <f>Table2121418198598100[[#This Row],[QB PY]]+Table2121418198598100[[#This Row],[QB RY]]</f>
        <v>266</v>
      </c>
      <c r="AJ6" s="4">
        <f>Table2121418198598100[[#This Row],[RB1 RY]]+Table2121418198598100[[#This Row],[RB2+ RY]]+Table2121418198598100[[#This Row],[RB1 RecY]]+Table2121418198598100[[#This Row],[RB2 RecY]]</f>
        <v>154</v>
      </c>
    </row>
    <row r="7" spans="1:36" x14ac:dyDescent="0.35">
      <c r="A7" s="19" t="s">
        <v>55</v>
      </c>
      <c r="B7" s="1">
        <v>5</v>
      </c>
      <c r="C7" s="2">
        <v>265</v>
      </c>
      <c r="D7" s="2">
        <v>0</v>
      </c>
      <c r="E7" s="2">
        <v>-6</v>
      </c>
      <c r="F7" s="2">
        <v>67</v>
      </c>
      <c r="G7" s="2">
        <v>17</v>
      </c>
      <c r="H7" s="2">
        <v>0</v>
      </c>
      <c r="I7" s="2">
        <v>3</v>
      </c>
      <c r="J7" s="2">
        <v>11</v>
      </c>
      <c r="K7" s="2">
        <v>0</v>
      </c>
      <c r="L7" s="2">
        <v>0</v>
      </c>
      <c r="M7" s="2">
        <v>5</v>
      </c>
      <c r="N7" s="2">
        <v>131</v>
      </c>
      <c r="O7" s="2">
        <v>2</v>
      </c>
      <c r="P7" s="2">
        <v>18</v>
      </c>
      <c r="Q7" s="2">
        <v>2</v>
      </c>
      <c r="R7" s="2">
        <v>17</v>
      </c>
      <c r="S7" s="2">
        <v>1</v>
      </c>
      <c r="T7" s="2">
        <v>6</v>
      </c>
      <c r="U7" s="2">
        <v>4</v>
      </c>
      <c r="V7" s="2">
        <v>48</v>
      </c>
      <c r="W7" s="2">
        <v>4</v>
      </c>
      <c r="X7" s="2">
        <v>34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0</v>
      </c>
      <c r="AI7" s="4">
        <f>Table2121418198598100[[#This Row],[QB PY]]+Table2121418198598100[[#This Row],[QB RY]]</f>
        <v>259</v>
      </c>
      <c r="AJ7" s="4">
        <f>Table2121418198598100[[#This Row],[RB1 RY]]+Table2121418198598100[[#This Row],[RB2+ RY]]+Table2121418198598100[[#This Row],[RB1 RecY]]+Table2121418198598100[[#This Row],[RB2 RecY]]</f>
        <v>95</v>
      </c>
    </row>
    <row r="8" spans="1:36" x14ac:dyDescent="0.35">
      <c r="A8" s="19" t="s">
        <v>38</v>
      </c>
      <c r="B8" s="1">
        <v>6</v>
      </c>
      <c r="C8" s="2">
        <v>212</v>
      </c>
      <c r="D8" s="2">
        <v>2</v>
      </c>
      <c r="E8" s="2">
        <v>20</v>
      </c>
      <c r="F8" s="2">
        <v>123</v>
      </c>
      <c r="G8" s="2">
        <v>7</v>
      </c>
      <c r="H8" s="2">
        <v>0</v>
      </c>
      <c r="I8" s="2">
        <v>4</v>
      </c>
      <c r="J8" s="2">
        <v>14</v>
      </c>
      <c r="K8" s="2">
        <v>1</v>
      </c>
      <c r="L8" s="2">
        <v>9</v>
      </c>
      <c r="M8" s="2">
        <v>2</v>
      </c>
      <c r="N8" s="2">
        <v>20</v>
      </c>
      <c r="O8" s="2">
        <v>6</v>
      </c>
      <c r="P8" s="2">
        <v>42</v>
      </c>
      <c r="Q8" s="2">
        <v>2</v>
      </c>
      <c r="R8" s="2">
        <v>48</v>
      </c>
      <c r="S8" s="2">
        <v>0</v>
      </c>
      <c r="T8" s="2">
        <v>0</v>
      </c>
      <c r="U8" s="2">
        <v>6</v>
      </c>
      <c r="V8" s="2">
        <v>63</v>
      </c>
      <c r="W8" s="2">
        <v>1</v>
      </c>
      <c r="X8" s="2">
        <v>16</v>
      </c>
      <c r="Y8" s="2">
        <v>1</v>
      </c>
      <c r="Z8" s="2">
        <v>1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4">
        <f>Table2121418198598100[[#This Row],[QB PY]]+Table2121418198598100[[#This Row],[QB RY]]</f>
        <v>232</v>
      </c>
      <c r="AJ8" s="4">
        <f>Table2121418198598100[[#This Row],[RB1 RY]]+Table2121418198598100[[#This Row],[RB2+ RY]]+Table2121418198598100[[#This Row],[RB1 RecY]]+Table2121418198598100[[#This Row],[RB2 RecY]]</f>
        <v>153</v>
      </c>
    </row>
    <row r="9" spans="1:36" x14ac:dyDescent="0.35">
      <c r="A9" s="19" t="s">
        <v>36</v>
      </c>
      <c r="B9" s="1">
        <v>7</v>
      </c>
      <c r="C9" s="2">
        <v>179</v>
      </c>
      <c r="D9" s="2">
        <v>1</v>
      </c>
      <c r="E9" s="2">
        <v>22</v>
      </c>
      <c r="F9" s="2">
        <v>55</v>
      </c>
      <c r="G9" s="2">
        <v>17</v>
      </c>
      <c r="H9" s="2">
        <v>0</v>
      </c>
      <c r="I9" s="2">
        <v>1</v>
      </c>
      <c r="J9" s="2">
        <v>3</v>
      </c>
      <c r="K9" s="2">
        <v>1</v>
      </c>
      <c r="L9" s="2">
        <v>-2</v>
      </c>
      <c r="M9" s="2">
        <v>4</v>
      </c>
      <c r="N9" s="2">
        <v>37</v>
      </c>
      <c r="O9" s="2">
        <v>6</v>
      </c>
      <c r="P9" s="2">
        <v>72</v>
      </c>
      <c r="Q9" s="2">
        <v>1</v>
      </c>
      <c r="R9" s="2">
        <v>5</v>
      </c>
      <c r="S9" s="2">
        <v>0</v>
      </c>
      <c r="T9" s="2">
        <v>0</v>
      </c>
      <c r="U9" s="2">
        <v>5</v>
      </c>
      <c r="V9" s="2">
        <v>58</v>
      </c>
      <c r="W9" s="2">
        <v>1</v>
      </c>
      <c r="X9" s="2">
        <v>6</v>
      </c>
      <c r="Y9" s="2">
        <v>0</v>
      </c>
      <c r="Z9" s="2">
        <v>2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  <c r="AH9" s="2">
        <v>0</v>
      </c>
      <c r="AI9" s="4">
        <f>Table2121418198598100[[#This Row],[QB PY]]+Table2121418198598100[[#This Row],[QB RY]]</f>
        <v>201</v>
      </c>
      <c r="AJ9" s="4">
        <f>Table2121418198598100[[#This Row],[RB1 RY]]+Table2121418198598100[[#This Row],[RB2+ RY]]+Table2121418198598100[[#This Row],[RB1 RecY]]+Table2121418198598100[[#This Row],[RB2 RecY]]</f>
        <v>73</v>
      </c>
    </row>
    <row r="10" spans="1:36" x14ac:dyDescent="0.35">
      <c r="A10" s="19" t="s">
        <v>650</v>
      </c>
      <c r="B10" s="1">
        <v>8</v>
      </c>
      <c r="C10" s="2" t="s">
        <v>697</v>
      </c>
      <c r="D10" s="2" t="s">
        <v>697</v>
      </c>
      <c r="E10" s="2" t="s">
        <v>697</v>
      </c>
      <c r="F10" s="2" t="s">
        <v>697</v>
      </c>
      <c r="G10" s="2" t="s">
        <v>697</v>
      </c>
      <c r="H10" s="2" t="s">
        <v>697</v>
      </c>
      <c r="I10" s="2" t="s">
        <v>697</v>
      </c>
      <c r="J10" s="2" t="s">
        <v>697</v>
      </c>
      <c r="K10" s="2" t="s">
        <v>697</v>
      </c>
      <c r="L10" s="2" t="s">
        <v>697</v>
      </c>
      <c r="M10" s="2" t="s">
        <v>697</v>
      </c>
      <c r="N10" s="2" t="s">
        <v>697</v>
      </c>
      <c r="O10" s="2" t="s">
        <v>697</v>
      </c>
      <c r="P10" s="2" t="s">
        <v>697</v>
      </c>
      <c r="Q10" s="2" t="s">
        <v>697</v>
      </c>
      <c r="R10" s="2" t="s">
        <v>697</v>
      </c>
      <c r="S10" s="2" t="s">
        <v>697</v>
      </c>
      <c r="T10" s="2" t="s">
        <v>697</v>
      </c>
      <c r="U10" s="2" t="s">
        <v>697</v>
      </c>
      <c r="V10" s="2" t="s">
        <v>697</v>
      </c>
      <c r="W10" s="2" t="s">
        <v>697</v>
      </c>
      <c r="X10" s="2" t="s">
        <v>697</v>
      </c>
      <c r="Y10" s="2" t="s">
        <v>697</v>
      </c>
      <c r="Z10" s="2" t="s">
        <v>697</v>
      </c>
      <c r="AA10" s="2" t="s">
        <v>697</v>
      </c>
      <c r="AB10" s="2" t="s">
        <v>697</v>
      </c>
      <c r="AC10" s="2" t="s">
        <v>697</v>
      </c>
      <c r="AD10" s="2" t="s">
        <v>697</v>
      </c>
      <c r="AE10" s="2" t="s">
        <v>697</v>
      </c>
      <c r="AF10" s="2" t="s">
        <v>697</v>
      </c>
      <c r="AG10" s="2" t="s">
        <v>697</v>
      </c>
      <c r="AH10" s="2" t="s">
        <v>697</v>
      </c>
      <c r="AI10" s="4" t="s">
        <v>697</v>
      </c>
      <c r="AJ10" s="4" t="s">
        <v>697</v>
      </c>
    </row>
    <row r="11" spans="1:36" x14ac:dyDescent="0.35">
      <c r="A11" s="19" t="s">
        <v>33</v>
      </c>
      <c r="B11" s="1">
        <v>9</v>
      </c>
      <c r="C11" s="2">
        <v>250</v>
      </c>
      <c r="D11" s="2">
        <v>1</v>
      </c>
      <c r="E11" s="2">
        <v>34</v>
      </c>
      <c r="F11" s="2">
        <v>83</v>
      </c>
      <c r="G11" s="2">
        <v>3</v>
      </c>
      <c r="H11" s="2">
        <v>3</v>
      </c>
      <c r="I11" s="2">
        <v>1</v>
      </c>
      <c r="J11" s="2">
        <v>0</v>
      </c>
      <c r="K11" s="2">
        <v>0</v>
      </c>
      <c r="L11" s="2">
        <v>0</v>
      </c>
      <c r="M11" s="2">
        <v>7</v>
      </c>
      <c r="N11" s="2">
        <v>85</v>
      </c>
      <c r="O11" s="2">
        <v>6</v>
      </c>
      <c r="P11" s="2">
        <v>79</v>
      </c>
      <c r="Q11" s="2">
        <v>2</v>
      </c>
      <c r="R11" s="2">
        <v>10</v>
      </c>
      <c r="S11" s="2">
        <v>2</v>
      </c>
      <c r="T11" s="2">
        <v>12</v>
      </c>
      <c r="U11" s="2">
        <v>5</v>
      </c>
      <c r="V11" s="2">
        <v>50</v>
      </c>
      <c r="W11" s="2">
        <v>1</v>
      </c>
      <c r="X11" s="2">
        <v>14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1</v>
      </c>
      <c r="AI11" s="4">
        <f>Table2121418198598100[[#This Row],[QB PY]]+Table2121418198598100[[#This Row],[QB RY]]</f>
        <v>284</v>
      </c>
      <c r="AJ11" s="4">
        <f>Table2121418198598100[[#This Row],[RB1 RY]]+Table2121418198598100[[#This Row],[RB2+ RY]]+Table2121418198598100[[#This Row],[RB1 RecY]]+Table2121418198598100[[#This Row],[RB2 RecY]]</f>
        <v>86</v>
      </c>
    </row>
    <row r="12" spans="1:36" x14ac:dyDescent="0.35">
      <c r="A12" s="19" t="s">
        <v>52</v>
      </c>
      <c r="B12" s="1">
        <v>10</v>
      </c>
      <c r="C12" s="2">
        <v>178</v>
      </c>
      <c r="D12" s="2">
        <v>1</v>
      </c>
      <c r="E12" s="2">
        <v>-6</v>
      </c>
      <c r="F12" s="2">
        <v>67</v>
      </c>
      <c r="G12" s="2">
        <v>114</v>
      </c>
      <c r="H12" s="2">
        <v>23</v>
      </c>
      <c r="I12" s="2">
        <v>1</v>
      </c>
      <c r="J12" s="2">
        <v>3</v>
      </c>
      <c r="K12" s="2">
        <v>0</v>
      </c>
      <c r="L12" s="2">
        <v>0</v>
      </c>
      <c r="M12" s="2">
        <v>5</v>
      </c>
      <c r="N12" s="2">
        <v>93</v>
      </c>
      <c r="O12" s="2">
        <v>2</v>
      </c>
      <c r="P12" s="2">
        <v>74</v>
      </c>
      <c r="Q12" s="2">
        <v>1</v>
      </c>
      <c r="R12" s="2">
        <v>3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5</v>
      </c>
      <c r="Y12" s="2">
        <v>0</v>
      </c>
      <c r="Z12" s="2">
        <v>0</v>
      </c>
      <c r="AA12" s="2">
        <v>2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2</v>
      </c>
      <c r="AI12" s="4">
        <f>Table2121418198598100[[#This Row],[QB PY]]+Table2121418198598100[[#This Row],[QB RY]]</f>
        <v>172</v>
      </c>
      <c r="AJ12" s="4">
        <f>Table2121418198598100[[#This Row],[RB1 RY]]+Table2121418198598100[[#This Row],[RB2+ RY]]+Table2121418198598100[[#This Row],[RB1 RecY]]+Table2121418198598100[[#This Row],[RB2 RecY]]</f>
        <v>184</v>
      </c>
    </row>
    <row r="13" spans="1:36" x14ac:dyDescent="0.35">
      <c r="A13" s="19" t="s">
        <v>53</v>
      </c>
      <c r="B13" s="1">
        <v>11</v>
      </c>
      <c r="C13" s="2">
        <v>200</v>
      </c>
      <c r="D13" s="2">
        <v>3</v>
      </c>
      <c r="E13" s="2">
        <v>-10</v>
      </c>
      <c r="F13" s="2">
        <v>81</v>
      </c>
      <c r="G13" s="2">
        <v>24</v>
      </c>
      <c r="H13" s="2">
        <v>0</v>
      </c>
      <c r="I13" s="2">
        <v>5</v>
      </c>
      <c r="J13" s="2">
        <v>40</v>
      </c>
      <c r="K13" s="2">
        <v>2</v>
      </c>
      <c r="L13" s="2">
        <v>26</v>
      </c>
      <c r="M13" s="2">
        <v>4</v>
      </c>
      <c r="N13" s="2">
        <v>54</v>
      </c>
      <c r="O13" s="2">
        <v>1</v>
      </c>
      <c r="P13" s="2">
        <v>0</v>
      </c>
      <c r="Q13" s="2">
        <v>1</v>
      </c>
      <c r="R13" s="2">
        <v>13</v>
      </c>
      <c r="S13" s="2">
        <v>0</v>
      </c>
      <c r="T13" s="2">
        <v>0</v>
      </c>
      <c r="U13" s="2">
        <v>6</v>
      </c>
      <c r="V13" s="2">
        <v>67</v>
      </c>
      <c r="W13" s="2">
        <v>0</v>
      </c>
      <c r="X13" s="2">
        <v>0</v>
      </c>
      <c r="Y13" s="2">
        <v>0</v>
      </c>
      <c r="Z13" s="2">
        <v>3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</v>
      </c>
      <c r="AG13" s="2">
        <v>0</v>
      </c>
      <c r="AH13" s="2">
        <v>0</v>
      </c>
      <c r="AI13" s="4">
        <f>Table2121418198598100[[#This Row],[QB PY]]+Table2121418198598100[[#This Row],[QB RY]]</f>
        <v>190</v>
      </c>
      <c r="AJ13" s="4">
        <f>Table2121418198598100[[#This Row],[RB1 RY]]+Table2121418198598100[[#This Row],[RB2+ RY]]+Table2121418198598100[[#This Row],[RB1 RecY]]+Table2121418198598100[[#This Row],[RB2 RecY]]</f>
        <v>171</v>
      </c>
    </row>
    <row r="14" spans="1:36" x14ac:dyDescent="0.35">
      <c r="A14" s="19" t="s">
        <v>39</v>
      </c>
      <c r="B14" s="1">
        <v>12</v>
      </c>
      <c r="C14" s="2">
        <v>256</v>
      </c>
      <c r="D14" s="2">
        <v>3</v>
      </c>
      <c r="E14" s="2">
        <v>29</v>
      </c>
      <c r="F14" s="2">
        <v>86</v>
      </c>
      <c r="G14" s="2">
        <v>19</v>
      </c>
      <c r="H14" s="2">
        <v>0</v>
      </c>
      <c r="I14" s="2">
        <v>3</v>
      </c>
      <c r="J14" s="2">
        <v>30</v>
      </c>
      <c r="K14" s="2">
        <v>0</v>
      </c>
      <c r="L14" s="2">
        <v>0</v>
      </c>
      <c r="M14" s="2">
        <v>4</v>
      </c>
      <c r="N14" s="2">
        <v>50</v>
      </c>
      <c r="O14" s="2">
        <v>5</v>
      </c>
      <c r="P14" s="2">
        <v>71</v>
      </c>
      <c r="Q14" s="2">
        <v>0</v>
      </c>
      <c r="R14" s="2">
        <v>0</v>
      </c>
      <c r="S14" s="2">
        <v>0</v>
      </c>
      <c r="T14" s="2">
        <v>0</v>
      </c>
      <c r="U14" s="2">
        <v>5</v>
      </c>
      <c r="V14" s="2">
        <v>93</v>
      </c>
      <c r="W14" s="2">
        <v>1</v>
      </c>
      <c r="X14" s="2">
        <v>12</v>
      </c>
      <c r="Y14" s="2">
        <v>0</v>
      </c>
      <c r="Z14" s="2">
        <v>1</v>
      </c>
      <c r="AA14" s="2">
        <v>0</v>
      </c>
      <c r="AB14" s="2">
        <v>1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4">
        <f>Table2121418198598100[[#This Row],[QB PY]]+Table2121418198598100[[#This Row],[QB RY]]</f>
        <v>285</v>
      </c>
      <c r="AJ14" s="4">
        <f>Table2121418198598100[[#This Row],[RB1 RY]]+Table2121418198598100[[#This Row],[RB2+ RY]]+Table2121418198598100[[#This Row],[RB1 RecY]]+Table2121418198598100[[#This Row],[RB2 RecY]]</f>
        <v>135</v>
      </c>
    </row>
    <row r="15" spans="1:36" x14ac:dyDescent="0.35">
      <c r="A15" s="19" t="s">
        <v>54</v>
      </c>
      <c r="B15" s="1">
        <v>13</v>
      </c>
      <c r="C15" s="2">
        <v>194</v>
      </c>
      <c r="D15" s="2">
        <v>1</v>
      </c>
      <c r="E15" s="2">
        <v>27</v>
      </c>
      <c r="F15" s="2">
        <v>61</v>
      </c>
      <c r="G15" s="2">
        <v>7</v>
      </c>
      <c r="H15" s="2">
        <v>0</v>
      </c>
      <c r="I15" s="2">
        <v>2</v>
      </c>
      <c r="J15" s="2">
        <v>20</v>
      </c>
      <c r="K15" s="2">
        <v>3</v>
      </c>
      <c r="L15" s="2">
        <v>22</v>
      </c>
      <c r="M15" s="2">
        <v>4</v>
      </c>
      <c r="N15" s="2">
        <v>42</v>
      </c>
      <c r="O15" s="2">
        <v>3</v>
      </c>
      <c r="P15" s="2">
        <v>78</v>
      </c>
      <c r="Q15" s="2">
        <v>1</v>
      </c>
      <c r="R15" s="2">
        <v>5</v>
      </c>
      <c r="S15" s="2">
        <v>1</v>
      </c>
      <c r="T15" s="2">
        <v>5</v>
      </c>
      <c r="U15" s="2">
        <v>2</v>
      </c>
      <c r="V15" s="2">
        <v>9</v>
      </c>
      <c r="W15" s="2">
        <v>2</v>
      </c>
      <c r="X15" s="2">
        <v>13</v>
      </c>
      <c r="Y15" s="2">
        <v>0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4">
        <f>Table2121418198598100[[#This Row],[QB PY]]+Table2121418198598100[[#This Row],[QB RY]]</f>
        <v>221</v>
      </c>
      <c r="AJ15" s="4">
        <f>Table2121418198598100[[#This Row],[RB1 RY]]+Table2121418198598100[[#This Row],[RB2+ RY]]+Table2121418198598100[[#This Row],[RB1 RecY]]+Table2121418198598100[[#This Row],[RB2 RecY]]</f>
        <v>110</v>
      </c>
    </row>
    <row r="16" spans="1:36" x14ac:dyDescent="0.35">
      <c r="A16" s="19" t="s">
        <v>42</v>
      </c>
      <c r="B16" s="1">
        <v>14</v>
      </c>
      <c r="C16" s="2">
        <v>281</v>
      </c>
      <c r="D16" s="2">
        <v>3</v>
      </c>
      <c r="E16" s="2">
        <v>-4</v>
      </c>
      <c r="F16" s="2">
        <v>84</v>
      </c>
      <c r="G16" s="2">
        <v>169</v>
      </c>
      <c r="H16" s="2">
        <v>0</v>
      </c>
      <c r="I16" s="2">
        <v>2</v>
      </c>
      <c r="J16" s="2">
        <v>13</v>
      </c>
      <c r="K16" s="2">
        <v>1</v>
      </c>
      <c r="L16" s="2">
        <v>3</v>
      </c>
      <c r="M16" s="2">
        <v>7</v>
      </c>
      <c r="N16" s="2">
        <v>167</v>
      </c>
      <c r="O16" s="2">
        <v>4</v>
      </c>
      <c r="P16" s="2">
        <v>29</v>
      </c>
      <c r="Q16" s="2">
        <v>1</v>
      </c>
      <c r="R16" s="2">
        <v>6</v>
      </c>
      <c r="S16" s="2">
        <v>2</v>
      </c>
      <c r="T16" s="2">
        <v>10</v>
      </c>
      <c r="U16" s="2">
        <v>3</v>
      </c>
      <c r="V16" s="2">
        <v>32</v>
      </c>
      <c r="W16" s="2">
        <v>2</v>
      </c>
      <c r="X16" s="2">
        <v>21</v>
      </c>
      <c r="Y16" s="2">
        <v>0</v>
      </c>
      <c r="Z16" s="2">
        <v>1</v>
      </c>
      <c r="AA16" s="2">
        <v>2</v>
      </c>
      <c r="AB16" s="2">
        <v>2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4">
        <f>Table2121418198598100[[#This Row],[QB PY]]+Table2121418198598100[[#This Row],[QB RY]]</f>
        <v>277</v>
      </c>
      <c r="AJ16" s="4">
        <f>Table2121418198598100[[#This Row],[RB1 RY]]+Table2121418198598100[[#This Row],[RB2+ RY]]+Table2121418198598100[[#This Row],[RB1 RecY]]+Table2121418198598100[[#This Row],[RB2 RecY]]</f>
        <v>269</v>
      </c>
    </row>
    <row r="17" spans="1:36" x14ac:dyDescent="0.35">
      <c r="A17" s="19" t="s">
        <v>37</v>
      </c>
      <c r="B17" s="1">
        <v>15</v>
      </c>
      <c r="C17" s="2">
        <v>260</v>
      </c>
      <c r="D17" s="2">
        <v>3</v>
      </c>
      <c r="E17" s="2">
        <v>10</v>
      </c>
      <c r="F17" s="2">
        <v>30</v>
      </c>
      <c r="G17" s="2">
        <v>103</v>
      </c>
      <c r="H17" s="2">
        <v>0</v>
      </c>
      <c r="I17" s="2">
        <v>1</v>
      </c>
      <c r="J17" s="2">
        <v>8</v>
      </c>
      <c r="K17" s="2">
        <v>5</v>
      </c>
      <c r="L17" s="2">
        <v>49</v>
      </c>
      <c r="M17" s="2">
        <v>3</v>
      </c>
      <c r="N17" s="2">
        <v>85</v>
      </c>
      <c r="O17" s="2">
        <v>1</v>
      </c>
      <c r="P17" s="2">
        <v>4</v>
      </c>
      <c r="Q17" s="2">
        <v>1</v>
      </c>
      <c r="R17" s="2">
        <v>16</v>
      </c>
      <c r="S17" s="2">
        <v>0</v>
      </c>
      <c r="T17" s="2">
        <v>0</v>
      </c>
      <c r="U17" s="2">
        <v>8</v>
      </c>
      <c r="V17" s="2">
        <v>76</v>
      </c>
      <c r="W17" s="2">
        <v>3</v>
      </c>
      <c r="X17" s="2">
        <v>22</v>
      </c>
      <c r="Y17" s="2">
        <v>0</v>
      </c>
      <c r="Z17" s="2">
        <v>1</v>
      </c>
      <c r="AA17" s="2">
        <v>0</v>
      </c>
      <c r="AB17" s="2">
        <v>2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  <c r="AH17" s="2">
        <v>0</v>
      </c>
      <c r="AI17" s="4">
        <f>Table2121418198598100[[#This Row],[QB PY]]+Table2121418198598100[[#This Row],[QB RY]]</f>
        <v>270</v>
      </c>
      <c r="AJ17" s="4">
        <f>Table2121418198598100[[#This Row],[RB1 RY]]+Table2121418198598100[[#This Row],[RB2+ RY]]+Table2121418198598100[[#This Row],[RB1 RecY]]+Table2121418198598100[[#This Row],[RB2 RecY]]</f>
        <v>190</v>
      </c>
    </row>
    <row r="18" spans="1:36" x14ac:dyDescent="0.35">
      <c r="A18" s="19" t="s">
        <v>15</v>
      </c>
      <c r="B18" s="1">
        <v>16</v>
      </c>
      <c r="C18" s="2">
        <v>197</v>
      </c>
      <c r="D18" s="2">
        <v>2</v>
      </c>
      <c r="E18" s="2">
        <v>-3</v>
      </c>
      <c r="F18" s="2">
        <v>76</v>
      </c>
      <c r="G18" s="2">
        <v>79</v>
      </c>
      <c r="H18" s="2">
        <v>0</v>
      </c>
      <c r="I18" s="2">
        <v>7</v>
      </c>
      <c r="J18" s="2">
        <v>92</v>
      </c>
      <c r="K18" s="2">
        <v>1</v>
      </c>
      <c r="L18" s="2">
        <v>-6</v>
      </c>
      <c r="M18" s="2">
        <v>3</v>
      </c>
      <c r="N18" s="2">
        <v>27</v>
      </c>
      <c r="O18" s="2">
        <v>2</v>
      </c>
      <c r="P18" s="2">
        <v>24</v>
      </c>
      <c r="Q18" s="2">
        <v>0</v>
      </c>
      <c r="R18" s="2">
        <v>0</v>
      </c>
      <c r="S18" s="2">
        <v>0</v>
      </c>
      <c r="T18" s="2">
        <v>0</v>
      </c>
      <c r="U18" s="2">
        <v>7</v>
      </c>
      <c r="V18" s="2">
        <v>57</v>
      </c>
      <c r="W18" s="2">
        <v>1</v>
      </c>
      <c r="X18" s="2">
        <v>3</v>
      </c>
      <c r="Y18" s="2">
        <v>1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</v>
      </c>
      <c r="AG18" s="2">
        <v>0</v>
      </c>
      <c r="AH18" s="2">
        <v>0</v>
      </c>
      <c r="AI18" s="4">
        <f>Table2121418198598100[[#This Row],[QB PY]]+Table2121418198598100[[#This Row],[QB RY]]</f>
        <v>194</v>
      </c>
      <c r="AJ18" s="4">
        <f>Table2121418198598100[[#This Row],[RB1 RY]]+Table2121418198598100[[#This Row],[RB2+ RY]]+Table2121418198598100[[#This Row],[RB1 RecY]]+Table2121418198598100[[#This Row],[RB2 RecY]]</f>
        <v>241</v>
      </c>
    </row>
    <row r="19" spans="1:36" x14ac:dyDescent="0.35">
      <c r="A19" s="19" t="s">
        <v>31</v>
      </c>
      <c r="B19" s="1">
        <v>17</v>
      </c>
      <c r="C19" s="2">
        <v>329</v>
      </c>
      <c r="D19" s="2">
        <v>2</v>
      </c>
      <c r="E19" s="2">
        <v>4</v>
      </c>
      <c r="F19" s="2">
        <v>101</v>
      </c>
      <c r="G19" s="2">
        <v>15</v>
      </c>
      <c r="H19" s="2">
        <v>0</v>
      </c>
      <c r="I19" s="2">
        <v>3</v>
      </c>
      <c r="J19" s="2">
        <v>40</v>
      </c>
      <c r="K19" s="2">
        <v>2</v>
      </c>
      <c r="L19" s="2">
        <v>17</v>
      </c>
      <c r="M19" s="2">
        <v>7</v>
      </c>
      <c r="N19" s="2">
        <v>60</v>
      </c>
      <c r="O19" s="2">
        <v>4</v>
      </c>
      <c r="P19" s="2">
        <v>59</v>
      </c>
      <c r="Q19" s="2">
        <v>4</v>
      </c>
      <c r="R19" s="2">
        <v>41</v>
      </c>
      <c r="S19" s="2">
        <v>1</v>
      </c>
      <c r="T19" s="2">
        <v>5</v>
      </c>
      <c r="U19" s="2">
        <v>2</v>
      </c>
      <c r="V19" s="2">
        <v>47</v>
      </c>
      <c r="W19" s="2">
        <v>4</v>
      </c>
      <c r="X19" s="2">
        <v>60</v>
      </c>
      <c r="Y19" s="2">
        <v>0</v>
      </c>
      <c r="Z19" s="2">
        <v>2</v>
      </c>
      <c r="AA19" s="2">
        <v>1</v>
      </c>
      <c r="AB19" s="2">
        <v>2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4">
        <f>Table2121418198598100[[#This Row],[QB PY]]+Table2121418198598100[[#This Row],[QB RY]]</f>
        <v>333</v>
      </c>
      <c r="AJ19" s="4">
        <f>Table2121418198598100[[#This Row],[RB1 RY]]+Table2121418198598100[[#This Row],[RB2+ RY]]+Table2121418198598100[[#This Row],[RB1 RecY]]+Table2121418198598100[[#This Row],[RB2 RecY]]</f>
        <v>173</v>
      </c>
    </row>
    <row r="20" spans="1:36" x14ac:dyDescent="0.35">
      <c r="A20" s="19" t="s">
        <v>42</v>
      </c>
      <c r="B20" s="1">
        <v>18</v>
      </c>
      <c r="C20" s="2">
        <v>259</v>
      </c>
      <c r="D20" s="2">
        <v>4</v>
      </c>
      <c r="E20" s="2">
        <v>0</v>
      </c>
      <c r="F20" s="2">
        <v>60</v>
      </c>
      <c r="G20" s="2">
        <v>59</v>
      </c>
      <c r="H20" s="2">
        <v>24</v>
      </c>
      <c r="I20" s="2">
        <v>3</v>
      </c>
      <c r="J20" s="2">
        <v>21</v>
      </c>
      <c r="K20" s="2">
        <v>1</v>
      </c>
      <c r="L20" s="2">
        <v>10</v>
      </c>
      <c r="M20" s="2">
        <v>10</v>
      </c>
      <c r="N20" s="2">
        <v>76</v>
      </c>
      <c r="O20" s="2">
        <v>1</v>
      </c>
      <c r="P20" s="2">
        <v>19</v>
      </c>
      <c r="Q20" s="2">
        <v>1</v>
      </c>
      <c r="R20" s="2">
        <v>6</v>
      </c>
      <c r="S20" s="2">
        <v>0</v>
      </c>
      <c r="T20" s="2">
        <v>0</v>
      </c>
      <c r="U20" s="2">
        <v>5</v>
      </c>
      <c r="V20" s="2">
        <v>91</v>
      </c>
      <c r="W20" s="2">
        <v>4</v>
      </c>
      <c r="X20" s="2">
        <v>36</v>
      </c>
      <c r="Y20" s="2">
        <v>0</v>
      </c>
      <c r="Z20" s="2">
        <v>0</v>
      </c>
      <c r="AA20" s="2">
        <v>0</v>
      </c>
      <c r="AB20" s="2">
        <v>1</v>
      </c>
      <c r="AC20" s="2">
        <v>0</v>
      </c>
      <c r="AD20" s="2">
        <v>0</v>
      </c>
      <c r="AE20" s="2">
        <v>0</v>
      </c>
      <c r="AF20" s="2">
        <v>1</v>
      </c>
      <c r="AG20" s="2">
        <v>2</v>
      </c>
      <c r="AH20" s="2">
        <v>0</v>
      </c>
      <c r="AI20" s="4">
        <f>Table2121418198598100[[#This Row],[QB PY]]+Table2121418198598100[[#This Row],[QB RY]]</f>
        <v>259</v>
      </c>
      <c r="AJ20" s="4">
        <f>Table2121418198598100[[#This Row],[RB1 RY]]+Table2121418198598100[[#This Row],[RB2+ RY]]+Table2121418198598100[[#This Row],[RB1 RecY]]+Table2121418198598100[[#This Row],[RB2 RecY]]</f>
        <v>150</v>
      </c>
    </row>
    <row r="21" spans="1:36" x14ac:dyDescent="0.35">
      <c r="B21" s="1" t="s">
        <v>57</v>
      </c>
      <c r="C21" s="3">
        <f>AVERAGE(Table2121418198598100[QB PY])</f>
        <v>242.8235294117647</v>
      </c>
      <c r="D21" s="3">
        <f>AVERAGE(Table2121418198598100[P TD])</f>
        <v>1.8235294117647058</v>
      </c>
      <c r="E21" s="3">
        <f>AVERAGE(Table2121418198598100[QB RY])</f>
        <v>10.058823529411764</v>
      </c>
      <c r="F21" s="3">
        <f>AVERAGE(Table2121418198598100[RB1 RY])</f>
        <v>70</v>
      </c>
      <c r="G21" s="3">
        <f>AVERAGE(Table2121418198598100[RB2+ RY])</f>
        <v>43.294117647058826</v>
      </c>
      <c r="H21" s="3">
        <f>AVERAGE(Table2121418198598100[WR RY])</f>
        <v>3.5882352941176472</v>
      </c>
      <c r="I21" s="3">
        <f>AVERAGE(Table2121418198598100[RB1 Recep])</f>
        <v>3.1764705882352939</v>
      </c>
      <c r="J21" s="3">
        <f>AVERAGE(Table2121418198598100[RB1 RecY])</f>
        <v>27.235294117647058</v>
      </c>
      <c r="K21" s="3">
        <f>AVERAGE(Table2121418198598100[RB2 Recep])</f>
        <v>1.2941176470588236</v>
      </c>
      <c r="L21" s="3">
        <f>AVERAGE(Table2121418198598100[RB2 RecY])</f>
        <v>8.5882352941176467</v>
      </c>
      <c r="M21" s="3">
        <f>AVERAGE(Table2121418198598100[WR1 Recep])</f>
        <v>5.2941176470588234</v>
      </c>
      <c r="N21" s="3">
        <f>AVERAGE(Table2121418198598100[WR1 RecY])</f>
        <v>75.117647058823536</v>
      </c>
      <c r="O21" s="3">
        <f>AVERAGE(Table2121418198598100[WR2 Recep])</f>
        <v>3.7647058823529411</v>
      </c>
      <c r="P21" s="3">
        <f>AVERAGE(Table2121418198598100[WR2 RecY])</f>
        <v>42</v>
      </c>
      <c r="Q21" s="3">
        <f>AVERAGE(Table2121418198598100[WR3 Recep])</f>
        <v>1.3529411764705883</v>
      </c>
      <c r="R21" s="3">
        <f>AVERAGE(Table2121418198598100[WR3 RecY])</f>
        <v>12.588235294117647</v>
      </c>
      <c r="S21" s="3">
        <f>AVERAGE(Table2121418198598100[WR4+ Recep])</f>
        <v>0.76470588235294112</v>
      </c>
      <c r="T21" s="3">
        <f>AVERAGE(Table2121418198598100[WR4+ RecY])</f>
        <v>7.3529411764705879</v>
      </c>
      <c r="U21" s="3">
        <f>AVERAGE(Table2121418198598100[TE1 Recep])</f>
        <v>4.5882352941176467</v>
      </c>
      <c r="V21" s="3">
        <f>AVERAGE(Table2121418198598100[TE1 RecY])</f>
        <v>51.411764705882355</v>
      </c>
      <c r="W21" s="3">
        <f>AVERAGE(Table2121418198598100[TE2 Recep])</f>
        <v>1.8235294117647058</v>
      </c>
      <c r="X21" s="3">
        <f>AVERAGE(Table2121418198598100[TE2 RecY])</f>
        <v>18.529411764705884</v>
      </c>
      <c r="Y21" s="3">
        <f>AVERAGE(Table2121418198598100[QB TD])</f>
        <v>0.11764705882352941</v>
      </c>
      <c r="Z21" s="3">
        <f>AVERAGE(Table2121418198598100[RB1 TD])</f>
        <v>0.94117647058823528</v>
      </c>
      <c r="AA21" s="3">
        <f>AVERAGE(Table2121418198598100[RB2 TD])</f>
        <v>0.41176470588235292</v>
      </c>
      <c r="AB21" s="3">
        <f>AVERAGE(Table2121418198598100[WR1 TD])</f>
        <v>0.52941176470588236</v>
      </c>
      <c r="AC21" s="3">
        <f>AVERAGE(Table2121418198598100[WR2 TD])</f>
        <v>0.23529411764705882</v>
      </c>
      <c r="AD21" s="3">
        <f>AVERAGE(Table2121418198598100[WR3 TD])</f>
        <v>0</v>
      </c>
      <c r="AE21" s="3">
        <f>AVERAGE(Table2121418198598100[WR4+ TD])</f>
        <v>0.11764705882352941</v>
      </c>
      <c r="AF21" s="3">
        <f>AVERAGE(Table2121418198598100[TE1 TD])</f>
        <v>0.52941176470588236</v>
      </c>
      <c r="AG21" s="3">
        <f>AVERAGE(Table2121418198598100[TE2 TD])</f>
        <v>0.17647058823529413</v>
      </c>
      <c r="AH21" s="3">
        <f>AVERAGE(Table2121418198598100[D/ST TD])</f>
        <v>0.17647058823529413</v>
      </c>
      <c r="AI21" s="3">
        <f>AVERAGE(Table2121418198598100[QB P+R])</f>
        <v>252.88235294117646</v>
      </c>
      <c r="AJ21" s="3">
        <f>AVERAGE(Table2121418198598100[RB R+R])</f>
        <v>149.11764705882354</v>
      </c>
    </row>
    <row r="23" spans="1:36" x14ac:dyDescent="0.35">
      <c r="A23" s="230" t="s">
        <v>15</v>
      </c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</row>
    <row r="24" spans="1:36" x14ac:dyDescent="0.35">
      <c r="A24" s="20" t="s">
        <v>63</v>
      </c>
      <c r="B24" s="6" t="s">
        <v>1</v>
      </c>
      <c r="C24" s="7" t="s">
        <v>18</v>
      </c>
      <c r="D24" s="8" t="s">
        <v>19</v>
      </c>
      <c r="E24" s="9" t="s">
        <v>20</v>
      </c>
      <c r="F24" s="10" t="s">
        <v>21</v>
      </c>
      <c r="G24" s="11" t="s">
        <v>22</v>
      </c>
      <c r="H24" s="12" t="s">
        <v>23</v>
      </c>
      <c r="I24" s="13" t="s">
        <v>667</v>
      </c>
      <c r="J24" s="13" t="s">
        <v>668</v>
      </c>
      <c r="K24" s="13" t="s">
        <v>665</v>
      </c>
      <c r="L24" s="13" t="s">
        <v>666</v>
      </c>
      <c r="M24" s="14" t="s">
        <v>2</v>
      </c>
      <c r="N24" s="14" t="s">
        <v>24</v>
      </c>
      <c r="O24" s="15" t="s">
        <v>3</v>
      </c>
      <c r="P24" s="15" t="s">
        <v>25</v>
      </c>
      <c r="Q24" s="16" t="s">
        <v>4</v>
      </c>
      <c r="R24" s="16" t="s">
        <v>26</v>
      </c>
      <c r="S24" s="17" t="s">
        <v>5</v>
      </c>
      <c r="T24" s="17" t="s">
        <v>27</v>
      </c>
      <c r="U24" s="18" t="s">
        <v>669</v>
      </c>
      <c r="V24" s="18" t="s">
        <v>670</v>
      </c>
      <c r="W24" s="18" t="s">
        <v>675</v>
      </c>
      <c r="X24" s="18" t="s">
        <v>671</v>
      </c>
      <c r="Y24" s="6" t="s">
        <v>6</v>
      </c>
      <c r="Z24" s="6" t="s">
        <v>7</v>
      </c>
      <c r="AA24" s="6" t="s">
        <v>674</v>
      </c>
      <c r="AB24" s="6" t="s">
        <v>8</v>
      </c>
      <c r="AC24" s="6" t="s">
        <v>9</v>
      </c>
      <c r="AD24" s="6" t="s">
        <v>10</v>
      </c>
      <c r="AE24" s="6" t="s">
        <v>11</v>
      </c>
      <c r="AF24" s="6" t="s">
        <v>673</v>
      </c>
      <c r="AG24" s="6" t="s">
        <v>672</v>
      </c>
      <c r="AH24" s="6" t="s">
        <v>12</v>
      </c>
      <c r="AI24" s="8" t="s">
        <v>14</v>
      </c>
      <c r="AJ24" s="11" t="s">
        <v>13</v>
      </c>
    </row>
    <row r="25" spans="1:36" x14ac:dyDescent="0.35">
      <c r="A25" s="19" t="s">
        <v>54</v>
      </c>
      <c r="B25" s="5">
        <v>1</v>
      </c>
      <c r="C25" s="4">
        <v>167</v>
      </c>
      <c r="D25" s="4">
        <v>3</v>
      </c>
      <c r="E25" s="4">
        <v>39</v>
      </c>
      <c r="F25" s="4">
        <v>37</v>
      </c>
      <c r="G25" s="4">
        <v>16</v>
      </c>
      <c r="H25" s="4">
        <v>9</v>
      </c>
      <c r="I25" s="4">
        <v>4</v>
      </c>
      <c r="J25" s="4">
        <v>8</v>
      </c>
      <c r="K25" s="4">
        <v>1</v>
      </c>
      <c r="L25" s="4">
        <v>2</v>
      </c>
      <c r="M25" s="4">
        <v>5</v>
      </c>
      <c r="N25" s="4">
        <v>51</v>
      </c>
      <c r="O25" s="4">
        <v>4</v>
      </c>
      <c r="P25" s="4">
        <v>67</v>
      </c>
      <c r="Q25" s="4">
        <v>3</v>
      </c>
      <c r="R25" s="4">
        <v>39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  <c r="AB25" s="4">
        <v>0</v>
      </c>
      <c r="AC25" s="4">
        <v>2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f>Table212141819859899[[#This Row],[QB PY]]+Table212141819859899[[#This Row],[QB RY]]</f>
        <v>206</v>
      </c>
      <c r="AJ25" s="4">
        <f>Table212141819859899[[#This Row],[RB1 RY]]+Table212141819859899[[#This Row],[RB2+ RY]]+Table212141819859899[[#This Row],[RB1 RecY]]+Table212141819859899[[#This Row],[RB2 RecY]]</f>
        <v>63</v>
      </c>
    </row>
    <row r="26" spans="1:36" x14ac:dyDescent="0.35">
      <c r="A26" s="19" t="s">
        <v>45</v>
      </c>
      <c r="B26" s="1">
        <v>2</v>
      </c>
      <c r="C26" s="2">
        <v>158</v>
      </c>
      <c r="D26" s="2">
        <v>0</v>
      </c>
      <c r="E26" s="2">
        <v>25</v>
      </c>
      <c r="F26" s="2">
        <v>30</v>
      </c>
      <c r="G26" s="2">
        <v>23</v>
      </c>
      <c r="H26" s="2">
        <v>0</v>
      </c>
      <c r="I26" s="2">
        <v>2</v>
      </c>
      <c r="J26" s="2">
        <v>8</v>
      </c>
      <c r="K26" s="2">
        <v>0</v>
      </c>
      <c r="L26" s="2">
        <v>0</v>
      </c>
      <c r="M26" s="2">
        <v>3</v>
      </c>
      <c r="N26" s="2">
        <v>81</v>
      </c>
      <c r="O26" s="2">
        <v>3</v>
      </c>
      <c r="P26" s="2">
        <v>31</v>
      </c>
      <c r="Q26" s="2">
        <v>2</v>
      </c>
      <c r="R26" s="2">
        <v>26</v>
      </c>
      <c r="S26" s="2">
        <v>0</v>
      </c>
      <c r="T26" s="2">
        <v>0</v>
      </c>
      <c r="U26" s="2">
        <v>1</v>
      </c>
      <c r="V26" s="2">
        <v>12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4">
        <f>Table212141819859899[[#This Row],[QB PY]]+Table212141819859899[[#This Row],[QB RY]]</f>
        <v>183</v>
      </c>
      <c r="AJ26" s="4">
        <f>Table212141819859899[[#This Row],[RB1 RY]]+Table212141819859899[[#This Row],[RB2+ RY]]+Table212141819859899[[#This Row],[RB1 RecY]]+Table212141819859899[[#This Row],[RB2 RecY]]</f>
        <v>61</v>
      </c>
    </row>
    <row r="27" spans="1:36" x14ac:dyDescent="0.35">
      <c r="A27" s="19" t="s">
        <v>29</v>
      </c>
      <c r="B27" s="1">
        <v>3</v>
      </c>
      <c r="C27" s="2">
        <v>121</v>
      </c>
      <c r="D27" s="2">
        <v>0</v>
      </c>
      <c r="E27" s="2">
        <v>7</v>
      </c>
      <c r="F27" s="2">
        <v>73</v>
      </c>
      <c r="G27" s="2">
        <v>30</v>
      </c>
      <c r="H27" s="2">
        <v>0</v>
      </c>
      <c r="I27" s="2">
        <v>2</v>
      </c>
      <c r="J27" s="2">
        <v>3</v>
      </c>
      <c r="K27" s="2">
        <v>1</v>
      </c>
      <c r="L27" s="2">
        <v>8</v>
      </c>
      <c r="M27" s="2">
        <v>3</v>
      </c>
      <c r="N27" s="2">
        <v>48</v>
      </c>
      <c r="O27" s="2">
        <v>2</v>
      </c>
      <c r="P27" s="2">
        <v>6</v>
      </c>
      <c r="Q27" s="2">
        <v>1</v>
      </c>
      <c r="R27" s="2">
        <v>5</v>
      </c>
      <c r="S27" s="2">
        <v>2</v>
      </c>
      <c r="T27" s="2">
        <v>15</v>
      </c>
      <c r="U27" s="2">
        <v>2</v>
      </c>
      <c r="V27" s="2">
        <v>11</v>
      </c>
      <c r="W27" s="2">
        <v>3</v>
      </c>
      <c r="X27" s="2">
        <v>25</v>
      </c>
      <c r="Y27" s="2">
        <v>1</v>
      </c>
      <c r="Z27" s="2">
        <v>0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  <c r="AI27" s="4">
        <f>Table212141819859899[[#This Row],[QB PY]]+Table212141819859899[[#This Row],[QB RY]]</f>
        <v>128</v>
      </c>
      <c r="AJ27" s="4">
        <f>Table212141819859899[[#This Row],[RB1 RY]]+Table212141819859899[[#This Row],[RB2+ RY]]+Table212141819859899[[#This Row],[RB1 RecY]]+Table212141819859899[[#This Row],[RB2 RecY]]</f>
        <v>114</v>
      </c>
    </row>
    <row r="28" spans="1:36" x14ac:dyDescent="0.35">
      <c r="A28" s="19" t="s">
        <v>56</v>
      </c>
      <c r="B28" s="1">
        <v>4</v>
      </c>
      <c r="C28" s="2">
        <v>156</v>
      </c>
      <c r="D28" s="2">
        <v>2</v>
      </c>
      <c r="E28" s="2">
        <v>20</v>
      </c>
      <c r="F28" s="2">
        <v>47</v>
      </c>
      <c r="G28" s="2">
        <v>62</v>
      </c>
      <c r="H28" s="2">
        <v>18</v>
      </c>
      <c r="I28" s="2">
        <v>2</v>
      </c>
      <c r="J28" s="2">
        <v>10</v>
      </c>
      <c r="K28" s="2">
        <v>1</v>
      </c>
      <c r="L28" s="2">
        <v>0</v>
      </c>
      <c r="M28" s="2">
        <v>6</v>
      </c>
      <c r="N28" s="2">
        <v>72</v>
      </c>
      <c r="O28" s="2">
        <v>2</v>
      </c>
      <c r="P28" s="2">
        <v>21</v>
      </c>
      <c r="Q28" s="2">
        <v>2</v>
      </c>
      <c r="R28" s="2">
        <v>18</v>
      </c>
      <c r="S28" s="2">
        <v>1</v>
      </c>
      <c r="T28" s="2">
        <v>14</v>
      </c>
      <c r="U28" s="2">
        <v>2</v>
      </c>
      <c r="V28" s="2">
        <v>21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4">
        <f>Table212141819859899[[#This Row],[QB PY]]+Table212141819859899[[#This Row],[QB RY]]</f>
        <v>176</v>
      </c>
      <c r="AJ28" s="4">
        <f>Table212141819859899[[#This Row],[RB1 RY]]+Table212141819859899[[#This Row],[RB2+ RY]]+Table212141819859899[[#This Row],[RB1 RecY]]+Table212141819859899[[#This Row],[RB2 RecY]]</f>
        <v>119</v>
      </c>
    </row>
    <row r="29" spans="1:36" x14ac:dyDescent="0.35">
      <c r="A29" s="19" t="s">
        <v>650</v>
      </c>
      <c r="B29" s="1">
        <v>5</v>
      </c>
      <c r="C29" s="2" t="s">
        <v>697</v>
      </c>
      <c r="D29" s="2" t="s">
        <v>697</v>
      </c>
      <c r="E29" s="2" t="s">
        <v>697</v>
      </c>
      <c r="F29" s="2" t="s">
        <v>697</v>
      </c>
      <c r="G29" s="2" t="s">
        <v>697</v>
      </c>
      <c r="H29" s="2" t="s">
        <v>697</v>
      </c>
      <c r="I29" s="2" t="s">
        <v>697</v>
      </c>
      <c r="J29" s="2" t="s">
        <v>697</v>
      </c>
      <c r="K29" s="2" t="s">
        <v>697</v>
      </c>
      <c r="L29" s="2" t="s">
        <v>697</v>
      </c>
      <c r="M29" s="2" t="s">
        <v>697</v>
      </c>
      <c r="N29" s="2" t="s">
        <v>697</v>
      </c>
      <c r="O29" s="2" t="s">
        <v>697</v>
      </c>
      <c r="P29" s="2" t="s">
        <v>697</v>
      </c>
      <c r="Q29" s="2" t="s">
        <v>697</v>
      </c>
      <c r="R29" s="2" t="s">
        <v>697</v>
      </c>
      <c r="S29" s="2" t="s">
        <v>697</v>
      </c>
      <c r="T29" s="2" t="s">
        <v>697</v>
      </c>
      <c r="U29" s="2" t="s">
        <v>697</v>
      </c>
      <c r="V29" s="2" t="s">
        <v>697</v>
      </c>
      <c r="W29" s="2" t="s">
        <v>697</v>
      </c>
      <c r="X29" s="2" t="s">
        <v>697</v>
      </c>
      <c r="Y29" s="2" t="s">
        <v>697</v>
      </c>
      <c r="Z29" s="2" t="s">
        <v>697</v>
      </c>
      <c r="AA29" s="2" t="s">
        <v>697</v>
      </c>
      <c r="AB29" s="2" t="s">
        <v>697</v>
      </c>
      <c r="AC29" s="2" t="s">
        <v>697</v>
      </c>
      <c r="AD29" s="2" t="s">
        <v>697</v>
      </c>
      <c r="AE29" s="2" t="s">
        <v>697</v>
      </c>
      <c r="AF29" s="2" t="s">
        <v>697</v>
      </c>
      <c r="AG29" s="2" t="s">
        <v>697</v>
      </c>
      <c r="AH29" s="2" t="s">
        <v>697</v>
      </c>
      <c r="AI29" s="4" t="s">
        <v>697</v>
      </c>
      <c r="AJ29" s="4" t="s">
        <v>697</v>
      </c>
    </row>
    <row r="30" spans="1:36" x14ac:dyDescent="0.35">
      <c r="A30" s="19" t="s">
        <v>17</v>
      </c>
      <c r="B30" s="1">
        <v>6</v>
      </c>
      <c r="C30" s="2">
        <v>180</v>
      </c>
      <c r="D30" s="2">
        <v>2</v>
      </c>
      <c r="E30" s="2">
        <v>42</v>
      </c>
      <c r="F30" s="2">
        <v>87</v>
      </c>
      <c r="G30" s="2">
        <v>5</v>
      </c>
      <c r="H30" s="2">
        <v>0</v>
      </c>
      <c r="I30" s="2">
        <v>2</v>
      </c>
      <c r="J30" s="2">
        <v>19</v>
      </c>
      <c r="K30" s="2">
        <v>1</v>
      </c>
      <c r="L30" s="2">
        <v>11</v>
      </c>
      <c r="M30" s="2">
        <v>3</v>
      </c>
      <c r="N30" s="2">
        <v>11</v>
      </c>
      <c r="O30" s="2">
        <v>3</v>
      </c>
      <c r="P30" s="2">
        <v>33</v>
      </c>
      <c r="Q30" s="2">
        <v>2</v>
      </c>
      <c r="R30" s="2">
        <v>60</v>
      </c>
      <c r="S30" s="2">
        <v>3</v>
      </c>
      <c r="T30" s="2">
        <v>27</v>
      </c>
      <c r="U30" s="2">
        <v>1</v>
      </c>
      <c r="V30" s="2">
        <v>19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4">
        <f>Table212141819859899[[#This Row],[QB PY]]+Table212141819859899[[#This Row],[QB RY]]</f>
        <v>222</v>
      </c>
      <c r="AJ30" s="4">
        <f>Table212141819859899[[#This Row],[RB1 RY]]+Table212141819859899[[#This Row],[RB2+ RY]]+Table212141819859899[[#This Row],[RB1 RecY]]+Table212141819859899[[#This Row],[RB2 RecY]]</f>
        <v>122</v>
      </c>
    </row>
    <row r="31" spans="1:36" x14ac:dyDescent="0.35">
      <c r="A31" s="19" t="s">
        <v>53</v>
      </c>
      <c r="B31" s="1">
        <v>7</v>
      </c>
      <c r="C31" s="2">
        <v>152</v>
      </c>
      <c r="D31" s="2">
        <v>0</v>
      </c>
      <c r="E31" s="2">
        <v>11</v>
      </c>
      <c r="F31" s="2">
        <v>129</v>
      </c>
      <c r="G31" s="2">
        <v>34</v>
      </c>
      <c r="H31" s="2">
        <v>0</v>
      </c>
      <c r="I31" s="2">
        <v>7</v>
      </c>
      <c r="J31" s="2">
        <v>72</v>
      </c>
      <c r="K31" s="2">
        <v>1</v>
      </c>
      <c r="L31" s="2">
        <v>10</v>
      </c>
      <c r="M31" s="2">
        <v>4</v>
      </c>
      <c r="N31" s="2">
        <v>31</v>
      </c>
      <c r="O31" s="2">
        <v>2</v>
      </c>
      <c r="P31" s="2">
        <v>14</v>
      </c>
      <c r="Q31" s="2">
        <v>1</v>
      </c>
      <c r="R31" s="2">
        <v>15</v>
      </c>
      <c r="S31" s="2">
        <v>0</v>
      </c>
      <c r="T31" s="2">
        <v>0</v>
      </c>
      <c r="U31" s="2">
        <v>1</v>
      </c>
      <c r="V31" s="2">
        <v>11</v>
      </c>
      <c r="W31" s="2">
        <v>1</v>
      </c>
      <c r="X31" s="2">
        <v>-1</v>
      </c>
      <c r="Y31" s="2">
        <v>0</v>
      </c>
      <c r="Z31" s="2">
        <v>2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4">
        <f>Table212141819859899[[#This Row],[QB PY]]+Table212141819859899[[#This Row],[QB RY]]</f>
        <v>163</v>
      </c>
      <c r="AJ31" s="4">
        <f>Table212141819859899[[#This Row],[RB1 RY]]+Table212141819859899[[#This Row],[RB2+ RY]]+Table212141819859899[[#This Row],[RB1 RecY]]+Table212141819859899[[#This Row],[RB2 RecY]]</f>
        <v>245</v>
      </c>
    </row>
    <row r="32" spans="1:36" x14ac:dyDescent="0.35">
      <c r="A32" s="19" t="s">
        <v>44</v>
      </c>
      <c r="B32" s="1">
        <v>8</v>
      </c>
      <c r="C32" s="2">
        <v>205</v>
      </c>
      <c r="D32" s="2">
        <v>4</v>
      </c>
      <c r="E32" s="2">
        <v>0</v>
      </c>
      <c r="F32" s="2">
        <v>67</v>
      </c>
      <c r="G32" s="2">
        <v>74</v>
      </c>
      <c r="H32" s="2">
        <v>0</v>
      </c>
      <c r="I32" s="2">
        <v>5</v>
      </c>
      <c r="J32" s="2">
        <v>24</v>
      </c>
      <c r="K32" s="2">
        <v>3</v>
      </c>
      <c r="L32" s="2">
        <v>20</v>
      </c>
      <c r="M32" s="2">
        <v>5</v>
      </c>
      <c r="N32" s="2">
        <v>99</v>
      </c>
      <c r="O32" s="2">
        <v>4</v>
      </c>
      <c r="P32" s="2">
        <v>36</v>
      </c>
      <c r="Q32" s="2">
        <v>1</v>
      </c>
      <c r="R32" s="2">
        <v>18</v>
      </c>
      <c r="S32" s="2">
        <v>1</v>
      </c>
      <c r="T32" s="2">
        <v>2</v>
      </c>
      <c r="U32" s="2">
        <v>2</v>
      </c>
      <c r="V32" s="2">
        <v>6</v>
      </c>
      <c r="W32" s="2">
        <v>0</v>
      </c>
      <c r="X32" s="2">
        <v>0</v>
      </c>
      <c r="Y32" s="2">
        <v>0</v>
      </c>
      <c r="Z32" s="2">
        <v>1</v>
      </c>
      <c r="AA32" s="2">
        <v>1</v>
      </c>
      <c r="AB32" s="2">
        <v>1</v>
      </c>
      <c r="AC32" s="2">
        <v>1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4">
        <f>Table212141819859899[[#This Row],[QB PY]]+Table212141819859899[[#This Row],[QB RY]]</f>
        <v>205</v>
      </c>
      <c r="AJ32" s="4">
        <f>Table212141819859899[[#This Row],[RB1 RY]]+Table212141819859899[[#This Row],[RB2+ RY]]+Table212141819859899[[#This Row],[RB1 RecY]]+Table212141819859899[[#This Row],[RB2 RecY]]</f>
        <v>185</v>
      </c>
    </row>
    <row r="33" spans="1:36" x14ac:dyDescent="0.35">
      <c r="A33" s="19" t="s">
        <v>46</v>
      </c>
      <c r="B33" s="1">
        <v>9</v>
      </c>
      <c r="C33" s="2">
        <v>259</v>
      </c>
      <c r="D33" s="2">
        <v>2</v>
      </c>
      <c r="E33" s="2">
        <v>20</v>
      </c>
      <c r="F33" s="2">
        <v>55</v>
      </c>
      <c r="G33" s="2">
        <v>35</v>
      </c>
      <c r="H33" s="2">
        <v>0</v>
      </c>
      <c r="I33" s="2">
        <v>4</v>
      </c>
      <c r="J33" s="2">
        <v>32</v>
      </c>
      <c r="K33" s="2">
        <v>1</v>
      </c>
      <c r="L33" s="2">
        <v>9</v>
      </c>
      <c r="M33" s="2">
        <v>3</v>
      </c>
      <c r="N33" s="2">
        <v>38</v>
      </c>
      <c r="O33" s="2">
        <v>4</v>
      </c>
      <c r="P33" s="2">
        <v>100</v>
      </c>
      <c r="Q33" s="2">
        <v>2</v>
      </c>
      <c r="R33" s="2">
        <v>9</v>
      </c>
      <c r="S33" s="2">
        <v>0</v>
      </c>
      <c r="T33" s="2">
        <v>0</v>
      </c>
      <c r="U33" s="2">
        <v>4</v>
      </c>
      <c r="V33" s="2">
        <v>51</v>
      </c>
      <c r="W33" s="2">
        <v>1</v>
      </c>
      <c r="X33" s="2">
        <v>20</v>
      </c>
      <c r="Y33" s="2">
        <v>0</v>
      </c>
      <c r="Z33" s="2">
        <v>0</v>
      </c>
      <c r="AA33" s="2">
        <v>1</v>
      </c>
      <c r="AB33" s="2">
        <v>1</v>
      </c>
      <c r="AC33" s="2">
        <v>1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4">
        <f>Table212141819859899[[#This Row],[QB PY]]+Table212141819859899[[#This Row],[QB RY]]</f>
        <v>279</v>
      </c>
      <c r="AJ33" s="4">
        <f>Table212141819859899[[#This Row],[RB1 RY]]+Table212141819859899[[#This Row],[RB2+ RY]]+Table212141819859899[[#This Row],[RB1 RecY]]+Table212141819859899[[#This Row],[RB2 RecY]]</f>
        <v>131</v>
      </c>
    </row>
    <row r="34" spans="1:36" x14ac:dyDescent="0.35">
      <c r="A34" s="19" t="s">
        <v>38</v>
      </c>
      <c r="B34" s="1">
        <v>10</v>
      </c>
      <c r="C34" s="2">
        <v>255</v>
      </c>
      <c r="D34" s="2">
        <v>1</v>
      </c>
      <c r="E34" s="2">
        <v>53</v>
      </c>
      <c r="F34" s="2">
        <v>244</v>
      </c>
      <c r="G34" s="2">
        <v>4</v>
      </c>
      <c r="H34" s="2">
        <v>22</v>
      </c>
      <c r="I34" s="2">
        <v>3</v>
      </c>
      <c r="J34" s="2">
        <v>42</v>
      </c>
      <c r="K34" s="2">
        <v>1</v>
      </c>
      <c r="L34" s="2">
        <v>8</v>
      </c>
      <c r="M34" s="2">
        <v>2</v>
      </c>
      <c r="N34" s="2">
        <v>19</v>
      </c>
      <c r="O34" s="2">
        <v>4</v>
      </c>
      <c r="P34" s="2">
        <v>84</v>
      </c>
      <c r="Q34" s="2">
        <v>1</v>
      </c>
      <c r="R34" s="2">
        <v>3</v>
      </c>
      <c r="S34" s="2">
        <v>0</v>
      </c>
      <c r="T34" s="2">
        <v>0</v>
      </c>
      <c r="U34" s="2">
        <v>8</v>
      </c>
      <c r="V34" s="2">
        <v>99</v>
      </c>
      <c r="W34" s="2">
        <v>0</v>
      </c>
      <c r="X34" s="2">
        <v>0</v>
      </c>
      <c r="Y34" s="2">
        <v>0</v>
      </c>
      <c r="Z34" s="2">
        <v>3</v>
      </c>
      <c r="AA34" s="2">
        <v>0</v>
      </c>
      <c r="AB34" s="2">
        <v>0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4">
        <f>Table212141819859899[[#This Row],[QB PY]]+Table212141819859899[[#This Row],[QB RY]]</f>
        <v>308</v>
      </c>
      <c r="AJ34" s="4">
        <f>Table212141819859899[[#This Row],[RB1 RY]]+Table212141819859899[[#This Row],[RB2+ RY]]+Table212141819859899[[#This Row],[RB1 RecY]]+Table212141819859899[[#This Row],[RB2 RecY]]</f>
        <v>298</v>
      </c>
    </row>
    <row r="35" spans="1:36" x14ac:dyDescent="0.35">
      <c r="A35" s="19" t="s">
        <v>29</v>
      </c>
      <c r="B35" s="1">
        <v>11</v>
      </c>
      <c r="C35" s="2">
        <v>448</v>
      </c>
      <c r="D35" s="2">
        <v>3</v>
      </c>
      <c r="E35" s="2">
        <v>-1</v>
      </c>
      <c r="F35" s="2">
        <v>45</v>
      </c>
      <c r="G35" s="2">
        <v>23</v>
      </c>
      <c r="H35" s="2">
        <v>0</v>
      </c>
      <c r="I35" s="2">
        <v>5</v>
      </c>
      <c r="J35" s="2">
        <v>55</v>
      </c>
      <c r="K35" s="2">
        <v>1</v>
      </c>
      <c r="L35" s="2">
        <v>7</v>
      </c>
      <c r="M35" s="2">
        <v>8</v>
      </c>
      <c r="N35" s="2">
        <v>130</v>
      </c>
      <c r="O35" s="2">
        <v>4</v>
      </c>
      <c r="P35" s="2">
        <v>83</v>
      </c>
      <c r="Q35" s="2">
        <v>4</v>
      </c>
      <c r="R35" s="2">
        <v>52</v>
      </c>
      <c r="S35" s="2">
        <v>2</v>
      </c>
      <c r="T35" s="2">
        <v>17</v>
      </c>
      <c r="U35" s="2">
        <v>4</v>
      </c>
      <c r="V35" s="2">
        <v>22</v>
      </c>
      <c r="W35" s="2">
        <v>3</v>
      </c>
      <c r="X35" s="2">
        <v>82</v>
      </c>
      <c r="Y35" s="2">
        <v>0</v>
      </c>
      <c r="Z35" s="2">
        <v>0</v>
      </c>
      <c r="AA35" s="2">
        <v>0</v>
      </c>
      <c r="AB35" s="2">
        <v>2</v>
      </c>
      <c r="AC35" s="2">
        <v>1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4">
        <f>Table212141819859899[[#This Row],[QB PY]]+Table212141819859899[[#This Row],[QB RY]]</f>
        <v>447</v>
      </c>
      <c r="AJ35" s="4">
        <f>Table212141819859899[[#This Row],[RB1 RY]]+Table212141819859899[[#This Row],[RB2+ RY]]+Table212141819859899[[#This Row],[RB1 RecY]]+Table212141819859899[[#This Row],[RB2 RecY]]</f>
        <v>130</v>
      </c>
    </row>
    <row r="36" spans="1:36" x14ac:dyDescent="0.35">
      <c r="A36" s="19" t="s">
        <v>47</v>
      </c>
      <c r="B36" s="1">
        <v>12</v>
      </c>
      <c r="C36" s="2">
        <v>243</v>
      </c>
      <c r="D36" s="2">
        <v>0</v>
      </c>
      <c r="E36" s="2">
        <v>39</v>
      </c>
      <c r="F36" s="2">
        <v>18</v>
      </c>
      <c r="G36" s="2">
        <v>11</v>
      </c>
      <c r="H36" s="2">
        <v>11</v>
      </c>
      <c r="I36" s="2">
        <v>5</v>
      </c>
      <c r="J36" s="2">
        <v>43</v>
      </c>
      <c r="K36" s="2">
        <v>2</v>
      </c>
      <c r="L36" s="2">
        <v>4</v>
      </c>
      <c r="M36" s="2">
        <v>9</v>
      </c>
      <c r="N36" s="2">
        <v>70</v>
      </c>
      <c r="O36" s="2">
        <v>3</v>
      </c>
      <c r="P36" s="2">
        <v>37</v>
      </c>
      <c r="Q36" s="2">
        <v>3</v>
      </c>
      <c r="R36" s="2">
        <v>22</v>
      </c>
      <c r="S36" s="2">
        <v>1</v>
      </c>
      <c r="T36" s="2">
        <v>14</v>
      </c>
      <c r="U36" s="2">
        <v>6</v>
      </c>
      <c r="V36" s="2">
        <v>46</v>
      </c>
      <c r="W36" s="2">
        <v>1</v>
      </c>
      <c r="X36" s="2">
        <v>7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1</v>
      </c>
      <c r="AI36" s="4">
        <f>Table212141819859899[[#This Row],[QB PY]]+Table212141819859899[[#This Row],[QB RY]]</f>
        <v>282</v>
      </c>
      <c r="AJ36" s="4">
        <f>Table212141819859899[[#This Row],[RB1 RY]]+Table212141819859899[[#This Row],[RB2+ RY]]+Table212141819859899[[#This Row],[RB1 RecY]]+Table212141819859899[[#This Row],[RB2 RecY]]</f>
        <v>76</v>
      </c>
    </row>
    <row r="37" spans="1:36" x14ac:dyDescent="0.35">
      <c r="A37" s="19" t="s">
        <v>49</v>
      </c>
      <c r="B37" s="1">
        <v>13</v>
      </c>
      <c r="C37" s="2">
        <v>172</v>
      </c>
      <c r="D37" s="2">
        <v>1</v>
      </c>
      <c r="E37" s="2">
        <v>44</v>
      </c>
      <c r="F37" s="2">
        <v>68</v>
      </c>
      <c r="G37" s="2">
        <v>0</v>
      </c>
      <c r="H37" s="2">
        <v>-2</v>
      </c>
      <c r="I37" s="2">
        <v>2</v>
      </c>
      <c r="J37" s="2">
        <v>8</v>
      </c>
      <c r="K37" s="2">
        <v>0</v>
      </c>
      <c r="L37" s="2">
        <v>0</v>
      </c>
      <c r="M37" s="2">
        <v>4</v>
      </c>
      <c r="N37" s="2">
        <v>19</v>
      </c>
      <c r="O37" s="2">
        <v>8</v>
      </c>
      <c r="P37" s="2">
        <v>102</v>
      </c>
      <c r="Q37" s="2">
        <v>1</v>
      </c>
      <c r="R37" s="2">
        <v>10</v>
      </c>
      <c r="S37" s="2">
        <v>0</v>
      </c>
      <c r="T37" s="2">
        <v>0</v>
      </c>
      <c r="U37" s="2">
        <v>2</v>
      </c>
      <c r="V37" s="2">
        <v>21</v>
      </c>
      <c r="W37" s="2">
        <v>2</v>
      </c>
      <c r="X37" s="2">
        <v>12</v>
      </c>
      <c r="Y37" s="2">
        <v>1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4">
        <f>Table212141819859899[[#This Row],[QB PY]]+Table212141819859899[[#This Row],[QB RY]]</f>
        <v>216</v>
      </c>
      <c r="AJ37" s="4">
        <f>Table212141819859899[[#This Row],[RB1 RY]]+Table212141819859899[[#This Row],[RB2+ RY]]+Table212141819859899[[#This Row],[RB1 RecY]]+Table212141819859899[[#This Row],[RB2 RecY]]</f>
        <v>76</v>
      </c>
    </row>
    <row r="38" spans="1:36" x14ac:dyDescent="0.35">
      <c r="A38" s="19" t="s">
        <v>52</v>
      </c>
      <c r="B38" s="1">
        <v>14</v>
      </c>
      <c r="C38" s="2">
        <v>249</v>
      </c>
      <c r="D38" s="2">
        <v>3</v>
      </c>
      <c r="E38" s="2">
        <v>23</v>
      </c>
      <c r="F38" s="2">
        <v>29</v>
      </c>
      <c r="G38" s="2">
        <v>78</v>
      </c>
      <c r="H38" s="2">
        <v>-1</v>
      </c>
      <c r="I38" s="2">
        <v>1</v>
      </c>
      <c r="J38" s="2">
        <v>-1</v>
      </c>
      <c r="K38" s="2">
        <v>2</v>
      </c>
      <c r="L38" s="2">
        <v>20</v>
      </c>
      <c r="M38" s="2">
        <v>7</v>
      </c>
      <c r="N38" s="2">
        <v>92</v>
      </c>
      <c r="O38" s="2">
        <v>2</v>
      </c>
      <c r="P38" s="2">
        <v>35</v>
      </c>
      <c r="Q38" s="2">
        <v>4</v>
      </c>
      <c r="R38" s="2">
        <v>67</v>
      </c>
      <c r="S38" s="2">
        <v>1</v>
      </c>
      <c r="T38" s="2">
        <v>9</v>
      </c>
      <c r="U38" s="2">
        <v>3</v>
      </c>
      <c r="V38" s="2">
        <v>27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2</v>
      </c>
      <c r="AC38" s="2">
        <v>1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4">
        <f>Table212141819859899[[#This Row],[QB PY]]+Table212141819859899[[#This Row],[QB RY]]</f>
        <v>272</v>
      </c>
      <c r="AJ38" s="4">
        <f>Table212141819859899[[#This Row],[RB1 RY]]+Table212141819859899[[#This Row],[RB2+ RY]]+Table212141819859899[[#This Row],[RB1 RecY]]+Table212141819859899[[#This Row],[RB2 RecY]]</f>
        <v>126</v>
      </c>
    </row>
    <row r="39" spans="1:36" x14ac:dyDescent="0.35">
      <c r="A39" s="19" t="s">
        <v>54</v>
      </c>
      <c r="B39" s="1">
        <v>15</v>
      </c>
      <c r="C39" s="2">
        <v>277</v>
      </c>
      <c r="D39" s="2">
        <v>2</v>
      </c>
      <c r="E39" s="2">
        <v>1</v>
      </c>
      <c r="F39" s="2">
        <v>60</v>
      </c>
      <c r="G39" s="2">
        <v>27</v>
      </c>
      <c r="H39" s="2">
        <v>0</v>
      </c>
      <c r="I39" s="2">
        <v>1</v>
      </c>
      <c r="J39" s="2">
        <v>11</v>
      </c>
      <c r="K39" s="2">
        <v>1</v>
      </c>
      <c r="L39" s="2">
        <v>6</v>
      </c>
      <c r="M39" s="2">
        <v>6</v>
      </c>
      <c r="N39" s="2">
        <v>132</v>
      </c>
      <c r="O39" s="2">
        <v>4</v>
      </c>
      <c r="P39" s="2">
        <v>64</v>
      </c>
      <c r="Q39" s="2">
        <v>4</v>
      </c>
      <c r="R39" s="2">
        <v>20</v>
      </c>
      <c r="S39" s="2">
        <v>2</v>
      </c>
      <c r="T39" s="2">
        <v>38</v>
      </c>
      <c r="U39" s="2">
        <v>1</v>
      </c>
      <c r="V39" s="2">
        <v>6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1</v>
      </c>
      <c r="AE39" s="2">
        <v>0</v>
      </c>
      <c r="AF39" s="2">
        <v>1</v>
      </c>
      <c r="AG39" s="2">
        <v>0</v>
      </c>
      <c r="AH39" s="2">
        <v>0</v>
      </c>
      <c r="AI39" s="4">
        <f>Table212141819859899[[#This Row],[QB PY]]+Table212141819859899[[#This Row],[QB RY]]</f>
        <v>278</v>
      </c>
      <c r="AJ39" s="4">
        <f>Table212141819859899[[#This Row],[RB1 RY]]+Table212141819859899[[#This Row],[RB2+ RY]]+Table212141819859899[[#This Row],[RB1 RecY]]+Table212141819859899[[#This Row],[RB2 RecY]]</f>
        <v>104</v>
      </c>
    </row>
    <row r="40" spans="1:36" x14ac:dyDescent="0.35">
      <c r="A40" s="19" t="s">
        <v>0</v>
      </c>
      <c r="B40" s="1">
        <v>16</v>
      </c>
      <c r="C40" s="2">
        <v>203</v>
      </c>
      <c r="D40" s="2">
        <v>1</v>
      </c>
      <c r="E40" s="2">
        <v>5</v>
      </c>
      <c r="F40" s="2">
        <v>65</v>
      </c>
      <c r="G40" s="2">
        <v>62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14</v>
      </c>
      <c r="O40" s="2">
        <v>2</v>
      </c>
      <c r="P40" s="2">
        <v>52</v>
      </c>
      <c r="Q40" s="2">
        <v>2</v>
      </c>
      <c r="R40" s="2">
        <v>19</v>
      </c>
      <c r="S40" s="2">
        <v>0</v>
      </c>
      <c r="T40" s="2">
        <v>0</v>
      </c>
      <c r="U40" s="2">
        <v>4</v>
      </c>
      <c r="V40" s="2">
        <v>27</v>
      </c>
      <c r="W40" s="2">
        <v>7</v>
      </c>
      <c r="X40" s="2">
        <v>91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4">
        <f>Table212141819859899[[#This Row],[QB PY]]+Table212141819859899[[#This Row],[QB RY]]</f>
        <v>208</v>
      </c>
      <c r="AJ40" s="4">
        <f>Table212141819859899[[#This Row],[RB1 RY]]+Table212141819859899[[#This Row],[RB2+ RY]]+Table212141819859899[[#This Row],[RB1 RecY]]+Table212141819859899[[#This Row],[RB2 RecY]]</f>
        <v>127</v>
      </c>
    </row>
    <row r="41" spans="1:36" x14ac:dyDescent="0.35">
      <c r="A41" s="19" t="s">
        <v>42</v>
      </c>
      <c r="B41" s="1">
        <v>17</v>
      </c>
      <c r="C41" s="2">
        <v>269</v>
      </c>
      <c r="D41" s="2">
        <v>2</v>
      </c>
      <c r="E41" s="2">
        <v>0</v>
      </c>
      <c r="F41" s="2">
        <v>92</v>
      </c>
      <c r="G41" s="2">
        <v>23</v>
      </c>
      <c r="H41" s="2">
        <v>0</v>
      </c>
      <c r="I41" s="2">
        <v>3</v>
      </c>
      <c r="J41" s="2">
        <v>38</v>
      </c>
      <c r="K41" s="2">
        <v>0</v>
      </c>
      <c r="L41" s="2">
        <v>0</v>
      </c>
      <c r="M41" s="2">
        <v>5</v>
      </c>
      <c r="N41" s="2">
        <v>47</v>
      </c>
      <c r="O41" s="2">
        <v>2</v>
      </c>
      <c r="P41" s="2">
        <v>10</v>
      </c>
      <c r="Q41" s="2">
        <v>4</v>
      </c>
      <c r="R41" s="2">
        <v>67</v>
      </c>
      <c r="S41" s="2">
        <v>0</v>
      </c>
      <c r="T41" s="2">
        <v>0</v>
      </c>
      <c r="U41" s="2">
        <v>6</v>
      </c>
      <c r="V41" s="2">
        <v>53</v>
      </c>
      <c r="W41" s="2">
        <v>2</v>
      </c>
      <c r="X41" s="2">
        <v>54</v>
      </c>
      <c r="Y41" s="2">
        <v>0</v>
      </c>
      <c r="Z41" s="2">
        <v>0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  <c r="AH41" s="2">
        <v>1</v>
      </c>
      <c r="AI41" s="4">
        <f>Table212141819859899[[#This Row],[QB PY]]+Table212141819859899[[#This Row],[QB RY]]</f>
        <v>269</v>
      </c>
      <c r="AJ41" s="4">
        <f>Table212141819859899[[#This Row],[RB1 RY]]+Table212141819859899[[#This Row],[RB2+ RY]]+Table212141819859899[[#This Row],[RB1 RecY]]+Table212141819859899[[#This Row],[RB2 RecY]]</f>
        <v>153</v>
      </c>
    </row>
    <row r="42" spans="1:36" x14ac:dyDescent="0.35">
      <c r="A42" s="19" t="s">
        <v>47</v>
      </c>
      <c r="B42" s="1">
        <v>18</v>
      </c>
      <c r="C42" s="2">
        <v>259</v>
      </c>
      <c r="D42" s="2">
        <v>1</v>
      </c>
      <c r="E42" s="2">
        <v>34</v>
      </c>
      <c r="F42" s="2">
        <v>63</v>
      </c>
      <c r="G42" s="2">
        <v>11</v>
      </c>
      <c r="H42" s="2">
        <v>0</v>
      </c>
      <c r="I42" s="2">
        <v>5</v>
      </c>
      <c r="J42" s="2">
        <v>43</v>
      </c>
      <c r="K42" s="2">
        <v>0</v>
      </c>
      <c r="L42" s="2">
        <v>0</v>
      </c>
      <c r="M42" s="2">
        <v>4</v>
      </c>
      <c r="N42" s="2">
        <v>37</v>
      </c>
      <c r="O42" s="2">
        <v>5</v>
      </c>
      <c r="P42" s="2">
        <v>60</v>
      </c>
      <c r="Q42" s="2">
        <v>2</v>
      </c>
      <c r="R42" s="2">
        <v>23</v>
      </c>
      <c r="S42" s="2">
        <v>1</v>
      </c>
      <c r="T42" s="2">
        <v>3</v>
      </c>
      <c r="U42" s="2">
        <v>3</v>
      </c>
      <c r="V42" s="2">
        <v>61</v>
      </c>
      <c r="W42" s="2">
        <v>3</v>
      </c>
      <c r="X42" s="2">
        <v>32</v>
      </c>
      <c r="Y42" s="2">
        <v>1</v>
      </c>
      <c r="Z42" s="2">
        <v>0</v>
      </c>
      <c r="AA42" s="2">
        <v>0</v>
      </c>
      <c r="AB42" s="2">
        <v>0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2">
        <v>0</v>
      </c>
      <c r="AI42" s="4">
        <f>Table212141819859899[[#This Row],[QB PY]]+Table212141819859899[[#This Row],[QB RY]]</f>
        <v>293</v>
      </c>
      <c r="AJ42" s="4">
        <f>Table212141819859899[[#This Row],[RB1 RY]]+Table212141819859899[[#This Row],[RB2+ RY]]+Table212141819859899[[#This Row],[RB1 RecY]]+Table212141819859899[[#This Row],[RB2 RecY]]</f>
        <v>117</v>
      </c>
    </row>
    <row r="43" spans="1:36" x14ac:dyDescent="0.35">
      <c r="B43" s="1" t="s">
        <v>57</v>
      </c>
      <c r="C43" s="3">
        <f>AVERAGE(Table212141819859899[QB PY])</f>
        <v>221.94117647058823</v>
      </c>
      <c r="D43" s="3">
        <f>AVERAGE(Table212141819859899[P TD])</f>
        <v>1.588235294117647</v>
      </c>
      <c r="E43" s="3">
        <f>AVERAGE(Table212141819859899[QB RY])</f>
        <v>21.294117647058822</v>
      </c>
      <c r="F43" s="3">
        <f>AVERAGE(Table212141819859899[RB1 RY])</f>
        <v>71.117647058823536</v>
      </c>
      <c r="G43" s="3">
        <f>AVERAGE(Table212141819859899[RB2+ RY])</f>
        <v>30.470588235294116</v>
      </c>
      <c r="H43" s="3">
        <f>AVERAGE(Table212141819859899[WR RY])</f>
        <v>3.3529411764705883</v>
      </c>
      <c r="I43" s="3">
        <f>AVERAGE(Table212141819859899[RB1 Recep])</f>
        <v>3.1176470588235294</v>
      </c>
      <c r="J43" s="3">
        <f>AVERAGE(Table212141819859899[RB1 RecY])</f>
        <v>24.411764705882351</v>
      </c>
      <c r="K43" s="3">
        <f>AVERAGE(Table212141819859899[RB2 Recep])</f>
        <v>0.94117647058823528</v>
      </c>
      <c r="L43" s="3">
        <f>AVERAGE(Table212141819859899[RB2 RecY])</f>
        <v>6.1764705882352944</v>
      </c>
      <c r="M43" s="3">
        <f>AVERAGE(Table212141819859899[WR1 Recep])</f>
        <v>4.5882352941176467</v>
      </c>
      <c r="N43" s="3">
        <f>AVERAGE(Table212141819859899[WR1 RecY])</f>
        <v>58.294117647058826</v>
      </c>
      <c r="O43" s="3">
        <f>AVERAGE(Table212141819859899[WR2 Recep])</f>
        <v>3.4117647058823528</v>
      </c>
      <c r="P43" s="3">
        <f>AVERAGE(Table212141819859899[WR2 RecY])</f>
        <v>49.117647058823529</v>
      </c>
      <c r="Q43" s="3">
        <f>AVERAGE(Table212141819859899[WR3 Recep])</f>
        <v>2.2941176470588234</v>
      </c>
      <c r="R43" s="3">
        <f>AVERAGE(Table212141819859899[WR3 RecY])</f>
        <v>27.823529411764707</v>
      </c>
      <c r="S43" s="3">
        <f>AVERAGE(Table212141819859899[WR4+ Recep])</f>
        <v>0.82352941176470584</v>
      </c>
      <c r="T43" s="3">
        <f>AVERAGE(Table212141819859899[WR4+ RecY])</f>
        <v>8.1764705882352935</v>
      </c>
      <c r="U43" s="3">
        <f>AVERAGE(Table212141819859899[TE1 Recep])</f>
        <v>2.9411764705882355</v>
      </c>
      <c r="V43" s="3">
        <f>AVERAGE(Table212141819859899[TE1 RecY])</f>
        <v>29</v>
      </c>
      <c r="W43" s="3">
        <f>AVERAGE(Table212141819859899[TE2 Recep])</f>
        <v>1.3529411764705883</v>
      </c>
      <c r="X43" s="3">
        <f>AVERAGE(Table212141819859899[TE2 RecY])</f>
        <v>18.941176470588236</v>
      </c>
      <c r="Y43" s="3">
        <f>AVERAGE(Table212141819859899[QB TD])</f>
        <v>0.17647058823529413</v>
      </c>
      <c r="Z43" s="3">
        <f>AVERAGE(Table212141819859899[RB1 TD])</f>
        <v>0.47058823529411764</v>
      </c>
      <c r="AA43" s="3">
        <f>AVERAGE(Table212141819859899[RB2 TD])</f>
        <v>0.29411764705882354</v>
      </c>
      <c r="AB43" s="3">
        <f>AVERAGE(Table212141819859899[WR1 TD])</f>
        <v>0.47058823529411764</v>
      </c>
      <c r="AC43" s="3">
        <f>AVERAGE(Table212141819859899[WR2 TD])</f>
        <v>0.58823529411764708</v>
      </c>
      <c r="AD43" s="3">
        <f>AVERAGE(Table212141819859899[WR3 TD])</f>
        <v>0.11764705882352941</v>
      </c>
      <c r="AE43" s="3">
        <f>AVERAGE(Table212141819859899[WR4+ TD])</f>
        <v>0</v>
      </c>
      <c r="AF43" s="3">
        <f>AVERAGE(Table212141819859899[TE1 TD])</f>
        <v>0.11764705882352941</v>
      </c>
      <c r="AG43" s="3">
        <f>AVERAGE(Table212141819859899[TE2 TD])</f>
        <v>5.8823529411764705E-2</v>
      </c>
      <c r="AH43" s="3">
        <f>AVERAGE(Table212141819859899[D/ST TD])</f>
        <v>0.23529411764705882</v>
      </c>
      <c r="AI43" s="3">
        <f>AVERAGE(Table212141819859899[QB P+R])</f>
        <v>243.23529411764707</v>
      </c>
      <c r="AJ43" s="3">
        <f>AVERAGE(Table212141819859899[RB R+R])</f>
        <v>132.1764705882353</v>
      </c>
    </row>
    <row r="45" spans="1:36" x14ac:dyDescent="0.35">
      <c r="A45" s="230" t="s">
        <v>16</v>
      </c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</row>
    <row r="46" spans="1:36" x14ac:dyDescent="0.35">
      <c r="A46" s="20" t="s">
        <v>63</v>
      </c>
      <c r="B46" s="6" t="s">
        <v>1</v>
      </c>
      <c r="C46" s="7" t="s">
        <v>18</v>
      </c>
      <c r="D46" s="8" t="s">
        <v>19</v>
      </c>
      <c r="E46" s="9" t="s">
        <v>20</v>
      </c>
      <c r="F46" s="10" t="s">
        <v>21</v>
      </c>
      <c r="G46" s="11" t="s">
        <v>22</v>
      </c>
      <c r="H46" s="12" t="s">
        <v>23</v>
      </c>
      <c r="I46" s="13" t="s">
        <v>667</v>
      </c>
      <c r="J46" s="13" t="s">
        <v>668</v>
      </c>
      <c r="K46" s="13" t="s">
        <v>665</v>
      </c>
      <c r="L46" s="13" t="s">
        <v>666</v>
      </c>
      <c r="M46" s="14" t="s">
        <v>2</v>
      </c>
      <c r="N46" s="14" t="s">
        <v>24</v>
      </c>
      <c r="O46" s="15" t="s">
        <v>3</v>
      </c>
      <c r="P46" s="15" t="s">
        <v>25</v>
      </c>
      <c r="Q46" s="16" t="s">
        <v>4</v>
      </c>
      <c r="R46" s="16" t="s">
        <v>26</v>
      </c>
      <c r="S46" s="17" t="s">
        <v>5</v>
      </c>
      <c r="T46" s="17" t="s">
        <v>27</v>
      </c>
      <c r="U46" s="18" t="s">
        <v>669</v>
      </c>
      <c r="V46" s="18" t="s">
        <v>670</v>
      </c>
      <c r="W46" s="18" t="s">
        <v>675</v>
      </c>
      <c r="X46" s="18" t="s">
        <v>671</v>
      </c>
      <c r="Y46" s="6" t="s">
        <v>6</v>
      </c>
      <c r="Z46" s="6" t="s">
        <v>7</v>
      </c>
      <c r="AA46" s="6" t="s">
        <v>674</v>
      </c>
      <c r="AB46" s="6" t="s">
        <v>8</v>
      </c>
      <c r="AC46" s="6" t="s">
        <v>9</v>
      </c>
      <c r="AD46" s="6" t="s">
        <v>10</v>
      </c>
      <c r="AE46" s="6" t="s">
        <v>11</v>
      </c>
      <c r="AF46" s="6" t="s">
        <v>673</v>
      </c>
      <c r="AG46" s="6" t="s">
        <v>672</v>
      </c>
      <c r="AH46" s="6" t="s">
        <v>12</v>
      </c>
      <c r="AI46" s="8" t="s">
        <v>14</v>
      </c>
      <c r="AJ46" s="11" t="s">
        <v>13</v>
      </c>
    </row>
    <row r="47" spans="1:36" x14ac:dyDescent="0.35">
      <c r="A47" s="19" t="s">
        <v>17</v>
      </c>
      <c r="B47" s="5">
        <v>1</v>
      </c>
      <c r="C47" s="4">
        <v>394</v>
      </c>
      <c r="D47" s="4">
        <v>2</v>
      </c>
      <c r="E47" s="4">
        <v>30</v>
      </c>
      <c r="F47" s="4">
        <v>44</v>
      </c>
      <c r="G47" s="4">
        <v>26</v>
      </c>
      <c r="H47" s="4">
        <v>8</v>
      </c>
      <c r="I47" s="4">
        <v>5</v>
      </c>
      <c r="J47" s="4">
        <v>58</v>
      </c>
      <c r="K47" s="4">
        <v>1</v>
      </c>
      <c r="L47" s="4">
        <v>-1</v>
      </c>
      <c r="M47" s="4">
        <v>8</v>
      </c>
      <c r="N47" s="4">
        <v>112</v>
      </c>
      <c r="O47" s="4">
        <v>6</v>
      </c>
      <c r="P47" s="4">
        <v>64</v>
      </c>
      <c r="Q47" s="4">
        <v>5</v>
      </c>
      <c r="R47" s="4">
        <v>61</v>
      </c>
      <c r="S47" s="4">
        <v>1</v>
      </c>
      <c r="T47" s="4">
        <v>3</v>
      </c>
      <c r="U47" s="4">
        <v>4</v>
      </c>
      <c r="V47" s="4">
        <v>48</v>
      </c>
      <c r="W47" s="4">
        <v>3</v>
      </c>
      <c r="X47" s="4">
        <v>49</v>
      </c>
      <c r="Y47" s="4">
        <v>2</v>
      </c>
      <c r="Z47" s="4">
        <v>1</v>
      </c>
      <c r="AA47" s="4">
        <v>0</v>
      </c>
      <c r="AB47" s="4">
        <v>1</v>
      </c>
      <c r="AC47" s="4">
        <v>0</v>
      </c>
      <c r="AD47" s="4">
        <v>0</v>
      </c>
      <c r="AE47" s="4">
        <v>0</v>
      </c>
      <c r="AF47" s="4">
        <v>1</v>
      </c>
      <c r="AG47" s="4">
        <v>0</v>
      </c>
      <c r="AH47" s="4">
        <v>0</v>
      </c>
      <c r="AI47" s="4">
        <f>Table2121418198598[[#This Row],[QB PY]]+Table2121418198598[[#This Row],[QB RY]]</f>
        <v>424</v>
      </c>
      <c r="AJ47" s="4">
        <f>Table2121418198598[[#This Row],[RB1 RY]]+Table2121418198598[[#This Row],[RB2+ RY]]+Table2121418198598[[#This Row],[RB1 RecY]]+Table2121418198598[[#This Row],[RB2 RecY]]</f>
        <v>127</v>
      </c>
    </row>
    <row r="48" spans="1:36" x14ac:dyDescent="0.35">
      <c r="A48" s="19" t="s">
        <v>32</v>
      </c>
      <c r="B48" s="1">
        <v>2</v>
      </c>
      <c r="C48" s="2">
        <v>218</v>
      </c>
      <c r="D48" s="2">
        <v>2</v>
      </c>
      <c r="E48" s="2">
        <v>8</v>
      </c>
      <c r="F48" s="2">
        <v>61</v>
      </c>
      <c r="G48" s="2">
        <v>37</v>
      </c>
      <c r="H48" s="2">
        <v>9</v>
      </c>
      <c r="I48" s="2">
        <v>3</v>
      </c>
      <c r="J48" s="2">
        <v>10</v>
      </c>
      <c r="K48" s="2">
        <v>8</v>
      </c>
      <c r="L48" s="2">
        <v>36</v>
      </c>
      <c r="M48" s="2">
        <v>4</v>
      </c>
      <c r="N48" s="2">
        <v>51</v>
      </c>
      <c r="O48" s="2">
        <v>2</v>
      </c>
      <c r="P48" s="2">
        <v>22</v>
      </c>
      <c r="Q48" s="2">
        <v>1</v>
      </c>
      <c r="R48" s="2">
        <v>6</v>
      </c>
      <c r="S48" s="2">
        <v>1</v>
      </c>
      <c r="T48" s="2">
        <v>5</v>
      </c>
      <c r="U48" s="2">
        <v>4</v>
      </c>
      <c r="V48" s="2">
        <v>40</v>
      </c>
      <c r="W48" s="2">
        <v>5</v>
      </c>
      <c r="X48" s="2">
        <v>48</v>
      </c>
      <c r="Y48" s="2">
        <v>0</v>
      </c>
      <c r="Z48" s="2">
        <v>0</v>
      </c>
      <c r="AA48" s="2">
        <v>1</v>
      </c>
      <c r="AB48" s="2">
        <v>0</v>
      </c>
      <c r="AC48" s="2">
        <v>1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4">
        <f>Table2121418198598[[#This Row],[QB PY]]+Table2121418198598[[#This Row],[QB RY]]</f>
        <v>226</v>
      </c>
      <c r="AJ48" s="4">
        <f>Table2121418198598[[#This Row],[RB1 RY]]+Table2121418198598[[#This Row],[RB2+ RY]]+Table2121418198598[[#This Row],[RB1 RecY]]+Table2121418198598[[#This Row],[RB2 RecY]]</f>
        <v>144</v>
      </c>
    </row>
    <row r="49" spans="1:36" x14ac:dyDescent="0.35">
      <c r="A49" s="19" t="s">
        <v>35</v>
      </c>
      <c r="B49" s="1">
        <v>3</v>
      </c>
      <c r="C49" s="2">
        <v>202</v>
      </c>
      <c r="D49" s="2">
        <v>1</v>
      </c>
      <c r="E49" s="2">
        <v>6</v>
      </c>
      <c r="F49" s="2">
        <v>67</v>
      </c>
      <c r="G49" s="2">
        <v>151</v>
      </c>
      <c r="H49" s="2">
        <v>0</v>
      </c>
      <c r="I49" s="2">
        <v>5</v>
      </c>
      <c r="J49" s="2">
        <v>32</v>
      </c>
      <c r="K49" s="2">
        <v>1</v>
      </c>
      <c r="L49" s="2">
        <v>13</v>
      </c>
      <c r="M49" s="2">
        <v>7</v>
      </c>
      <c r="N49" s="2">
        <v>77</v>
      </c>
      <c r="O49" s="2">
        <v>2</v>
      </c>
      <c r="P49" s="2">
        <v>43</v>
      </c>
      <c r="Q49" s="2">
        <v>1</v>
      </c>
      <c r="R49" s="2">
        <v>4</v>
      </c>
      <c r="S49" s="2">
        <v>0</v>
      </c>
      <c r="T49" s="2">
        <v>0</v>
      </c>
      <c r="U49" s="2">
        <v>4</v>
      </c>
      <c r="V49" s="2">
        <v>33</v>
      </c>
      <c r="W49" s="2">
        <v>0</v>
      </c>
      <c r="X49" s="2">
        <v>0</v>
      </c>
      <c r="Y49" s="2">
        <v>0</v>
      </c>
      <c r="Z49" s="2">
        <v>2</v>
      </c>
      <c r="AA49" s="2">
        <v>2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4">
        <f>Table2121418198598[[#This Row],[QB PY]]+Table2121418198598[[#This Row],[QB RY]]</f>
        <v>208</v>
      </c>
      <c r="AJ49" s="4">
        <f>Table2121418198598[[#This Row],[RB1 RY]]+Table2121418198598[[#This Row],[RB2+ RY]]+Table2121418198598[[#This Row],[RB1 RecY]]+Table2121418198598[[#This Row],[RB2 RecY]]</f>
        <v>263</v>
      </c>
    </row>
    <row r="50" spans="1:36" x14ac:dyDescent="0.35">
      <c r="A50" s="19" t="s">
        <v>40</v>
      </c>
      <c r="B50" s="1">
        <v>4</v>
      </c>
      <c r="C50" s="2">
        <v>270</v>
      </c>
      <c r="D50" s="2">
        <v>4</v>
      </c>
      <c r="E50" s="2">
        <v>2</v>
      </c>
      <c r="F50" s="2">
        <v>35</v>
      </c>
      <c r="G50" s="2">
        <v>43</v>
      </c>
      <c r="H50" s="2">
        <v>38</v>
      </c>
      <c r="I50" s="2">
        <v>2</v>
      </c>
      <c r="J50" s="2">
        <v>13</v>
      </c>
      <c r="K50" s="2">
        <v>4</v>
      </c>
      <c r="L50" s="2">
        <v>40</v>
      </c>
      <c r="M50" s="2">
        <v>5</v>
      </c>
      <c r="N50" s="2">
        <v>83</v>
      </c>
      <c r="O50" s="2">
        <v>3</v>
      </c>
      <c r="P50" s="2">
        <v>38</v>
      </c>
      <c r="Q50" s="2">
        <v>4</v>
      </c>
      <c r="R50" s="2">
        <v>36</v>
      </c>
      <c r="S50" s="2">
        <v>1</v>
      </c>
      <c r="T50" s="2">
        <v>11</v>
      </c>
      <c r="U50" s="2">
        <v>5</v>
      </c>
      <c r="V50" s="2">
        <v>48</v>
      </c>
      <c r="W50" s="2">
        <v>1</v>
      </c>
      <c r="X50" s="2">
        <v>1</v>
      </c>
      <c r="Y50" s="2">
        <v>0</v>
      </c>
      <c r="Z50" s="2">
        <v>1</v>
      </c>
      <c r="AA50" s="2">
        <v>0</v>
      </c>
      <c r="AB50" s="2">
        <v>0</v>
      </c>
      <c r="AC50" s="2">
        <v>1</v>
      </c>
      <c r="AD50" s="2">
        <v>1</v>
      </c>
      <c r="AE50" s="2">
        <v>1</v>
      </c>
      <c r="AF50" s="2">
        <v>0</v>
      </c>
      <c r="AG50" s="2">
        <v>0</v>
      </c>
      <c r="AH50" s="2">
        <v>0</v>
      </c>
      <c r="AI50" s="4">
        <f>Table2121418198598[[#This Row],[QB PY]]+Table2121418198598[[#This Row],[QB RY]]</f>
        <v>272</v>
      </c>
      <c r="AJ50" s="4">
        <f>Table2121418198598[[#This Row],[RB1 RY]]+Table2121418198598[[#This Row],[RB2+ RY]]+Table2121418198598[[#This Row],[RB1 RecY]]+Table2121418198598[[#This Row],[RB2 RecY]]</f>
        <v>131</v>
      </c>
    </row>
    <row r="51" spans="1:36" x14ac:dyDescent="0.35">
      <c r="A51" s="19" t="s">
        <v>37</v>
      </c>
      <c r="B51" s="1">
        <v>5</v>
      </c>
      <c r="C51" s="2">
        <v>267</v>
      </c>
      <c r="D51" s="2">
        <v>4</v>
      </c>
      <c r="E51" s="2">
        <v>33</v>
      </c>
      <c r="F51" s="2">
        <v>61</v>
      </c>
      <c r="G51" s="2">
        <v>60</v>
      </c>
      <c r="H51" s="2">
        <v>13</v>
      </c>
      <c r="I51" s="2">
        <v>0</v>
      </c>
      <c r="J51" s="2">
        <v>0</v>
      </c>
      <c r="K51" s="2">
        <v>0</v>
      </c>
      <c r="L51" s="2">
        <v>0</v>
      </c>
      <c r="M51" s="2">
        <v>4</v>
      </c>
      <c r="N51" s="2">
        <v>52</v>
      </c>
      <c r="O51" s="2">
        <v>4</v>
      </c>
      <c r="P51" s="2">
        <v>64</v>
      </c>
      <c r="Q51" s="2">
        <v>3</v>
      </c>
      <c r="R51" s="2">
        <v>18</v>
      </c>
      <c r="S51" s="2">
        <v>6</v>
      </c>
      <c r="T51" s="2">
        <v>45</v>
      </c>
      <c r="U51" s="2">
        <v>5</v>
      </c>
      <c r="V51" s="2">
        <v>60</v>
      </c>
      <c r="W51" s="2">
        <v>3</v>
      </c>
      <c r="X51" s="2">
        <v>28</v>
      </c>
      <c r="Y51" s="2">
        <v>0</v>
      </c>
      <c r="Z51" s="2">
        <v>1</v>
      </c>
      <c r="AA51" s="2">
        <v>0</v>
      </c>
      <c r="AB51" s="2">
        <v>1</v>
      </c>
      <c r="AC51" s="2">
        <v>0</v>
      </c>
      <c r="AD51" s="2">
        <v>2</v>
      </c>
      <c r="AE51" s="2">
        <v>1</v>
      </c>
      <c r="AF51" s="2">
        <v>0</v>
      </c>
      <c r="AG51" s="2">
        <v>0</v>
      </c>
      <c r="AH51" s="2">
        <v>0</v>
      </c>
      <c r="AI51" s="4">
        <f>Table2121418198598[[#This Row],[QB PY]]+Table2121418198598[[#This Row],[QB RY]]</f>
        <v>300</v>
      </c>
      <c r="AJ51" s="4">
        <f>Table2121418198598[[#This Row],[RB1 RY]]+Table2121418198598[[#This Row],[RB2+ RY]]+Table2121418198598[[#This Row],[RB1 RecY]]+Table2121418198598[[#This Row],[RB2 RecY]]</f>
        <v>121</v>
      </c>
    </row>
    <row r="52" spans="1:36" x14ac:dyDescent="0.35">
      <c r="A52" s="19" t="s">
        <v>42</v>
      </c>
      <c r="B52" s="1">
        <v>6</v>
      </c>
      <c r="C52" s="2">
        <v>181</v>
      </c>
      <c r="D52" s="2">
        <v>1</v>
      </c>
      <c r="E52" s="2">
        <v>1</v>
      </c>
      <c r="F52" s="2">
        <v>50</v>
      </c>
      <c r="G52" s="2">
        <v>23</v>
      </c>
      <c r="H52" s="2">
        <v>0</v>
      </c>
      <c r="I52" s="2">
        <v>2</v>
      </c>
      <c r="J52" s="2">
        <v>37</v>
      </c>
      <c r="K52" s="2">
        <v>0</v>
      </c>
      <c r="L52" s="2">
        <v>0</v>
      </c>
      <c r="M52" s="2">
        <v>2</v>
      </c>
      <c r="N52" s="2">
        <v>28</v>
      </c>
      <c r="O52" s="2">
        <v>4</v>
      </c>
      <c r="P52" s="2">
        <v>39</v>
      </c>
      <c r="Q52" s="2">
        <v>3</v>
      </c>
      <c r="R52" s="2">
        <v>23</v>
      </c>
      <c r="S52" s="2">
        <v>1</v>
      </c>
      <c r="T52" s="2">
        <v>7</v>
      </c>
      <c r="U52" s="2">
        <v>4</v>
      </c>
      <c r="V52" s="2">
        <v>40</v>
      </c>
      <c r="W52" s="2">
        <v>1</v>
      </c>
      <c r="X52" s="2">
        <v>7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4">
        <f>Table2121418198598[[#This Row],[QB PY]]+Table2121418198598[[#This Row],[QB RY]]</f>
        <v>182</v>
      </c>
      <c r="AJ52" s="4">
        <f>Table2121418198598[[#This Row],[RB1 RY]]+Table2121418198598[[#This Row],[RB2+ RY]]+Table2121418198598[[#This Row],[RB1 RecY]]+Table2121418198598[[#This Row],[RB2 RecY]]</f>
        <v>110</v>
      </c>
    </row>
    <row r="53" spans="1:36" x14ac:dyDescent="0.35">
      <c r="A53" s="19" t="s">
        <v>650</v>
      </c>
      <c r="B53" s="1">
        <v>7</v>
      </c>
      <c r="C53" s="2" t="s">
        <v>697</v>
      </c>
      <c r="D53" s="2" t="s">
        <v>697</v>
      </c>
      <c r="E53" s="2" t="s">
        <v>697</v>
      </c>
      <c r="F53" s="2" t="s">
        <v>697</v>
      </c>
      <c r="G53" s="2" t="s">
        <v>697</v>
      </c>
      <c r="H53" s="2" t="s">
        <v>697</v>
      </c>
      <c r="I53" s="2" t="s">
        <v>697</v>
      </c>
      <c r="J53" s="2" t="s">
        <v>697</v>
      </c>
      <c r="K53" s="2" t="s">
        <v>697</v>
      </c>
      <c r="L53" s="2" t="s">
        <v>697</v>
      </c>
      <c r="M53" s="2" t="s">
        <v>697</v>
      </c>
      <c r="N53" s="2" t="s">
        <v>697</v>
      </c>
      <c r="O53" s="2" t="s">
        <v>697</v>
      </c>
      <c r="P53" s="2" t="s">
        <v>697</v>
      </c>
      <c r="Q53" s="2" t="s">
        <v>697</v>
      </c>
      <c r="R53" s="2" t="s">
        <v>697</v>
      </c>
      <c r="S53" s="2" t="s">
        <v>697</v>
      </c>
      <c r="T53" s="2" t="s">
        <v>697</v>
      </c>
      <c r="U53" s="2" t="s">
        <v>697</v>
      </c>
      <c r="V53" s="2" t="s">
        <v>697</v>
      </c>
      <c r="W53" s="2" t="s">
        <v>697</v>
      </c>
      <c r="X53" s="2" t="s">
        <v>697</v>
      </c>
      <c r="Y53" s="2" t="s">
        <v>697</v>
      </c>
      <c r="Z53" s="2" t="s">
        <v>697</v>
      </c>
      <c r="AA53" s="2" t="s">
        <v>697</v>
      </c>
      <c r="AB53" s="2" t="s">
        <v>697</v>
      </c>
      <c r="AC53" s="2" t="s">
        <v>697</v>
      </c>
      <c r="AD53" s="2" t="s">
        <v>697</v>
      </c>
      <c r="AE53" s="2" t="s">
        <v>697</v>
      </c>
      <c r="AF53" s="2" t="s">
        <v>697</v>
      </c>
      <c r="AG53" s="2" t="s">
        <v>697</v>
      </c>
      <c r="AH53" s="2" t="s">
        <v>697</v>
      </c>
      <c r="AI53" s="4" t="s">
        <v>697</v>
      </c>
      <c r="AJ53" s="4" t="s">
        <v>697</v>
      </c>
    </row>
    <row r="54" spans="1:36" x14ac:dyDescent="0.35">
      <c r="A54" s="19" t="s">
        <v>30</v>
      </c>
      <c r="B54" s="1">
        <v>8</v>
      </c>
      <c r="C54" s="2">
        <v>285</v>
      </c>
      <c r="D54" s="2">
        <v>1</v>
      </c>
      <c r="E54" s="2">
        <v>24</v>
      </c>
      <c r="F54" s="2">
        <v>45</v>
      </c>
      <c r="G54" s="2">
        <v>24</v>
      </c>
      <c r="H54" s="2">
        <v>3</v>
      </c>
      <c r="I54" s="2">
        <v>2</v>
      </c>
      <c r="J54" s="2">
        <v>26</v>
      </c>
      <c r="K54" s="2">
        <v>0</v>
      </c>
      <c r="L54" s="2">
        <v>0</v>
      </c>
      <c r="M54" s="2">
        <v>4</v>
      </c>
      <c r="N54" s="2">
        <v>73</v>
      </c>
      <c r="O54" s="2">
        <v>7</v>
      </c>
      <c r="P54" s="2">
        <v>114</v>
      </c>
      <c r="Q54" s="2">
        <v>7</v>
      </c>
      <c r="R54" s="2">
        <v>33</v>
      </c>
      <c r="S54" s="2">
        <v>2</v>
      </c>
      <c r="T54" s="2">
        <v>1</v>
      </c>
      <c r="U54" s="2">
        <v>3</v>
      </c>
      <c r="V54" s="2">
        <v>38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4">
        <f>Table2121418198598[[#This Row],[QB PY]]+Table2121418198598[[#This Row],[QB RY]]</f>
        <v>309</v>
      </c>
      <c r="AJ54" s="4">
        <f>Table2121418198598[[#This Row],[RB1 RY]]+Table2121418198598[[#This Row],[RB2+ RY]]+Table2121418198598[[#This Row],[RB1 RecY]]+Table2121418198598[[#This Row],[RB2 RecY]]</f>
        <v>95</v>
      </c>
    </row>
    <row r="55" spans="1:36" x14ac:dyDescent="0.35">
      <c r="A55" s="19" t="s">
        <v>44</v>
      </c>
      <c r="B55" s="1">
        <v>9</v>
      </c>
      <c r="C55" s="2">
        <v>261</v>
      </c>
      <c r="D55" s="2">
        <v>0</v>
      </c>
      <c r="E55" s="2">
        <v>1</v>
      </c>
      <c r="F55" s="2">
        <v>67</v>
      </c>
      <c r="G55" s="2">
        <v>6</v>
      </c>
      <c r="H55" s="2">
        <v>13</v>
      </c>
      <c r="I55" s="2">
        <v>6</v>
      </c>
      <c r="J55" s="2">
        <v>39</v>
      </c>
      <c r="K55" s="2">
        <v>1</v>
      </c>
      <c r="L55" s="2">
        <v>3</v>
      </c>
      <c r="M55" s="2">
        <v>6</v>
      </c>
      <c r="N55" s="2">
        <v>82</v>
      </c>
      <c r="O55" s="2">
        <v>3</v>
      </c>
      <c r="P55" s="2">
        <v>48</v>
      </c>
      <c r="Q55" s="2">
        <v>2</v>
      </c>
      <c r="R55" s="2">
        <v>22</v>
      </c>
      <c r="S55" s="2">
        <v>2</v>
      </c>
      <c r="T55" s="2">
        <v>18</v>
      </c>
      <c r="U55" s="2">
        <v>5</v>
      </c>
      <c r="V55" s="2">
        <v>49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4">
        <f>Table2121418198598[[#This Row],[QB PY]]+Table2121418198598[[#This Row],[QB RY]]</f>
        <v>262</v>
      </c>
      <c r="AJ55" s="4">
        <f>Table2121418198598[[#This Row],[RB1 RY]]+Table2121418198598[[#This Row],[RB2+ RY]]+Table2121418198598[[#This Row],[RB1 RecY]]+Table2121418198598[[#This Row],[RB2 RecY]]</f>
        <v>115</v>
      </c>
    </row>
    <row r="56" spans="1:36" x14ac:dyDescent="0.35">
      <c r="A56" s="19" t="s">
        <v>45</v>
      </c>
      <c r="B56" s="1">
        <v>10</v>
      </c>
      <c r="C56" s="2">
        <v>248</v>
      </c>
      <c r="D56" s="2">
        <v>1</v>
      </c>
      <c r="E56" s="2">
        <v>48</v>
      </c>
      <c r="F56" s="2">
        <v>47</v>
      </c>
      <c r="G56" s="2">
        <v>25</v>
      </c>
      <c r="H56" s="2">
        <v>0</v>
      </c>
      <c r="I56" s="2">
        <v>3</v>
      </c>
      <c r="J56" s="2">
        <v>22</v>
      </c>
      <c r="K56" s="2">
        <v>1</v>
      </c>
      <c r="L56" s="2">
        <v>6</v>
      </c>
      <c r="M56" s="2">
        <v>4</v>
      </c>
      <c r="N56" s="2">
        <v>37</v>
      </c>
      <c r="O56" s="2">
        <v>3</v>
      </c>
      <c r="P56" s="2">
        <v>35</v>
      </c>
      <c r="Q56" s="2">
        <v>5</v>
      </c>
      <c r="R56" s="2">
        <v>124</v>
      </c>
      <c r="S56" s="2">
        <v>2</v>
      </c>
      <c r="T56" s="2">
        <v>16</v>
      </c>
      <c r="U56" s="2">
        <v>2</v>
      </c>
      <c r="V56" s="2">
        <v>8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1</v>
      </c>
      <c r="AE56" s="2">
        <v>0</v>
      </c>
      <c r="AF56" s="2">
        <v>0</v>
      </c>
      <c r="AG56" s="2">
        <v>0</v>
      </c>
      <c r="AH56" s="2">
        <v>0</v>
      </c>
      <c r="AI56" s="4">
        <f>Table2121418198598[[#This Row],[QB PY]]+Table2121418198598[[#This Row],[QB RY]]</f>
        <v>296</v>
      </c>
      <c r="AJ56" s="4">
        <f>Table2121418198598[[#This Row],[RB1 RY]]+Table2121418198598[[#This Row],[RB2+ RY]]+Table2121418198598[[#This Row],[RB1 RecY]]+Table2121418198598[[#This Row],[RB2 RecY]]</f>
        <v>100</v>
      </c>
    </row>
    <row r="57" spans="1:36" x14ac:dyDescent="0.35">
      <c r="A57" s="19" t="s">
        <v>32</v>
      </c>
      <c r="B57" s="1">
        <v>11</v>
      </c>
      <c r="C57" s="2">
        <v>115</v>
      </c>
      <c r="D57" s="2">
        <v>0</v>
      </c>
      <c r="E57" s="2">
        <v>18</v>
      </c>
      <c r="F57" s="2">
        <v>59</v>
      </c>
      <c r="G57" s="2">
        <v>21</v>
      </c>
      <c r="H57" s="2">
        <v>8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  <c r="N57" s="2">
        <v>21</v>
      </c>
      <c r="O57" s="2">
        <v>3</v>
      </c>
      <c r="P57" s="2">
        <v>52</v>
      </c>
      <c r="Q57" s="2">
        <v>2</v>
      </c>
      <c r="R57" s="2">
        <v>9</v>
      </c>
      <c r="S57" s="2">
        <v>0</v>
      </c>
      <c r="T57" s="2">
        <v>0</v>
      </c>
      <c r="U57" s="2">
        <v>1</v>
      </c>
      <c r="V57" s="2">
        <v>7</v>
      </c>
      <c r="W57" s="2">
        <v>2</v>
      </c>
      <c r="X57" s="2">
        <v>26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4">
        <f>Table2121418198598[[#This Row],[QB PY]]+Table2121418198598[[#This Row],[QB RY]]</f>
        <v>133</v>
      </c>
      <c r="AJ57" s="4">
        <f>Table2121418198598[[#This Row],[RB1 RY]]+Table2121418198598[[#This Row],[RB2+ RY]]+Table2121418198598[[#This Row],[RB1 RecY]]+Table2121418198598[[#This Row],[RB2 RecY]]</f>
        <v>80</v>
      </c>
    </row>
    <row r="58" spans="1:36" x14ac:dyDescent="0.35">
      <c r="A58" s="19" t="s">
        <v>49</v>
      </c>
      <c r="B58" s="1">
        <v>12</v>
      </c>
      <c r="C58" s="2">
        <v>222</v>
      </c>
      <c r="D58" s="2">
        <v>1</v>
      </c>
      <c r="E58" s="2">
        <v>19</v>
      </c>
      <c r="F58" s="2">
        <v>44</v>
      </c>
      <c r="G58" s="2">
        <v>7</v>
      </c>
      <c r="H58" s="2">
        <v>8</v>
      </c>
      <c r="I58" s="2">
        <v>4</v>
      </c>
      <c r="J58" s="2">
        <v>75</v>
      </c>
      <c r="K58" s="2">
        <v>1</v>
      </c>
      <c r="L58" s="2">
        <v>10</v>
      </c>
      <c r="M58" s="2">
        <v>6</v>
      </c>
      <c r="N58" s="2">
        <v>65</v>
      </c>
      <c r="O58" s="2">
        <v>2</v>
      </c>
      <c r="P58" s="2">
        <v>42</v>
      </c>
      <c r="Q58" s="2">
        <v>1</v>
      </c>
      <c r="R58" s="2">
        <v>9</v>
      </c>
      <c r="S58" s="2">
        <v>0</v>
      </c>
      <c r="T58" s="2">
        <v>0</v>
      </c>
      <c r="U58" s="2">
        <v>3</v>
      </c>
      <c r="V58" s="2">
        <v>21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4">
        <f>Table2121418198598[[#This Row],[QB PY]]+Table2121418198598[[#This Row],[QB RY]]</f>
        <v>241</v>
      </c>
      <c r="AJ58" s="4">
        <f>Table2121418198598[[#This Row],[RB1 RY]]+Table2121418198598[[#This Row],[RB2+ RY]]+Table2121418198598[[#This Row],[RB1 RecY]]+Table2121418198598[[#This Row],[RB2 RecY]]</f>
        <v>136</v>
      </c>
    </row>
    <row r="59" spans="1:36" x14ac:dyDescent="0.35">
      <c r="A59" s="19" t="s">
        <v>31</v>
      </c>
      <c r="B59" s="1">
        <v>13</v>
      </c>
      <c r="C59" s="2">
        <v>261</v>
      </c>
      <c r="D59" s="2">
        <v>2</v>
      </c>
      <c r="E59" s="2">
        <v>8</v>
      </c>
      <c r="F59" s="2">
        <v>78</v>
      </c>
      <c r="G59" s="2">
        <v>39</v>
      </c>
      <c r="H59" s="2">
        <v>3</v>
      </c>
      <c r="I59" s="2">
        <v>7</v>
      </c>
      <c r="J59" s="2">
        <v>35</v>
      </c>
      <c r="K59" s="2">
        <v>2</v>
      </c>
      <c r="L59" s="2">
        <v>15</v>
      </c>
      <c r="M59" s="2">
        <v>7</v>
      </c>
      <c r="N59" s="2">
        <v>110</v>
      </c>
      <c r="O59" s="2">
        <v>1</v>
      </c>
      <c r="P59" s="2">
        <v>29</v>
      </c>
      <c r="Q59" s="2">
        <v>2</v>
      </c>
      <c r="R59" s="2">
        <v>22</v>
      </c>
      <c r="S59" s="2">
        <v>0</v>
      </c>
      <c r="T59" s="2">
        <v>0</v>
      </c>
      <c r="U59" s="2">
        <v>2</v>
      </c>
      <c r="V59" s="2">
        <v>19</v>
      </c>
      <c r="W59" s="2">
        <v>3</v>
      </c>
      <c r="X59" s="2">
        <v>31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  <c r="AG59" s="2">
        <v>1</v>
      </c>
      <c r="AH59" s="2">
        <v>0</v>
      </c>
      <c r="AI59" s="4">
        <f>Table2121418198598[[#This Row],[QB PY]]+Table2121418198598[[#This Row],[QB RY]]</f>
        <v>269</v>
      </c>
      <c r="AJ59" s="4">
        <f>Table2121418198598[[#This Row],[RB1 RY]]+Table2121418198598[[#This Row],[RB2+ RY]]+Table2121418198598[[#This Row],[RB1 RecY]]+Table2121418198598[[#This Row],[RB2 RecY]]</f>
        <v>167</v>
      </c>
    </row>
    <row r="60" spans="1:36" x14ac:dyDescent="0.35">
      <c r="A60" s="19" t="s">
        <v>51</v>
      </c>
      <c r="B60" s="1">
        <v>14</v>
      </c>
      <c r="C60" s="2">
        <v>284</v>
      </c>
      <c r="D60" s="2">
        <v>1</v>
      </c>
      <c r="E60" s="2">
        <v>0</v>
      </c>
      <c r="F60" s="2">
        <v>13</v>
      </c>
      <c r="G60" s="2">
        <v>19</v>
      </c>
      <c r="H60" s="2">
        <v>2</v>
      </c>
      <c r="I60" s="2">
        <v>3</v>
      </c>
      <c r="J60" s="2">
        <v>49</v>
      </c>
      <c r="K60" s="2">
        <v>6</v>
      </c>
      <c r="L60" s="2">
        <v>27</v>
      </c>
      <c r="M60" s="2">
        <v>7</v>
      </c>
      <c r="N60" s="2">
        <v>148</v>
      </c>
      <c r="O60" s="2">
        <v>1</v>
      </c>
      <c r="P60" s="2">
        <v>31</v>
      </c>
      <c r="Q60" s="2">
        <v>1</v>
      </c>
      <c r="R60" s="2">
        <v>4</v>
      </c>
      <c r="S60" s="2">
        <v>1</v>
      </c>
      <c r="T60" s="2">
        <v>13</v>
      </c>
      <c r="U60" s="2">
        <v>1</v>
      </c>
      <c r="V60" s="2">
        <v>12</v>
      </c>
      <c r="W60" s="2">
        <v>3</v>
      </c>
      <c r="X60" s="2">
        <v>0</v>
      </c>
      <c r="Y60" s="2">
        <v>1</v>
      </c>
      <c r="Z60" s="2">
        <v>1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4">
        <f>Table2121418198598[[#This Row],[QB PY]]+Table2121418198598[[#This Row],[QB RY]]</f>
        <v>284</v>
      </c>
      <c r="AJ60" s="4">
        <f>Table2121418198598[[#This Row],[RB1 RY]]+Table2121418198598[[#This Row],[RB2+ RY]]+Table2121418198598[[#This Row],[RB1 RecY]]+Table2121418198598[[#This Row],[RB2 RecY]]</f>
        <v>108</v>
      </c>
    </row>
    <row r="61" spans="1:36" x14ac:dyDescent="0.35">
      <c r="A61" s="19" t="s">
        <v>31</v>
      </c>
      <c r="B61" s="1">
        <v>15</v>
      </c>
      <c r="C61" s="2">
        <v>225</v>
      </c>
      <c r="D61" s="2">
        <v>0</v>
      </c>
      <c r="E61" s="2">
        <v>5</v>
      </c>
      <c r="F61" s="2">
        <v>53</v>
      </c>
      <c r="G61" s="2">
        <v>42</v>
      </c>
      <c r="H61" s="2">
        <v>0</v>
      </c>
      <c r="I61" s="2">
        <v>7</v>
      </c>
      <c r="J61" s="2">
        <v>37</v>
      </c>
      <c r="K61" s="2">
        <v>1</v>
      </c>
      <c r="L61" s="2">
        <v>1</v>
      </c>
      <c r="M61" s="2">
        <v>10</v>
      </c>
      <c r="N61" s="2">
        <v>132</v>
      </c>
      <c r="O61" s="2">
        <v>0</v>
      </c>
      <c r="P61" s="2">
        <v>0</v>
      </c>
      <c r="Q61" s="2">
        <v>1</v>
      </c>
      <c r="R61" s="2">
        <v>16</v>
      </c>
      <c r="S61" s="2">
        <v>0</v>
      </c>
      <c r="T61" s="2">
        <v>0</v>
      </c>
      <c r="U61" s="2">
        <v>1</v>
      </c>
      <c r="V61" s="2">
        <v>11</v>
      </c>
      <c r="W61" s="2">
        <v>5</v>
      </c>
      <c r="X61" s="2">
        <v>28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4">
        <f>Table2121418198598[[#This Row],[QB PY]]+Table2121418198598[[#This Row],[QB RY]]</f>
        <v>230</v>
      </c>
      <c r="AJ61" s="4">
        <f>Table2121418198598[[#This Row],[RB1 RY]]+Table2121418198598[[#This Row],[RB2+ RY]]+Table2121418198598[[#This Row],[RB1 RecY]]+Table2121418198598[[#This Row],[RB2 RecY]]</f>
        <v>133</v>
      </c>
    </row>
    <row r="62" spans="1:36" x14ac:dyDescent="0.35">
      <c r="A62" s="19" t="s">
        <v>46</v>
      </c>
      <c r="B62" s="1">
        <v>16</v>
      </c>
      <c r="C62" s="2">
        <v>380</v>
      </c>
      <c r="D62" s="2">
        <v>2</v>
      </c>
      <c r="E62" s="2">
        <v>25</v>
      </c>
      <c r="F62" s="2">
        <v>51</v>
      </c>
      <c r="G62" s="2">
        <v>3</v>
      </c>
      <c r="H62" s="2">
        <v>0</v>
      </c>
      <c r="I62" s="2">
        <v>2</v>
      </c>
      <c r="J62" s="2">
        <v>27</v>
      </c>
      <c r="K62" s="2">
        <v>1</v>
      </c>
      <c r="L62" s="2">
        <v>9</v>
      </c>
      <c r="M62" s="2">
        <v>9</v>
      </c>
      <c r="N62" s="2">
        <v>138</v>
      </c>
      <c r="O62" s="2">
        <v>1</v>
      </c>
      <c r="P62" s="2">
        <v>16</v>
      </c>
      <c r="Q62" s="2">
        <v>7</v>
      </c>
      <c r="R62" s="2">
        <v>69</v>
      </c>
      <c r="S62" s="2">
        <v>3</v>
      </c>
      <c r="T62" s="2">
        <v>52</v>
      </c>
      <c r="U62" s="2">
        <v>6</v>
      </c>
      <c r="V62" s="2">
        <v>35</v>
      </c>
      <c r="W62" s="2">
        <v>2</v>
      </c>
      <c r="X62" s="2">
        <v>34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1</v>
      </c>
      <c r="AG62" s="2">
        <v>0</v>
      </c>
      <c r="AH62" s="2">
        <v>0</v>
      </c>
      <c r="AI62" s="4">
        <f>Table2121418198598[[#This Row],[QB PY]]+Table2121418198598[[#This Row],[QB RY]]</f>
        <v>405</v>
      </c>
      <c r="AJ62" s="4">
        <f>Table2121418198598[[#This Row],[RB1 RY]]+Table2121418198598[[#This Row],[RB2+ RY]]+Table2121418198598[[#This Row],[RB1 RecY]]+Table2121418198598[[#This Row],[RB2 RecY]]</f>
        <v>90</v>
      </c>
    </row>
    <row r="63" spans="1:36" x14ac:dyDescent="0.35">
      <c r="A63" s="19" t="s">
        <v>36</v>
      </c>
      <c r="B63" s="1">
        <v>17</v>
      </c>
      <c r="C63" s="2">
        <v>296</v>
      </c>
      <c r="D63" s="2">
        <v>1</v>
      </c>
      <c r="E63" s="2">
        <v>60</v>
      </c>
      <c r="F63" s="2">
        <v>3</v>
      </c>
      <c r="G63" s="2">
        <v>16</v>
      </c>
      <c r="H63" s="2">
        <v>0</v>
      </c>
      <c r="I63" s="2">
        <v>1</v>
      </c>
      <c r="J63" s="2">
        <v>0</v>
      </c>
      <c r="K63" s="2">
        <v>2</v>
      </c>
      <c r="L63" s="2">
        <v>19</v>
      </c>
      <c r="M63" s="2">
        <v>5</v>
      </c>
      <c r="N63" s="2">
        <v>113</v>
      </c>
      <c r="O63" s="2">
        <v>3</v>
      </c>
      <c r="P63" s="2">
        <v>62</v>
      </c>
      <c r="Q63" s="2">
        <v>4</v>
      </c>
      <c r="R63" s="2">
        <v>41</v>
      </c>
      <c r="S63" s="2">
        <v>3</v>
      </c>
      <c r="T63" s="2">
        <v>53</v>
      </c>
      <c r="U63" s="2">
        <v>0</v>
      </c>
      <c r="V63" s="2">
        <v>0</v>
      </c>
      <c r="W63" s="2">
        <v>1</v>
      </c>
      <c r="X63" s="2">
        <v>8</v>
      </c>
      <c r="Y63" s="2">
        <v>2</v>
      </c>
      <c r="Z63" s="2">
        <v>0</v>
      </c>
      <c r="AA63" s="2">
        <v>0</v>
      </c>
      <c r="AB63" s="2">
        <v>1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4">
        <f>Table2121418198598[[#This Row],[QB PY]]+Table2121418198598[[#This Row],[QB RY]]</f>
        <v>356</v>
      </c>
      <c r="AJ63" s="4">
        <f>Table2121418198598[[#This Row],[RB1 RY]]+Table2121418198598[[#This Row],[RB2+ RY]]+Table2121418198598[[#This Row],[RB1 RecY]]+Table2121418198598[[#This Row],[RB2 RecY]]</f>
        <v>38</v>
      </c>
    </row>
    <row r="64" spans="1:36" x14ac:dyDescent="0.35">
      <c r="A64" s="19" t="s">
        <v>51</v>
      </c>
      <c r="B64" s="1">
        <v>18</v>
      </c>
      <c r="C64" s="2">
        <v>294</v>
      </c>
      <c r="D64" s="2">
        <v>1</v>
      </c>
      <c r="E64" s="2">
        <v>20</v>
      </c>
      <c r="F64" s="2">
        <v>66</v>
      </c>
      <c r="G64" s="2">
        <v>10</v>
      </c>
      <c r="H64" s="2">
        <v>4</v>
      </c>
      <c r="I64" s="2">
        <v>5</v>
      </c>
      <c r="J64" s="2">
        <v>33</v>
      </c>
      <c r="K64" s="2">
        <v>8</v>
      </c>
      <c r="L64" s="2">
        <v>64</v>
      </c>
      <c r="M64" s="2">
        <v>3</v>
      </c>
      <c r="N64" s="2">
        <v>55</v>
      </c>
      <c r="O64" s="2">
        <v>3</v>
      </c>
      <c r="P64" s="2">
        <v>43</v>
      </c>
      <c r="Q64" s="2">
        <v>5</v>
      </c>
      <c r="R64" s="2">
        <v>34</v>
      </c>
      <c r="S64" s="2">
        <v>2</v>
      </c>
      <c r="T64" s="2">
        <v>9</v>
      </c>
      <c r="U64" s="2">
        <v>3</v>
      </c>
      <c r="V64" s="2">
        <v>51</v>
      </c>
      <c r="W64" s="2">
        <v>2</v>
      </c>
      <c r="X64" s="2">
        <v>5</v>
      </c>
      <c r="Y64" s="2">
        <v>0</v>
      </c>
      <c r="Z64" s="2">
        <v>0</v>
      </c>
      <c r="AA64" s="2">
        <v>1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  <c r="AH64" s="2">
        <v>0</v>
      </c>
      <c r="AI64" s="4">
        <f>Table2121418198598[[#This Row],[QB PY]]+Table2121418198598[[#This Row],[QB RY]]</f>
        <v>314</v>
      </c>
      <c r="AJ64" s="4">
        <f>Table2121418198598[[#This Row],[RB1 RY]]+Table2121418198598[[#This Row],[RB2+ RY]]+Table2121418198598[[#This Row],[RB1 RecY]]+Table2121418198598[[#This Row],[RB2 RecY]]</f>
        <v>173</v>
      </c>
    </row>
    <row r="65" spans="1:36" x14ac:dyDescent="0.35">
      <c r="B65" s="1" t="s">
        <v>57</v>
      </c>
      <c r="C65" s="3">
        <f>AVERAGE(Table2121418198598[QB PY])</f>
        <v>259</v>
      </c>
      <c r="D65" s="3">
        <f>AVERAGE(Table2121418198598[P TD])</f>
        <v>1.411764705882353</v>
      </c>
      <c r="E65" s="3">
        <f>AVERAGE(Table2121418198598[QB RY])</f>
        <v>18.117647058823529</v>
      </c>
      <c r="F65" s="3">
        <f>AVERAGE(Table2121418198598[RB1 RY])</f>
        <v>49.647058823529413</v>
      </c>
      <c r="G65" s="3">
        <f>AVERAGE(Table2121418198598[RB2+ RY])</f>
        <v>32.470588235294116</v>
      </c>
      <c r="H65" s="3">
        <f>AVERAGE(Table2121418198598[WR RY])</f>
        <v>6.4117647058823533</v>
      </c>
      <c r="I65" s="3">
        <f>AVERAGE(Table2121418198598[RB1 Recep])</f>
        <v>3.3529411764705883</v>
      </c>
      <c r="J65" s="3">
        <f>AVERAGE(Table2121418198598[RB1 RecY])</f>
        <v>29</v>
      </c>
      <c r="K65" s="3">
        <f>AVERAGE(Table2121418198598[RB2 Recep])</f>
        <v>2.1764705882352939</v>
      </c>
      <c r="L65" s="3">
        <f>AVERAGE(Table2121418198598[RB2 RecY])</f>
        <v>14.235294117647058</v>
      </c>
      <c r="M65" s="3">
        <f>AVERAGE(Table2121418198598[WR1 Recep])</f>
        <v>5.5294117647058822</v>
      </c>
      <c r="N65" s="3">
        <f>AVERAGE(Table2121418198598[WR1 RecY])</f>
        <v>81</v>
      </c>
      <c r="O65" s="3">
        <f>AVERAGE(Table2121418198598[WR2 Recep])</f>
        <v>2.8235294117647061</v>
      </c>
      <c r="P65" s="3">
        <f>AVERAGE(Table2121418198598[WR2 RecY])</f>
        <v>43.647058823529413</v>
      </c>
      <c r="Q65" s="3">
        <f>AVERAGE(Table2121418198598[WR3 Recep])</f>
        <v>3.1764705882352939</v>
      </c>
      <c r="R65" s="3">
        <f>AVERAGE(Table2121418198598[WR3 RecY])</f>
        <v>31.235294117647058</v>
      </c>
      <c r="S65" s="3">
        <f>AVERAGE(Table2121418198598[WR4+ Recep])</f>
        <v>1.4705882352941178</v>
      </c>
      <c r="T65" s="3">
        <f>AVERAGE(Table2121418198598[WR4+ RecY])</f>
        <v>13.705882352941176</v>
      </c>
      <c r="U65" s="3">
        <f>AVERAGE(Table2121418198598[TE1 Recep])</f>
        <v>3.1176470588235294</v>
      </c>
      <c r="V65" s="3">
        <f>AVERAGE(Table2121418198598[TE1 RecY])</f>
        <v>30.588235294117649</v>
      </c>
      <c r="W65" s="3">
        <f>AVERAGE(Table2121418198598[TE2 Recep])</f>
        <v>1.8235294117647058</v>
      </c>
      <c r="X65" s="3">
        <f>AVERAGE(Table2121418198598[TE2 RecY])</f>
        <v>15.588235294117647</v>
      </c>
      <c r="Y65" s="3">
        <f>AVERAGE(Table2121418198598[QB TD])</f>
        <v>0.29411764705882354</v>
      </c>
      <c r="Z65" s="3">
        <f>AVERAGE(Table2121418198598[RB1 TD])</f>
        <v>0.58823529411764708</v>
      </c>
      <c r="AA65" s="3">
        <f>AVERAGE(Table2121418198598[RB2 TD])</f>
        <v>0.29411764705882354</v>
      </c>
      <c r="AB65" s="3">
        <f>AVERAGE(Table2121418198598[WR1 TD])</f>
        <v>0.35294117647058826</v>
      </c>
      <c r="AC65" s="3">
        <f>AVERAGE(Table2121418198598[WR2 TD])</f>
        <v>0.17647058823529413</v>
      </c>
      <c r="AD65" s="3">
        <f>AVERAGE(Table2121418198598[WR3 TD])</f>
        <v>0.23529411764705882</v>
      </c>
      <c r="AE65" s="3">
        <f>AVERAGE(Table2121418198598[WR4+ TD])</f>
        <v>0.17647058823529413</v>
      </c>
      <c r="AF65" s="3">
        <f>AVERAGE(Table2121418198598[TE1 TD])</f>
        <v>0.17647058823529413</v>
      </c>
      <c r="AG65" s="3">
        <f>AVERAGE(Table2121418198598[TE2 TD])</f>
        <v>0.11764705882352941</v>
      </c>
      <c r="AH65" s="3">
        <f>AVERAGE(Table2121418198598[D/ST TD])</f>
        <v>5.8823529411764705E-2</v>
      </c>
      <c r="AI65" s="3">
        <f>AVERAGE(Table2121418198598[QB P+R])</f>
        <v>277.11764705882354</v>
      </c>
      <c r="AJ65" s="3">
        <f>AVERAGE(Table2121418198598[RB R+R])</f>
        <v>125.35294117647059</v>
      </c>
    </row>
    <row r="67" spans="1:36" x14ac:dyDescent="0.35">
      <c r="A67" s="230" t="s">
        <v>17</v>
      </c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</row>
    <row r="68" spans="1:36" x14ac:dyDescent="0.35">
      <c r="A68" s="20" t="s">
        <v>63</v>
      </c>
      <c r="B68" s="6" t="s">
        <v>1</v>
      </c>
      <c r="C68" s="7" t="s">
        <v>18</v>
      </c>
      <c r="D68" s="8" t="s">
        <v>19</v>
      </c>
      <c r="E68" s="9" t="s">
        <v>20</v>
      </c>
      <c r="F68" s="10" t="s">
        <v>21</v>
      </c>
      <c r="G68" s="11" t="s">
        <v>22</v>
      </c>
      <c r="H68" s="12" t="s">
        <v>23</v>
      </c>
      <c r="I68" s="13" t="s">
        <v>667</v>
      </c>
      <c r="J68" s="13" t="s">
        <v>668</v>
      </c>
      <c r="K68" s="13" t="s">
        <v>665</v>
      </c>
      <c r="L68" s="13" t="s">
        <v>666</v>
      </c>
      <c r="M68" s="14" t="s">
        <v>2</v>
      </c>
      <c r="N68" s="14" t="s">
        <v>24</v>
      </c>
      <c r="O68" s="15" t="s">
        <v>3</v>
      </c>
      <c r="P68" s="15" t="s">
        <v>25</v>
      </c>
      <c r="Q68" s="16" t="s">
        <v>4</v>
      </c>
      <c r="R68" s="16" t="s">
        <v>26</v>
      </c>
      <c r="S68" s="17" t="s">
        <v>5</v>
      </c>
      <c r="T68" s="17" t="s">
        <v>27</v>
      </c>
      <c r="U68" s="18" t="s">
        <v>669</v>
      </c>
      <c r="V68" s="18" t="s">
        <v>670</v>
      </c>
      <c r="W68" s="18" t="s">
        <v>675</v>
      </c>
      <c r="X68" s="18" t="s">
        <v>671</v>
      </c>
      <c r="Y68" s="6" t="s">
        <v>6</v>
      </c>
      <c r="Z68" s="6" t="s">
        <v>7</v>
      </c>
      <c r="AA68" s="6" t="s">
        <v>674</v>
      </c>
      <c r="AB68" s="6" t="s">
        <v>8</v>
      </c>
      <c r="AC68" s="6" t="s">
        <v>9</v>
      </c>
      <c r="AD68" s="6" t="s">
        <v>10</v>
      </c>
      <c r="AE68" s="6" t="s">
        <v>11</v>
      </c>
      <c r="AF68" s="6" t="s">
        <v>673</v>
      </c>
      <c r="AG68" s="6" t="s">
        <v>672</v>
      </c>
      <c r="AH68" s="6" t="s">
        <v>12</v>
      </c>
      <c r="AI68" s="8" t="s">
        <v>14</v>
      </c>
      <c r="AJ68" s="11" t="s">
        <v>13</v>
      </c>
    </row>
    <row r="69" spans="1:36" x14ac:dyDescent="0.35">
      <c r="A69" s="19" t="s">
        <v>16</v>
      </c>
      <c r="B69" s="5">
        <v>1</v>
      </c>
      <c r="C69" s="4">
        <v>209</v>
      </c>
      <c r="D69" s="4">
        <v>2</v>
      </c>
      <c r="E69" s="4">
        <v>70</v>
      </c>
      <c r="F69" s="4">
        <v>169</v>
      </c>
      <c r="G69" s="4">
        <v>-9</v>
      </c>
      <c r="H69" s="4">
        <v>8</v>
      </c>
      <c r="I69" s="4">
        <v>1</v>
      </c>
      <c r="J69" s="4">
        <v>13</v>
      </c>
      <c r="K69" s="4">
        <v>1</v>
      </c>
      <c r="L69" s="4">
        <v>3</v>
      </c>
      <c r="M69" s="4">
        <v>7</v>
      </c>
      <c r="N69" s="4">
        <v>143</v>
      </c>
      <c r="O69" s="4">
        <v>2</v>
      </c>
      <c r="P69" s="4">
        <v>10</v>
      </c>
      <c r="Q69" s="4">
        <v>2</v>
      </c>
      <c r="R69" s="4">
        <v>35</v>
      </c>
      <c r="S69" s="4">
        <v>0</v>
      </c>
      <c r="T69" s="4">
        <v>0</v>
      </c>
      <c r="U69" s="4">
        <v>1</v>
      </c>
      <c r="V69" s="4">
        <v>5</v>
      </c>
      <c r="W69" s="4">
        <v>0</v>
      </c>
      <c r="X69" s="4">
        <v>0</v>
      </c>
      <c r="Y69" s="4">
        <v>1</v>
      </c>
      <c r="Z69" s="4">
        <v>2</v>
      </c>
      <c r="AA69" s="4">
        <v>0</v>
      </c>
      <c r="AB69" s="4">
        <v>1</v>
      </c>
      <c r="AC69" s="4">
        <v>0</v>
      </c>
      <c r="AD69" s="4">
        <v>1</v>
      </c>
      <c r="AE69" s="4">
        <v>0</v>
      </c>
      <c r="AF69" s="4">
        <v>0</v>
      </c>
      <c r="AG69" s="4">
        <v>0</v>
      </c>
      <c r="AH69" s="4">
        <v>0</v>
      </c>
      <c r="AI69" s="4">
        <f>Table2121418198593[[#This Row],[QB PY]]+Table2121418198593[[#This Row],[QB RY]]</f>
        <v>279</v>
      </c>
      <c r="AJ69" s="4">
        <f>Table2121418198593[[#This Row],[RB1 RY]]+Table2121418198593[[#This Row],[RB2+ RY]]+Table2121418198593[[#This Row],[RB1 RecY]]+Table2121418198593[[#This Row],[RB2 RecY]]</f>
        <v>176</v>
      </c>
    </row>
    <row r="70" spans="1:36" x14ac:dyDescent="0.35">
      <c r="A70" s="19" t="s">
        <v>49</v>
      </c>
      <c r="B70" s="1">
        <v>2</v>
      </c>
      <c r="C70" s="2">
        <v>83</v>
      </c>
      <c r="D70" s="2">
        <v>1</v>
      </c>
      <c r="E70" s="2">
        <v>70</v>
      </c>
      <c r="F70" s="2">
        <v>29</v>
      </c>
      <c r="G70" s="2">
        <v>11</v>
      </c>
      <c r="H70" s="2">
        <v>-10</v>
      </c>
      <c r="I70" s="2">
        <v>2</v>
      </c>
      <c r="J70" s="2">
        <v>9</v>
      </c>
      <c r="K70" s="2">
        <v>1</v>
      </c>
      <c r="L70" s="2">
        <v>6</v>
      </c>
      <c r="M70" s="2">
        <v>4</v>
      </c>
      <c r="N70" s="2">
        <v>50</v>
      </c>
      <c r="O70" s="2">
        <v>1</v>
      </c>
      <c r="P70" s="2">
        <v>8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5</v>
      </c>
      <c r="W70" s="2">
        <v>1</v>
      </c>
      <c r="X70" s="2">
        <v>5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  <c r="AH70" s="2">
        <v>0</v>
      </c>
      <c r="AI70" s="4">
        <f>Table2121418198593[[#This Row],[QB PY]]+Table2121418198593[[#This Row],[QB RY]]</f>
        <v>153</v>
      </c>
      <c r="AJ70" s="4">
        <f>Table2121418198593[[#This Row],[RB1 RY]]+Table2121418198593[[#This Row],[RB2+ RY]]+Table2121418198593[[#This Row],[RB1 RecY]]+Table2121418198593[[#This Row],[RB2 RecY]]</f>
        <v>55</v>
      </c>
    </row>
    <row r="71" spans="1:36" x14ac:dyDescent="0.35">
      <c r="A71" s="19" t="s">
        <v>44</v>
      </c>
      <c r="B71" s="1">
        <v>3</v>
      </c>
      <c r="C71" s="2">
        <v>146</v>
      </c>
      <c r="D71" s="2">
        <v>2</v>
      </c>
      <c r="E71" s="2">
        <v>10</v>
      </c>
      <c r="F71" s="2">
        <v>62</v>
      </c>
      <c r="G71" s="2">
        <v>38</v>
      </c>
      <c r="H71" s="2">
        <v>20</v>
      </c>
      <c r="I71" s="2">
        <v>7</v>
      </c>
      <c r="J71" s="2">
        <v>29</v>
      </c>
      <c r="K71" s="2">
        <v>0</v>
      </c>
      <c r="L71" s="2">
        <v>0</v>
      </c>
      <c r="M71" s="2">
        <v>5</v>
      </c>
      <c r="N71" s="2">
        <v>49</v>
      </c>
      <c r="O71" s="2">
        <v>5</v>
      </c>
      <c r="P71" s="2">
        <v>39</v>
      </c>
      <c r="Q71" s="2">
        <v>3</v>
      </c>
      <c r="R71" s="2">
        <v>12</v>
      </c>
      <c r="S71" s="2">
        <v>0</v>
      </c>
      <c r="T71" s="2">
        <v>0</v>
      </c>
      <c r="U71" s="2">
        <v>1</v>
      </c>
      <c r="V71" s="2">
        <v>13</v>
      </c>
      <c r="W71" s="2">
        <v>1</v>
      </c>
      <c r="X71" s="2">
        <v>4</v>
      </c>
      <c r="Y71" s="2">
        <v>0</v>
      </c>
      <c r="Z71" s="2">
        <v>0</v>
      </c>
      <c r="AA71" s="2">
        <v>1</v>
      </c>
      <c r="AB71" s="2">
        <v>1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4">
        <f>Table2121418198593[[#This Row],[QB PY]]+Table2121418198593[[#This Row],[QB RY]]</f>
        <v>156</v>
      </c>
      <c r="AJ71" s="4">
        <f>Table2121418198593[[#This Row],[RB1 RY]]+Table2121418198593[[#This Row],[RB2+ RY]]+Table2121418198593[[#This Row],[RB1 RecY]]+Table2121418198593[[#This Row],[RB2 RecY]]</f>
        <v>129</v>
      </c>
    </row>
    <row r="72" spans="1:36" x14ac:dyDescent="0.35">
      <c r="A72" s="19" t="s">
        <v>47</v>
      </c>
      <c r="B72" s="1">
        <v>4</v>
      </c>
      <c r="C72" s="2">
        <v>126</v>
      </c>
      <c r="D72" s="2">
        <v>1</v>
      </c>
      <c r="E72" s="2">
        <v>49</v>
      </c>
      <c r="F72" s="2">
        <v>70</v>
      </c>
      <c r="G72" s="2">
        <v>65</v>
      </c>
      <c r="H72" s="2">
        <v>5</v>
      </c>
      <c r="I72" s="2">
        <v>4</v>
      </c>
      <c r="J72" s="2">
        <v>2</v>
      </c>
      <c r="K72" s="2">
        <v>0</v>
      </c>
      <c r="L72" s="2">
        <v>0</v>
      </c>
      <c r="M72" s="2">
        <v>3</v>
      </c>
      <c r="N72" s="2">
        <v>20</v>
      </c>
      <c r="O72" s="2">
        <v>4</v>
      </c>
      <c r="P72" s="2">
        <v>47</v>
      </c>
      <c r="Q72" s="2">
        <v>3</v>
      </c>
      <c r="R72" s="2">
        <v>22</v>
      </c>
      <c r="S72" s="2">
        <v>0</v>
      </c>
      <c r="T72" s="2">
        <v>0</v>
      </c>
      <c r="U72" s="2">
        <v>3</v>
      </c>
      <c r="V72" s="2">
        <v>28</v>
      </c>
      <c r="W72" s="2">
        <v>1</v>
      </c>
      <c r="X72" s="2">
        <v>7</v>
      </c>
      <c r="Y72" s="2">
        <v>0</v>
      </c>
      <c r="Z72" s="2">
        <v>0</v>
      </c>
      <c r="AA72" s="2">
        <v>1</v>
      </c>
      <c r="AB72" s="2">
        <v>1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4">
        <f>Table2121418198593[[#This Row],[QB PY]]+Table2121418198593[[#This Row],[QB RY]]</f>
        <v>175</v>
      </c>
      <c r="AJ72" s="4">
        <f>Table2121418198593[[#This Row],[RB1 RY]]+Table2121418198593[[#This Row],[RB2+ RY]]+Table2121418198593[[#This Row],[RB1 RecY]]+Table2121418198593[[#This Row],[RB2 RecY]]</f>
        <v>137</v>
      </c>
    </row>
    <row r="73" spans="1:36" x14ac:dyDescent="0.35">
      <c r="A73" s="19" t="s">
        <v>46</v>
      </c>
      <c r="B73" s="1">
        <v>5</v>
      </c>
      <c r="C73" s="2">
        <v>273</v>
      </c>
      <c r="D73" s="2">
        <v>0</v>
      </c>
      <c r="E73" s="2">
        <v>12</v>
      </c>
      <c r="F73" s="2">
        <v>14</v>
      </c>
      <c r="G73" s="2">
        <v>45</v>
      </c>
      <c r="H73" s="2">
        <v>0</v>
      </c>
      <c r="I73" s="2">
        <v>2</v>
      </c>
      <c r="J73" s="2">
        <v>13</v>
      </c>
      <c r="K73" s="2">
        <v>3</v>
      </c>
      <c r="L73" s="2">
        <v>8</v>
      </c>
      <c r="M73" s="2">
        <v>10</v>
      </c>
      <c r="N73" s="2">
        <v>146</v>
      </c>
      <c r="O73" s="2">
        <v>3</v>
      </c>
      <c r="P73" s="2">
        <v>43</v>
      </c>
      <c r="Q73" s="2">
        <v>2</v>
      </c>
      <c r="R73" s="2">
        <v>17</v>
      </c>
      <c r="S73" s="2">
        <v>0</v>
      </c>
      <c r="T73" s="2">
        <v>0</v>
      </c>
      <c r="U73" s="2">
        <v>2</v>
      </c>
      <c r="V73" s="2">
        <v>46</v>
      </c>
      <c r="W73" s="2">
        <v>0</v>
      </c>
      <c r="X73" s="2">
        <v>0</v>
      </c>
      <c r="Y73" s="2">
        <v>0</v>
      </c>
      <c r="Z73" s="2">
        <v>2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4">
        <f>Table2121418198593[[#This Row],[QB PY]]+Table2121418198593[[#This Row],[QB RY]]</f>
        <v>285</v>
      </c>
      <c r="AJ73" s="4">
        <f>Table2121418198593[[#This Row],[RB1 RY]]+Table2121418198593[[#This Row],[RB2+ RY]]+Table2121418198593[[#This Row],[RB1 RecY]]+Table2121418198593[[#This Row],[RB2 RecY]]</f>
        <v>80</v>
      </c>
    </row>
    <row r="74" spans="1:36" x14ac:dyDescent="0.35">
      <c r="A74" s="19" t="s">
        <v>15</v>
      </c>
      <c r="B74" s="1">
        <v>6</v>
      </c>
      <c r="C74" s="2">
        <v>250</v>
      </c>
      <c r="D74" s="2">
        <v>1</v>
      </c>
      <c r="E74" s="2">
        <v>6</v>
      </c>
      <c r="F74" s="2">
        <v>170</v>
      </c>
      <c r="G74" s="2">
        <v>32</v>
      </c>
      <c r="H74" s="2">
        <v>2</v>
      </c>
      <c r="I74" s="2">
        <v>6</v>
      </c>
      <c r="J74" s="2">
        <v>68</v>
      </c>
      <c r="K74" s="2">
        <v>1</v>
      </c>
      <c r="L74" s="2">
        <v>6</v>
      </c>
      <c r="M74" s="2">
        <v>10</v>
      </c>
      <c r="N74" s="2">
        <v>158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3</v>
      </c>
      <c r="V74" s="2">
        <v>18</v>
      </c>
      <c r="W74" s="2">
        <v>0</v>
      </c>
      <c r="X74" s="2">
        <v>0</v>
      </c>
      <c r="Y74" s="2">
        <v>0</v>
      </c>
      <c r="Z74" s="2">
        <v>1</v>
      </c>
      <c r="AA74" s="2">
        <v>1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4">
        <f>Table2121418198593[[#This Row],[QB PY]]+Table2121418198593[[#This Row],[QB RY]]</f>
        <v>256</v>
      </c>
      <c r="AJ74" s="4">
        <f>Table2121418198593[[#This Row],[RB1 RY]]+Table2121418198593[[#This Row],[RB2+ RY]]+Table2121418198593[[#This Row],[RB1 RecY]]+Table2121418198593[[#This Row],[RB2 RecY]]</f>
        <v>276</v>
      </c>
    </row>
    <row r="75" spans="1:36" x14ac:dyDescent="0.35">
      <c r="A75" s="19" t="s">
        <v>650</v>
      </c>
      <c r="B75" s="1">
        <v>7</v>
      </c>
      <c r="C75" s="2" t="s">
        <v>697</v>
      </c>
      <c r="D75" s="2" t="s">
        <v>697</v>
      </c>
      <c r="E75" s="2" t="s">
        <v>697</v>
      </c>
      <c r="F75" s="2" t="s">
        <v>697</v>
      </c>
      <c r="G75" s="2" t="s">
        <v>697</v>
      </c>
      <c r="H75" s="2" t="s">
        <v>697</v>
      </c>
      <c r="I75" s="2" t="s">
        <v>697</v>
      </c>
      <c r="J75" s="2" t="s">
        <v>697</v>
      </c>
      <c r="K75" s="2" t="s">
        <v>697</v>
      </c>
      <c r="L75" s="2" t="s">
        <v>697</v>
      </c>
      <c r="M75" s="2" t="s">
        <v>697</v>
      </c>
      <c r="N75" s="2" t="s">
        <v>697</v>
      </c>
      <c r="O75" s="2" t="s">
        <v>697</v>
      </c>
      <c r="P75" s="2" t="s">
        <v>697</v>
      </c>
      <c r="Q75" s="2" t="s">
        <v>697</v>
      </c>
      <c r="R75" s="2" t="s">
        <v>697</v>
      </c>
      <c r="S75" s="2" t="s">
        <v>697</v>
      </c>
      <c r="T75" s="2" t="s">
        <v>697</v>
      </c>
      <c r="U75" s="2" t="s">
        <v>697</v>
      </c>
      <c r="V75" s="2" t="s">
        <v>697</v>
      </c>
      <c r="W75" s="2" t="s">
        <v>697</v>
      </c>
      <c r="X75" s="2" t="s">
        <v>697</v>
      </c>
      <c r="Y75" s="2" t="s">
        <v>697</v>
      </c>
      <c r="Z75" s="2" t="s">
        <v>697</v>
      </c>
      <c r="AA75" s="2" t="s">
        <v>697</v>
      </c>
      <c r="AB75" s="2" t="s">
        <v>697</v>
      </c>
      <c r="AC75" s="2" t="s">
        <v>697</v>
      </c>
      <c r="AD75" s="2" t="s">
        <v>697</v>
      </c>
      <c r="AE75" s="2" t="s">
        <v>697</v>
      </c>
      <c r="AF75" s="2" t="s">
        <v>697</v>
      </c>
      <c r="AG75" s="2" t="s">
        <v>697</v>
      </c>
      <c r="AH75" s="2" t="s">
        <v>697</v>
      </c>
      <c r="AI75" s="4" t="s">
        <v>697</v>
      </c>
      <c r="AJ75" s="4" t="s">
        <v>697</v>
      </c>
    </row>
    <row r="76" spans="1:36" x14ac:dyDescent="0.35">
      <c r="A76" s="19" t="s">
        <v>29</v>
      </c>
      <c r="B76" s="1">
        <v>8</v>
      </c>
      <c r="C76" s="2">
        <v>175</v>
      </c>
      <c r="D76" s="2">
        <v>0</v>
      </c>
      <c r="E76" s="2">
        <v>1</v>
      </c>
      <c r="F76" s="2">
        <v>54</v>
      </c>
      <c r="G76" s="2">
        <v>50</v>
      </c>
      <c r="H76" s="2">
        <v>9</v>
      </c>
      <c r="I76" s="2">
        <v>0</v>
      </c>
      <c r="J76" s="2">
        <v>0</v>
      </c>
      <c r="K76" s="2">
        <v>0</v>
      </c>
      <c r="L76" s="2">
        <v>0</v>
      </c>
      <c r="M76" s="2">
        <v>7</v>
      </c>
      <c r="N76" s="2">
        <v>99</v>
      </c>
      <c r="O76" s="2">
        <v>2</v>
      </c>
      <c r="P76" s="2">
        <v>17</v>
      </c>
      <c r="Q76" s="2">
        <v>3</v>
      </c>
      <c r="R76" s="2">
        <v>36</v>
      </c>
      <c r="S76" s="2">
        <v>0</v>
      </c>
      <c r="T76" s="2">
        <v>0</v>
      </c>
      <c r="U76" s="2">
        <v>3</v>
      </c>
      <c r="V76" s="2">
        <v>19</v>
      </c>
      <c r="W76" s="2">
        <v>1</v>
      </c>
      <c r="X76" s="2">
        <v>4</v>
      </c>
      <c r="Y76" s="2">
        <v>0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4">
        <f>Table2121418198593[[#This Row],[QB PY]]+Table2121418198593[[#This Row],[QB RY]]</f>
        <v>176</v>
      </c>
      <c r="AJ76" s="4">
        <f>Table2121418198593[[#This Row],[RB1 RY]]+Table2121418198593[[#This Row],[RB2+ RY]]+Table2121418198593[[#This Row],[RB1 RecY]]+Table2121418198593[[#This Row],[RB2 RecY]]</f>
        <v>104</v>
      </c>
    </row>
    <row r="77" spans="1:36" x14ac:dyDescent="0.35">
      <c r="A77" s="19" t="s">
        <v>40</v>
      </c>
      <c r="B77" s="1">
        <v>9</v>
      </c>
      <c r="C77" s="2">
        <v>250</v>
      </c>
      <c r="D77" s="2">
        <v>0</v>
      </c>
      <c r="E77" s="2">
        <v>5</v>
      </c>
      <c r="F77" s="2">
        <v>49</v>
      </c>
      <c r="G77" s="2">
        <v>12</v>
      </c>
      <c r="H77" s="2">
        <v>13</v>
      </c>
      <c r="I77" s="2">
        <v>1</v>
      </c>
      <c r="J77" s="2">
        <v>6</v>
      </c>
      <c r="K77" s="2">
        <v>0</v>
      </c>
      <c r="L77" s="2">
        <v>0</v>
      </c>
      <c r="M77" s="2">
        <v>4</v>
      </c>
      <c r="N77" s="2">
        <v>80</v>
      </c>
      <c r="O77" s="2">
        <v>3</v>
      </c>
      <c r="P77" s="2">
        <v>23</v>
      </c>
      <c r="Q77" s="2">
        <v>2</v>
      </c>
      <c r="R77" s="2">
        <v>73</v>
      </c>
      <c r="S77" s="2">
        <v>1</v>
      </c>
      <c r="T77" s="2">
        <v>2</v>
      </c>
      <c r="U77" s="2">
        <v>4</v>
      </c>
      <c r="V77" s="2">
        <v>66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1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4">
        <f>Table2121418198593[[#This Row],[QB PY]]+Table2121418198593[[#This Row],[QB RY]]</f>
        <v>255</v>
      </c>
      <c r="AJ77" s="4">
        <f>Table2121418198593[[#This Row],[RB1 RY]]+Table2121418198593[[#This Row],[RB2+ RY]]+Table2121418198593[[#This Row],[RB1 RecY]]+Table2121418198593[[#This Row],[RB2 RecY]]</f>
        <v>67</v>
      </c>
    </row>
    <row r="78" spans="1:36" x14ac:dyDescent="0.35">
      <c r="A78" s="19" t="s">
        <v>44</v>
      </c>
      <c r="B78" s="1">
        <v>10</v>
      </c>
      <c r="C78" s="2">
        <v>173</v>
      </c>
      <c r="D78" s="2">
        <v>2</v>
      </c>
      <c r="E78" s="2">
        <v>-1</v>
      </c>
      <c r="F78" s="2">
        <v>174</v>
      </c>
      <c r="G78" s="2">
        <v>20</v>
      </c>
      <c r="H78" s="2">
        <v>4</v>
      </c>
      <c r="I78" s="2">
        <v>6</v>
      </c>
      <c r="J78" s="2">
        <v>51</v>
      </c>
      <c r="K78" s="2">
        <v>0</v>
      </c>
      <c r="L78" s="2">
        <v>0</v>
      </c>
      <c r="M78" s="2">
        <v>5</v>
      </c>
      <c r="N78" s="2">
        <v>84</v>
      </c>
      <c r="O78" s="2">
        <v>2</v>
      </c>
      <c r="P78" s="2">
        <v>9</v>
      </c>
      <c r="Q78" s="2">
        <v>1</v>
      </c>
      <c r="R78" s="2">
        <v>7</v>
      </c>
      <c r="S78" s="2">
        <v>0</v>
      </c>
      <c r="T78" s="2">
        <v>0</v>
      </c>
      <c r="U78" s="2">
        <v>1</v>
      </c>
      <c r="V78" s="2">
        <v>22</v>
      </c>
      <c r="W78" s="2">
        <v>0</v>
      </c>
      <c r="X78" s="2">
        <v>0</v>
      </c>
      <c r="Y78" s="2">
        <v>0</v>
      </c>
      <c r="Z78" s="2">
        <v>2</v>
      </c>
      <c r="AA78" s="2">
        <v>0</v>
      </c>
      <c r="AB78" s="2">
        <v>1</v>
      </c>
      <c r="AC78" s="2">
        <v>1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4">
        <f>Table2121418198593[[#This Row],[QB PY]]+Table2121418198593[[#This Row],[QB RY]]</f>
        <v>172</v>
      </c>
      <c r="AJ78" s="4">
        <f>Table2121418198593[[#This Row],[RB1 RY]]+Table2121418198593[[#This Row],[RB2+ RY]]+Table2121418198593[[#This Row],[RB1 RecY]]+Table2121418198593[[#This Row],[RB2 RecY]]</f>
        <v>245</v>
      </c>
    </row>
    <row r="79" spans="1:36" x14ac:dyDescent="0.35">
      <c r="A79" s="19" t="s">
        <v>54</v>
      </c>
      <c r="B79" s="1">
        <v>11</v>
      </c>
      <c r="C79" s="2">
        <v>173</v>
      </c>
      <c r="D79" s="2">
        <v>1</v>
      </c>
      <c r="E79" s="2">
        <v>38</v>
      </c>
      <c r="F79" s="2">
        <v>106</v>
      </c>
      <c r="G79" s="2">
        <v>51</v>
      </c>
      <c r="H79" s="2">
        <v>7</v>
      </c>
      <c r="I79" s="2">
        <v>2</v>
      </c>
      <c r="J79" s="2">
        <v>11</v>
      </c>
      <c r="K79" s="2">
        <v>2</v>
      </c>
      <c r="L79" s="2">
        <v>34</v>
      </c>
      <c r="M79" s="2">
        <v>5</v>
      </c>
      <c r="N79" s="2">
        <v>40</v>
      </c>
      <c r="O79" s="2">
        <v>4</v>
      </c>
      <c r="P79" s="2">
        <v>54</v>
      </c>
      <c r="Q79" s="2">
        <v>1</v>
      </c>
      <c r="R79" s="2">
        <v>6</v>
      </c>
      <c r="S79" s="2">
        <v>0</v>
      </c>
      <c r="T79" s="2">
        <v>0</v>
      </c>
      <c r="U79" s="2">
        <v>2</v>
      </c>
      <c r="V79" s="2">
        <v>28</v>
      </c>
      <c r="W79" s="2">
        <v>0</v>
      </c>
      <c r="X79" s="2">
        <v>0</v>
      </c>
      <c r="Y79" s="2">
        <v>1</v>
      </c>
      <c r="Z79" s="2">
        <v>3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4">
        <f>Table2121418198593[[#This Row],[QB PY]]+Table2121418198593[[#This Row],[QB RY]]</f>
        <v>211</v>
      </c>
      <c r="AJ79" s="4">
        <f>Table2121418198593[[#This Row],[RB1 RY]]+Table2121418198593[[#This Row],[RB2+ RY]]+Table2121418198593[[#This Row],[RB1 RecY]]+Table2121418198593[[#This Row],[RB2 RecY]]</f>
        <v>202</v>
      </c>
    </row>
    <row r="80" spans="1:36" x14ac:dyDescent="0.35">
      <c r="A80" s="19" t="s">
        <v>37</v>
      </c>
      <c r="B80" s="1">
        <v>12</v>
      </c>
      <c r="C80" s="2">
        <v>153</v>
      </c>
      <c r="D80" s="2">
        <v>2</v>
      </c>
      <c r="E80" s="2">
        <v>4</v>
      </c>
      <c r="F80" s="2">
        <v>74</v>
      </c>
      <c r="G80" s="2">
        <v>16</v>
      </c>
      <c r="H80" s="2">
        <v>14</v>
      </c>
      <c r="I80" s="2">
        <v>1</v>
      </c>
      <c r="J80" s="2">
        <v>-5</v>
      </c>
      <c r="K80" s="2">
        <v>1</v>
      </c>
      <c r="L80" s="2">
        <v>-1</v>
      </c>
      <c r="M80" s="2">
        <v>3</v>
      </c>
      <c r="N80" s="2">
        <v>55</v>
      </c>
      <c r="O80" s="2">
        <v>4</v>
      </c>
      <c r="P80" s="2">
        <v>38</v>
      </c>
      <c r="Q80" s="2">
        <v>5</v>
      </c>
      <c r="R80" s="2">
        <v>54</v>
      </c>
      <c r="S80" s="2">
        <v>1</v>
      </c>
      <c r="T80" s="2">
        <v>4</v>
      </c>
      <c r="U80" s="2">
        <v>1</v>
      </c>
      <c r="V80" s="2">
        <v>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1</v>
      </c>
      <c r="AE80" s="2">
        <v>0</v>
      </c>
      <c r="AF80" s="2">
        <v>0</v>
      </c>
      <c r="AG80" s="2">
        <v>0</v>
      </c>
      <c r="AH80" s="2">
        <v>0</v>
      </c>
      <c r="AI80" s="4">
        <f>Table2121418198593[[#This Row],[QB PY]]+Table2121418198593[[#This Row],[QB RY]]</f>
        <v>157</v>
      </c>
      <c r="AJ80" s="4">
        <f>Table2121418198593[[#This Row],[RB1 RY]]+Table2121418198593[[#This Row],[RB2+ RY]]+Table2121418198593[[#This Row],[RB1 RecY]]+Table2121418198593[[#This Row],[RB2 RecY]]</f>
        <v>84</v>
      </c>
    </row>
    <row r="81" spans="1:36" x14ac:dyDescent="0.35">
      <c r="A81" s="19" t="s">
        <v>51</v>
      </c>
      <c r="B81" s="1">
        <v>13</v>
      </c>
      <c r="C81" s="2">
        <v>117</v>
      </c>
      <c r="D81" s="2">
        <v>0</v>
      </c>
      <c r="E81" s="2">
        <v>0</v>
      </c>
      <c r="F81" s="2">
        <v>35</v>
      </c>
      <c r="G81" s="2">
        <v>23</v>
      </c>
      <c r="H81" s="2">
        <v>0</v>
      </c>
      <c r="I81" s="2">
        <v>2</v>
      </c>
      <c r="J81" s="2">
        <v>9</v>
      </c>
      <c r="K81" s="2">
        <v>2</v>
      </c>
      <c r="L81" s="2">
        <v>25</v>
      </c>
      <c r="M81" s="2">
        <v>3</v>
      </c>
      <c r="N81" s="2">
        <v>32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2</v>
      </c>
      <c r="V81" s="2">
        <v>45</v>
      </c>
      <c r="W81" s="2">
        <v>1</v>
      </c>
      <c r="X81" s="2">
        <v>6</v>
      </c>
      <c r="Y81" s="2">
        <v>0</v>
      </c>
      <c r="Z81" s="2">
        <v>1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4">
        <f>Table2121418198593[[#This Row],[QB PY]]+Table2121418198593[[#This Row],[QB RY]]</f>
        <v>117</v>
      </c>
      <c r="AJ81" s="4">
        <f>Table2121418198593[[#This Row],[RB1 RY]]+Table2121418198593[[#This Row],[RB2+ RY]]+Table2121418198593[[#This Row],[RB1 RecY]]+Table2121418198593[[#This Row],[RB2 RecY]]</f>
        <v>92</v>
      </c>
    </row>
    <row r="82" spans="1:36" x14ac:dyDescent="0.35">
      <c r="A82" s="19" t="s">
        <v>31</v>
      </c>
      <c r="B82" s="1">
        <v>14</v>
      </c>
      <c r="C82" s="2">
        <v>284</v>
      </c>
      <c r="D82" s="2">
        <v>4</v>
      </c>
      <c r="E82" s="2">
        <v>0</v>
      </c>
      <c r="F82" s="2">
        <v>23</v>
      </c>
      <c r="G82" s="2">
        <v>31</v>
      </c>
      <c r="H82" s="2">
        <v>8</v>
      </c>
      <c r="I82" s="2">
        <v>3</v>
      </c>
      <c r="J82" s="2">
        <v>12</v>
      </c>
      <c r="K82" s="2">
        <v>1</v>
      </c>
      <c r="L82" s="2">
        <v>7</v>
      </c>
      <c r="M82" s="2">
        <v>5</v>
      </c>
      <c r="N82" s="2">
        <v>44</v>
      </c>
      <c r="O82" s="2">
        <v>6</v>
      </c>
      <c r="P82" s="2">
        <v>92</v>
      </c>
      <c r="Q82" s="2">
        <v>2</v>
      </c>
      <c r="R82" s="2">
        <v>17</v>
      </c>
      <c r="S82" s="2">
        <v>0</v>
      </c>
      <c r="T82" s="2">
        <v>0</v>
      </c>
      <c r="U82" s="2">
        <v>6</v>
      </c>
      <c r="V82" s="2">
        <v>86</v>
      </c>
      <c r="W82" s="2">
        <v>2</v>
      </c>
      <c r="X82" s="2">
        <v>26</v>
      </c>
      <c r="Y82" s="2">
        <v>0</v>
      </c>
      <c r="Z82" s="2">
        <v>2</v>
      </c>
      <c r="AA82" s="2">
        <v>0</v>
      </c>
      <c r="AB82" s="2">
        <v>0</v>
      </c>
      <c r="AC82" s="2">
        <v>2</v>
      </c>
      <c r="AD82" s="2">
        <v>0</v>
      </c>
      <c r="AE82" s="2">
        <v>0</v>
      </c>
      <c r="AF82" s="2">
        <v>1</v>
      </c>
      <c r="AG82" s="2">
        <v>0</v>
      </c>
      <c r="AH82" s="2">
        <v>0</v>
      </c>
      <c r="AI82" s="4">
        <f>Table2121418198593[[#This Row],[QB PY]]+Table2121418198593[[#This Row],[QB RY]]</f>
        <v>284</v>
      </c>
      <c r="AJ82" s="4">
        <f>Table2121418198593[[#This Row],[RB1 RY]]+Table2121418198593[[#This Row],[RB2+ RY]]+Table2121418198593[[#This Row],[RB1 RecY]]+Table2121418198593[[#This Row],[RB2 RecY]]</f>
        <v>73</v>
      </c>
    </row>
    <row r="83" spans="1:36" x14ac:dyDescent="0.35">
      <c r="A83" s="19" t="s">
        <v>46</v>
      </c>
      <c r="B83" s="1">
        <v>15</v>
      </c>
      <c r="C83" s="2">
        <v>155</v>
      </c>
      <c r="D83" s="2">
        <v>0</v>
      </c>
      <c r="E83" s="2">
        <v>43</v>
      </c>
      <c r="F83" s="2">
        <v>148</v>
      </c>
      <c r="G83" s="2">
        <v>50</v>
      </c>
      <c r="H83" s="2">
        <v>5</v>
      </c>
      <c r="I83" s="2">
        <v>2</v>
      </c>
      <c r="J83" s="2">
        <v>13</v>
      </c>
      <c r="K83" s="2">
        <v>3</v>
      </c>
      <c r="L83" s="2">
        <v>27</v>
      </c>
      <c r="M83" s="2">
        <v>3</v>
      </c>
      <c r="N83" s="2">
        <v>26</v>
      </c>
      <c r="O83" s="2">
        <v>1</v>
      </c>
      <c r="P83" s="2">
        <v>30</v>
      </c>
      <c r="Q83" s="2">
        <v>4</v>
      </c>
      <c r="R83" s="2">
        <v>41</v>
      </c>
      <c r="S83" s="2">
        <v>0</v>
      </c>
      <c r="T83" s="2">
        <v>0</v>
      </c>
      <c r="U83" s="2">
        <v>1</v>
      </c>
      <c r="V83" s="2">
        <v>18</v>
      </c>
      <c r="W83" s="2">
        <v>0</v>
      </c>
      <c r="X83" s="2">
        <v>0</v>
      </c>
      <c r="Y83" s="2">
        <v>2</v>
      </c>
      <c r="Z83" s="2">
        <v>2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4">
        <f>Table2121418198593[[#This Row],[QB PY]]+Table2121418198593[[#This Row],[QB RY]]</f>
        <v>198</v>
      </c>
      <c r="AJ83" s="4">
        <f>Table2121418198593[[#This Row],[RB1 RY]]+Table2121418198593[[#This Row],[RB2+ RY]]+Table2121418198593[[#This Row],[RB1 RecY]]+Table2121418198593[[#This Row],[RB2 RecY]]</f>
        <v>238</v>
      </c>
    </row>
    <row r="84" spans="1:36" x14ac:dyDescent="0.35">
      <c r="A84" s="19" t="s">
        <v>32</v>
      </c>
      <c r="B84" s="1">
        <v>16</v>
      </c>
      <c r="C84" s="2">
        <v>157</v>
      </c>
      <c r="D84" s="2">
        <v>1</v>
      </c>
      <c r="E84" s="2">
        <v>49</v>
      </c>
      <c r="F84" s="2">
        <v>42</v>
      </c>
      <c r="G84" s="2">
        <v>39</v>
      </c>
      <c r="H84" s="2">
        <v>30</v>
      </c>
      <c r="I84" s="2">
        <v>5</v>
      </c>
      <c r="J84" s="2">
        <v>29</v>
      </c>
      <c r="K84" s="2">
        <v>5</v>
      </c>
      <c r="L84" s="2">
        <v>42</v>
      </c>
      <c r="M84" s="2">
        <v>3</v>
      </c>
      <c r="N84" s="2">
        <v>12</v>
      </c>
      <c r="O84" s="2">
        <v>1</v>
      </c>
      <c r="P84" s="2">
        <v>8</v>
      </c>
      <c r="Q84" s="2">
        <v>1</v>
      </c>
      <c r="R84" s="2">
        <v>21</v>
      </c>
      <c r="S84" s="2">
        <v>2</v>
      </c>
      <c r="T84" s="2">
        <v>11</v>
      </c>
      <c r="U84" s="2">
        <v>4</v>
      </c>
      <c r="V84" s="2">
        <v>34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</v>
      </c>
      <c r="AG84" s="2">
        <v>0</v>
      </c>
      <c r="AH84" s="2">
        <v>0</v>
      </c>
      <c r="AI84" s="4">
        <f>Table2121418198593[[#This Row],[QB PY]]+Table2121418198593[[#This Row],[QB RY]]</f>
        <v>206</v>
      </c>
      <c r="AJ84" s="4">
        <f>Table2121418198593[[#This Row],[RB1 RY]]+Table2121418198593[[#This Row],[RB2+ RY]]+Table2121418198593[[#This Row],[RB1 RecY]]+Table2121418198593[[#This Row],[RB2 RecY]]</f>
        <v>152</v>
      </c>
    </row>
    <row r="85" spans="1:36" x14ac:dyDescent="0.35">
      <c r="A85" s="19" t="s">
        <v>50</v>
      </c>
      <c r="B85" s="1">
        <v>17</v>
      </c>
      <c r="C85" s="2">
        <v>110</v>
      </c>
      <c r="D85" s="2">
        <v>1</v>
      </c>
      <c r="E85" s="2">
        <v>5</v>
      </c>
      <c r="F85" s="2">
        <v>68</v>
      </c>
      <c r="G85" s="2">
        <v>9</v>
      </c>
      <c r="H85" s="2">
        <v>0</v>
      </c>
      <c r="I85" s="2">
        <v>0</v>
      </c>
      <c r="J85" s="2">
        <v>0</v>
      </c>
      <c r="K85" s="2">
        <v>1</v>
      </c>
      <c r="L85" s="2">
        <v>2</v>
      </c>
      <c r="M85" s="2">
        <v>5</v>
      </c>
      <c r="N85" s="2">
        <v>68</v>
      </c>
      <c r="O85" s="2">
        <v>2</v>
      </c>
      <c r="P85" s="2">
        <v>25</v>
      </c>
      <c r="Q85" s="2">
        <v>0</v>
      </c>
      <c r="R85" s="2">
        <v>0</v>
      </c>
      <c r="S85" s="2">
        <v>1</v>
      </c>
      <c r="T85" s="2">
        <v>4</v>
      </c>
      <c r="U85" s="2">
        <v>3</v>
      </c>
      <c r="V85" s="2">
        <v>8</v>
      </c>
      <c r="W85" s="2">
        <v>1</v>
      </c>
      <c r="X85" s="2">
        <v>3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</v>
      </c>
      <c r="AG85" s="2">
        <v>0</v>
      </c>
      <c r="AH85" s="2">
        <v>0</v>
      </c>
      <c r="AI85" s="4">
        <f>Table2121418198593[[#This Row],[QB PY]]+Table2121418198593[[#This Row],[QB RY]]</f>
        <v>115</v>
      </c>
      <c r="AJ85" s="4">
        <f>Table2121418198593[[#This Row],[RB1 RY]]+Table2121418198593[[#This Row],[RB2+ RY]]+Table2121418198593[[#This Row],[RB1 RecY]]+Table2121418198593[[#This Row],[RB2 RecY]]</f>
        <v>79</v>
      </c>
    </row>
    <row r="86" spans="1:36" x14ac:dyDescent="0.35">
      <c r="A86" s="19" t="s">
        <v>49</v>
      </c>
      <c r="B86" s="1">
        <v>18</v>
      </c>
      <c r="C86" s="2">
        <v>60</v>
      </c>
      <c r="D86" s="2">
        <v>1</v>
      </c>
      <c r="E86" s="2">
        <v>7</v>
      </c>
      <c r="F86" s="2">
        <v>42</v>
      </c>
      <c r="G86" s="2">
        <v>18</v>
      </c>
      <c r="H86" s="2">
        <v>2</v>
      </c>
      <c r="I86" s="2">
        <v>1</v>
      </c>
      <c r="J86" s="2">
        <v>4</v>
      </c>
      <c r="K86" s="2">
        <v>1</v>
      </c>
      <c r="L86" s="2">
        <v>2</v>
      </c>
      <c r="M86" s="2">
        <v>3</v>
      </c>
      <c r="N86" s="2">
        <v>20</v>
      </c>
      <c r="O86" s="2">
        <v>0</v>
      </c>
      <c r="P86" s="2">
        <v>0</v>
      </c>
      <c r="Q86" s="2">
        <v>5</v>
      </c>
      <c r="R86" s="2">
        <v>24</v>
      </c>
      <c r="S86" s="2">
        <v>1</v>
      </c>
      <c r="T86" s="2">
        <v>10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1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4">
        <f>Table2121418198593[[#This Row],[QB PY]]+Table2121418198593[[#This Row],[QB RY]]</f>
        <v>67</v>
      </c>
      <c r="AJ86" s="4">
        <f>Table2121418198593[[#This Row],[RB1 RY]]+Table2121418198593[[#This Row],[RB2+ RY]]+Table2121418198593[[#This Row],[RB1 RecY]]+Table2121418198593[[#This Row],[RB2 RecY]]</f>
        <v>66</v>
      </c>
    </row>
    <row r="87" spans="1:36" x14ac:dyDescent="0.35">
      <c r="B87" s="1" t="s">
        <v>57</v>
      </c>
      <c r="C87" s="3">
        <f>AVERAGE(Table2121418198593[QB PY])</f>
        <v>170.23529411764707</v>
      </c>
      <c r="D87" s="3">
        <f>AVERAGE(Table2121418198593[P TD])</f>
        <v>1.1176470588235294</v>
      </c>
      <c r="E87" s="3">
        <f>AVERAGE(Table2121418198593[QB RY])</f>
        <v>21.647058823529413</v>
      </c>
      <c r="F87" s="3">
        <f>AVERAGE(Table2121418198593[RB1 RY])</f>
        <v>78.17647058823529</v>
      </c>
      <c r="G87" s="3">
        <f>AVERAGE(Table2121418198593[RB2+ RY])</f>
        <v>29.470588235294116</v>
      </c>
      <c r="H87" s="3">
        <f>AVERAGE(Table2121418198593[WR RY])</f>
        <v>6.882352941176471</v>
      </c>
      <c r="I87" s="3">
        <f>AVERAGE(Table2121418198593[RB1 Recep])</f>
        <v>2.6470588235294117</v>
      </c>
      <c r="J87" s="3">
        <f>AVERAGE(Table2121418198593[RB1 RecY])</f>
        <v>15.529411764705882</v>
      </c>
      <c r="K87" s="3">
        <f>AVERAGE(Table2121418198593[RB2 Recep])</f>
        <v>1.2941176470588236</v>
      </c>
      <c r="L87" s="3">
        <f>AVERAGE(Table2121418198593[RB2 RecY])</f>
        <v>9.4705882352941178</v>
      </c>
      <c r="M87" s="3">
        <f>AVERAGE(Table2121418198593[WR1 Recep])</f>
        <v>5</v>
      </c>
      <c r="N87" s="3">
        <f>AVERAGE(Table2121418198593[WR1 RecY])</f>
        <v>66.235294117647058</v>
      </c>
      <c r="O87" s="3">
        <f>AVERAGE(Table2121418198593[WR2 Recep])</f>
        <v>2.3529411764705883</v>
      </c>
      <c r="P87" s="3">
        <f>AVERAGE(Table2121418198593[WR2 RecY])</f>
        <v>26.058823529411764</v>
      </c>
      <c r="Q87" s="3">
        <f>AVERAGE(Table2121418198593[WR3 Recep])</f>
        <v>2</v>
      </c>
      <c r="R87" s="3">
        <f>AVERAGE(Table2121418198593[WR3 RecY])</f>
        <v>21.470588235294116</v>
      </c>
      <c r="S87" s="3">
        <f>AVERAGE(Table2121418198593[WR4+ Recep])</f>
        <v>0.35294117647058826</v>
      </c>
      <c r="T87" s="3">
        <f>AVERAGE(Table2121418198593[WR4+ RecY])</f>
        <v>1.8235294117647058</v>
      </c>
      <c r="U87" s="3">
        <f>AVERAGE(Table2121418198593[TE1 Recep])</f>
        <v>2.2352941176470589</v>
      </c>
      <c r="V87" s="3">
        <f>AVERAGE(Table2121418198593[TE1 RecY])</f>
        <v>26.411764705882351</v>
      </c>
      <c r="W87" s="3">
        <f>AVERAGE(Table2121418198593[TE2 Recep])</f>
        <v>0.47058823529411764</v>
      </c>
      <c r="X87" s="3">
        <f>AVERAGE(Table2121418198593[TE2 RecY])</f>
        <v>3.2352941176470589</v>
      </c>
      <c r="Y87" s="3">
        <f>AVERAGE(Table2121418198593[QB TD])</f>
        <v>0.23529411764705882</v>
      </c>
      <c r="Z87" s="3">
        <f>AVERAGE(Table2121418198593[RB1 TD])</f>
        <v>1</v>
      </c>
      <c r="AA87" s="3">
        <f>AVERAGE(Table2121418198593[RB2 TD])</f>
        <v>0.23529411764705882</v>
      </c>
      <c r="AB87" s="3">
        <f>AVERAGE(Table2121418198593[WR1 TD])</f>
        <v>0.35294117647058826</v>
      </c>
      <c r="AC87" s="3">
        <f>AVERAGE(Table2121418198593[WR2 TD])</f>
        <v>0.29411764705882354</v>
      </c>
      <c r="AD87" s="3">
        <f>AVERAGE(Table2121418198593[WR3 TD])</f>
        <v>0.11764705882352941</v>
      </c>
      <c r="AE87" s="3">
        <f>AVERAGE(Table2121418198593[WR4+ TD])</f>
        <v>0</v>
      </c>
      <c r="AF87" s="3">
        <f>AVERAGE(Table2121418198593[TE1 TD])</f>
        <v>0.23529411764705882</v>
      </c>
      <c r="AG87" s="3">
        <f>AVERAGE(Table2121418198593[TE2 TD])</f>
        <v>5.8823529411764705E-2</v>
      </c>
      <c r="AH87" s="3">
        <f>AVERAGE(Table2121418198593[D/ST TD])</f>
        <v>0</v>
      </c>
      <c r="AI87" s="3">
        <f>AVERAGE(Table2121418198593[QB P+R])</f>
        <v>191.88235294117646</v>
      </c>
      <c r="AJ87" s="3">
        <f>AVERAGE(Table2121418198593[RB R+R])</f>
        <v>132.64705882352942</v>
      </c>
    </row>
    <row r="89" spans="1:36" x14ac:dyDescent="0.35">
      <c r="A89" s="230" t="s">
        <v>29</v>
      </c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</row>
    <row r="90" spans="1:36" x14ac:dyDescent="0.35">
      <c r="A90" s="20" t="s">
        <v>63</v>
      </c>
      <c r="B90" s="6" t="s">
        <v>1</v>
      </c>
      <c r="C90" s="7" t="s">
        <v>18</v>
      </c>
      <c r="D90" s="8" t="s">
        <v>19</v>
      </c>
      <c r="E90" s="9" t="s">
        <v>20</v>
      </c>
      <c r="F90" s="10" t="s">
        <v>21</v>
      </c>
      <c r="G90" s="11" t="s">
        <v>22</v>
      </c>
      <c r="H90" s="12" t="s">
        <v>23</v>
      </c>
      <c r="I90" s="13" t="s">
        <v>667</v>
      </c>
      <c r="J90" s="13" t="s">
        <v>668</v>
      </c>
      <c r="K90" s="13" t="s">
        <v>665</v>
      </c>
      <c r="L90" s="13" t="s">
        <v>666</v>
      </c>
      <c r="M90" s="14" t="s">
        <v>2</v>
      </c>
      <c r="N90" s="14" t="s">
        <v>24</v>
      </c>
      <c r="O90" s="15" t="s">
        <v>3</v>
      </c>
      <c r="P90" s="15" t="s">
        <v>25</v>
      </c>
      <c r="Q90" s="16" t="s">
        <v>4</v>
      </c>
      <c r="R90" s="16" t="s">
        <v>26</v>
      </c>
      <c r="S90" s="17" t="s">
        <v>5</v>
      </c>
      <c r="T90" s="17" t="s">
        <v>27</v>
      </c>
      <c r="U90" s="18" t="s">
        <v>669</v>
      </c>
      <c r="V90" s="18" t="s">
        <v>670</v>
      </c>
      <c r="W90" s="18" t="s">
        <v>675</v>
      </c>
      <c r="X90" s="18" t="s">
        <v>671</v>
      </c>
      <c r="Y90" s="6" t="s">
        <v>6</v>
      </c>
      <c r="Z90" s="6" t="s">
        <v>7</v>
      </c>
      <c r="AA90" s="6" t="s">
        <v>674</v>
      </c>
      <c r="AB90" s="6" t="s">
        <v>8</v>
      </c>
      <c r="AC90" s="6" t="s">
        <v>9</v>
      </c>
      <c r="AD90" s="6" t="s">
        <v>10</v>
      </c>
      <c r="AE90" s="6" t="s">
        <v>11</v>
      </c>
      <c r="AF90" s="6" t="s">
        <v>673</v>
      </c>
      <c r="AG90" s="6" t="s">
        <v>672</v>
      </c>
      <c r="AH90" s="6" t="s">
        <v>12</v>
      </c>
      <c r="AI90" s="8" t="s">
        <v>14</v>
      </c>
      <c r="AJ90" s="11" t="s">
        <v>13</v>
      </c>
    </row>
    <row r="91" spans="1:36" x14ac:dyDescent="0.35">
      <c r="A91" s="19" t="s">
        <v>39</v>
      </c>
      <c r="B91" s="5">
        <v>1</v>
      </c>
      <c r="C91" s="4">
        <v>178</v>
      </c>
      <c r="D91" s="4">
        <v>1</v>
      </c>
      <c r="E91" s="4">
        <v>12</v>
      </c>
      <c r="F91" s="4">
        <v>143</v>
      </c>
      <c r="G91" s="4">
        <v>30</v>
      </c>
      <c r="H91" s="4">
        <v>15</v>
      </c>
      <c r="I91" s="4">
        <v>3</v>
      </c>
      <c r="J91" s="4">
        <v>13</v>
      </c>
      <c r="K91" s="4">
        <v>1</v>
      </c>
      <c r="L91" s="4">
        <v>4</v>
      </c>
      <c r="M91" s="4">
        <v>1</v>
      </c>
      <c r="N91" s="4">
        <v>11</v>
      </c>
      <c r="O91" s="4">
        <v>6</v>
      </c>
      <c r="P91" s="4">
        <v>33</v>
      </c>
      <c r="Q91" s="4">
        <v>3</v>
      </c>
      <c r="R91" s="4">
        <v>52</v>
      </c>
      <c r="S91" s="4">
        <v>0</v>
      </c>
      <c r="T91" s="4">
        <v>0</v>
      </c>
      <c r="U91" s="4">
        <v>4</v>
      </c>
      <c r="V91" s="4">
        <v>59</v>
      </c>
      <c r="W91" s="4">
        <v>1</v>
      </c>
      <c r="X91" s="4">
        <v>6</v>
      </c>
      <c r="Y91" s="4">
        <v>0</v>
      </c>
      <c r="Z91" s="4">
        <v>0</v>
      </c>
      <c r="AA91" s="4">
        <v>0</v>
      </c>
      <c r="AB91" s="4">
        <v>1</v>
      </c>
      <c r="AC91" s="4">
        <v>0</v>
      </c>
      <c r="AD91" s="4">
        <v>0</v>
      </c>
      <c r="AE91" s="4">
        <v>0</v>
      </c>
      <c r="AF91" s="4">
        <v>0</v>
      </c>
      <c r="AG91" s="4">
        <v>1</v>
      </c>
      <c r="AH91" s="4">
        <v>0</v>
      </c>
      <c r="AI91" s="4">
        <f>Table2121418198592[[#This Row],[QB PY]]+Table2121418198592[[#This Row],[QB RY]]</f>
        <v>190</v>
      </c>
      <c r="AJ91" s="4">
        <f>Table2121418198592[[#This Row],[RB1 RY]]+Table2121418198592[[#This Row],[RB2+ RY]]+Table2121418198592[[#This Row],[RB1 RecY]]+Table2121418198592[[#This Row],[RB2 RecY]]</f>
        <v>190</v>
      </c>
    </row>
    <row r="92" spans="1:36" x14ac:dyDescent="0.35">
      <c r="A92" s="19" t="s">
        <v>0</v>
      </c>
      <c r="B92" s="1">
        <v>2</v>
      </c>
      <c r="C92" s="2">
        <v>220</v>
      </c>
      <c r="D92" s="2">
        <v>1</v>
      </c>
      <c r="E92" s="2">
        <v>34</v>
      </c>
      <c r="F92" s="2">
        <v>34</v>
      </c>
      <c r="G92" s="2">
        <v>14</v>
      </c>
      <c r="H92" s="2">
        <v>0</v>
      </c>
      <c r="I92" s="2">
        <v>1</v>
      </c>
      <c r="J92" s="2">
        <v>18</v>
      </c>
      <c r="K92" s="2">
        <v>4</v>
      </c>
      <c r="L92" s="2">
        <v>30</v>
      </c>
      <c r="M92" s="2">
        <v>2</v>
      </c>
      <c r="N92" s="2">
        <v>27</v>
      </c>
      <c r="O92" s="2">
        <v>1</v>
      </c>
      <c r="P92" s="2">
        <v>11</v>
      </c>
      <c r="Q92" s="2">
        <v>1</v>
      </c>
      <c r="R92" s="2">
        <v>11</v>
      </c>
      <c r="S92" s="2">
        <v>0</v>
      </c>
      <c r="T92" s="2">
        <v>0</v>
      </c>
      <c r="U92" s="2">
        <v>6</v>
      </c>
      <c r="V92" s="2">
        <v>78</v>
      </c>
      <c r="W92" s="2">
        <v>2</v>
      </c>
      <c r="X92" s="2">
        <v>45</v>
      </c>
      <c r="Y92" s="2">
        <v>0</v>
      </c>
      <c r="Z92" s="2">
        <v>1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  <c r="AG92" s="2">
        <v>0</v>
      </c>
      <c r="AH92" s="2">
        <v>1</v>
      </c>
      <c r="AI92" s="4">
        <f>Table2121418198592[[#This Row],[QB PY]]+Table2121418198592[[#This Row],[QB RY]]</f>
        <v>254</v>
      </c>
      <c r="AJ92" s="4">
        <f>Table2121418198592[[#This Row],[RB1 RY]]+Table2121418198592[[#This Row],[RB2+ RY]]+Table2121418198592[[#This Row],[RB1 RecY]]+Table2121418198592[[#This Row],[RB2 RecY]]</f>
        <v>96</v>
      </c>
    </row>
    <row r="93" spans="1:36" x14ac:dyDescent="0.35">
      <c r="A93" s="19" t="s">
        <v>15</v>
      </c>
      <c r="B93" s="1">
        <v>3</v>
      </c>
      <c r="C93" s="2">
        <v>201</v>
      </c>
      <c r="D93" s="2">
        <v>0</v>
      </c>
      <c r="E93" s="2">
        <v>9</v>
      </c>
      <c r="F93" s="2">
        <v>72</v>
      </c>
      <c r="G93" s="2">
        <v>50</v>
      </c>
      <c r="H93" s="2">
        <v>0</v>
      </c>
      <c r="I93" s="2">
        <v>5</v>
      </c>
      <c r="J93" s="2">
        <v>39</v>
      </c>
      <c r="K93" s="2">
        <v>1</v>
      </c>
      <c r="L93" s="2">
        <v>0</v>
      </c>
      <c r="M93" s="2">
        <v>5</v>
      </c>
      <c r="N93" s="2">
        <v>55</v>
      </c>
      <c r="O93" s="2">
        <v>4</v>
      </c>
      <c r="P93" s="2">
        <v>44</v>
      </c>
      <c r="Q93" s="2">
        <v>2</v>
      </c>
      <c r="R93" s="2">
        <v>20</v>
      </c>
      <c r="S93" s="2">
        <v>1</v>
      </c>
      <c r="T93" s="2">
        <v>9</v>
      </c>
      <c r="U93" s="2">
        <v>4</v>
      </c>
      <c r="V93" s="2">
        <v>39</v>
      </c>
      <c r="W93" s="2">
        <v>1</v>
      </c>
      <c r="X93" s="2">
        <v>-5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4">
        <f>Table2121418198592[[#This Row],[QB PY]]+Table2121418198592[[#This Row],[QB RY]]</f>
        <v>210</v>
      </c>
      <c r="AJ93" s="4">
        <f>Table2121418198592[[#This Row],[RB1 RY]]+Table2121418198592[[#This Row],[RB2+ RY]]+Table2121418198592[[#This Row],[RB1 RecY]]+Table2121418198592[[#This Row],[RB2 RecY]]</f>
        <v>161</v>
      </c>
    </row>
    <row r="94" spans="1:36" x14ac:dyDescent="0.35">
      <c r="A94" s="19" t="s">
        <v>46</v>
      </c>
      <c r="B94" s="1">
        <v>4</v>
      </c>
      <c r="C94" s="2">
        <v>203</v>
      </c>
      <c r="D94" s="2">
        <v>2</v>
      </c>
      <c r="E94" s="2">
        <v>9</v>
      </c>
      <c r="F94" s="2">
        <v>38</v>
      </c>
      <c r="G94" s="2">
        <v>59</v>
      </c>
      <c r="H94" s="2">
        <v>-2</v>
      </c>
      <c r="I94" s="2">
        <v>1</v>
      </c>
      <c r="J94" s="2">
        <v>3</v>
      </c>
      <c r="K94" s="2">
        <v>2</v>
      </c>
      <c r="L94" s="2">
        <v>14</v>
      </c>
      <c r="M94" s="2">
        <v>6</v>
      </c>
      <c r="N94" s="2">
        <v>101</v>
      </c>
      <c r="O94" s="2">
        <v>1</v>
      </c>
      <c r="P94" s="2">
        <v>18</v>
      </c>
      <c r="Q94" s="2">
        <v>1</v>
      </c>
      <c r="R94" s="2">
        <v>4</v>
      </c>
      <c r="S94" s="2">
        <v>0</v>
      </c>
      <c r="T94" s="2">
        <v>0</v>
      </c>
      <c r="U94" s="2">
        <v>2</v>
      </c>
      <c r="V94" s="2">
        <v>39</v>
      </c>
      <c r="W94" s="2">
        <v>1</v>
      </c>
      <c r="X94" s="2">
        <v>24</v>
      </c>
      <c r="Y94" s="2">
        <v>1</v>
      </c>
      <c r="Z94" s="2">
        <v>1</v>
      </c>
      <c r="AA94" s="2">
        <v>1</v>
      </c>
      <c r="AB94" s="2">
        <v>0</v>
      </c>
      <c r="AC94" s="2">
        <v>0</v>
      </c>
      <c r="AD94" s="2">
        <v>1</v>
      </c>
      <c r="AE94" s="2">
        <v>0</v>
      </c>
      <c r="AF94" s="2">
        <v>1</v>
      </c>
      <c r="AG94" s="2">
        <v>0</v>
      </c>
      <c r="AH94" s="2">
        <v>2</v>
      </c>
      <c r="AI94" s="4">
        <f>Table2121418198592[[#This Row],[QB PY]]+Table2121418198592[[#This Row],[QB RY]]</f>
        <v>212</v>
      </c>
      <c r="AJ94" s="4">
        <f>Table2121418198592[[#This Row],[RB1 RY]]+Table2121418198592[[#This Row],[RB2+ RY]]+Table2121418198592[[#This Row],[RB1 RecY]]+Table2121418198592[[#This Row],[RB2 RecY]]</f>
        <v>114</v>
      </c>
    </row>
    <row r="95" spans="1:36" x14ac:dyDescent="0.35">
      <c r="A95" s="19" t="s">
        <v>44</v>
      </c>
      <c r="B95" s="1">
        <v>5</v>
      </c>
      <c r="C95" s="2">
        <v>256</v>
      </c>
      <c r="D95" s="2">
        <v>3</v>
      </c>
      <c r="E95" s="2">
        <v>5</v>
      </c>
      <c r="F95" s="2">
        <v>16</v>
      </c>
      <c r="G95" s="2">
        <v>-2</v>
      </c>
      <c r="H95" s="2">
        <v>0</v>
      </c>
      <c r="I95" s="2">
        <v>6</v>
      </c>
      <c r="J95" s="2">
        <v>30</v>
      </c>
      <c r="K95" s="2">
        <v>0</v>
      </c>
      <c r="L95" s="2">
        <v>0</v>
      </c>
      <c r="M95" s="2">
        <v>6</v>
      </c>
      <c r="N95" s="2">
        <v>110</v>
      </c>
      <c r="O95" s="2">
        <v>4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5</v>
      </c>
      <c r="V95" s="2">
        <v>78</v>
      </c>
      <c r="W95" s="2">
        <v>6</v>
      </c>
      <c r="X95" s="2">
        <v>38</v>
      </c>
      <c r="Y95" s="2">
        <v>0</v>
      </c>
      <c r="Z95" s="2">
        <v>1</v>
      </c>
      <c r="AA95" s="2">
        <v>0</v>
      </c>
      <c r="AB95" s="2">
        <v>1</v>
      </c>
      <c r="AC95" s="2">
        <v>0</v>
      </c>
      <c r="AD95" s="2">
        <v>0</v>
      </c>
      <c r="AE95" s="2">
        <v>0</v>
      </c>
      <c r="AF95" s="2">
        <v>1</v>
      </c>
      <c r="AG95" s="2">
        <v>0</v>
      </c>
      <c r="AH95" s="2">
        <v>0</v>
      </c>
      <c r="AI95" s="4">
        <f>Table2121418198592[[#This Row],[QB PY]]+Table2121418198592[[#This Row],[QB RY]]</f>
        <v>261</v>
      </c>
      <c r="AJ95" s="4">
        <f>Table2121418198592[[#This Row],[RB1 RY]]+Table2121418198592[[#This Row],[RB2+ RY]]+Table2121418198592[[#This Row],[RB1 RecY]]+Table2121418198592[[#This Row],[RB2 RecY]]</f>
        <v>44</v>
      </c>
    </row>
    <row r="96" spans="1:36" x14ac:dyDescent="0.35">
      <c r="A96" s="19" t="s">
        <v>33</v>
      </c>
      <c r="B96" s="1">
        <v>6</v>
      </c>
      <c r="C96" s="2">
        <v>261</v>
      </c>
      <c r="D96" s="2">
        <v>3</v>
      </c>
      <c r="E96" s="2">
        <v>-1</v>
      </c>
      <c r="F96" s="2">
        <v>29</v>
      </c>
      <c r="G96" s="2">
        <v>0</v>
      </c>
      <c r="H96" s="2">
        <v>3</v>
      </c>
      <c r="I96" s="2">
        <v>5</v>
      </c>
      <c r="J96" s="2">
        <v>5</v>
      </c>
      <c r="K96" s="2">
        <v>2</v>
      </c>
      <c r="L96" s="2">
        <v>7</v>
      </c>
      <c r="M96" s="2">
        <v>9</v>
      </c>
      <c r="N96" s="2">
        <v>168</v>
      </c>
      <c r="O96" s="2">
        <v>1</v>
      </c>
      <c r="P96" s="2">
        <v>8</v>
      </c>
      <c r="Q96" s="2">
        <v>3</v>
      </c>
      <c r="R96" s="2">
        <v>30</v>
      </c>
      <c r="S96" s="2">
        <v>0</v>
      </c>
      <c r="T96" s="2">
        <v>0</v>
      </c>
      <c r="U96" s="2">
        <v>3</v>
      </c>
      <c r="V96" s="2">
        <v>33</v>
      </c>
      <c r="W96" s="2">
        <v>2</v>
      </c>
      <c r="X96" s="2">
        <v>10</v>
      </c>
      <c r="Y96" s="2">
        <v>0</v>
      </c>
      <c r="Z96" s="2">
        <v>0</v>
      </c>
      <c r="AA96" s="2">
        <v>1</v>
      </c>
      <c r="AB96" s="2">
        <v>1</v>
      </c>
      <c r="AC96" s="2">
        <v>0</v>
      </c>
      <c r="AD96" s="2">
        <v>0</v>
      </c>
      <c r="AE96" s="2">
        <v>0</v>
      </c>
      <c r="AF96" s="2">
        <v>1</v>
      </c>
      <c r="AG96" s="2">
        <v>0</v>
      </c>
      <c r="AH96" s="2">
        <v>0</v>
      </c>
      <c r="AI96" s="4">
        <f>Table2121418198592[[#This Row],[QB PY]]+Table2121418198592[[#This Row],[QB RY]]</f>
        <v>260</v>
      </c>
      <c r="AJ96" s="4">
        <f>Table2121418198592[[#This Row],[RB1 RY]]+Table2121418198592[[#This Row],[RB2+ RY]]+Table2121418198592[[#This Row],[RB1 RecY]]+Table2121418198592[[#This Row],[RB2 RecY]]</f>
        <v>41</v>
      </c>
    </row>
    <row r="97" spans="1:36" x14ac:dyDescent="0.35">
      <c r="A97" s="19" t="s">
        <v>49</v>
      </c>
      <c r="B97" s="1">
        <v>7</v>
      </c>
      <c r="C97" s="2">
        <v>172</v>
      </c>
      <c r="D97" s="2">
        <v>0</v>
      </c>
      <c r="E97" s="2">
        <v>33</v>
      </c>
      <c r="F97" s="2">
        <v>38</v>
      </c>
      <c r="G97" s="2">
        <v>10</v>
      </c>
      <c r="H97" s="2">
        <v>0</v>
      </c>
      <c r="I97" s="2">
        <v>2</v>
      </c>
      <c r="J97" s="2">
        <v>14</v>
      </c>
      <c r="K97" s="2">
        <v>2</v>
      </c>
      <c r="L97" s="2">
        <v>22</v>
      </c>
      <c r="M97" s="2">
        <v>3</v>
      </c>
      <c r="N97" s="2">
        <v>29</v>
      </c>
      <c r="O97" s="2">
        <v>3</v>
      </c>
      <c r="P97" s="2">
        <v>60</v>
      </c>
      <c r="Q97" s="2">
        <v>2</v>
      </c>
      <c r="R97" s="2">
        <v>16</v>
      </c>
      <c r="S97" s="2">
        <v>1</v>
      </c>
      <c r="T97" s="2">
        <v>0</v>
      </c>
      <c r="U97" s="2">
        <v>3</v>
      </c>
      <c r="V97" s="2">
        <v>31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4">
        <f>Table2121418198592[[#This Row],[QB PY]]+Table2121418198592[[#This Row],[QB RY]]</f>
        <v>205</v>
      </c>
      <c r="AJ97" s="4">
        <f>Table2121418198592[[#This Row],[RB1 RY]]+Table2121418198592[[#This Row],[RB2+ RY]]+Table2121418198592[[#This Row],[RB1 RecY]]+Table2121418198592[[#This Row],[RB2 RecY]]</f>
        <v>84</v>
      </c>
    </row>
    <row r="98" spans="1:36" x14ac:dyDescent="0.35">
      <c r="A98" s="19" t="s">
        <v>17</v>
      </c>
      <c r="B98" s="1">
        <v>8</v>
      </c>
      <c r="C98" s="2">
        <v>185</v>
      </c>
      <c r="D98" s="2">
        <v>1</v>
      </c>
      <c r="E98" s="2">
        <v>7</v>
      </c>
      <c r="F98" s="2">
        <v>216</v>
      </c>
      <c r="G98" s="2">
        <v>22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3</v>
      </c>
      <c r="N98" s="2">
        <v>30</v>
      </c>
      <c r="O98" s="2">
        <v>6</v>
      </c>
      <c r="P98" s="2">
        <v>88</v>
      </c>
      <c r="Q98" s="2">
        <v>1</v>
      </c>
      <c r="R98" s="2">
        <v>14</v>
      </c>
      <c r="S98" s="2">
        <v>0</v>
      </c>
      <c r="T98" s="2">
        <v>0</v>
      </c>
      <c r="U98" s="2">
        <v>1</v>
      </c>
      <c r="V98" s="2">
        <v>23</v>
      </c>
      <c r="W98" s="2">
        <v>3</v>
      </c>
      <c r="X98" s="2">
        <v>30</v>
      </c>
      <c r="Y98" s="2">
        <v>2</v>
      </c>
      <c r="Z98" s="2">
        <v>2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4">
        <f>Table2121418198592[[#This Row],[QB PY]]+Table2121418198592[[#This Row],[QB RY]]</f>
        <v>192</v>
      </c>
      <c r="AJ98" s="4">
        <f>Table2121418198592[[#This Row],[RB1 RY]]+Table2121418198592[[#This Row],[RB2+ RY]]+Table2121418198592[[#This Row],[RB1 RecY]]+Table2121418198592[[#This Row],[RB2 RecY]]</f>
        <v>238</v>
      </c>
    </row>
    <row r="99" spans="1:36" x14ac:dyDescent="0.35">
      <c r="A99" s="19" t="s">
        <v>36</v>
      </c>
      <c r="B99" s="1">
        <v>9</v>
      </c>
      <c r="C99" s="2">
        <v>273</v>
      </c>
      <c r="D99" s="2">
        <v>0</v>
      </c>
      <c r="E99" s="2">
        <v>1</v>
      </c>
      <c r="F99" s="2">
        <v>87</v>
      </c>
      <c r="G99" s="2">
        <v>16</v>
      </c>
      <c r="H99" s="2">
        <v>0</v>
      </c>
      <c r="I99" s="2">
        <v>4</v>
      </c>
      <c r="J99" s="2">
        <v>13</v>
      </c>
      <c r="K99" s="2">
        <v>3</v>
      </c>
      <c r="L99" s="2">
        <v>25</v>
      </c>
      <c r="M99" s="2">
        <v>7</v>
      </c>
      <c r="N99" s="2">
        <v>91</v>
      </c>
      <c r="O99" s="2">
        <v>2</v>
      </c>
      <c r="P99" s="2">
        <v>9</v>
      </c>
      <c r="Q99" s="2">
        <v>2</v>
      </c>
      <c r="R99" s="2">
        <v>58</v>
      </c>
      <c r="S99" s="2">
        <v>3</v>
      </c>
      <c r="T99" s="2">
        <v>23</v>
      </c>
      <c r="U99" s="2">
        <v>2</v>
      </c>
      <c r="V99" s="2">
        <v>20</v>
      </c>
      <c r="W99" s="2">
        <v>3</v>
      </c>
      <c r="X99" s="2">
        <v>34</v>
      </c>
      <c r="Y99" s="2">
        <v>0</v>
      </c>
      <c r="Z99" s="2">
        <v>1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4">
        <f>Table2121418198592[[#This Row],[QB PY]]+Table2121418198592[[#This Row],[QB RY]]</f>
        <v>274</v>
      </c>
      <c r="AJ99" s="4">
        <f>Table2121418198592[[#This Row],[RB1 RY]]+Table2121418198592[[#This Row],[RB2+ RY]]+Table2121418198592[[#This Row],[RB1 RecY]]+Table2121418198592[[#This Row],[RB2 RecY]]</f>
        <v>141</v>
      </c>
    </row>
    <row r="100" spans="1:36" x14ac:dyDescent="0.35">
      <c r="A100" s="19" t="s">
        <v>47</v>
      </c>
      <c r="B100" s="1">
        <v>10</v>
      </c>
      <c r="C100" s="2">
        <v>282</v>
      </c>
      <c r="D100" s="2">
        <v>2</v>
      </c>
      <c r="E100" s="2">
        <v>17</v>
      </c>
      <c r="F100" s="2">
        <v>83</v>
      </c>
      <c r="G100" s="2">
        <v>22</v>
      </c>
      <c r="H100" s="2">
        <v>0</v>
      </c>
      <c r="I100" s="2">
        <v>3</v>
      </c>
      <c r="J100" s="2">
        <v>32</v>
      </c>
      <c r="K100" s="2">
        <v>3</v>
      </c>
      <c r="L100" s="2">
        <v>9</v>
      </c>
      <c r="M100" s="2">
        <v>5</v>
      </c>
      <c r="N100" s="2">
        <v>104</v>
      </c>
      <c r="O100" s="2">
        <v>1</v>
      </c>
      <c r="P100" s="2">
        <v>15</v>
      </c>
      <c r="Q100" s="2">
        <v>0</v>
      </c>
      <c r="R100" s="2">
        <v>0</v>
      </c>
      <c r="S100" s="2">
        <v>0</v>
      </c>
      <c r="T100" s="2">
        <v>0</v>
      </c>
      <c r="U100" s="2">
        <v>4</v>
      </c>
      <c r="V100" s="2">
        <v>92</v>
      </c>
      <c r="W100" s="2">
        <v>3</v>
      </c>
      <c r="X100" s="2">
        <v>30</v>
      </c>
      <c r="Y100" s="2">
        <v>0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0</v>
      </c>
      <c r="AF100" s="2">
        <v>1</v>
      </c>
      <c r="AG100" s="2">
        <v>0</v>
      </c>
      <c r="AH100" s="2">
        <v>0</v>
      </c>
      <c r="AI100" s="4">
        <f>Table2121418198592[[#This Row],[QB PY]]+Table2121418198592[[#This Row],[QB RY]]</f>
        <v>299</v>
      </c>
      <c r="AJ100" s="4">
        <f>Table2121418198592[[#This Row],[RB1 RY]]+Table2121418198592[[#This Row],[RB2+ RY]]+Table2121418198592[[#This Row],[RB1 RecY]]+Table2121418198592[[#This Row],[RB2 RecY]]</f>
        <v>146</v>
      </c>
    </row>
    <row r="101" spans="1:36" x14ac:dyDescent="0.35">
      <c r="A101" s="19" t="s">
        <v>15</v>
      </c>
      <c r="B101" s="1">
        <v>11</v>
      </c>
      <c r="C101" s="2">
        <v>223</v>
      </c>
      <c r="D101" s="2">
        <v>0</v>
      </c>
      <c r="E101" s="2">
        <v>11</v>
      </c>
      <c r="F101" s="2">
        <v>104</v>
      </c>
      <c r="G101" s="2">
        <v>10</v>
      </c>
      <c r="H101" s="2">
        <v>0</v>
      </c>
      <c r="I101" s="2">
        <v>4</v>
      </c>
      <c r="J101" s="2">
        <v>39</v>
      </c>
      <c r="K101" s="2">
        <v>2</v>
      </c>
      <c r="L101" s="2">
        <v>6</v>
      </c>
      <c r="M101" s="2">
        <v>7</v>
      </c>
      <c r="N101" s="2">
        <v>119</v>
      </c>
      <c r="O101" s="2">
        <v>3</v>
      </c>
      <c r="P101" s="2">
        <v>34</v>
      </c>
      <c r="Q101" s="2">
        <v>1</v>
      </c>
      <c r="R101" s="2">
        <v>11</v>
      </c>
      <c r="S101" s="2">
        <v>0</v>
      </c>
      <c r="T101" s="2">
        <v>0</v>
      </c>
      <c r="U101" s="2">
        <v>2</v>
      </c>
      <c r="V101" s="2">
        <v>14</v>
      </c>
      <c r="W101" s="2">
        <v>0</v>
      </c>
      <c r="X101" s="2">
        <v>0</v>
      </c>
      <c r="Y101" s="2">
        <v>0</v>
      </c>
      <c r="Z101" s="2">
        <v>2</v>
      </c>
      <c r="AA101" s="2">
        <v>1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4">
        <f>Table2121418198592[[#This Row],[QB PY]]+Table2121418198592[[#This Row],[QB RY]]</f>
        <v>234</v>
      </c>
      <c r="AJ101" s="4">
        <f>Table2121418198592[[#This Row],[RB1 RY]]+Table2121418198592[[#This Row],[RB2+ RY]]+Table2121418198592[[#This Row],[RB1 RecY]]+Table2121418198592[[#This Row],[RB2 RecY]]</f>
        <v>159</v>
      </c>
    </row>
    <row r="102" spans="1:36" x14ac:dyDescent="0.35">
      <c r="A102" s="19" t="s">
        <v>53</v>
      </c>
      <c r="B102" s="1">
        <v>12</v>
      </c>
      <c r="C102" s="2">
        <v>193</v>
      </c>
      <c r="D102" s="2">
        <v>1</v>
      </c>
      <c r="E102" s="2">
        <v>16</v>
      </c>
      <c r="F102" s="2">
        <v>89</v>
      </c>
      <c r="G102" s="2">
        <v>40</v>
      </c>
      <c r="H102" s="2">
        <v>2</v>
      </c>
      <c r="I102" s="2">
        <v>7</v>
      </c>
      <c r="J102" s="2">
        <v>53</v>
      </c>
      <c r="K102" s="2">
        <v>1</v>
      </c>
      <c r="L102" s="2">
        <v>4</v>
      </c>
      <c r="M102" s="2">
        <v>5</v>
      </c>
      <c r="N102" s="2">
        <v>41</v>
      </c>
      <c r="O102" s="2">
        <v>2</v>
      </c>
      <c r="P102" s="2">
        <v>6</v>
      </c>
      <c r="Q102" s="2">
        <v>1</v>
      </c>
      <c r="R102" s="2">
        <v>8</v>
      </c>
      <c r="S102" s="2">
        <v>0</v>
      </c>
      <c r="T102" s="2">
        <v>0</v>
      </c>
      <c r="U102" s="2">
        <v>6</v>
      </c>
      <c r="V102" s="2">
        <v>78</v>
      </c>
      <c r="W102" s="2">
        <v>1</v>
      </c>
      <c r="X102" s="2">
        <v>3</v>
      </c>
      <c r="Y102" s="2">
        <v>0</v>
      </c>
      <c r="Z102" s="2">
        <v>1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4">
        <f>Table2121418198592[[#This Row],[QB PY]]+Table2121418198592[[#This Row],[QB RY]]</f>
        <v>209</v>
      </c>
      <c r="AJ102" s="4">
        <f>Table2121418198592[[#This Row],[RB1 RY]]+Table2121418198592[[#This Row],[RB2+ RY]]+Table2121418198592[[#This Row],[RB1 RecY]]+Table2121418198592[[#This Row],[RB2 RecY]]</f>
        <v>186</v>
      </c>
    </row>
    <row r="103" spans="1:36" x14ac:dyDescent="0.35">
      <c r="A103" s="19" t="s">
        <v>42</v>
      </c>
      <c r="B103" s="1">
        <v>13</v>
      </c>
      <c r="C103" s="2">
        <v>243</v>
      </c>
      <c r="D103" s="2">
        <v>2</v>
      </c>
      <c r="E103" s="2">
        <v>-1</v>
      </c>
      <c r="F103" s="2">
        <v>72</v>
      </c>
      <c r="G103" s="2">
        <v>81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6</v>
      </c>
      <c r="N103" s="2">
        <v>72</v>
      </c>
      <c r="O103" s="2">
        <v>4</v>
      </c>
      <c r="P103" s="2">
        <v>58</v>
      </c>
      <c r="Q103" s="2">
        <v>3</v>
      </c>
      <c r="R103" s="2">
        <v>82</v>
      </c>
      <c r="S103" s="2">
        <v>0</v>
      </c>
      <c r="T103" s="2">
        <v>0</v>
      </c>
      <c r="U103" s="2">
        <v>4</v>
      </c>
      <c r="V103" s="2">
        <v>27</v>
      </c>
      <c r="W103" s="2">
        <v>1</v>
      </c>
      <c r="X103" s="2">
        <v>4</v>
      </c>
      <c r="Y103" s="2">
        <v>0</v>
      </c>
      <c r="Z103" s="2">
        <v>1</v>
      </c>
      <c r="AA103" s="2">
        <v>1</v>
      </c>
      <c r="AB103" s="2">
        <v>0</v>
      </c>
      <c r="AC103" s="2">
        <v>2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4">
        <f>Table2121418198592[[#This Row],[QB PY]]+Table2121418198592[[#This Row],[QB RY]]</f>
        <v>242</v>
      </c>
      <c r="AJ103" s="4">
        <f>Table2121418198592[[#This Row],[RB1 RY]]+Table2121418198592[[#This Row],[RB2+ RY]]+Table2121418198592[[#This Row],[RB1 RecY]]+Table2121418198592[[#This Row],[RB2 RecY]]</f>
        <v>153</v>
      </c>
    </row>
    <row r="104" spans="1:36" x14ac:dyDescent="0.35">
      <c r="A104" s="19" t="s">
        <v>650</v>
      </c>
      <c r="B104" s="1">
        <v>14</v>
      </c>
      <c r="C104" s="2" t="s">
        <v>697</v>
      </c>
      <c r="D104" s="2" t="s">
        <v>697</v>
      </c>
      <c r="E104" s="2" t="s">
        <v>697</v>
      </c>
      <c r="F104" s="2" t="s">
        <v>697</v>
      </c>
      <c r="G104" s="2" t="s">
        <v>697</v>
      </c>
      <c r="H104" s="2" t="s">
        <v>697</v>
      </c>
      <c r="I104" s="2" t="s">
        <v>697</v>
      </c>
      <c r="J104" s="2" t="s">
        <v>697</v>
      </c>
      <c r="K104" s="2" t="s">
        <v>697</v>
      </c>
      <c r="L104" s="2" t="s">
        <v>697</v>
      </c>
      <c r="M104" s="2" t="s">
        <v>697</v>
      </c>
      <c r="N104" s="2" t="s">
        <v>697</v>
      </c>
      <c r="O104" s="2" t="s">
        <v>697</v>
      </c>
      <c r="P104" s="2" t="s">
        <v>697</v>
      </c>
      <c r="Q104" s="2" t="s">
        <v>697</v>
      </c>
      <c r="R104" s="2" t="s">
        <v>697</v>
      </c>
      <c r="S104" s="2" t="s">
        <v>697</v>
      </c>
      <c r="T104" s="2" t="s">
        <v>697</v>
      </c>
      <c r="U104" s="2" t="s">
        <v>697</v>
      </c>
      <c r="V104" s="2" t="s">
        <v>697</v>
      </c>
      <c r="W104" s="2" t="s">
        <v>697</v>
      </c>
      <c r="X104" s="2" t="s">
        <v>697</v>
      </c>
      <c r="Y104" s="2" t="s">
        <v>697</v>
      </c>
      <c r="Z104" s="2" t="s">
        <v>697</v>
      </c>
      <c r="AA104" s="2" t="s">
        <v>697</v>
      </c>
      <c r="AB104" s="2" t="s">
        <v>697</v>
      </c>
      <c r="AC104" s="2" t="s">
        <v>697</v>
      </c>
      <c r="AD104" s="2" t="s">
        <v>697</v>
      </c>
      <c r="AE104" s="2" t="s">
        <v>697</v>
      </c>
      <c r="AF104" s="2" t="s">
        <v>697</v>
      </c>
      <c r="AG104" s="2" t="s">
        <v>697</v>
      </c>
      <c r="AH104" s="2" t="s">
        <v>697</v>
      </c>
      <c r="AI104" s="4" t="s">
        <v>697</v>
      </c>
      <c r="AJ104" s="4" t="s">
        <v>697</v>
      </c>
    </row>
    <row r="105" spans="1:36" x14ac:dyDescent="0.35">
      <c r="A105" s="19" t="s">
        <v>47</v>
      </c>
      <c r="B105" s="1">
        <v>15</v>
      </c>
      <c r="C105" s="2">
        <v>272</v>
      </c>
      <c r="D105" s="2">
        <v>1</v>
      </c>
      <c r="E105" s="2">
        <v>34</v>
      </c>
      <c r="F105" s="2">
        <v>28</v>
      </c>
      <c r="G105" s="2">
        <v>23</v>
      </c>
      <c r="H105" s="2">
        <v>-4</v>
      </c>
      <c r="I105" s="2">
        <v>1</v>
      </c>
      <c r="J105" s="2">
        <v>4</v>
      </c>
      <c r="K105" s="2">
        <v>3</v>
      </c>
      <c r="L105" s="2">
        <v>39</v>
      </c>
      <c r="M105" s="2">
        <v>6</v>
      </c>
      <c r="N105" s="2">
        <v>85</v>
      </c>
      <c r="O105" s="2">
        <v>5</v>
      </c>
      <c r="P105" s="2">
        <v>69</v>
      </c>
      <c r="Q105" s="2">
        <v>1</v>
      </c>
      <c r="R105" s="2">
        <v>5</v>
      </c>
      <c r="S105" s="2">
        <v>3</v>
      </c>
      <c r="T105" s="2">
        <v>33</v>
      </c>
      <c r="U105" s="2">
        <v>4</v>
      </c>
      <c r="V105" s="2">
        <v>30</v>
      </c>
      <c r="W105" s="2">
        <v>1</v>
      </c>
      <c r="X105" s="2">
        <v>7</v>
      </c>
      <c r="Y105" s="2">
        <v>0</v>
      </c>
      <c r="Z105" s="2">
        <v>1</v>
      </c>
      <c r="AA105" s="2">
        <v>0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4">
        <f>Table2121418198592[[#This Row],[QB PY]]+Table2121418198592[[#This Row],[QB RY]]</f>
        <v>306</v>
      </c>
      <c r="AJ105" s="4">
        <f>Table2121418198592[[#This Row],[RB1 RY]]+Table2121418198592[[#This Row],[RB2+ RY]]+Table2121418198592[[#This Row],[RB1 RecY]]+Table2121418198592[[#This Row],[RB2 RecY]]</f>
        <v>94</v>
      </c>
    </row>
    <row r="106" spans="1:36" x14ac:dyDescent="0.35">
      <c r="A106" s="19" t="s">
        <v>54</v>
      </c>
      <c r="B106" s="1">
        <v>16</v>
      </c>
      <c r="C106" s="2">
        <v>145</v>
      </c>
      <c r="D106" s="2">
        <v>1</v>
      </c>
      <c r="E106" s="2">
        <v>49</v>
      </c>
      <c r="F106" s="2">
        <v>71</v>
      </c>
      <c r="G106" s="2">
        <v>48</v>
      </c>
      <c r="H106" s="2">
        <v>1</v>
      </c>
      <c r="I106" s="2">
        <v>0</v>
      </c>
      <c r="J106" s="2">
        <v>0</v>
      </c>
      <c r="K106" s="2">
        <v>2</v>
      </c>
      <c r="L106" s="2">
        <v>15</v>
      </c>
      <c r="M106" s="2">
        <v>5</v>
      </c>
      <c r="N106" s="2">
        <v>31</v>
      </c>
      <c r="O106" s="2">
        <v>1</v>
      </c>
      <c r="P106" s="2">
        <v>40</v>
      </c>
      <c r="Q106" s="2">
        <v>5</v>
      </c>
      <c r="R106" s="2">
        <v>30</v>
      </c>
      <c r="S106" s="2">
        <v>3</v>
      </c>
      <c r="T106" s="2">
        <v>14</v>
      </c>
      <c r="U106" s="2">
        <v>2</v>
      </c>
      <c r="V106" s="2">
        <v>15</v>
      </c>
      <c r="W106" s="2">
        <v>0</v>
      </c>
      <c r="X106" s="2">
        <v>0</v>
      </c>
      <c r="Y106" s="2">
        <v>0</v>
      </c>
      <c r="Z106" s="2">
        <v>0</v>
      </c>
      <c r="AA106" s="2">
        <v>1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4">
        <f>Table2121418198592[[#This Row],[QB PY]]+Table2121418198592[[#This Row],[QB RY]]</f>
        <v>194</v>
      </c>
      <c r="AJ106" s="4">
        <f>Table2121418198592[[#This Row],[RB1 RY]]+Table2121418198592[[#This Row],[RB2+ RY]]+Table2121418198592[[#This Row],[RB1 RecY]]+Table2121418198592[[#This Row],[RB2 RecY]]</f>
        <v>134</v>
      </c>
    </row>
    <row r="107" spans="1:36" x14ac:dyDescent="0.35">
      <c r="A107" s="19" t="s">
        <v>52</v>
      </c>
      <c r="B107" s="1">
        <v>17</v>
      </c>
      <c r="C107" s="2">
        <v>147</v>
      </c>
      <c r="D107" s="2">
        <v>1</v>
      </c>
      <c r="E107" s="2">
        <v>2</v>
      </c>
      <c r="F107" s="2">
        <v>51</v>
      </c>
      <c r="G107" s="2">
        <v>110</v>
      </c>
      <c r="H107" s="2">
        <v>0</v>
      </c>
      <c r="I107" s="2">
        <v>2</v>
      </c>
      <c r="J107" s="2">
        <v>6</v>
      </c>
      <c r="K107" s="2">
        <v>2</v>
      </c>
      <c r="L107" s="2">
        <v>12</v>
      </c>
      <c r="M107" s="2">
        <v>9</v>
      </c>
      <c r="N107" s="2">
        <v>72</v>
      </c>
      <c r="O107" s="2">
        <v>1</v>
      </c>
      <c r="P107" s="2">
        <v>6</v>
      </c>
      <c r="Q107" s="2">
        <v>1</v>
      </c>
      <c r="R107" s="2">
        <v>8</v>
      </c>
      <c r="S107" s="2">
        <v>0</v>
      </c>
      <c r="T107" s="2">
        <v>0</v>
      </c>
      <c r="U107" s="2">
        <v>3</v>
      </c>
      <c r="V107" s="2">
        <v>43</v>
      </c>
      <c r="W107" s="2">
        <v>0</v>
      </c>
      <c r="X107" s="2">
        <v>0</v>
      </c>
      <c r="Y107" s="2">
        <v>0</v>
      </c>
      <c r="Z107" s="2">
        <v>0</v>
      </c>
      <c r="AA107" s="2">
        <v>2</v>
      </c>
      <c r="AB107" s="2">
        <v>0</v>
      </c>
      <c r="AC107" s="2">
        <v>0</v>
      </c>
      <c r="AD107" s="2">
        <v>0</v>
      </c>
      <c r="AE107" s="2">
        <v>0</v>
      </c>
      <c r="AF107" s="2">
        <v>1</v>
      </c>
      <c r="AG107" s="2">
        <v>0</v>
      </c>
      <c r="AH107" s="2">
        <v>0</v>
      </c>
      <c r="AI107" s="4">
        <f>Table2121418198592[[#This Row],[QB PY]]+Table2121418198592[[#This Row],[QB RY]]</f>
        <v>149</v>
      </c>
      <c r="AJ107" s="4">
        <f>Table2121418198592[[#This Row],[RB1 RY]]+Table2121418198592[[#This Row],[RB2+ RY]]+Table2121418198592[[#This Row],[RB1 RecY]]+Table2121418198592[[#This Row],[RB2 RecY]]</f>
        <v>179</v>
      </c>
    </row>
    <row r="108" spans="1:36" x14ac:dyDescent="0.35">
      <c r="A108" s="19" t="s">
        <v>54</v>
      </c>
      <c r="B108" s="1">
        <v>18</v>
      </c>
      <c r="C108" s="2">
        <v>203</v>
      </c>
      <c r="D108" s="2">
        <v>1</v>
      </c>
      <c r="E108" s="2">
        <v>31</v>
      </c>
      <c r="F108" s="2">
        <v>85</v>
      </c>
      <c r="G108" s="2">
        <v>19</v>
      </c>
      <c r="H108" s="2">
        <v>5</v>
      </c>
      <c r="I108" s="2">
        <v>1</v>
      </c>
      <c r="J108" s="2">
        <v>13</v>
      </c>
      <c r="K108" s="2">
        <v>2</v>
      </c>
      <c r="L108" s="2">
        <v>18</v>
      </c>
      <c r="M108" s="2">
        <v>2</v>
      </c>
      <c r="N108" s="2">
        <v>34</v>
      </c>
      <c r="O108" s="2">
        <v>1</v>
      </c>
      <c r="P108" s="2">
        <v>8</v>
      </c>
      <c r="Q108" s="2">
        <v>1</v>
      </c>
      <c r="R108" s="2">
        <v>8</v>
      </c>
      <c r="S108" s="2">
        <v>2</v>
      </c>
      <c r="T108" s="2">
        <v>28</v>
      </c>
      <c r="U108" s="2">
        <v>7</v>
      </c>
      <c r="V108" s="2">
        <v>94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  <c r="AG108" s="2">
        <v>0</v>
      </c>
      <c r="AH108" s="2">
        <v>0</v>
      </c>
      <c r="AI108" s="4">
        <f>Table2121418198592[[#This Row],[QB PY]]+Table2121418198592[[#This Row],[QB RY]]</f>
        <v>234</v>
      </c>
      <c r="AJ108" s="4">
        <f>Table2121418198592[[#This Row],[RB1 RY]]+Table2121418198592[[#This Row],[RB2+ RY]]+Table2121418198592[[#This Row],[RB1 RecY]]+Table2121418198592[[#This Row],[RB2 RecY]]</f>
        <v>135</v>
      </c>
    </row>
    <row r="109" spans="1:36" x14ac:dyDescent="0.35">
      <c r="B109" s="1" t="s">
        <v>57</v>
      </c>
      <c r="C109" s="3">
        <f>AVERAGE(Table2121418198592[QB PY])</f>
        <v>215.11764705882354</v>
      </c>
      <c r="D109" s="3">
        <f>AVERAGE(Table2121418198592[P TD])</f>
        <v>1.1764705882352942</v>
      </c>
      <c r="E109" s="3">
        <f>AVERAGE(Table2121418198592[QB RY])</f>
        <v>15.764705882352942</v>
      </c>
      <c r="F109" s="3">
        <f>AVERAGE(Table2121418198592[RB1 RY])</f>
        <v>73.882352941176464</v>
      </c>
      <c r="G109" s="3">
        <f>AVERAGE(Table2121418198592[RB2+ RY])</f>
        <v>32.470588235294116</v>
      </c>
      <c r="H109" s="3">
        <f>AVERAGE(Table2121418198592[WR RY])</f>
        <v>1.1764705882352942</v>
      </c>
      <c r="I109" s="3">
        <f>AVERAGE(Table2121418198592[RB1 Recep])</f>
        <v>2.6470588235294117</v>
      </c>
      <c r="J109" s="3">
        <f>AVERAGE(Table2121418198592[RB1 RecY])</f>
        <v>16.588235294117649</v>
      </c>
      <c r="K109" s="3">
        <f>AVERAGE(Table2121418198592[RB2 Recep])</f>
        <v>1.7647058823529411</v>
      </c>
      <c r="L109" s="3">
        <f>AVERAGE(Table2121418198592[RB2 RecY])</f>
        <v>12.058823529411764</v>
      </c>
      <c r="M109" s="3">
        <f>AVERAGE(Table2121418198592[WR1 Recep])</f>
        <v>5.117647058823529</v>
      </c>
      <c r="N109" s="3">
        <f>AVERAGE(Table2121418198592[WR1 RecY])</f>
        <v>69.411764705882348</v>
      </c>
      <c r="O109" s="3">
        <f>AVERAGE(Table2121418198592[WR2 Recep])</f>
        <v>2.7058823529411766</v>
      </c>
      <c r="P109" s="3">
        <f>AVERAGE(Table2121418198592[WR2 RecY])</f>
        <v>29.823529411764707</v>
      </c>
      <c r="Q109" s="3">
        <f>AVERAGE(Table2121418198592[WR3 Recep])</f>
        <v>1.6470588235294117</v>
      </c>
      <c r="R109" s="3">
        <f>AVERAGE(Table2121418198592[WR3 RecY])</f>
        <v>21</v>
      </c>
      <c r="S109" s="3">
        <f>AVERAGE(Table2121418198592[WR4+ Recep])</f>
        <v>0.76470588235294112</v>
      </c>
      <c r="T109" s="3">
        <f>AVERAGE(Table2121418198592[WR4+ RecY])</f>
        <v>6.2941176470588234</v>
      </c>
      <c r="U109" s="3">
        <f>AVERAGE(Table2121418198592[TE1 Recep])</f>
        <v>3.6470588235294117</v>
      </c>
      <c r="V109" s="3">
        <f>AVERAGE(Table2121418198592[TE1 RecY])</f>
        <v>46.647058823529413</v>
      </c>
      <c r="W109" s="3">
        <f>AVERAGE(Table2121418198592[TE2 Recep])</f>
        <v>1.4705882352941178</v>
      </c>
      <c r="X109" s="3">
        <f>AVERAGE(Table2121418198592[TE2 RecY])</f>
        <v>13.294117647058824</v>
      </c>
      <c r="Y109" s="3">
        <f>AVERAGE(Table2121418198592[QB TD])</f>
        <v>0.17647058823529413</v>
      </c>
      <c r="Z109" s="3">
        <f>AVERAGE(Table2121418198592[RB1 TD])</f>
        <v>0.6470588235294118</v>
      </c>
      <c r="AA109" s="3">
        <f>AVERAGE(Table2121418198592[RB2 TD])</f>
        <v>0.41176470588235292</v>
      </c>
      <c r="AB109" s="3">
        <f>AVERAGE(Table2121418198592[WR1 TD])</f>
        <v>0.41176470588235292</v>
      </c>
      <c r="AC109" s="3">
        <f>AVERAGE(Table2121418198592[WR2 TD])</f>
        <v>0.23529411764705882</v>
      </c>
      <c r="AD109" s="3">
        <f>AVERAGE(Table2121418198592[WR3 TD])</f>
        <v>5.8823529411764705E-2</v>
      </c>
      <c r="AE109" s="3">
        <f>AVERAGE(Table2121418198592[WR4+ TD])</f>
        <v>0</v>
      </c>
      <c r="AF109" s="3">
        <f>AVERAGE(Table2121418198592[TE1 TD])</f>
        <v>0.35294117647058826</v>
      </c>
      <c r="AG109" s="3">
        <f>AVERAGE(Table2121418198592[TE2 TD])</f>
        <v>5.8823529411764705E-2</v>
      </c>
      <c r="AH109" s="3">
        <f>AVERAGE(Table2121418198592[D/ST TD])</f>
        <v>0.17647058823529413</v>
      </c>
      <c r="AI109" s="3">
        <f>AVERAGE(Table2121418198592[QB P+R])</f>
        <v>230.88235294117646</v>
      </c>
      <c r="AJ109" s="3">
        <f>AVERAGE(Table2121418198592[RB R+R])</f>
        <v>135</v>
      </c>
    </row>
    <row r="111" spans="1:36" x14ac:dyDescent="0.35">
      <c r="A111" s="230" t="s">
        <v>30</v>
      </c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</row>
    <row r="112" spans="1:36" x14ac:dyDescent="0.35">
      <c r="A112" s="20" t="s">
        <v>63</v>
      </c>
      <c r="B112" s="6" t="s">
        <v>1</v>
      </c>
      <c r="C112" s="7" t="s">
        <v>18</v>
      </c>
      <c r="D112" s="8" t="s">
        <v>19</v>
      </c>
      <c r="E112" s="9" t="s">
        <v>20</v>
      </c>
      <c r="F112" s="10" t="s">
        <v>21</v>
      </c>
      <c r="G112" s="11" t="s">
        <v>22</v>
      </c>
      <c r="H112" s="12" t="s">
        <v>23</v>
      </c>
      <c r="I112" s="13" t="s">
        <v>667</v>
      </c>
      <c r="J112" s="13" t="s">
        <v>668</v>
      </c>
      <c r="K112" s="13" t="s">
        <v>665</v>
      </c>
      <c r="L112" s="13" t="s">
        <v>666</v>
      </c>
      <c r="M112" s="14" t="s">
        <v>2</v>
      </c>
      <c r="N112" s="14" t="s">
        <v>24</v>
      </c>
      <c r="O112" s="15" t="s">
        <v>3</v>
      </c>
      <c r="P112" s="15" t="s">
        <v>25</v>
      </c>
      <c r="Q112" s="16" t="s">
        <v>4</v>
      </c>
      <c r="R112" s="16" t="s">
        <v>26</v>
      </c>
      <c r="S112" s="17" t="s">
        <v>5</v>
      </c>
      <c r="T112" s="17" t="s">
        <v>27</v>
      </c>
      <c r="U112" s="18" t="s">
        <v>669</v>
      </c>
      <c r="V112" s="18" t="s">
        <v>670</v>
      </c>
      <c r="W112" s="18" t="s">
        <v>675</v>
      </c>
      <c r="X112" s="18" t="s">
        <v>671</v>
      </c>
      <c r="Y112" s="6" t="s">
        <v>6</v>
      </c>
      <c r="Z112" s="6" t="s">
        <v>7</v>
      </c>
      <c r="AA112" s="6" t="s">
        <v>674</v>
      </c>
      <c r="AB112" s="6" t="s">
        <v>8</v>
      </c>
      <c r="AC112" s="6" t="s">
        <v>9</v>
      </c>
      <c r="AD112" s="6" t="s">
        <v>10</v>
      </c>
      <c r="AE112" s="6" t="s">
        <v>11</v>
      </c>
      <c r="AF112" s="6" t="s">
        <v>673</v>
      </c>
      <c r="AG112" s="6" t="s">
        <v>672</v>
      </c>
      <c r="AH112" s="6" t="s">
        <v>12</v>
      </c>
      <c r="AI112" s="8" t="s">
        <v>14</v>
      </c>
      <c r="AJ112" s="11" t="s">
        <v>13</v>
      </c>
    </row>
    <row r="113" spans="1:36" x14ac:dyDescent="0.35">
      <c r="A113" s="19" t="s">
        <v>45</v>
      </c>
      <c r="B113" s="5">
        <v>1</v>
      </c>
      <c r="C113" s="4">
        <v>143</v>
      </c>
      <c r="D113" s="4">
        <v>2</v>
      </c>
      <c r="E113" s="4">
        <v>25</v>
      </c>
      <c r="F113" s="4">
        <v>68</v>
      </c>
      <c r="G113" s="4">
        <v>23</v>
      </c>
      <c r="H113" s="4">
        <v>4</v>
      </c>
      <c r="I113" s="4">
        <v>3</v>
      </c>
      <c r="J113" s="4">
        <v>44</v>
      </c>
      <c r="K113" s="4">
        <v>1</v>
      </c>
      <c r="L113" s="4">
        <v>7</v>
      </c>
      <c r="M113" s="4">
        <v>4</v>
      </c>
      <c r="N113" s="4">
        <v>44</v>
      </c>
      <c r="O113" s="4">
        <v>1</v>
      </c>
      <c r="P113" s="4">
        <v>28</v>
      </c>
      <c r="Q113" s="4">
        <v>0</v>
      </c>
      <c r="R113" s="4">
        <v>0</v>
      </c>
      <c r="S113" s="4">
        <v>0</v>
      </c>
      <c r="T113" s="4">
        <v>0</v>
      </c>
      <c r="U113" s="4">
        <v>3</v>
      </c>
      <c r="V113" s="4">
        <v>15</v>
      </c>
      <c r="W113" s="4">
        <v>1</v>
      </c>
      <c r="X113" s="4">
        <v>5</v>
      </c>
      <c r="Y113" s="4">
        <v>1</v>
      </c>
      <c r="Z113" s="4">
        <v>1</v>
      </c>
      <c r="AA113" s="4">
        <v>0</v>
      </c>
      <c r="AB113" s="4">
        <v>1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f>Table2121418198590[[#This Row],[QB PY]]+Table2121418198590[[#This Row],[QB RY]]</f>
        <v>168</v>
      </c>
      <c r="AJ113" s="4">
        <f>Table2121418198590[[#This Row],[RB1 RY]]+Table2121418198590[[#This Row],[RB2+ RY]]+Table2121418198590[[#This Row],[RB1 RecY]]+Table2121418198590[[#This Row],[RB2 RecY]]</f>
        <v>142</v>
      </c>
    </row>
    <row r="114" spans="1:36" x14ac:dyDescent="0.35">
      <c r="A114" s="19" t="s">
        <v>35</v>
      </c>
      <c r="B114" s="1">
        <v>2</v>
      </c>
      <c r="C114" s="2">
        <v>334</v>
      </c>
      <c r="D114" s="2">
        <v>5</v>
      </c>
      <c r="E114" s="2">
        <v>6</v>
      </c>
      <c r="F114" s="2">
        <v>94</v>
      </c>
      <c r="G114" s="2">
        <v>61</v>
      </c>
      <c r="H114" s="2">
        <v>16</v>
      </c>
      <c r="I114" s="2">
        <v>3</v>
      </c>
      <c r="J114" s="2">
        <v>10</v>
      </c>
      <c r="K114" s="2">
        <v>1</v>
      </c>
      <c r="L114" s="2">
        <v>4</v>
      </c>
      <c r="M114" s="2">
        <v>9</v>
      </c>
      <c r="N114" s="2">
        <v>115</v>
      </c>
      <c r="O114" s="2">
        <v>2</v>
      </c>
      <c r="P114" s="2">
        <v>108</v>
      </c>
      <c r="Q114" s="2">
        <v>1</v>
      </c>
      <c r="R114" s="2">
        <v>14</v>
      </c>
      <c r="S114" s="2">
        <v>1</v>
      </c>
      <c r="T114" s="2">
        <v>29</v>
      </c>
      <c r="U114" s="2">
        <v>3</v>
      </c>
      <c r="V114" s="2">
        <v>26</v>
      </c>
      <c r="W114" s="2">
        <v>3</v>
      </c>
      <c r="X114" s="2">
        <v>28</v>
      </c>
      <c r="Y114" s="2">
        <v>0</v>
      </c>
      <c r="Z114" s="2">
        <v>1</v>
      </c>
      <c r="AA114" s="2">
        <v>1</v>
      </c>
      <c r="AB114" s="2">
        <v>3</v>
      </c>
      <c r="AC114" s="2">
        <v>1</v>
      </c>
      <c r="AD114" s="2">
        <v>0</v>
      </c>
      <c r="AE114" s="2">
        <v>0</v>
      </c>
      <c r="AF114" s="2">
        <v>0</v>
      </c>
      <c r="AG114" s="2">
        <v>1</v>
      </c>
      <c r="AH114" s="2">
        <v>0</v>
      </c>
      <c r="AI114" s="4">
        <f>Table2121418198590[[#This Row],[QB PY]]+Table2121418198590[[#This Row],[QB RY]]</f>
        <v>340</v>
      </c>
      <c r="AJ114" s="4">
        <f>Table2121418198590[[#This Row],[RB1 RY]]+Table2121418198590[[#This Row],[RB2+ RY]]+Table2121418198590[[#This Row],[RB1 RecY]]+Table2121418198590[[#This Row],[RB2 RecY]]</f>
        <v>169</v>
      </c>
    </row>
    <row r="115" spans="1:36" x14ac:dyDescent="0.35">
      <c r="A115" s="19" t="s">
        <v>33</v>
      </c>
      <c r="B115" s="1">
        <v>3</v>
      </c>
      <c r="C115" s="2">
        <v>292</v>
      </c>
      <c r="D115" s="2">
        <v>1</v>
      </c>
      <c r="E115" s="2">
        <v>0</v>
      </c>
      <c r="F115" s="2">
        <v>76</v>
      </c>
      <c r="G115" s="2">
        <v>41</v>
      </c>
      <c r="H115" s="2">
        <v>4</v>
      </c>
      <c r="I115" s="2">
        <v>5</v>
      </c>
      <c r="J115" s="2">
        <v>16</v>
      </c>
      <c r="K115" s="2">
        <v>3</v>
      </c>
      <c r="L115" s="2">
        <v>12</v>
      </c>
      <c r="M115" s="2">
        <v>5</v>
      </c>
      <c r="N115" s="2">
        <v>68</v>
      </c>
      <c r="O115" s="2">
        <v>3</v>
      </c>
      <c r="P115" s="2">
        <v>24</v>
      </c>
      <c r="Q115" s="2">
        <v>2</v>
      </c>
      <c r="R115" s="2">
        <v>64</v>
      </c>
      <c r="S115" s="2">
        <v>2</v>
      </c>
      <c r="T115" s="2">
        <v>21</v>
      </c>
      <c r="U115" s="2">
        <v>13</v>
      </c>
      <c r="V115" s="2">
        <v>82</v>
      </c>
      <c r="W115" s="2">
        <v>1</v>
      </c>
      <c r="X115" s="2">
        <v>5</v>
      </c>
      <c r="Y115" s="2">
        <v>0</v>
      </c>
      <c r="Z115" s="2">
        <v>0</v>
      </c>
      <c r="AA115" s="2">
        <v>0</v>
      </c>
      <c r="AB115" s="2">
        <v>1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4">
        <f>Table2121418198590[[#This Row],[QB PY]]+Table2121418198590[[#This Row],[QB RY]]</f>
        <v>292</v>
      </c>
      <c r="AJ115" s="4">
        <f>Table2121418198590[[#This Row],[RB1 RY]]+Table2121418198590[[#This Row],[RB2+ RY]]+Table2121418198590[[#This Row],[RB1 RecY]]+Table2121418198590[[#This Row],[RB2 RecY]]</f>
        <v>145</v>
      </c>
    </row>
    <row r="116" spans="1:36" x14ac:dyDescent="0.35">
      <c r="A116" s="19" t="s">
        <v>43</v>
      </c>
      <c r="B116" s="1">
        <v>4</v>
      </c>
      <c r="C116" s="2">
        <v>117</v>
      </c>
      <c r="D116" s="2">
        <v>2</v>
      </c>
      <c r="E116" s="2">
        <v>31</v>
      </c>
      <c r="F116" s="2">
        <v>138</v>
      </c>
      <c r="G116" s="2">
        <v>62</v>
      </c>
      <c r="H116" s="2">
        <v>9</v>
      </c>
      <c r="I116" s="2">
        <v>2</v>
      </c>
      <c r="J116" s="2">
        <v>17</v>
      </c>
      <c r="K116" s="2">
        <v>1</v>
      </c>
      <c r="L116" s="2">
        <v>11</v>
      </c>
      <c r="M116" s="2">
        <v>4</v>
      </c>
      <c r="N116" s="2">
        <v>30</v>
      </c>
      <c r="O116" s="2">
        <v>2</v>
      </c>
      <c r="P116" s="2">
        <v>13</v>
      </c>
      <c r="Q116" s="2">
        <v>0</v>
      </c>
      <c r="R116" s="2">
        <v>0</v>
      </c>
      <c r="S116" s="2">
        <v>0</v>
      </c>
      <c r="T116" s="2">
        <v>0</v>
      </c>
      <c r="U116" s="2">
        <v>5</v>
      </c>
      <c r="V116" s="2">
        <v>46</v>
      </c>
      <c r="W116" s="2">
        <v>0</v>
      </c>
      <c r="X116" s="2">
        <v>0</v>
      </c>
      <c r="Y116" s="2">
        <v>0</v>
      </c>
      <c r="Z116" s="2">
        <v>3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4">
        <f>Table2121418198590[[#This Row],[QB PY]]+Table2121418198590[[#This Row],[QB RY]]</f>
        <v>148</v>
      </c>
      <c r="AJ116" s="4">
        <f>Table2121418198590[[#This Row],[RB1 RY]]+Table2121418198590[[#This Row],[RB2+ RY]]+Table2121418198590[[#This Row],[RB1 RecY]]+Table2121418198590[[#This Row],[RB2 RecY]]</f>
        <v>228</v>
      </c>
    </row>
    <row r="117" spans="1:36" x14ac:dyDescent="0.35">
      <c r="A117" s="19" t="s">
        <v>650</v>
      </c>
      <c r="B117" s="1">
        <v>5</v>
      </c>
      <c r="C117" s="2" t="s">
        <v>697</v>
      </c>
      <c r="D117" s="2" t="s">
        <v>697</v>
      </c>
      <c r="E117" s="2" t="s">
        <v>697</v>
      </c>
      <c r="F117" s="2" t="s">
        <v>697</v>
      </c>
      <c r="G117" s="2" t="s">
        <v>697</v>
      </c>
      <c r="H117" s="2" t="s">
        <v>697</v>
      </c>
      <c r="I117" s="2" t="s">
        <v>697</v>
      </c>
      <c r="J117" s="2" t="s">
        <v>697</v>
      </c>
      <c r="K117" s="2" t="s">
        <v>697</v>
      </c>
      <c r="L117" s="2" t="s">
        <v>697</v>
      </c>
      <c r="M117" s="2" t="s">
        <v>697</v>
      </c>
      <c r="N117" s="2" t="s">
        <v>697</v>
      </c>
      <c r="O117" s="2" t="s">
        <v>697</v>
      </c>
      <c r="P117" s="2" t="s">
        <v>697</v>
      </c>
      <c r="Q117" s="2" t="s">
        <v>697</v>
      </c>
      <c r="R117" s="2" t="s">
        <v>697</v>
      </c>
      <c r="S117" s="2" t="s">
        <v>697</v>
      </c>
      <c r="T117" s="2" t="s">
        <v>697</v>
      </c>
      <c r="U117" s="2" t="s">
        <v>697</v>
      </c>
      <c r="V117" s="2" t="s">
        <v>697</v>
      </c>
      <c r="W117" s="2" t="s">
        <v>697</v>
      </c>
      <c r="X117" s="2" t="s">
        <v>697</v>
      </c>
      <c r="Y117" s="2" t="s">
        <v>697</v>
      </c>
      <c r="Z117" s="2" t="s">
        <v>697</v>
      </c>
      <c r="AA117" s="2" t="s">
        <v>697</v>
      </c>
      <c r="AB117" s="2" t="s">
        <v>697</v>
      </c>
      <c r="AC117" s="2" t="s">
        <v>697</v>
      </c>
      <c r="AD117" s="2" t="s">
        <v>697</v>
      </c>
      <c r="AE117" s="2" t="s">
        <v>697</v>
      </c>
      <c r="AF117" s="2" t="s">
        <v>697</v>
      </c>
      <c r="AG117" s="2" t="s">
        <v>697</v>
      </c>
      <c r="AH117" s="2" t="s">
        <v>697</v>
      </c>
      <c r="AI117" s="4" t="s">
        <v>697</v>
      </c>
      <c r="AJ117" s="4" t="s">
        <v>697</v>
      </c>
    </row>
    <row r="118" spans="1:36" x14ac:dyDescent="0.35">
      <c r="A118" s="19" t="s">
        <v>56</v>
      </c>
      <c r="B118" s="1">
        <v>6</v>
      </c>
      <c r="C118" s="2">
        <v>211</v>
      </c>
      <c r="D118" s="2">
        <v>3</v>
      </c>
      <c r="E118" s="2">
        <v>52</v>
      </c>
      <c r="F118" s="2">
        <v>61</v>
      </c>
      <c r="G118" s="2">
        <v>5</v>
      </c>
      <c r="H118" s="2">
        <v>6</v>
      </c>
      <c r="I118" s="2">
        <v>1</v>
      </c>
      <c r="J118" s="2">
        <v>7</v>
      </c>
      <c r="K118" s="2">
        <v>3</v>
      </c>
      <c r="L118" s="2">
        <v>30</v>
      </c>
      <c r="M118" s="2">
        <v>4</v>
      </c>
      <c r="N118" s="2">
        <v>15</v>
      </c>
      <c r="O118" s="2">
        <v>1</v>
      </c>
      <c r="P118" s="2">
        <v>33</v>
      </c>
      <c r="Q118" s="2">
        <v>1</v>
      </c>
      <c r="R118" s="2">
        <v>37</v>
      </c>
      <c r="S118" s="2">
        <v>3</v>
      </c>
      <c r="T118" s="2">
        <v>46</v>
      </c>
      <c r="U118" s="2">
        <v>6</v>
      </c>
      <c r="V118" s="2">
        <v>43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1</v>
      </c>
      <c r="AF118" s="2">
        <v>1</v>
      </c>
      <c r="AG118" s="2">
        <v>0</v>
      </c>
      <c r="AH118" s="2">
        <v>0</v>
      </c>
      <c r="AI118" s="4">
        <f>Table2121418198590[[#This Row],[QB PY]]+Table2121418198590[[#This Row],[QB RY]]</f>
        <v>263</v>
      </c>
      <c r="AJ118" s="4">
        <f>Table2121418198590[[#This Row],[RB1 RY]]+Table2121418198590[[#This Row],[RB2+ RY]]+Table2121418198590[[#This Row],[RB1 RecY]]+Table2121418198590[[#This Row],[RB2 RecY]]</f>
        <v>103</v>
      </c>
    </row>
    <row r="119" spans="1:36" x14ac:dyDescent="0.35">
      <c r="A119" s="19" t="s">
        <v>47</v>
      </c>
      <c r="B119" s="1">
        <v>7</v>
      </c>
      <c r="C119" s="2">
        <v>233</v>
      </c>
      <c r="D119" s="2">
        <v>2</v>
      </c>
      <c r="E119" s="2">
        <v>8</v>
      </c>
      <c r="F119" s="2">
        <v>28</v>
      </c>
      <c r="G119" s="2">
        <v>8</v>
      </c>
      <c r="H119" s="2">
        <v>0</v>
      </c>
      <c r="I119" s="2">
        <v>3</v>
      </c>
      <c r="J119" s="2">
        <v>1</v>
      </c>
      <c r="K119" s="2">
        <v>0</v>
      </c>
      <c r="L119" s="2">
        <v>0</v>
      </c>
      <c r="M119" s="2">
        <v>5</v>
      </c>
      <c r="N119" s="2">
        <v>98</v>
      </c>
      <c r="O119" s="2">
        <v>4</v>
      </c>
      <c r="P119" s="2">
        <v>40</v>
      </c>
      <c r="Q119" s="2">
        <v>1</v>
      </c>
      <c r="R119" s="2">
        <v>3</v>
      </c>
      <c r="S119" s="2">
        <v>0</v>
      </c>
      <c r="T119" s="2">
        <v>0</v>
      </c>
      <c r="U119" s="2">
        <v>5</v>
      </c>
      <c r="V119" s="2">
        <v>79</v>
      </c>
      <c r="W119" s="2">
        <v>2</v>
      </c>
      <c r="X119" s="2">
        <v>12</v>
      </c>
      <c r="Y119" s="2">
        <v>0</v>
      </c>
      <c r="Z119" s="2">
        <v>0</v>
      </c>
      <c r="AA119" s="2">
        <v>0</v>
      </c>
      <c r="AB119" s="2">
        <v>2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4">
        <f>Table2121418198590[[#This Row],[QB PY]]+Table2121418198590[[#This Row],[QB RY]]</f>
        <v>241</v>
      </c>
      <c r="AJ119" s="4">
        <f>Table2121418198590[[#This Row],[RB1 RY]]+Table2121418198590[[#This Row],[RB2+ RY]]+Table2121418198590[[#This Row],[RB1 RecY]]+Table2121418198590[[#This Row],[RB2 RecY]]</f>
        <v>37</v>
      </c>
    </row>
    <row r="120" spans="1:36" x14ac:dyDescent="0.35">
      <c r="A120" s="19" t="s">
        <v>16</v>
      </c>
      <c r="B120" s="1">
        <v>8</v>
      </c>
      <c r="C120" s="2">
        <v>186</v>
      </c>
      <c r="D120" s="2">
        <v>1</v>
      </c>
      <c r="E120" s="2">
        <v>53</v>
      </c>
      <c r="F120" s="2">
        <v>71</v>
      </c>
      <c r="G120" s="2">
        <v>45</v>
      </c>
      <c r="H120" s="2">
        <v>8</v>
      </c>
      <c r="I120" s="2">
        <v>0</v>
      </c>
      <c r="J120" s="2">
        <v>0</v>
      </c>
      <c r="K120" s="2">
        <v>0</v>
      </c>
      <c r="L120" s="2">
        <v>0</v>
      </c>
      <c r="M120" s="2">
        <v>7</v>
      </c>
      <c r="N120" s="2">
        <v>63</v>
      </c>
      <c r="O120" s="2">
        <v>2</v>
      </c>
      <c r="P120" s="2">
        <v>51</v>
      </c>
      <c r="Q120" s="2">
        <v>1</v>
      </c>
      <c r="R120" s="2">
        <v>14</v>
      </c>
      <c r="S120" s="2">
        <v>1</v>
      </c>
      <c r="T120" s="2">
        <v>6</v>
      </c>
      <c r="U120" s="2">
        <v>3</v>
      </c>
      <c r="V120" s="2">
        <v>34</v>
      </c>
      <c r="W120" s="2">
        <v>3</v>
      </c>
      <c r="X120" s="2">
        <v>18</v>
      </c>
      <c r="Y120" s="2">
        <v>0</v>
      </c>
      <c r="Z120" s="2">
        <v>2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</v>
      </c>
      <c r="AH120" s="2">
        <v>0</v>
      </c>
      <c r="AI120" s="4">
        <f>Table2121418198590[[#This Row],[QB PY]]+Table2121418198590[[#This Row],[QB RY]]</f>
        <v>239</v>
      </c>
      <c r="AJ120" s="4">
        <f>Table2121418198590[[#This Row],[RB1 RY]]+Table2121418198590[[#This Row],[RB2+ RY]]+Table2121418198590[[#This Row],[RB1 RecY]]+Table2121418198590[[#This Row],[RB2 RecY]]</f>
        <v>116</v>
      </c>
    </row>
    <row r="121" spans="1:36" x14ac:dyDescent="0.35">
      <c r="A121" s="19" t="s">
        <v>31</v>
      </c>
      <c r="B121" s="1">
        <v>9</v>
      </c>
      <c r="C121" s="2">
        <v>470</v>
      </c>
      <c r="D121" s="2">
        <v>4</v>
      </c>
      <c r="E121" s="2">
        <v>-1</v>
      </c>
      <c r="F121" s="2">
        <v>37</v>
      </c>
      <c r="G121" s="2">
        <v>6</v>
      </c>
      <c r="H121" s="2">
        <v>4</v>
      </c>
      <c r="I121" s="2">
        <v>8</v>
      </c>
      <c r="J121" s="2">
        <v>75</v>
      </c>
      <c r="K121" s="2">
        <v>0</v>
      </c>
      <c r="L121" s="2">
        <v>0</v>
      </c>
      <c r="M121" s="2">
        <v>6</v>
      </c>
      <c r="N121" s="2">
        <v>111</v>
      </c>
      <c r="O121" s="2">
        <v>7</v>
      </c>
      <c r="P121" s="2">
        <v>121</v>
      </c>
      <c r="Q121" s="2">
        <v>5</v>
      </c>
      <c r="R121" s="2">
        <v>66</v>
      </c>
      <c r="S121" s="2">
        <v>1</v>
      </c>
      <c r="T121" s="2">
        <v>27</v>
      </c>
      <c r="U121" s="2">
        <v>2</v>
      </c>
      <c r="V121" s="2">
        <v>28</v>
      </c>
      <c r="W121" s="2">
        <v>2</v>
      </c>
      <c r="X121" s="2">
        <v>42</v>
      </c>
      <c r="Y121" s="2">
        <v>0</v>
      </c>
      <c r="Z121" s="2">
        <v>0</v>
      </c>
      <c r="AA121" s="2">
        <v>0</v>
      </c>
      <c r="AB121" s="2">
        <v>0</v>
      </c>
      <c r="AC121" s="2">
        <v>2</v>
      </c>
      <c r="AD121" s="2">
        <v>1</v>
      </c>
      <c r="AE121" s="2">
        <v>0</v>
      </c>
      <c r="AF121" s="2">
        <v>1</v>
      </c>
      <c r="AG121" s="2">
        <v>0</v>
      </c>
      <c r="AH121" s="2">
        <v>1</v>
      </c>
      <c r="AI121" s="4">
        <f>Table2121418198590[[#This Row],[QB PY]]+Table2121418198590[[#This Row],[QB RY]]</f>
        <v>469</v>
      </c>
      <c r="AJ121" s="4">
        <f>Table2121418198590[[#This Row],[RB1 RY]]+Table2121418198590[[#This Row],[RB2+ RY]]+Table2121418198590[[#This Row],[RB1 RecY]]+Table2121418198590[[#This Row],[RB2 RecY]]</f>
        <v>118</v>
      </c>
    </row>
    <row r="122" spans="1:36" x14ac:dyDescent="0.35">
      <c r="A122" s="19" t="s">
        <v>48</v>
      </c>
      <c r="B122" s="1">
        <v>10</v>
      </c>
      <c r="C122" s="2">
        <v>287</v>
      </c>
      <c r="D122" s="2">
        <v>0</v>
      </c>
      <c r="E122" s="2">
        <v>78</v>
      </c>
      <c r="F122" s="2">
        <v>71</v>
      </c>
      <c r="G122" s="2">
        <v>20</v>
      </c>
      <c r="H122" s="2">
        <v>0</v>
      </c>
      <c r="I122" s="2">
        <v>3</v>
      </c>
      <c r="J122" s="2">
        <v>53</v>
      </c>
      <c r="K122" s="2">
        <v>1</v>
      </c>
      <c r="L122" s="2">
        <v>0</v>
      </c>
      <c r="M122" s="2">
        <v>6</v>
      </c>
      <c r="N122" s="2">
        <v>62</v>
      </c>
      <c r="O122" s="2">
        <v>4</v>
      </c>
      <c r="P122" s="2">
        <v>89</v>
      </c>
      <c r="Q122" s="2">
        <v>0</v>
      </c>
      <c r="R122" s="2">
        <v>0</v>
      </c>
      <c r="S122" s="2">
        <v>0</v>
      </c>
      <c r="T122" s="2">
        <v>0</v>
      </c>
      <c r="U122" s="2">
        <v>7</v>
      </c>
      <c r="V122" s="2">
        <v>75</v>
      </c>
      <c r="W122" s="2">
        <v>1</v>
      </c>
      <c r="X122" s="2">
        <v>8</v>
      </c>
      <c r="Y122" s="2">
        <v>2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4">
        <f>Table2121418198590[[#This Row],[QB PY]]+Table2121418198590[[#This Row],[QB RY]]</f>
        <v>365</v>
      </c>
      <c r="AJ122" s="4">
        <f>Table2121418198590[[#This Row],[RB1 RY]]+Table2121418198590[[#This Row],[RB2+ RY]]+Table2121418198590[[#This Row],[RB1 RecY]]+Table2121418198590[[#This Row],[RB2 RecY]]</f>
        <v>144</v>
      </c>
    </row>
    <row r="123" spans="1:36" x14ac:dyDescent="0.35">
      <c r="A123" s="19" t="s">
        <v>45</v>
      </c>
      <c r="B123" s="1">
        <v>11</v>
      </c>
      <c r="C123" s="2">
        <v>150</v>
      </c>
      <c r="D123" s="2">
        <v>1</v>
      </c>
      <c r="E123" s="2">
        <v>0</v>
      </c>
      <c r="F123" s="2">
        <v>70</v>
      </c>
      <c r="G123" s="2">
        <v>45</v>
      </c>
      <c r="H123" s="2">
        <v>0</v>
      </c>
      <c r="I123" s="2">
        <v>3</v>
      </c>
      <c r="J123" s="2">
        <v>11</v>
      </c>
      <c r="K123" s="2">
        <v>0</v>
      </c>
      <c r="L123" s="2">
        <v>0</v>
      </c>
      <c r="M123" s="2">
        <v>5</v>
      </c>
      <c r="N123" s="2">
        <v>61</v>
      </c>
      <c r="O123" s="2">
        <v>2</v>
      </c>
      <c r="P123" s="2">
        <v>20</v>
      </c>
      <c r="Q123" s="2">
        <v>1</v>
      </c>
      <c r="R123" s="2">
        <v>16</v>
      </c>
      <c r="S123" s="2">
        <v>1</v>
      </c>
      <c r="T123" s="2">
        <v>6</v>
      </c>
      <c r="U123" s="2">
        <v>3</v>
      </c>
      <c r="V123" s="2">
        <v>39</v>
      </c>
      <c r="W123" s="2">
        <v>1</v>
      </c>
      <c r="X123" s="2">
        <v>-3</v>
      </c>
      <c r="Y123" s="2">
        <v>0</v>
      </c>
      <c r="Z123" s="2">
        <v>0</v>
      </c>
      <c r="AA123" s="2">
        <v>1</v>
      </c>
      <c r="AB123" s="2">
        <v>0</v>
      </c>
      <c r="AC123" s="2">
        <v>1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4">
        <f>Table2121418198590[[#This Row],[QB PY]]+Table2121418198590[[#This Row],[QB RY]]</f>
        <v>150</v>
      </c>
      <c r="AJ123" s="4">
        <f>Table2121418198590[[#This Row],[RB1 RY]]+Table2121418198590[[#This Row],[RB2+ RY]]+Table2121418198590[[#This Row],[RB1 RecY]]+Table2121418198590[[#This Row],[RB2 RecY]]</f>
        <v>126</v>
      </c>
    </row>
    <row r="124" spans="1:36" x14ac:dyDescent="0.35">
      <c r="A124" s="19" t="s">
        <v>51</v>
      </c>
      <c r="B124" s="1">
        <v>12</v>
      </c>
      <c r="C124" s="2">
        <v>171</v>
      </c>
      <c r="D124" s="2">
        <v>1</v>
      </c>
      <c r="E124" s="2">
        <v>7</v>
      </c>
      <c r="F124" s="2">
        <v>68</v>
      </c>
      <c r="G124" s="2">
        <v>92</v>
      </c>
      <c r="H124" s="2">
        <v>19</v>
      </c>
      <c r="I124" s="2">
        <v>6</v>
      </c>
      <c r="J124" s="2">
        <v>30</v>
      </c>
      <c r="K124" s="2">
        <v>0</v>
      </c>
      <c r="L124" s="2">
        <v>0</v>
      </c>
      <c r="M124" s="2">
        <v>5</v>
      </c>
      <c r="N124" s="2">
        <v>22</v>
      </c>
      <c r="O124" s="2">
        <v>4</v>
      </c>
      <c r="P124" s="2">
        <v>36</v>
      </c>
      <c r="Q124" s="2">
        <v>0</v>
      </c>
      <c r="R124" s="2">
        <v>0</v>
      </c>
      <c r="S124" s="2">
        <v>1</v>
      </c>
      <c r="T124" s="2">
        <v>21</v>
      </c>
      <c r="U124" s="2">
        <v>2</v>
      </c>
      <c r="V124" s="2">
        <v>22</v>
      </c>
      <c r="W124" s="2">
        <v>6</v>
      </c>
      <c r="X124" s="2">
        <v>40</v>
      </c>
      <c r="Y124" s="2">
        <v>0</v>
      </c>
      <c r="Z124" s="2">
        <v>1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  <c r="AF124" s="2">
        <v>0</v>
      </c>
      <c r="AG124" s="2">
        <v>1</v>
      </c>
      <c r="AH124" s="2">
        <v>1</v>
      </c>
      <c r="AI124" s="4">
        <f>Table2121418198590[[#This Row],[QB PY]]+Table2121418198590[[#This Row],[QB RY]]</f>
        <v>178</v>
      </c>
      <c r="AJ124" s="4">
        <f>Table2121418198590[[#This Row],[RB1 RY]]+Table2121418198590[[#This Row],[RB2+ RY]]+Table2121418198590[[#This Row],[RB1 RecY]]+Table2121418198590[[#This Row],[RB2 RecY]]</f>
        <v>190</v>
      </c>
    </row>
    <row r="125" spans="1:36" x14ac:dyDescent="0.35">
      <c r="A125" s="19" t="s">
        <v>50</v>
      </c>
      <c r="B125" s="1">
        <v>13</v>
      </c>
      <c r="C125" s="2">
        <v>230</v>
      </c>
      <c r="D125" s="2">
        <v>2</v>
      </c>
      <c r="E125" s="2">
        <v>31</v>
      </c>
      <c r="F125" s="2">
        <v>56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11</v>
      </c>
      <c r="M125" s="2">
        <v>10</v>
      </c>
      <c r="N125" s="2">
        <v>132</v>
      </c>
      <c r="O125" s="2">
        <v>5</v>
      </c>
      <c r="P125" s="2">
        <v>48</v>
      </c>
      <c r="Q125" s="2">
        <v>1</v>
      </c>
      <c r="R125" s="2">
        <v>12</v>
      </c>
      <c r="S125" s="2">
        <v>0</v>
      </c>
      <c r="T125" s="2">
        <v>0</v>
      </c>
      <c r="U125" s="2">
        <v>2</v>
      </c>
      <c r="V125" s="2">
        <v>27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2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4">
        <f>Table2121418198590[[#This Row],[QB PY]]+Table2121418198590[[#This Row],[QB RY]]</f>
        <v>261</v>
      </c>
      <c r="AJ125" s="4">
        <f>Table2121418198590[[#This Row],[RB1 RY]]+Table2121418198590[[#This Row],[RB2+ RY]]+Table2121418198590[[#This Row],[RB1 RecY]]+Table2121418198590[[#This Row],[RB2 RecY]]</f>
        <v>67</v>
      </c>
    </row>
    <row r="126" spans="1:36" x14ac:dyDescent="0.35">
      <c r="A126" s="19" t="s">
        <v>36</v>
      </c>
      <c r="B126" s="1">
        <v>14</v>
      </c>
      <c r="C126" s="2">
        <v>234</v>
      </c>
      <c r="D126" s="2">
        <v>3</v>
      </c>
      <c r="E126" s="2">
        <v>-1</v>
      </c>
      <c r="F126" s="2">
        <v>86</v>
      </c>
      <c r="G126" s="2">
        <v>10</v>
      </c>
      <c r="H126" s="2">
        <v>22</v>
      </c>
      <c r="I126" s="2">
        <v>2</v>
      </c>
      <c r="J126" s="2">
        <v>6</v>
      </c>
      <c r="K126" s="2">
        <v>1</v>
      </c>
      <c r="L126" s="2">
        <v>6</v>
      </c>
      <c r="M126" s="2">
        <v>4</v>
      </c>
      <c r="N126" s="2">
        <v>89</v>
      </c>
      <c r="O126" s="2">
        <v>0</v>
      </c>
      <c r="P126" s="2">
        <v>0</v>
      </c>
      <c r="Q126" s="2">
        <v>4</v>
      </c>
      <c r="R126" s="2">
        <v>31</v>
      </c>
      <c r="S126" s="2">
        <v>1</v>
      </c>
      <c r="T126" s="2">
        <v>45</v>
      </c>
      <c r="U126" s="2">
        <v>2</v>
      </c>
      <c r="V126" s="2">
        <v>22</v>
      </c>
      <c r="W126" s="2">
        <v>3</v>
      </c>
      <c r="X126" s="2">
        <v>35</v>
      </c>
      <c r="Y126" s="2">
        <v>0</v>
      </c>
      <c r="Z126" s="2">
        <v>1</v>
      </c>
      <c r="AA126" s="2">
        <v>0</v>
      </c>
      <c r="AB126" s="2">
        <v>2</v>
      </c>
      <c r="AC126" s="2">
        <v>0</v>
      </c>
      <c r="AD126" s="2">
        <v>0</v>
      </c>
      <c r="AE126" s="2">
        <v>1</v>
      </c>
      <c r="AF126" s="2">
        <v>0</v>
      </c>
      <c r="AG126" s="2">
        <v>0</v>
      </c>
      <c r="AH126" s="2">
        <v>0</v>
      </c>
      <c r="AI126" s="4">
        <f>Table2121418198590[[#This Row],[QB PY]]+Table2121418198590[[#This Row],[QB RY]]</f>
        <v>233</v>
      </c>
      <c r="AJ126" s="4">
        <f>Table2121418198590[[#This Row],[RB1 RY]]+Table2121418198590[[#This Row],[RB2+ RY]]+Table2121418198590[[#This Row],[RB1 RecY]]+Table2121418198590[[#This Row],[RB2 RecY]]</f>
        <v>108</v>
      </c>
    </row>
    <row r="127" spans="1:36" x14ac:dyDescent="0.35">
      <c r="A127" s="19" t="s">
        <v>32</v>
      </c>
      <c r="B127" s="1">
        <v>15</v>
      </c>
      <c r="C127" s="2">
        <v>177</v>
      </c>
      <c r="D127" s="2">
        <v>0</v>
      </c>
      <c r="E127" s="2">
        <v>24</v>
      </c>
      <c r="F127" s="2">
        <v>21</v>
      </c>
      <c r="G127" s="2">
        <v>3</v>
      </c>
      <c r="H127" s="2">
        <v>2</v>
      </c>
      <c r="I127" s="2">
        <v>3</v>
      </c>
      <c r="J127" s="2">
        <v>-4</v>
      </c>
      <c r="K127" s="2">
        <v>2</v>
      </c>
      <c r="L127" s="2">
        <v>4</v>
      </c>
      <c r="M127" s="2">
        <v>2</v>
      </c>
      <c r="N127" s="2">
        <v>22</v>
      </c>
      <c r="O127" s="2">
        <v>0</v>
      </c>
      <c r="P127" s="2">
        <v>0</v>
      </c>
      <c r="Q127" s="2">
        <v>2</v>
      </c>
      <c r="R127" s="2">
        <v>89</v>
      </c>
      <c r="S127" s="2">
        <v>2</v>
      </c>
      <c r="T127" s="2">
        <v>18</v>
      </c>
      <c r="U127" s="2">
        <v>7</v>
      </c>
      <c r="V127" s="2">
        <v>48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4">
        <f>Table2121418198590[[#This Row],[QB PY]]+Table2121418198590[[#This Row],[QB RY]]</f>
        <v>201</v>
      </c>
      <c r="AJ127" s="4">
        <f>Table2121418198590[[#This Row],[RB1 RY]]+Table2121418198590[[#This Row],[RB2+ RY]]+Table2121418198590[[#This Row],[RB1 RecY]]+Table2121418198590[[#This Row],[RB2 RecY]]</f>
        <v>24</v>
      </c>
    </row>
    <row r="128" spans="1:36" x14ac:dyDescent="0.35">
      <c r="A128" s="19" t="s">
        <v>36</v>
      </c>
      <c r="B128" s="1">
        <v>16</v>
      </c>
      <c r="C128" s="2">
        <v>198</v>
      </c>
      <c r="D128" s="2">
        <v>1</v>
      </c>
      <c r="E128" s="2">
        <v>51</v>
      </c>
      <c r="F128" s="2">
        <v>82</v>
      </c>
      <c r="G128" s="2">
        <v>40</v>
      </c>
      <c r="H128" s="2">
        <v>19</v>
      </c>
      <c r="I128" s="2">
        <v>2</v>
      </c>
      <c r="J128" s="2">
        <v>12</v>
      </c>
      <c r="K128" s="2">
        <v>0</v>
      </c>
      <c r="L128" s="2">
        <v>0</v>
      </c>
      <c r="M128" s="2">
        <v>2</v>
      </c>
      <c r="N128" s="2">
        <v>17</v>
      </c>
      <c r="O128" s="2">
        <v>5</v>
      </c>
      <c r="P128" s="2">
        <v>84</v>
      </c>
      <c r="Q128" s="2">
        <v>3</v>
      </c>
      <c r="R128" s="2">
        <v>35</v>
      </c>
      <c r="S128" s="2">
        <v>2</v>
      </c>
      <c r="T128" s="2">
        <v>12</v>
      </c>
      <c r="U128" s="2">
        <v>3</v>
      </c>
      <c r="V128" s="2">
        <v>38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4">
        <f>Table2121418198590[[#This Row],[QB PY]]+Table2121418198590[[#This Row],[QB RY]]</f>
        <v>249</v>
      </c>
      <c r="AJ128" s="4">
        <f>Table2121418198590[[#This Row],[RB1 RY]]+Table2121418198590[[#This Row],[RB2+ RY]]+Table2121418198590[[#This Row],[RB1 RecY]]+Table2121418198590[[#This Row],[RB2 RecY]]</f>
        <v>134</v>
      </c>
    </row>
    <row r="129" spans="1:36" x14ac:dyDescent="0.35">
      <c r="A129" s="19" t="s">
        <v>53</v>
      </c>
      <c r="B129" s="1">
        <v>17</v>
      </c>
      <c r="C129" s="2">
        <v>303</v>
      </c>
      <c r="D129" s="2">
        <v>3</v>
      </c>
      <c r="E129" s="2">
        <v>28</v>
      </c>
      <c r="F129" s="2">
        <v>140</v>
      </c>
      <c r="G129" s="2">
        <v>22</v>
      </c>
      <c r="H129" s="2">
        <v>10</v>
      </c>
      <c r="I129" s="2">
        <v>4</v>
      </c>
      <c r="J129" s="2">
        <v>41</v>
      </c>
      <c r="K129" s="2">
        <v>2</v>
      </c>
      <c r="L129" s="2">
        <v>20</v>
      </c>
      <c r="M129" s="2">
        <v>2</v>
      </c>
      <c r="N129" s="2">
        <v>42</v>
      </c>
      <c r="O129" s="2">
        <v>5</v>
      </c>
      <c r="P129" s="2">
        <v>85</v>
      </c>
      <c r="Q129" s="2">
        <v>2</v>
      </c>
      <c r="R129" s="2">
        <v>30</v>
      </c>
      <c r="S129" s="2">
        <v>1</v>
      </c>
      <c r="T129" s="2">
        <v>25</v>
      </c>
      <c r="U129" s="2">
        <v>7</v>
      </c>
      <c r="V129" s="2">
        <v>60</v>
      </c>
      <c r="W129" s="2">
        <v>0</v>
      </c>
      <c r="X129" s="2">
        <v>0</v>
      </c>
      <c r="Y129" s="2">
        <v>2</v>
      </c>
      <c r="Z129" s="2">
        <v>1</v>
      </c>
      <c r="AA129" s="2">
        <v>1</v>
      </c>
      <c r="AB129" s="2">
        <v>1</v>
      </c>
      <c r="AC129" s="2">
        <v>0</v>
      </c>
      <c r="AD129" s="2">
        <v>0</v>
      </c>
      <c r="AE129" s="2">
        <v>0</v>
      </c>
      <c r="AF129" s="2">
        <v>1</v>
      </c>
      <c r="AG129" s="2">
        <v>0</v>
      </c>
      <c r="AH129" s="2">
        <v>0</v>
      </c>
      <c r="AI129" s="4">
        <f>Table2121418198590[[#This Row],[QB PY]]+Table2121418198590[[#This Row],[QB RY]]</f>
        <v>331</v>
      </c>
      <c r="AJ129" s="4">
        <f>Table2121418198590[[#This Row],[RB1 RY]]+Table2121418198590[[#This Row],[RB2+ RY]]+Table2121418198590[[#This Row],[RB1 RecY]]+Table2121418198590[[#This Row],[RB2 RecY]]</f>
        <v>223</v>
      </c>
    </row>
    <row r="130" spans="1:36" x14ac:dyDescent="0.35">
      <c r="A130" s="19" t="s">
        <v>35</v>
      </c>
      <c r="B130" s="1">
        <v>18</v>
      </c>
      <c r="C130" s="2">
        <v>331</v>
      </c>
      <c r="D130" s="2">
        <v>1</v>
      </c>
      <c r="E130" s="2">
        <v>0</v>
      </c>
      <c r="F130" s="2">
        <v>80</v>
      </c>
      <c r="G130" s="2">
        <v>42</v>
      </c>
      <c r="H130" s="2">
        <v>0</v>
      </c>
      <c r="I130" s="2">
        <v>3</v>
      </c>
      <c r="J130" s="2">
        <v>33</v>
      </c>
      <c r="K130" s="2">
        <v>1</v>
      </c>
      <c r="L130" s="2">
        <v>13</v>
      </c>
      <c r="M130" s="2">
        <v>11</v>
      </c>
      <c r="N130" s="2">
        <v>139</v>
      </c>
      <c r="O130" s="2">
        <v>6</v>
      </c>
      <c r="P130" s="2">
        <v>74</v>
      </c>
      <c r="Q130" s="2">
        <v>1</v>
      </c>
      <c r="R130" s="2">
        <v>18</v>
      </c>
      <c r="S130" s="2">
        <v>3</v>
      </c>
      <c r="T130" s="2">
        <v>52</v>
      </c>
      <c r="U130" s="2">
        <v>2</v>
      </c>
      <c r="V130" s="2">
        <v>2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4">
        <f>Table2121418198590[[#This Row],[QB PY]]+Table2121418198590[[#This Row],[QB RY]]</f>
        <v>331</v>
      </c>
      <c r="AJ130" s="4">
        <f>Table2121418198590[[#This Row],[RB1 RY]]+Table2121418198590[[#This Row],[RB2+ RY]]+Table2121418198590[[#This Row],[RB1 RecY]]+Table2121418198590[[#This Row],[RB2 RecY]]</f>
        <v>168</v>
      </c>
    </row>
    <row r="131" spans="1:36" x14ac:dyDescent="0.35">
      <c r="B131" s="1" t="s">
        <v>57</v>
      </c>
      <c r="C131" s="3">
        <f>AVERAGE(Table2121418198590[QB PY])</f>
        <v>239.23529411764707</v>
      </c>
      <c r="D131" s="3">
        <f>AVERAGE(Table2121418198590[P TD])</f>
        <v>1.8823529411764706</v>
      </c>
      <c r="E131" s="3">
        <f>AVERAGE(Table2121418198590[QB RY])</f>
        <v>23.058823529411764</v>
      </c>
      <c r="F131" s="3">
        <f>AVERAGE(Table2121418198590[RB1 RY])</f>
        <v>73.352941176470594</v>
      </c>
      <c r="G131" s="3">
        <f>AVERAGE(Table2121418198590[RB2+ RY])</f>
        <v>30.882352941176471</v>
      </c>
      <c r="H131" s="3">
        <f>AVERAGE(Table2121418198590[WR RY])</f>
        <v>7.2352941176470589</v>
      </c>
      <c r="I131" s="3">
        <f>AVERAGE(Table2121418198590[RB1 Recep])</f>
        <v>3</v>
      </c>
      <c r="J131" s="3">
        <f>AVERAGE(Table2121418198590[RB1 RecY])</f>
        <v>20.705882352941178</v>
      </c>
      <c r="K131" s="3">
        <f>AVERAGE(Table2121418198590[RB2 Recep])</f>
        <v>1</v>
      </c>
      <c r="L131" s="3">
        <f>AVERAGE(Table2121418198590[RB2 RecY])</f>
        <v>6.9411764705882355</v>
      </c>
      <c r="M131" s="3">
        <f>AVERAGE(Table2121418198590[WR1 Recep])</f>
        <v>5.3529411764705879</v>
      </c>
      <c r="N131" s="3">
        <f>AVERAGE(Table2121418198590[WR1 RecY])</f>
        <v>66.470588235294116</v>
      </c>
      <c r="O131" s="3">
        <f>AVERAGE(Table2121418198590[WR2 Recep])</f>
        <v>3.1176470588235294</v>
      </c>
      <c r="P131" s="3">
        <f>AVERAGE(Table2121418198590[WR2 RecY])</f>
        <v>50.235294117647058</v>
      </c>
      <c r="Q131" s="3">
        <f>AVERAGE(Table2121418198590[WR3 Recep])</f>
        <v>1.4705882352941178</v>
      </c>
      <c r="R131" s="3">
        <f>AVERAGE(Table2121418198590[WR3 RecY])</f>
        <v>25.235294117647058</v>
      </c>
      <c r="S131" s="3">
        <f>AVERAGE(Table2121418198590[WR4+ Recep])</f>
        <v>1.1176470588235294</v>
      </c>
      <c r="T131" s="3">
        <f>AVERAGE(Table2121418198590[WR4+ RecY])</f>
        <v>18.117647058823529</v>
      </c>
      <c r="U131" s="3">
        <f>AVERAGE(Table2121418198590[TE1 Recep])</f>
        <v>4.4117647058823533</v>
      </c>
      <c r="V131" s="3">
        <f>AVERAGE(Table2121418198590[TE1 RecY])</f>
        <v>40.352941176470587</v>
      </c>
      <c r="W131" s="3">
        <f>AVERAGE(Table2121418198590[TE2 Recep])</f>
        <v>1.3529411764705883</v>
      </c>
      <c r="X131" s="3">
        <f>AVERAGE(Table2121418198590[TE2 RecY])</f>
        <v>11.176470588235293</v>
      </c>
      <c r="Y131" s="3">
        <f>AVERAGE(Table2121418198590[QB TD])</f>
        <v>0.29411764705882354</v>
      </c>
      <c r="Z131" s="3">
        <f>AVERAGE(Table2121418198590[RB1 TD])</f>
        <v>0.6470588235294118</v>
      </c>
      <c r="AA131" s="3">
        <f>AVERAGE(Table2121418198590[RB2 TD])</f>
        <v>0.17647058823529413</v>
      </c>
      <c r="AB131" s="3">
        <f>AVERAGE(Table2121418198590[WR1 TD])</f>
        <v>0.82352941176470584</v>
      </c>
      <c r="AC131" s="3">
        <f>AVERAGE(Table2121418198590[WR2 TD])</f>
        <v>0.29411764705882354</v>
      </c>
      <c r="AD131" s="3">
        <f>AVERAGE(Table2121418198590[WR3 TD])</f>
        <v>5.8823529411764705E-2</v>
      </c>
      <c r="AE131" s="3">
        <f>AVERAGE(Table2121418198590[WR4+ TD])</f>
        <v>0.11764705882352941</v>
      </c>
      <c r="AF131" s="3">
        <f>AVERAGE(Table2121418198590[TE1 TD])</f>
        <v>0.17647058823529413</v>
      </c>
      <c r="AG131" s="3">
        <f>AVERAGE(Table2121418198590[TE2 TD])</f>
        <v>0.17647058823529413</v>
      </c>
      <c r="AH131" s="3">
        <f>AVERAGE(Table2121418198590[D/ST TD])</f>
        <v>0.11764705882352941</v>
      </c>
      <c r="AI131" s="3">
        <f>AVERAGE(Table2121418198590[QB P+R])</f>
        <v>262.29411764705884</v>
      </c>
      <c r="AJ131" s="3">
        <f>AVERAGE(Table2121418198590[RB R+R])</f>
        <v>131.88235294117646</v>
      </c>
    </row>
    <row r="133" spans="1:36" x14ac:dyDescent="0.35">
      <c r="A133" s="230" t="s">
        <v>31</v>
      </c>
      <c r="B133" s="230"/>
      <c r="C133" s="230"/>
      <c r="D133" s="230"/>
      <c r="E133" s="230"/>
      <c r="F133" s="230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</row>
    <row r="134" spans="1:36" x14ac:dyDescent="0.35">
      <c r="A134" s="20" t="s">
        <v>63</v>
      </c>
      <c r="B134" s="6" t="s">
        <v>1</v>
      </c>
      <c r="C134" s="7" t="s">
        <v>18</v>
      </c>
      <c r="D134" s="8" t="s">
        <v>19</v>
      </c>
      <c r="E134" s="9" t="s">
        <v>20</v>
      </c>
      <c r="F134" s="10" t="s">
        <v>21</v>
      </c>
      <c r="G134" s="11" t="s">
        <v>22</v>
      </c>
      <c r="H134" s="12" t="s">
        <v>23</v>
      </c>
      <c r="I134" s="13" t="s">
        <v>667</v>
      </c>
      <c r="J134" s="13" t="s">
        <v>668</v>
      </c>
      <c r="K134" s="13" t="s">
        <v>665</v>
      </c>
      <c r="L134" s="13" t="s">
        <v>666</v>
      </c>
      <c r="M134" s="14" t="s">
        <v>2</v>
      </c>
      <c r="N134" s="14" t="s">
        <v>24</v>
      </c>
      <c r="O134" s="15" t="s">
        <v>3</v>
      </c>
      <c r="P134" s="15" t="s">
        <v>25</v>
      </c>
      <c r="Q134" s="16" t="s">
        <v>4</v>
      </c>
      <c r="R134" s="16" t="s">
        <v>26</v>
      </c>
      <c r="S134" s="17" t="s">
        <v>5</v>
      </c>
      <c r="T134" s="17" t="s">
        <v>27</v>
      </c>
      <c r="U134" s="18" t="s">
        <v>669</v>
      </c>
      <c r="V134" s="18" t="s">
        <v>670</v>
      </c>
      <c r="W134" s="18" t="s">
        <v>675</v>
      </c>
      <c r="X134" s="18" t="s">
        <v>671</v>
      </c>
      <c r="Y134" s="6" t="s">
        <v>6</v>
      </c>
      <c r="Z134" s="6" t="s">
        <v>7</v>
      </c>
      <c r="AA134" s="6" t="s">
        <v>674</v>
      </c>
      <c r="AB134" s="6" t="s">
        <v>8</v>
      </c>
      <c r="AC134" s="6" t="s">
        <v>9</v>
      </c>
      <c r="AD134" s="6" t="s">
        <v>10</v>
      </c>
      <c r="AE134" s="6" t="s">
        <v>11</v>
      </c>
      <c r="AF134" s="6" t="s">
        <v>673</v>
      </c>
      <c r="AG134" s="6" t="s">
        <v>672</v>
      </c>
      <c r="AH134" s="6" t="s">
        <v>12</v>
      </c>
      <c r="AI134" s="8" t="s">
        <v>14</v>
      </c>
      <c r="AJ134" s="11" t="s">
        <v>13</v>
      </c>
    </row>
    <row r="135" spans="1:36" x14ac:dyDescent="0.35">
      <c r="A135" s="19" t="s">
        <v>32</v>
      </c>
      <c r="B135" s="5">
        <v>1</v>
      </c>
      <c r="C135" s="4">
        <v>290</v>
      </c>
      <c r="D135" s="4">
        <v>1</v>
      </c>
      <c r="E135" s="4">
        <v>6</v>
      </c>
      <c r="F135" s="4">
        <v>29</v>
      </c>
      <c r="G135" s="4">
        <v>11</v>
      </c>
      <c r="H135" s="4">
        <v>3</v>
      </c>
      <c r="I135" s="4">
        <v>8</v>
      </c>
      <c r="J135" s="4">
        <v>64</v>
      </c>
      <c r="K135" s="4">
        <v>1</v>
      </c>
      <c r="L135" s="4">
        <v>-3</v>
      </c>
      <c r="M135" s="4">
        <v>5</v>
      </c>
      <c r="N135" s="4">
        <v>66</v>
      </c>
      <c r="O135" s="4">
        <v>5</v>
      </c>
      <c r="P135" s="4">
        <v>52</v>
      </c>
      <c r="Q135" s="4">
        <v>1</v>
      </c>
      <c r="R135" s="4">
        <v>6</v>
      </c>
      <c r="S135" s="4">
        <v>1</v>
      </c>
      <c r="T135" s="4">
        <v>5</v>
      </c>
      <c r="U135" s="4">
        <v>3</v>
      </c>
      <c r="V135" s="4">
        <v>37</v>
      </c>
      <c r="W135" s="4">
        <v>7</v>
      </c>
      <c r="X135" s="4">
        <v>63</v>
      </c>
      <c r="Y135" s="4">
        <v>0</v>
      </c>
      <c r="Z135" s="4">
        <v>0</v>
      </c>
      <c r="AA135" s="4">
        <v>1</v>
      </c>
      <c r="AB135" s="4">
        <v>0</v>
      </c>
      <c r="AC135" s="4">
        <v>1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f>Table2121418198589[[#This Row],[QB PY]]+Table2121418198589[[#This Row],[QB RY]]</f>
        <v>296</v>
      </c>
      <c r="AJ135" s="4">
        <f>Table2121418198589[[#This Row],[RB1 RY]]+Table2121418198589[[#This Row],[RB2+ RY]]+Table2121418198589[[#This Row],[RB1 RecY]]+Table2121418198589[[#This Row],[RB2 RecY]]</f>
        <v>101</v>
      </c>
    </row>
    <row r="136" spans="1:36" x14ac:dyDescent="0.35">
      <c r="A136" s="19" t="s">
        <v>39</v>
      </c>
      <c r="B136" s="1">
        <v>2</v>
      </c>
      <c r="C136" s="2">
        <v>271</v>
      </c>
      <c r="D136" s="2">
        <v>3</v>
      </c>
      <c r="E136" s="2">
        <v>4</v>
      </c>
      <c r="F136" s="2">
        <v>71</v>
      </c>
      <c r="G136" s="2">
        <v>55</v>
      </c>
      <c r="H136" s="2">
        <v>9</v>
      </c>
      <c r="I136" s="2">
        <v>2</v>
      </c>
      <c r="J136" s="2">
        <v>18</v>
      </c>
      <c r="K136" s="2">
        <v>2</v>
      </c>
      <c r="L136" s="2">
        <v>32</v>
      </c>
      <c r="M136" s="2">
        <v>4</v>
      </c>
      <c r="N136" s="2">
        <v>49</v>
      </c>
      <c r="O136" s="2">
        <v>3</v>
      </c>
      <c r="P136" s="2">
        <v>22</v>
      </c>
      <c r="Q136" s="2">
        <v>5</v>
      </c>
      <c r="R136" s="2">
        <v>57</v>
      </c>
      <c r="S136" s="2">
        <v>5</v>
      </c>
      <c r="T136" s="2">
        <v>76</v>
      </c>
      <c r="U136" s="2">
        <v>3</v>
      </c>
      <c r="V136" s="2">
        <v>17</v>
      </c>
      <c r="W136" s="2">
        <v>0</v>
      </c>
      <c r="X136" s="2">
        <v>0</v>
      </c>
      <c r="Y136" s="2">
        <v>0</v>
      </c>
      <c r="Z136" s="2">
        <v>1</v>
      </c>
      <c r="AA136" s="2">
        <v>1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4">
        <f>Table2121418198589[[#This Row],[QB PY]]+Table2121418198589[[#This Row],[QB RY]]</f>
        <v>275</v>
      </c>
      <c r="AJ136" s="4">
        <f>Table2121418198589[[#This Row],[RB1 RY]]+Table2121418198589[[#This Row],[RB2+ RY]]+Table2121418198589[[#This Row],[RB1 RecY]]+Table2121418198589[[#This Row],[RB2 RecY]]</f>
        <v>176</v>
      </c>
    </row>
    <row r="137" spans="1:36" x14ac:dyDescent="0.35">
      <c r="A137" s="19" t="s">
        <v>45</v>
      </c>
      <c r="B137" s="1">
        <v>3</v>
      </c>
      <c r="C137" s="2">
        <v>202</v>
      </c>
      <c r="D137" s="2">
        <v>2</v>
      </c>
      <c r="E137" s="2">
        <v>4</v>
      </c>
      <c r="F137" s="2">
        <v>116</v>
      </c>
      <c r="G137" s="2">
        <v>49</v>
      </c>
      <c r="H137" s="2">
        <v>0</v>
      </c>
      <c r="I137" s="2">
        <v>0</v>
      </c>
      <c r="J137" s="2">
        <v>0</v>
      </c>
      <c r="K137" s="2">
        <v>1</v>
      </c>
      <c r="L137" s="2">
        <v>20</v>
      </c>
      <c r="M137" s="2">
        <v>5</v>
      </c>
      <c r="N137" s="2">
        <v>75</v>
      </c>
      <c r="O137" s="2">
        <v>3</v>
      </c>
      <c r="P137" s="2">
        <v>37</v>
      </c>
      <c r="Q137" s="2">
        <v>0</v>
      </c>
      <c r="R137" s="2">
        <v>0</v>
      </c>
      <c r="S137" s="2">
        <v>1</v>
      </c>
      <c r="T137" s="2">
        <v>9</v>
      </c>
      <c r="U137" s="2">
        <v>5</v>
      </c>
      <c r="V137" s="2">
        <v>49</v>
      </c>
      <c r="W137" s="2">
        <v>1</v>
      </c>
      <c r="X137" s="2">
        <v>12</v>
      </c>
      <c r="Y137" s="2">
        <v>0</v>
      </c>
      <c r="Z137" s="2">
        <v>2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</v>
      </c>
      <c r="AG137" s="2">
        <v>1</v>
      </c>
      <c r="AH137" s="2">
        <v>2</v>
      </c>
      <c r="AI137" s="4">
        <f>Table2121418198589[[#This Row],[QB PY]]+Table2121418198589[[#This Row],[QB RY]]</f>
        <v>206</v>
      </c>
      <c r="AJ137" s="4">
        <f>Table2121418198589[[#This Row],[RB1 RY]]+Table2121418198589[[#This Row],[RB2+ RY]]+Table2121418198589[[#This Row],[RB1 RecY]]+Table2121418198589[[#This Row],[RB2 RecY]]</f>
        <v>185</v>
      </c>
    </row>
    <row r="138" spans="1:36" x14ac:dyDescent="0.35">
      <c r="A138" s="19" t="s">
        <v>34</v>
      </c>
      <c r="B138" s="1">
        <v>4</v>
      </c>
      <c r="C138" s="2">
        <v>326</v>
      </c>
      <c r="D138" s="2">
        <v>2</v>
      </c>
      <c r="E138" s="2">
        <v>7</v>
      </c>
      <c r="F138" s="2">
        <v>101</v>
      </c>
      <c r="G138" s="2">
        <v>62</v>
      </c>
      <c r="H138" s="2">
        <v>16</v>
      </c>
      <c r="I138" s="2">
        <v>1</v>
      </c>
      <c r="J138" s="2">
        <v>4</v>
      </c>
      <c r="K138" s="2">
        <v>5</v>
      </c>
      <c r="L138" s="2">
        <v>51</v>
      </c>
      <c r="M138" s="2">
        <v>5</v>
      </c>
      <c r="N138" s="2">
        <v>81</v>
      </c>
      <c r="O138" s="2">
        <v>4</v>
      </c>
      <c r="P138" s="2">
        <v>55</v>
      </c>
      <c r="Q138" s="2">
        <v>6</v>
      </c>
      <c r="R138" s="2">
        <v>69</v>
      </c>
      <c r="S138" s="2">
        <v>0</v>
      </c>
      <c r="T138" s="2">
        <v>0</v>
      </c>
      <c r="U138" s="2">
        <v>4</v>
      </c>
      <c r="V138" s="2">
        <v>29</v>
      </c>
      <c r="W138" s="2">
        <v>4</v>
      </c>
      <c r="X138" s="2">
        <v>37</v>
      </c>
      <c r="Y138" s="2">
        <v>1</v>
      </c>
      <c r="Z138" s="2">
        <v>0</v>
      </c>
      <c r="AA138" s="2">
        <v>1</v>
      </c>
      <c r="AB138" s="2">
        <v>1</v>
      </c>
      <c r="AC138" s="2">
        <v>0</v>
      </c>
      <c r="AD138" s="2">
        <v>1</v>
      </c>
      <c r="AE138" s="2">
        <v>0</v>
      </c>
      <c r="AF138" s="2">
        <v>0</v>
      </c>
      <c r="AG138" s="2">
        <v>0</v>
      </c>
      <c r="AH138" s="2">
        <v>0</v>
      </c>
      <c r="AI138" s="4">
        <f>Table2121418198589[[#This Row],[QB PY]]+Table2121418198589[[#This Row],[QB RY]]</f>
        <v>333</v>
      </c>
      <c r="AJ138" s="4">
        <f>Table2121418198589[[#This Row],[RB1 RY]]+Table2121418198589[[#This Row],[RB2+ RY]]+Table2121418198589[[#This Row],[RB1 RecY]]+Table2121418198589[[#This Row],[RB2 RecY]]</f>
        <v>218</v>
      </c>
    </row>
    <row r="139" spans="1:36" x14ac:dyDescent="0.35">
      <c r="A139" s="19" t="s">
        <v>35</v>
      </c>
      <c r="B139" s="1">
        <v>5</v>
      </c>
      <c r="C139" s="2">
        <v>261</v>
      </c>
      <c r="D139" s="2">
        <v>4</v>
      </c>
      <c r="E139" s="2">
        <v>-2</v>
      </c>
      <c r="F139" s="2">
        <v>54</v>
      </c>
      <c r="G139" s="2">
        <v>65</v>
      </c>
      <c r="H139" s="2">
        <v>1</v>
      </c>
      <c r="I139" s="2">
        <v>2</v>
      </c>
      <c r="J139" s="2">
        <v>33</v>
      </c>
      <c r="K139" s="2">
        <v>1</v>
      </c>
      <c r="L139" s="2">
        <v>6</v>
      </c>
      <c r="M139" s="2">
        <v>8</v>
      </c>
      <c r="N139" s="2">
        <v>100</v>
      </c>
      <c r="O139" s="2">
        <v>1</v>
      </c>
      <c r="P139" s="2">
        <v>9</v>
      </c>
      <c r="Q139" s="2">
        <v>1</v>
      </c>
      <c r="R139" s="2">
        <v>12</v>
      </c>
      <c r="S139" s="2">
        <v>0</v>
      </c>
      <c r="T139" s="2">
        <v>0</v>
      </c>
      <c r="U139" s="2">
        <v>5</v>
      </c>
      <c r="V139" s="2">
        <v>92</v>
      </c>
      <c r="W139" s="2">
        <v>2</v>
      </c>
      <c r="X139" s="2">
        <v>9</v>
      </c>
      <c r="Y139" s="2">
        <v>0</v>
      </c>
      <c r="Z139" s="2">
        <v>1</v>
      </c>
      <c r="AA139" s="2">
        <v>1</v>
      </c>
      <c r="AB139" s="2">
        <v>0</v>
      </c>
      <c r="AC139" s="2">
        <v>0</v>
      </c>
      <c r="AD139" s="2">
        <v>1</v>
      </c>
      <c r="AE139" s="2">
        <v>0</v>
      </c>
      <c r="AF139" s="2">
        <v>1</v>
      </c>
      <c r="AG139" s="2">
        <v>1</v>
      </c>
      <c r="AH139" s="2">
        <v>0</v>
      </c>
      <c r="AI139" s="4">
        <f>Table2121418198589[[#This Row],[QB PY]]+Table2121418198589[[#This Row],[QB RY]]</f>
        <v>259</v>
      </c>
      <c r="AJ139" s="4">
        <f>Table2121418198589[[#This Row],[RB1 RY]]+Table2121418198589[[#This Row],[RB2+ RY]]+Table2121418198589[[#This Row],[RB1 RecY]]+Table2121418198589[[#This Row],[RB2 RecY]]</f>
        <v>158</v>
      </c>
    </row>
    <row r="140" spans="1:36" x14ac:dyDescent="0.35">
      <c r="A140" s="19" t="s">
        <v>36</v>
      </c>
      <c r="B140" s="1">
        <v>6</v>
      </c>
      <c r="C140" s="2">
        <v>259</v>
      </c>
      <c r="D140" s="2">
        <v>1</v>
      </c>
      <c r="E140" s="2">
        <v>26</v>
      </c>
      <c r="F140" s="2">
        <v>93</v>
      </c>
      <c r="G140" s="2">
        <v>12</v>
      </c>
      <c r="H140" s="2">
        <v>22</v>
      </c>
      <c r="I140" s="2">
        <v>5</v>
      </c>
      <c r="J140" s="2">
        <v>57</v>
      </c>
      <c r="K140" s="2">
        <v>1</v>
      </c>
      <c r="L140" s="2">
        <v>-4</v>
      </c>
      <c r="M140" s="2">
        <v>3</v>
      </c>
      <c r="N140" s="2">
        <v>86</v>
      </c>
      <c r="O140" s="2">
        <v>5</v>
      </c>
      <c r="P140" s="2">
        <v>55</v>
      </c>
      <c r="Q140" s="2">
        <v>2</v>
      </c>
      <c r="R140" s="2">
        <v>15</v>
      </c>
      <c r="S140" s="2">
        <v>0</v>
      </c>
      <c r="T140" s="2">
        <v>0</v>
      </c>
      <c r="U140" s="2">
        <v>2</v>
      </c>
      <c r="V140" s="2">
        <v>43</v>
      </c>
      <c r="W140" s="2">
        <v>1</v>
      </c>
      <c r="X140" s="2">
        <v>7</v>
      </c>
      <c r="Y140" s="2">
        <v>0</v>
      </c>
      <c r="Z140" s="2">
        <v>2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</v>
      </c>
      <c r="AG140" s="2">
        <v>0</v>
      </c>
      <c r="AH140" s="2">
        <v>0</v>
      </c>
      <c r="AI140" s="4">
        <f>Table2121418198589[[#This Row],[QB PY]]+Table2121418198589[[#This Row],[QB RY]]</f>
        <v>285</v>
      </c>
      <c r="AJ140" s="4">
        <f>Table2121418198589[[#This Row],[RB1 RY]]+Table2121418198589[[#This Row],[RB2+ RY]]+Table2121418198589[[#This Row],[RB1 RecY]]+Table2121418198589[[#This Row],[RB2 RecY]]</f>
        <v>158</v>
      </c>
    </row>
    <row r="141" spans="1:36" x14ac:dyDescent="0.35">
      <c r="A141" s="19" t="s">
        <v>51</v>
      </c>
      <c r="B141" s="1">
        <v>7</v>
      </c>
      <c r="C141" s="2">
        <v>249</v>
      </c>
      <c r="D141" s="2">
        <v>4</v>
      </c>
      <c r="E141" s="2">
        <v>6</v>
      </c>
      <c r="F141" s="2">
        <v>127</v>
      </c>
      <c r="G141" s="2">
        <v>14</v>
      </c>
      <c r="H141" s="2">
        <v>0</v>
      </c>
      <c r="I141" s="2">
        <v>4</v>
      </c>
      <c r="J141" s="2">
        <v>31</v>
      </c>
      <c r="K141" s="2">
        <v>2</v>
      </c>
      <c r="L141" s="2">
        <v>1</v>
      </c>
      <c r="M141" s="2">
        <v>3</v>
      </c>
      <c r="N141" s="2">
        <v>50</v>
      </c>
      <c r="O141" s="2">
        <v>2</v>
      </c>
      <c r="P141" s="2">
        <v>17</v>
      </c>
      <c r="Q141" s="2">
        <v>1</v>
      </c>
      <c r="R141" s="2">
        <v>9</v>
      </c>
      <c r="S141" s="2">
        <v>0</v>
      </c>
      <c r="T141" s="2">
        <v>0</v>
      </c>
      <c r="U141" s="2">
        <v>5</v>
      </c>
      <c r="V141" s="2">
        <v>111</v>
      </c>
      <c r="W141" s="2">
        <v>6</v>
      </c>
      <c r="X141" s="2">
        <v>30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2</v>
      </c>
      <c r="AG141" s="2">
        <v>2</v>
      </c>
      <c r="AH141" s="2">
        <v>0</v>
      </c>
      <c r="AI141" s="4">
        <f>Table2121418198589[[#This Row],[QB PY]]+Table2121418198589[[#This Row],[QB RY]]</f>
        <v>255</v>
      </c>
      <c r="AJ141" s="4">
        <f>Table2121418198589[[#This Row],[RB1 RY]]+Table2121418198589[[#This Row],[RB2+ RY]]+Table2121418198589[[#This Row],[RB1 RecY]]+Table2121418198589[[#This Row],[RB2 RecY]]</f>
        <v>173</v>
      </c>
    </row>
    <row r="142" spans="1:36" x14ac:dyDescent="0.35">
      <c r="A142" s="19" t="s">
        <v>49</v>
      </c>
      <c r="B142" s="1">
        <v>8</v>
      </c>
      <c r="C142" s="2">
        <v>248</v>
      </c>
      <c r="D142" s="2">
        <v>2</v>
      </c>
      <c r="E142" s="2">
        <v>31</v>
      </c>
      <c r="F142" s="2">
        <v>133</v>
      </c>
      <c r="G142" s="2">
        <v>65</v>
      </c>
      <c r="H142" s="2">
        <v>25</v>
      </c>
      <c r="I142" s="2">
        <v>2</v>
      </c>
      <c r="J142" s="2">
        <v>14</v>
      </c>
      <c r="K142" s="2">
        <v>6</v>
      </c>
      <c r="L142" s="2">
        <v>53</v>
      </c>
      <c r="M142" s="2">
        <v>3</v>
      </c>
      <c r="N142" s="2">
        <v>64</v>
      </c>
      <c r="O142" s="2">
        <v>1</v>
      </c>
      <c r="P142" s="2">
        <v>5</v>
      </c>
      <c r="Q142" s="2">
        <v>3</v>
      </c>
      <c r="R142" s="2">
        <v>31</v>
      </c>
      <c r="S142" s="2">
        <v>1</v>
      </c>
      <c r="T142" s="2">
        <v>23</v>
      </c>
      <c r="U142" s="2">
        <v>5</v>
      </c>
      <c r="V142" s="2">
        <v>34</v>
      </c>
      <c r="W142" s="2">
        <v>1</v>
      </c>
      <c r="X142" s="2">
        <v>24</v>
      </c>
      <c r="Y142" s="2">
        <v>0</v>
      </c>
      <c r="Z142" s="2">
        <v>2</v>
      </c>
      <c r="AA142" s="2">
        <v>0</v>
      </c>
      <c r="AB142" s="2">
        <v>1</v>
      </c>
      <c r="AC142" s="2">
        <v>0</v>
      </c>
      <c r="AD142" s="2">
        <v>0</v>
      </c>
      <c r="AE142" s="2">
        <v>0</v>
      </c>
      <c r="AF142" s="2">
        <v>1</v>
      </c>
      <c r="AG142" s="2">
        <v>0</v>
      </c>
      <c r="AH142" s="2">
        <v>0</v>
      </c>
      <c r="AI142" s="4">
        <f>Table2121418198589[[#This Row],[QB PY]]+Table2121418198589[[#This Row],[QB RY]]</f>
        <v>279</v>
      </c>
      <c r="AJ142" s="4">
        <f>Table2121418198589[[#This Row],[RB1 RY]]+Table2121418198589[[#This Row],[RB2+ RY]]+Table2121418198589[[#This Row],[RB1 RecY]]+Table2121418198589[[#This Row],[RB2 RecY]]</f>
        <v>265</v>
      </c>
    </row>
    <row r="143" spans="1:36" x14ac:dyDescent="0.35">
      <c r="A143" s="19" t="s">
        <v>30</v>
      </c>
      <c r="B143" s="1">
        <v>9</v>
      </c>
      <c r="C143" s="2">
        <v>302</v>
      </c>
      <c r="D143" s="2">
        <v>4</v>
      </c>
      <c r="E143" s="2">
        <v>53</v>
      </c>
      <c r="F143" s="2">
        <v>176</v>
      </c>
      <c r="G143" s="2">
        <v>37</v>
      </c>
      <c r="H143" s="2">
        <v>17</v>
      </c>
      <c r="I143" s="2">
        <v>3</v>
      </c>
      <c r="J143" s="2">
        <v>22</v>
      </c>
      <c r="K143" s="2">
        <v>0</v>
      </c>
      <c r="L143" s="2">
        <v>0</v>
      </c>
      <c r="M143" s="2">
        <v>4</v>
      </c>
      <c r="N143" s="2">
        <v>72</v>
      </c>
      <c r="O143" s="2">
        <v>0</v>
      </c>
      <c r="P143" s="2">
        <v>0</v>
      </c>
      <c r="Q143" s="2">
        <v>6</v>
      </c>
      <c r="R143" s="2">
        <v>58</v>
      </c>
      <c r="S143" s="2">
        <v>0</v>
      </c>
      <c r="T143" s="2">
        <v>0</v>
      </c>
      <c r="U143" s="2">
        <v>6</v>
      </c>
      <c r="V143" s="2">
        <v>118</v>
      </c>
      <c r="W143" s="2">
        <v>3</v>
      </c>
      <c r="X143" s="2">
        <v>32</v>
      </c>
      <c r="Y143" s="2">
        <v>1</v>
      </c>
      <c r="Z143" s="2">
        <v>0</v>
      </c>
      <c r="AA143" s="2">
        <v>1</v>
      </c>
      <c r="AB143" s="2">
        <v>1</v>
      </c>
      <c r="AC143" s="2">
        <v>0</v>
      </c>
      <c r="AD143" s="2">
        <v>1</v>
      </c>
      <c r="AE143" s="2">
        <v>0</v>
      </c>
      <c r="AF143" s="2">
        <v>2</v>
      </c>
      <c r="AG143" s="2">
        <v>0</v>
      </c>
      <c r="AH143" s="2">
        <v>0</v>
      </c>
      <c r="AI143" s="4">
        <f>Table2121418198589[[#This Row],[QB PY]]+Table2121418198589[[#This Row],[QB RY]]</f>
        <v>355</v>
      </c>
      <c r="AJ143" s="4">
        <f>Table2121418198589[[#This Row],[RB1 RY]]+Table2121418198589[[#This Row],[RB2+ RY]]+Table2121418198589[[#This Row],[RB1 RecY]]+Table2121418198589[[#This Row],[RB2 RecY]]</f>
        <v>235</v>
      </c>
    </row>
    <row r="144" spans="1:36" x14ac:dyDescent="0.35">
      <c r="A144" s="19" t="s">
        <v>650</v>
      </c>
      <c r="B144" s="1">
        <v>10</v>
      </c>
      <c r="C144" s="2" t="s">
        <v>697</v>
      </c>
      <c r="D144" s="2" t="s">
        <v>697</v>
      </c>
      <c r="E144" s="2" t="s">
        <v>697</v>
      </c>
      <c r="F144" s="2" t="s">
        <v>697</v>
      </c>
      <c r="G144" s="2" t="s">
        <v>697</v>
      </c>
      <c r="H144" s="2" t="s">
        <v>697</v>
      </c>
      <c r="I144" s="2" t="s">
        <v>697</v>
      </c>
      <c r="J144" s="2" t="s">
        <v>697</v>
      </c>
      <c r="K144" s="2" t="s">
        <v>697</v>
      </c>
      <c r="L144" s="2" t="s">
        <v>697</v>
      </c>
      <c r="M144" s="2" t="s">
        <v>697</v>
      </c>
      <c r="N144" s="2" t="s">
        <v>697</v>
      </c>
      <c r="O144" s="2" t="s">
        <v>697</v>
      </c>
      <c r="P144" s="2" t="s">
        <v>697</v>
      </c>
      <c r="Q144" s="2" t="s">
        <v>697</v>
      </c>
      <c r="R144" s="2" t="s">
        <v>697</v>
      </c>
      <c r="S144" s="2" t="s">
        <v>697</v>
      </c>
      <c r="T144" s="2" t="s">
        <v>697</v>
      </c>
      <c r="U144" s="2" t="s">
        <v>697</v>
      </c>
      <c r="V144" s="2" t="s">
        <v>697</v>
      </c>
      <c r="W144" s="2" t="s">
        <v>697</v>
      </c>
      <c r="X144" s="2" t="s">
        <v>697</v>
      </c>
      <c r="Y144" s="2" t="s">
        <v>697</v>
      </c>
      <c r="Z144" s="2" t="s">
        <v>697</v>
      </c>
      <c r="AA144" s="2" t="s">
        <v>697</v>
      </c>
      <c r="AB144" s="2" t="s">
        <v>697</v>
      </c>
      <c r="AC144" s="2" t="s">
        <v>697</v>
      </c>
      <c r="AD144" s="2" t="s">
        <v>697</v>
      </c>
      <c r="AE144" s="2" t="s">
        <v>697</v>
      </c>
      <c r="AF144" s="2" t="s">
        <v>697</v>
      </c>
      <c r="AG144" s="2" t="s">
        <v>697</v>
      </c>
      <c r="AH144" s="2" t="s">
        <v>697</v>
      </c>
      <c r="AI144" s="4" t="s">
        <v>697</v>
      </c>
      <c r="AJ144" s="4" t="s">
        <v>697</v>
      </c>
    </row>
    <row r="145" spans="1:36" x14ac:dyDescent="0.35">
      <c r="A145" s="19" t="s">
        <v>51</v>
      </c>
      <c r="B145" s="1">
        <v>11</v>
      </c>
      <c r="C145" s="2">
        <v>243</v>
      </c>
      <c r="D145" s="2">
        <v>2</v>
      </c>
      <c r="E145" s="2">
        <v>7</v>
      </c>
      <c r="F145" s="2">
        <v>62</v>
      </c>
      <c r="G145" s="2">
        <v>39</v>
      </c>
      <c r="H145" s="2">
        <v>3</v>
      </c>
      <c r="I145" s="2">
        <v>2</v>
      </c>
      <c r="J145" s="2">
        <v>5</v>
      </c>
      <c r="K145" s="2">
        <v>7</v>
      </c>
      <c r="L145" s="2">
        <v>81</v>
      </c>
      <c r="M145" s="2">
        <v>5</v>
      </c>
      <c r="N145" s="2">
        <v>49</v>
      </c>
      <c r="O145" s="2">
        <v>1</v>
      </c>
      <c r="P145" s="2">
        <v>5</v>
      </c>
      <c r="Q145" s="2">
        <v>1</v>
      </c>
      <c r="R145" s="2">
        <v>17</v>
      </c>
      <c r="S145" s="2">
        <v>0</v>
      </c>
      <c r="T145" s="2">
        <v>0</v>
      </c>
      <c r="U145" s="2">
        <v>4</v>
      </c>
      <c r="V145" s="2">
        <v>67</v>
      </c>
      <c r="W145" s="2">
        <v>1</v>
      </c>
      <c r="X145" s="2">
        <v>19</v>
      </c>
      <c r="Y145" s="2">
        <v>0</v>
      </c>
      <c r="Z145" s="2">
        <v>0</v>
      </c>
      <c r="AA145" s="2">
        <v>2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2</v>
      </c>
      <c r="AI145" s="4">
        <f>Table2121418198589[[#This Row],[QB PY]]+Table2121418198589[[#This Row],[QB RY]]</f>
        <v>250</v>
      </c>
      <c r="AJ145" s="4">
        <f>Table2121418198589[[#This Row],[RB1 RY]]+Table2121418198589[[#This Row],[RB2+ RY]]+Table2121418198589[[#This Row],[RB1 RecY]]+Table2121418198589[[#This Row],[RB2 RecY]]</f>
        <v>187</v>
      </c>
    </row>
    <row r="146" spans="1:36" x14ac:dyDescent="0.35">
      <c r="A146" s="19" t="s">
        <v>46</v>
      </c>
      <c r="B146" s="1">
        <v>12</v>
      </c>
      <c r="C146" s="2">
        <v>294</v>
      </c>
      <c r="D146" s="2">
        <v>1</v>
      </c>
      <c r="E146" s="2">
        <v>22</v>
      </c>
      <c r="F146" s="2">
        <v>66</v>
      </c>
      <c r="G146" s="2">
        <v>5</v>
      </c>
      <c r="H146" s="2">
        <v>14</v>
      </c>
      <c r="I146" s="2">
        <v>3</v>
      </c>
      <c r="J146" s="2">
        <v>15</v>
      </c>
      <c r="K146" s="2">
        <v>1</v>
      </c>
      <c r="L146" s="2">
        <v>5</v>
      </c>
      <c r="M146" s="2">
        <v>2</v>
      </c>
      <c r="N146" s="2">
        <v>20</v>
      </c>
      <c r="O146" s="2">
        <v>2</v>
      </c>
      <c r="P146" s="2">
        <v>15</v>
      </c>
      <c r="Q146" s="2">
        <v>2</v>
      </c>
      <c r="R146" s="2">
        <v>30</v>
      </c>
      <c r="S146" s="2">
        <v>2</v>
      </c>
      <c r="T146" s="2">
        <v>55</v>
      </c>
      <c r="U146" s="2">
        <v>7</v>
      </c>
      <c r="V146" s="2">
        <v>115</v>
      </c>
      <c r="W146" s="2">
        <v>3</v>
      </c>
      <c r="X146" s="2">
        <v>39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2">
        <v>0</v>
      </c>
      <c r="AH146" s="2">
        <v>1</v>
      </c>
      <c r="AI146" s="4">
        <f>Table2121418198589[[#This Row],[QB PY]]+Table2121418198589[[#This Row],[QB RY]]</f>
        <v>316</v>
      </c>
      <c r="AJ146" s="4">
        <f>Table2121418198589[[#This Row],[RB1 RY]]+Table2121418198589[[#This Row],[RB2+ RY]]+Table2121418198589[[#This Row],[RB1 RecY]]+Table2121418198589[[#This Row],[RB2 RecY]]</f>
        <v>91</v>
      </c>
    </row>
    <row r="147" spans="1:36" x14ac:dyDescent="0.35">
      <c r="A147" s="19" t="s">
        <v>16</v>
      </c>
      <c r="B147" s="1">
        <v>13</v>
      </c>
      <c r="C147" s="2">
        <v>246</v>
      </c>
      <c r="D147" s="2">
        <v>0</v>
      </c>
      <c r="E147" s="2">
        <v>27</v>
      </c>
      <c r="F147" s="2">
        <v>60</v>
      </c>
      <c r="G147" s="2">
        <v>36</v>
      </c>
      <c r="H147" s="2">
        <v>0</v>
      </c>
      <c r="I147" s="2">
        <v>1</v>
      </c>
      <c r="J147" s="2">
        <v>44</v>
      </c>
      <c r="K147" s="2">
        <v>2</v>
      </c>
      <c r="L147" s="2">
        <v>12</v>
      </c>
      <c r="M147" s="2">
        <v>2</v>
      </c>
      <c r="N147" s="2">
        <v>6</v>
      </c>
      <c r="O147" s="2">
        <v>0</v>
      </c>
      <c r="P147" s="2">
        <v>0</v>
      </c>
      <c r="Q147" s="2">
        <v>2</v>
      </c>
      <c r="R147" s="2">
        <v>25</v>
      </c>
      <c r="S147" s="2">
        <v>0</v>
      </c>
      <c r="T147" s="2">
        <v>0</v>
      </c>
      <c r="U147" s="2">
        <v>4</v>
      </c>
      <c r="V147" s="2">
        <v>47</v>
      </c>
      <c r="W147" s="2">
        <v>6</v>
      </c>
      <c r="X147" s="2">
        <v>112</v>
      </c>
      <c r="Y147" s="2">
        <v>0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4">
        <f>Table2121418198589[[#This Row],[QB PY]]+Table2121418198589[[#This Row],[QB RY]]</f>
        <v>273</v>
      </c>
      <c r="AJ147" s="4">
        <f>Table2121418198589[[#This Row],[RB1 RY]]+Table2121418198589[[#This Row],[RB2+ RY]]+Table2121418198589[[#This Row],[RB1 RecY]]+Table2121418198589[[#This Row],[RB2 RecY]]</f>
        <v>152</v>
      </c>
    </row>
    <row r="148" spans="1:36" x14ac:dyDescent="0.35">
      <c r="A148" s="19" t="s">
        <v>17</v>
      </c>
      <c r="B148" s="1">
        <v>14</v>
      </c>
      <c r="C148" s="2">
        <v>251</v>
      </c>
      <c r="D148" s="2">
        <v>3</v>
      </c>
      <c r="E148" s="2">
        <v>78</v>
      </c>
      <c r="F148" s="2">
        <v>80</v>
      </c>
      <c r="G148" s="2">
        <v>25</v>
      </c>
      <c r="H148" s="2">
        <v>0</v>
      </c>
      <c r="I148" s="2">
        <v>2</v>
      </c>
      <c r="J148" s="2">
        <v>31</v>
      </c>
      <c r="K148" s="2">
        <v>2</v>
      </c>
      <c r="L148" s="2">
        <v>14</v>
      </c>
      <c r="M148" s="2">
        <v>2</v>
      </c>
      <c r="N148" s="2">
        <v>16</v>
      </c>
      <c r="O148" s="2">
        <v>2</v>
      </c>
      <c r="P148" s="2">
        <v>21</v>
      </c>
      <c r="Q148" s="2">
        <v>2</v>
      </c>
      <c r="R148" s="2">
        <v>16</v>
      </c>
      <c r="S148" s="2">
        <v>1</v>
      </c>
      <c r="T148" s="2">
        <v>16</v>
      </c>
      <c r="U148" s="2">
        <v>4</v>
      </c>
      <c r="V148" s="2">
        <v>41</v>
      </c>
      <c r="W148" s="2">
        <v>7</v>
      </c>
      <c r="X148" s="2">
        <v>96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  <c r="AF148" s="2">
        <v>1</v>
      </c>
      <c r="AG148" s="2">
        <v>1</v>
      </c>
      <c r="AH148" s="2">
        <v>1</v>
      </c>
      <c r="AI148" s="4">
        <f>Table2121418198589[[#This Row],[QB PY]]+Table2121418198589[[#This Row],[QB RY]]</f>
        <v>329</v>
      </c>
      <c r="AJ148" s="4">
        <f>Table2121418198589[[#This Row],[RB1 RY]]+Table2121418198589[[#This Row],[RB2+ RY]]+Table2121418198589[[#This Row],[RB1 RecY]]+Table2121418198589[[#This Row],[RB2 RecY]]</f>
        <v>150</v>
      </c>
    </row>
    <row r="149" spans="1:36" x14ac:dyDescent="0.35">
      <c r="A149" s="19" t="s">
        <v>16</v>
      </c>
      <c r="B149" s="1">
        <v>15</v>
      </c>
      <c r="C149" s="2">
        <v>150</v>
      </c>
      <c r="D149" s="2">
        <v>2</v>
      </c>
      <c r="E149" s="2">
        <v>23</v>
      </c>
      <c r="F149" s="2">
        <v>100</v>
      </c>
      <c r="G149" s="2">
        <v>66</v>
      </c>
      <c r="H149" s="2">
        <v>0</v>
      </c>
      <c r="I149" s="2">
        <v>0</v>
      </c>
      <c r="J149" s="2">
        <v>0</v>
      </c>
      <c r="K149" s="2">
        <v>2</v>
      </c>
      <c r="L149" s="2">
        <v>32</v>
      </c>
      <c r="M149" s="2">
        <v>3</v>
      </c>
      <c r="N149" s="2">
        <v>68</v>
      </c>
      <c r="O149" s="2">
        <v>1</v>
      </c>
      <c r="P149" s="2">
        <v>32</v>
      </c>
      <c r="Q149" s="2">
        <v>0</v>
      </c>
      <c r="R149" s="2">
        <v>0</v>
      </c>
      <c r="S149" s="2">
        <v>0</v>
      </c>
      <c r="T149" s="2">
        <v>0</v>
      </c>
      <c r="U149" s="2">
        <v>2</v>
      </c>
      <c r="V149" s="2">
        <v>18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1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1</v>
      </c>
      <c r="AI149" s="4">
        <f>Table2121418198589[[#This Row],[QB PY]]+Table2121418198589[[#This Row],[QB RY]]</f>
        <v>173</v>
      </c>
      <c r="AJ149" s="4">
        <f>Table2121418198589[[#This Row],[RB1 RY]]+Table2121418198589[[#This Row],[RB2+ RY]]+Table2121418198589[[#This Row],[RB1 RecY]]+Table2121418198589[[#This Row],[RB2 RecY]]</f>
        <v>198</v>
      </c>
    </row>
    <row r="150" spans="1:36" x14ac:dyDescent="0.35">
      <c r="A150" s="19" t="s">
        <v>44</v>
      </c>
      <c r="B150" s="1">
        <v>16</v>
      </c>
      <c r="C150" s="2">
        <v>260</v>
      </c>
      <c r="D150" s="2">
        <v>0</v>
      </c>
      <c r="E150" s="2">
        <v>5</v>
      </c>
      <c r="F150" s="2">
        <v>81</v>
      </c>
      <c r="G150" s="2">
        <v>34</v>
      </c>
      <c r="H150" s="2">
        <v>9</v>
      </c>
      <c r="I150" s="2">
        <v>3</v>
      </c>
      <c r="J150" s="2">
        <v>9</v>
      </c>
      <c r="K150" s="2">
        <v>2</v>
      </c>
      <c r="L150" s="2">
        <v>27</v>
      </c>
      <c r="M150" s="2">
        <v>5</v>
      </c>
      <c r="N150" s="2">
        <v>72</v>
      </c>
      <c r="O150" s="2">
        <v>1</v>
      </c>
      <c r="P150" s="2">
        <v>23</v>
      </c>
      <c r="Q150" s="2">
        <v>1</v>
      </c>
      <c r="R150" s="2">
        <v>11</v>
      </c>
      <c r="S150" s="2">
        <v>2</v>
      </c>
      <c r="T150" s="2">
        <v>32</v>
      </c>
      <c r="U150" s="2">
        <v>3</v>
      </c>
      <c r="V150" s="2">
        <v>40</v>
      </c>
      <c r="W150" s="2">
        <v>3</v>
      </c>
      <c r="X150" s="2">
        <v>46</v>
      </c>
      <c r="Y150" s="2">
        <v>0</v>
      </c>
      <c r="Z150" s="2">
        <v>1</v>
      </c>
      <c r="AA150" s="2">
        <v>1</v>
      </c>
      <c r="AB150" s="2">
        <v>0</v>
      </c>
      <c r="AC150" s="2">
        <v>1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4">
        <f>Table2121418198589[[#This Row],[QB PY]]+Table2121418198589[[#This Row],[QB RY]]</f>
        <v>265</v>
      </c>
      <c r="AJ150" s="4">
        <f>Table2121418198589[[#This Row],[RB1 RY]]+Table2121418198589[[#This Row],[RB2+ RY]]+Table2121418198589[[#This Row],[RB1 RecY]]+Table2121418198589[[#This Row],[RB2 RecY]]</f>
        <v>151</v>
      </c>
    </row>
    <row r="151" spans="1:36" x14ac:dyDescent="0.35">
      <c r="A151" s="19" t="s">
        <v>0</v>
      </c>
      <c r="B151" s="1">
        <v>17</v>
      </c>
      <c r="C151" s="2">
        <v>212</v>
      </c>
      <c r="D151" s="2">
        <v>2</v>
      </c>
      <c r="E151" s="2">
        <v>0</v>
      </c>
      <c r="F151" s="2">
        <v>29</v>
      </c>
      <c r="G151" s="2">
        <v>13</v>
      </c>
      <c r="H151" s="2">
        <v>0</v>
      </c>
      <c r="I151" s="2">
        <v>2</v>
      </c>
      <c r="J151" s="2">
        <v>14</v>
      </c>
      <c r="K151" s="2">
        <v>2</v>
      </c>
      <c r="L151" s="2">
        <v>9</v>
      </c>
      <c r="M151" s="2">
        <v>0</v>
      </c>
      <c r="N151" s="2">
        <v>0</v>
      </c>
      <c r="O151" s="2">
        <v>5</v>
      </c>
      <c r="P151" s="2">
        <v>89</v>
      </c>
      <c r="Q151" s="2">
        <v>2</v>
      </c>
      <c r="R151" s="2">
        <v>24</v>
      </c>
      <c r="S151" s="2">
        <v>0</v>
      </c>
      <c r="T151" s="2">
        <v>0</v>
      </c>
      <c r="U151" s="2">
        <v>10</v>
      </c>
      <c r="V151" s="2">
        <v>76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1</v>
      </c>
      <c r="AD151" s="2">
        <v>0</v>
      </c>
      <c r="AE151" s="2">
        <v>0</v>
      </c>
      <c r="AF151" s="2">
        <v>1</v>
      </c>
      <c r="AG151" s="2">
        <v>0</v>
      </c>
      <c r="AH151" s="2">
        <v>0</v>
      </c>
      <c r="AI151" s="4">
        <f>Table2121418198589[[#This Row],[QB PY]]+Table2121418198589[[#This Row],[QB RY]]</f>
        <v>212</v>
      </c>
      <c r="AJ151" s="4">
        <f>Table2121418198589[[#This Row],[RB1 RY]]+Table2121418198589[[#This Row],[RB2+ RY]]+Table2121418198589[[#This Row],[RB1 RecY]]+Table2121418198589[[#This Row],[RB2 RecY]]</f>
        <v>65</v>
      </c>
    </row>
    <row r="152" spans="1:36" x14ac:dyDescent="0.35">
      <c r="A152" s="19" t="s">
        <v>32</v>
      </c>
      <c r="B152" s="1">
        <v>18</v>
      </c>
      <c r="C152" s="2">
        <v>111</v>
      </c>
      <c r="D152" s="2">
        <v>0</v>
      </c>
      <c r="E152" s="2">
        <v>26</v>
      </c>
      <c r="F152" s="2">
        <v>32</v>
      </c>
      <c r="G152" s="2">
        <v>33</v>
      </c>
      <c r="H152" s="2">
        <v>27</v>
      </c>
      <c r="I152" s="2">
        <v>2</v>
      </c>
      <c r="J152" s="2">
        <v>12</v>
      </c>
      <c r="K152" s="2">
        <v>2</v>
      </c>
      <c r="L152" s="2">
        <v>20</v>
      </c>
      <c r="M152" s="2">
        <v>2</v>
      </c>
      <c r="N152" s="2">
        <v>17</v>
      </c>
      <c r="O152" s="2">
        <v>1</v>
      </c>
      <c r="P152" s="2">
        <v>23</v>
      </c>
      <c r="Q152" s="2">
        <v>1</v>
      </c>
      <c r="R152" s="2">
        <v>13</v>
      </c>
      <c r="S152" s="2">
        <v>2</v>
      </c>
      <c r="T152" s="2">
        <v>20</v>
      </c>
      <c r="U152" s="2">
        <v>1</v>
      </c>
      <c r="V152" s="2">
        <v>6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2</v>
      </c>
      <c r="AI152" s="4">
        <f>Table2121418198589[[#This Row],[QB PY]]+Table2121418198589[[#This Row],[QB RY]]</f>
        <v>137</v>
      </c>
      <c r="AJ152" s="4">
        <f>Table2121418198589[[#This Row],[RB1 RY]]+Table2121418198589[[#This Row],[RB2+ RY]]+Table2121418198589[[#This Row],[RB1 RecY]]+Table2121418198589[[#This Row],[RB2 RecY]]</f>
        <v>97</v>
      </c>
    </row>
    <row r="153" spans="1:36" x14ac:dyDescent="0.35">
      <c r="B153" s="1" t="s">
        <v>57</v>
      </c>
      <c r="C153" s="3">
        <f>AVERAGE(Table2121418198589[QB PY])</f>
        <v>245.58823529411765</v>
      </c>
      <c r="D153" s="3">
        <f>AVERAGE(Table2121418198589[P TD])</f>
        <v>1.9411764705882353</v>
      </c>
      <c r="E153" s="3">
        <f>AVERAGE(Table2121418198589[QB RY])</f>
        <v>19</v>
      </c>
      <c r="F153" s="3">
        <f>AVERAGE(Table2121418198589[RB1 RY])</f>
        <v>82.941176470588232</v>
      </c>
      <c r="G153" s="3">
        <f>AVERAGE(Table2121418198589[RB2+ RY])</f>
        <v>36.529411764705884</v>
      </c>
      <c r="H153" s="3">
        <f>AVERAGE(Table2121418198589[WR RY])</f>
        <v>8.5882352941176467</v>
      </c>
      <c r="I153" s="3">
        <f>AVERAGE(Table2121418198589[RB1 Recep])</f>
        <v>2.4705882352941178</v>
      </c>
      <c r="J153" s="3">
        <f>AVERAGE(Table2121418198589[RB1 RecY])</f>
        <v>21.941176470588236</v>
      </c>
      <c r="K153" s="3">
        <f>AVERAGE(Table2121418198589[RB2 Recep])</f>
        <v>2.2941176470588234</v>
      </c>
      <c r="L153" s="3">
        <f>AVERAGE(Table2121418198589[RB2 RecY])</f>
        <v>20.941176470588236</v>
      </c>
      <c r="M153" s="3">
        <f>AVERAGE(Table2121418198589[WR1 Recep])</f>
        <v>3.5882352941176472</v>
      </c>
      <c r="N153" s="3">
        <f>AVERAGE(Table2121418198589[WR1 RecY])</f>
        <v>52.411764705882355</v>
      </c>
      <c r="O153" s="3">
        <f>AVERAGE(Table2121418198589[WR2 Recep])</f>
        <v>2.1764705882352939</v>
      </c>
      <c r="P153" s="3">
        <f>AVERAGE(Table2121418198589[WR2 RecY])</f>
        <v>27.058823529411764</v>
      </c>
      <c r="Q153" s="3">
        <f>AVERAGE(Table2121418198589[WR3 Recep])</f>
        <v>2.1176470588235294</v>
      </c>
      <c r="R153" s="3">
        <f>AVERAGE(Table2121418198589[WR3 RecY])</f>
        <v>23.117647058823529</v>
      </c>
      <c r="S153" s="3">
        <f>AVERAGE(Table2121418198589[WR4+ Recep])</f>
        <v>0.88235294117647056</v>
      </c>
      <c r="T153" s="3">
        <f>AVERAGE(Table2121418198589[WR4+ RecY])</f>
        <v>13.882352941176471</v>
      </c>
      <c r="U153" s="3">
        <f>AVERAGE(Table2121418198589[TE1 Recep])</f>
        <v>4.2941176470588234</v>
      </c>
      <c r="V153" s="3">
        <f>AVERAGE(Table2121418198589[TE1 RecY])</f>
        <v>55.294117647058826</v>
      </c>
      <c r="W153" s="3">
        <f>AVERAGE(Table2121418198589[TE2 Recep])</f>
        <v>2.6470588235294117</v>
      </c>
      <c r="X153" s="3">
        <f>AVERAGE(Table2121418198589[TE2 RecY])</f>
        <v>30.941176470588236</v>
      </c>
      <c r="Y153" s="3">
        <f>AVERAGE(Table2121418198589[QB TD])</f>
        <v>0.17647058823529413</v>
      </c>
      <c r="Z153" s="3">
        <f>AVERAGE(Table2121418198589[RB1 TD])</f>
        <v>0.58823529411764708</v>
      </c>
      <c r="AA153" s="3">
        <f>AVERAGE(Table2121418198589[RB2 TD])</f>
        <v>0.58823529411764708</v>
      </c>
      <c r="AB153" s="3">
        <f>AVERAGE(Table2121418198589[WR1 TD])</f>
        <v>0.29411764705882354</v>
      </c>
      <c r="AC153" s="3">
        <f>AVERAGE(Table2121418198589[WR2 TD])</f>
        <v>0.17647058823529413</v>
      </c>
      <c r="AD153" s="3">
        <f>AVERAGE(Table2121418198589[WR3 TD])</f>
        <v>0.23529411764705882</v>
      </c>
      <c r="AE153" s="3">
        <f>AVERAGE(Table2121418198589[WR4+ TD])</f>
        <v>0</v>
      </c>
      <c r="AF153" s="3">
        <f>AVERAGE(Table2121418198589[TE1 TD])</f>
        <v>0.6470588235294118</v>
      </c>
      <c r="AG153" s="3">
        <f>AVERAGE(Table2121418198589[TE2 TD])</f>
        <v>0.29411764705882354</v>
      </c>
      <c r="AH153" s="3">
        <f>AVERAGE(Table2121418198589[D/ST TD])</f>
        <v>0.52941176470588236</v>
      </c>
      <c r="AI153" s="3">
        <f>AVERAGE(Table2121418198589[QB P+R])</f>
        <v>264.58823529411762</v>
      </c>
      <c r="AJ153" s="3">
        <f>AVERAGE(Table2121418198589[RB R+R])</f>
        <v>162.35294117647058</v>
      </c>
    </row>
    <row r="155" spans="1:36" x14ac:dyDescent="0.35">
      <c r="A155" s="230" t="s">
        <v>32</v>
      </c>
      <c r="B155" s="230"/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</row>
    <row r="156" spans="1:36" x14ac:dyDescent="0.35">
      <c r="A156" s="20" t="s">
        <v>63</v>
      </c>
      <c r="B156" s="6" t="s">
        <v>1</v>
      </c>
      <c r="C156" s="7" t="s">
        <v>18</v>
      </c>
      <c r="D156" s="8" t="s">
        <v>19</v>
      </c>
      <c r="E156" s="9" t="s">
        <v>20</v>
      </c>
      <c r="F156" s="10" t="s">
        <v>21</v>
      </c>
      <c r="G156" s="11" t="s">
        <v>22</v>
      </c>
      <c r="H156" s="12" t="s">
        <v>23</v>
      </c>
      <c r="I156" s="13" t="s">
        <v>667</v>
      </c>
      <c r="J156" s="13" t="s">
        <v>668</v>
      </c>
      <c r="K156" s="13" t="s">
        <v>665</v>
      </c>
      <c r="L156" s="13" t="s">
        <v>666</v>
      </c>
      <c r="M156" s="14" t="s">
        <v>2</v>
      </c>
      <c r="N156" s="14" t="s">
        <v>24</v>
      </c>
      <c r="O156" s="15" t="s">
        <v>3</v>
      </c>
      <c r="P156" s="15" t="s">
        <v>25</v>
      </c>
      <c r="Q156" s="16" t="s">
        <v>4</v>
      </c>
      <c r="R156" s="16" t="s">
        <v>26</v>
      </c>
      <c r="S156" s="17" t="s">
        <v>5</v>
      </c>
      <c r="T156" s="17" t="s">
        <v>27</v>
      </c>
      <c r="U156" s="18" t="s">
        <v>669</v>
      </c>
      <c r="V156" s="18" t="s">
        <v>670</v>
      </c>
      <c r="W156" s="18" t="s">
        <v>675</v>
      </c>
      <c r="X156" s="18" t="s">
        <v>671</v>
      </c>
      <c r="Y156" s="6" t="s">
        <v>6</v>
      </c>
      <c r="Z156" s="6" t="s">
        <v>7</v>
      </c>
      <c r="AA156" s="6" t="s">
        <v>674</v>
      </c>
      <c r="AB156" s="6" t="s">
        <v>8</v>
      </c>
      <c r="AC156" s="6" t="s">
        <v>9</v>
      </c>
      <c r="AD156" s="6" t="s">
        <v>10</v>
      </c>
      <c r="AE156" s="6" t="s">
        <v>11</v>
      </c>
      <c r="AF156" s="6" t="s">
        <v>673</v>
      </c>
      <c r="AG156" s="6" t="s">
        <v>672</v>
      </c>
      <c r="AH156" s="6" t="s">
        <v>12</v>
      </c>
      <c r="AI156" s="8" t="s">
        <v>14</v>
      </c>
      <c r="AJ156" s="11" t="s">
        <v>13</v>
      </c>
    </row>
    <row r="157" spans="1:36" x14ac:dyDescent="0.35">
      <c r="A157" s="19" t="s">
        <v>31</v>
      </c>
      <c r="B157" s="5">
        <v>1</v>
      </c>
      <c r="C157" s="4">
        <v>113</v>
      </c>
      <c r="D157" s="4">
        <v>1</v>
      </c>
      <c r="E157" s="4">
        <v>3</v>
      </c>
      <c r="F157" s="4">
        <v>43</v>
      </c>
      <c r="G157" s="4">
        <v>0</v>
      </c>
      <c r="H157" s="4">
        <v>0</v>
      </c>
      <c r="I157" s="4">
        <v>2</v>
      </c>
      <c r="J157" s="4">
        <v>8</v>
      </c>
      <c r="K157" s="4">
        <v>2</v>
      </c>
      <c r="L157" s="4">
        <v>6</v>
      </c>
      <c r="M157" s="4">
        <v>2</v>
      </c>
      <c r="N157" s="4">
        <v>26</v>
      </c>
      <c r="O157" s="4">
        <v>3</v>
      </c>
      <c r="P157" s="4">
        <v>33</v>
      </c>
      <c r="Q157" s="4">
        <v>0</v>
      </c>
      <c r="R157" s="4">
        <v>0</v>
      </c>
      <c r="S157" s="4">
        <v>0</v>
      </c>
      <c r="T157" s="4">
        <v>0</v>
      </c>
      <c r="U157" s="4">
        <v>4</v>
      </c>
      <c r="V157" s="4">
        <v>26</v>
      </c>
      <c r="W157" s="4">
        <v>1</v>
      </c>
      <c r="X157" s="4">
        <v>14</v>
      </c>
      <c r="Y157" s="4">
        <v>0</v>
      </c>
      <c r="Z157" s="4">
        <v>1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</v>
      </c>
      <c r="AG157" s="4">
        <v>0</v>
      </c>
      <c r="AH157" s="4">
        <v>0</v>
      </c>
      <c r="AI157" s="4">
        <f>Table2121418198588[[#This Row],[QB PY]]+Table2121418198588[[#This Row],[QB RY]]</f>
        <v>116</v>
      </c>
      <c r="AJ157" s="4">
        <f>Table2121418198588[[#This Row],[RB1 RY]]+Table2121418198588[[#This Row],[RB2+ RY]]+Table2121418198588[[#This Row],[RB1 RecY]]+Table2121418198588[[#This Row],[RB2 RecY]]</f>
        <v>57</v>
      </c>
    </row>
    <row r="158" spans="1:36" x14ac:dyDescent="0.35">
      <c r="A158" s="19" t="s">
        <v>16</v>
      </c>
      <c r="B158" s="1">
        <v>2</v>
      </c>
      <c r="C158" s="2">
        <v>225</v>
      </c>
      <c r="D158" s="2">
        <v>4</v>
      </c>
      <c r="E158" s="2">
        <v>9</v>
      </c>
      <c r="F158" s="2">
        <v>23</v>
      </c>
      <c r="G158" s="2">
        <v>7</v>
      </c>
      <c r="H158" s="2">
        <v>6</v>
      </c>
      <c r="I158" s="2">
        <v>0</v>
      </c>
      <c r="J158" s="2">
        <v>0</v>
      </c>
      <c r="K158" s="2">
        <v>3</v>
      </c>
      <c r="L158" s="2">
        <v>18</v>
      </c>
      <c r="M158" s="2">
        <v>7</v>
      </c>
      <c r="N158" s="2">
        <v>75</v>
      </c>
      <c r="O158" s="2">
        <v>2</v>
      </c>
      <c r="P158" s="2">
        <v>15</v>
      </c>
      <c r="Q158" s="2">
        <v>2</v>
      </c>
      <c r="R158" s="2">
        <v>64</v>
      </c>
      <c r="S158" s="2">
        <v>4</v>
      </c>
      <c r="T158" s="2">
        <v>51</v>
      </c>
      <c r="U158" s="2">
        <v>1</v>
      </c>
      <c r="V158" s="2">
        <v>2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1</v>
      </c>
      <c r="AE158" s="2">
        <v>3</v>
      </c>
      <c r="AF158" s="2">
        <v>0</v>
      </c>
      <c r="AG158" s="2">
        <v>0</v>
      </c>
      <c r="AH158" s="2">
        <v>1</v>
      </c>
      <c r="AI158" s="4">
        <f>Table2121418198588[[#This Row],[QB PY]]+Table2121418198588[[#This Row],[QB RY]]</f>
        <v>234</v>
      </c>
      <c r="AJ158" s="4">
        <f>Table2121418198588[[#This Row],[RB1 RY]]+Table2121418198588[[#This Row],[RB2+ RY]]+Table2121418198588[[#This Row],[RB1 RecY]]+Table2121418198588[[#This Row],[RB2 RecY]]</f>
        <v>48</v>
      </c>
    </row>
    <row r="159" spans="1:36" x14ac:dyDescent="0.35">
      <c r="A159" s="19" t="s">
        <v>36</v>
      </c>
      <c r="B159" s="1">
        <v>3</v>
      </c>
      <c r="C159" s="2">
        <v>183</v>
      </c>
      <c r="D159" s="2">
        <v>1</v>
      </c>
      <c r="E159" s="2">
        <v>18</v>
      </c>
      <c r="F159" s="2">
        <v>30</v>
      </c>
      <c r="G159" s="2">
        <v>25</v>
      </c>
      <c r="H159" s="2">
        <v>8</v>
      </c>
      <c r="I159" s="2">
        <v>5</v>
      </c>
      <c r="J159" s="2">
        <v>44</v>
      </c>
      <c r="K159" s="2">
        <v>0</v>
      </c>
      <c r="L159" s="2">
        <v>0</v>
      </c>
      <c r="M159" s="2">
        <v>4</v>
      </c>
      <c r="N159" s="2">
        <v>52</v>
      </c>
      <c r="O159" s="2">
        <v>2</v>
      </c>
      <c r="P159" s="2">
        <v>25</v>
      </c>
      <c r="Q159" s="2">
        <v>2</v>
      </c>
      <c r="R159" s="2">
        <v>21</v>
      </c>
      <c r="S159" s="2">
        <v>0</v>
      </c>
      <c r="T159" s="2">
        <v>0</v>
      </c>
      <c r="U159" s="2">
        <v>3</v>
      </c>
      <c r="V159" s="2">
        <v>29</v>
      </c>
      <c r="W159" s="2">
        <v>2</v>
      </c>
      <c r="X159" s="2">
        <v>12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1</v>
      </c>
      <c r="AH159" s="2">
        <v>0</v>
      </c>
      <c r="AI159" s="4">
        <f>Table2121418198588[[#This Row],[QB PY]]+Table2121418198588[[#This Row],[QB RY]]</f>
        <v>201</v>
      </c>
      <c r="AJ159" s="4">
        <f>Table2121418198588[[#This Row],[RB1 RY]]+Table2121418198588[[#This Row],[RB2+ RY]]+Table2121418198588[[#This Row],[RB1 RecY]]+Table2121418198588[[#This Row],[RB2 RecY]]</f>
        <v>99</v>
      </c>
    </row>
    <row r="160" spans="1:36" x14ac:dyDescent="0.35">
      <c r="A160" s="19" t="s">
        <v>35</v>
      </c>
      <c r="B160" s="1">
        <v>4</v>
      </c>
      <c r="C160" s="2">
        <v>168</v>
      </c>
      <c r="D160" s="2">
        <v>2</v>
      </c>
      <c r="E160" s="2">
        <v>-2</v>
      </c>
      <c r="F160" s="2">
        <v>91</v>
      </c>
      <c r="G160" s="2">
        <v>23</v>
      </c>
      <c r="H160" s="2">
        <v>-3</v>
      </c>
      <c r="I160" s="2">
        <v>2</v>
      </c>
      <c r="J160" s="2">
        <v>6</v>
      </c>
      <c r="K160" s="2">
        <v>0</v>
      </c>
      <c r="L160" s="2">
        <v>0</v>
      </c>
      <c r="M160" s="2">
        <v>7</v>
      </c>
      <c r="N160" s="2">
        <v>70</v>
      </c>
      <c r="O160" s="2">
        <v>2</v>
      </c>
      <c r="P160" s="2">
        <v>40</v>
      </c>
      <c r="Q160" s="2">
        <v>2</v>
      </c>
      <c r="R160" s="2">
        <v>13</v>
      </c>
      <c r="S160" s="2">
        <v>0</v>
      </c>
      <c r="T160" s="2">
        <v>0</v>
      </c>
      <c r="U160" s="2">
        <v>3</v>
      </c>
      <c r="V160" s="2">
        <v>39</v>
      </c>
      <c r="W160" s="2">
        <v>0</v>
      </c>
      <c r="X160" s="2">
        <v>0</v>
      </c>
      <c r="Y160" s="2">
        <v>0</v>
      </c>
      <c r="Z160" s="2">
        <v>1</v>
      </c>
      <c r="AA160" s="2">
        <v>0</v>
      </c>
      <c r="AB160" s="2">
        <v>2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1</v>
      </c>
      <c r="AI160" s="4">
        <f>Table2121418198588[[#This Row],[QB PY]]+Table2121418198588[[#This Row],[QB RY]]</f>
        <v>166</v>
      </c>
      <c r="AJ160" s="4">
        <f>Table2121418198588[[#This Row],[RB1 RY]]+Table2121418198588[[#This Row],[RB2+ RY]]+Table2121418198588[[#This Row],[RB1 RecY]]+Table2121418198588[[#This Row],[RB2 RecY]]</f>
        <v>120</v>
      </c>
    </row>
    <row r="161" spans="1:36" x14ac:dyDescent="0.35">
      <c r="A161" s="19" t="s">
        <v>45</v>
      </c>
      <c r="B161" s="1">
        <v>5</v>
      </c>
      <c r="C161" s="2">
        <v>268</v>
      </c>
      <c r="D161" s="2">
        <v>2</v>
      </c>
      <c r="E161" s="2">
        <v>12</v>
      </c>
      <c r="F161" s="2">
        <v>52</v>
      </c>
      <c r="G161" s="2">
        <v>18</v>
      </c>
      <c r="H161" s="2">
        <v>15</v>
      </c>
      <c r="I161" s="2">
        <v>3</v>
      </c>
      <c r="J161" s="2">
        <v>4</v>
      </c>
      <c r="K161" s="2">
        <v>0</v>
      </c>
      <c r="L161" s="2">
        <v>0</v>
      </c>
      <c r="M161" s="2">
        <v>7</v>
      </c>
      <c r="N161" s="2">
        <v>123</v>
      </c>
      <c r="O161" s="2">
        <v>5</v>
      </c>
      <c r="P161" s="2">
        <v>41</v>
      </c>
      <c r="Q161" s="2">
        <v>3</v>
      </c>
      <c r="R161" s="2">
        <v>27</v>
      </c>
      <c r="S161" s="2">
        <v>0</v>
      </c>
      <c r="T161" s="2">
        <v>0</v>
      </c>
      <c r="U161" s="2">
        <v>6</v>
      </c>
      <c r="V161" s="2">
        <v>38</v>
      </c>
      <c r="W161" s="2">
        <v>2</v>
      </c>
      <c r="X161" s="2">
        <v>35</v>
      </c>
      <c r="Y161" s="2">
        <v>0</v>
      </c>
      <c r="Z161" s="2">
        <v>1</v>
      </c>
      <c r="AA161" s="2">
        <v>0</v>
      </c>
      <c r="AB161" s="2">
        <v>0</v>
      </c>
      <c r="AC161" s="2">
        <v>1</v>
      </c>
      <c r="AD161" s="2">
        <v>0</v>
      </c>
      <c r="AE161" s="2">
        <v>0</v>
      </c>
      <c r="AF161" s="2">
        <v>0</v>
      </c>
      <c r="AG161" s="2">
        <v>1</v>
      </c>
      <c r="AH161" s="2">
        <v>0</v>
      </c>
      <c r="AI161" s="4">
        <f>Table2121418198588[[#This Row],[QB PY]]+Table2121418198588[[#This Row],[QB RY]]</f>
        <v>280</v>
      </c>
      <c r="AJ161" s="4">
        <f>Table2121418198588[[#This Row],[RB1 RY]]+Table2121418198588[[#This Row],[RB2+ RY]]+Table2121418198588[[#This Row],[RB1 RecY]]+Table2121418198588[[#This Row],[RB2 RecY]]</f>
        <v>74</v>
      </c>
    </row>
    <row r="162" spans="1:36" x14ac:dyDescent="0.35">
      <c r="A162" s="19" t="s">
        <v>51</v>
      </c>
      <c r="B162" s="1">
        <v>6</v>
      </c>
      <c r="C162" s="2">
        <v>235</v>
      </c>
      <c r="D162" s="2">
        <v>2</v>
      </c>
      <c r="E162" s="2">
        <v>1</v>
      </c>
      <c r="F162" s="2">
        <v>52</v>
      </c>
      <c r="G162" s="2">
        <v>37</v>
      </c>
      <c r="H162" s="2">
        <v>10</v>
      </c>
      <c r="I162" s="2">
        <v>2</v>
      </c>
      <c r="J162" s="2">
        <v>11</v>
      </c>
      <c r="K162" s="2">
        <v>6</v>
      </c>
      <c r="L162" s="2">
        <v>14</v>
      </c>
      <c r="M162" s="2">
        <v>4</v>
      </c>
      <c r="N162" s="2">
        <v>95</v>
      </c>
      <c r="O162" s="2">
        <v>1</v>
      </c>
      <c r="P162" s="2">
        <v>12</v>
      </c>
      <c r="Q162" s="2">
        <v>0</v>
      </c>
      <c r="R162" s="2">
        <v>0</v>
      </c>
      <c r="S162" s="2">
        <v>0</v>
      </c>
      <c r="T162" s="2">
        <v>0</v>
      </c>
      <c r="U162" s="2">
        <v>3</v>
      </c>
      <c r="V162" s="2">
        <v>62</v>
      </c>
      <c r="W162" s="2">
        <v>5</v>
      </c>
      <c r="X162" s="2">
        <v>41</v>
      </c>
      <c r="Y162" s="2">
        <v>0</v>
      </c>
      <c r="Z162" s="2">
        <v>0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1</v>
      </c>
      <c r="AH162" s="2">
        <v>0</v>
      </c>
      <c r="AI162" s="4">
        <f>Table2121418198588[[#This Row],[QB PY]]+Table2121418198588[[#This Row],[QB RY]]</f>
        <v>236</v>
      </c>
      <c r="AJ162" s="4">
        <f>Table2121418198588[[#This Row],[RB1 RY]]+Table2121418198588[[#This Row],[RB2+ RY]]+Table2121418198588[[#This Row],[RB1 RecY]]+Table2121418198588[[#This Row],[RB2 RecY]]</f>
        <v>114</v>
      </c>
    </row>
    <row r="163" spans="1:36" x14ac:dyDescent="0.35">
      <c r="A163" s="19" t="s">
        <v>44</v>
      </c>
      <c r="B163" s="1">
        <v>7</v>
      </c>
      <c r="C163" s="2">
        <v>153</v>
      </c>
      <c r="D163" s="2">
        <v>0</v>
      </c>
      <c r="E163" s="2">
        <v>6</v>
      </c>
      <c r="F163" s="2">
        <v>82</v>
      </c>
      <c r="G163" s="2">
        <v>11</v>
      </c>
      <c r="H163" s="2">
        <v>0</v>
      </c>
      <c r="I163" s="2">
        <v>3</v>
      </c>
      <c r="J163" s="2">
        <v>16</v>
      </c>
      <c r="K163" s="2">
        <v>1</v>
      </c>
      <c r="L163" s="2">
        <v>2</v>
      </c>
      <c r="M163" s="2">
        <v>1</v>
      </c>
      <c r="N163" s="2">
        <v>15</v>
      </c>
      <c r="O163" s="2">
        <v>5</v>
      </c>
      <c r="P163" s="2">
        <v>30</v>
      </c>
      <c r="Q163" s="2">
        <v>2</v>
      </c>
      <c r="R163" s="2">
        <v>45</v>
      </c>
      <c r="S163" s="2">
        <v>3</v>
      </c>
      <c r="T163" s="2">
        <v>16</v>
      </c>
      <c r="U163" s="2">
        <v>1</v>
      </c>
      <c r="V163" s="2">
        <v>28</v>
      </c>
      <c r="W163" s="2">
        <v>1</v>
      </c>
      <c r="X163" s="2">
        <v>1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4">
        <f>Table2121418198588[[#This Row],[QB PY]]+Table2121418198588[[#This Row],[QB RY]]</f>
        <v>159</v>
      </c>
      <c r="AJ163" s="4">
        <f>Table2121418198588[[#This Row],[RB1 RY]]+Table2121418198588[[#This Row],[RB2+ RY]]+Table2121418198588[[#This Row],[RB1 RecY]]+Table2121418198588[[#This Row],[RB2 RecY]]</f>
        <v>111</v>
      </c>
    </row>
    <row r="164" spans="1:36" x14ac:dyDescent="0.35">
      <c r="A164" s="19" t="s">
        <v>46</v>
      </c>
      <c r="B164" s="1">
        <v>8</v>
      </c>
      <c r="C164" s="2">
        <v>282</v>
      </c>
      <c r="D164" s="2">
        <v>3</v>
      </c>
      <c r="E164" s="2">
        <v>50</v>
      </c>
      <c r="F164" s="2">
        <v>34</v>
      </c>
      <c r="G164" s="2">
        <v>90</v>
      </c>
      <c r="H164" s="2">
        <v>3</v>
      </c>
      <c r="I164" s="2">
        <v>1</v>
      </c>
      <c r="J164" s="2">
        <v>15</v>
      </c>
      <c r="K164" s="2">
        <v>0</v>
      </c>
      <c r="L164" s="2">
        <v>0</v>
      </c>
      <c r="M164" s="2">
        <v>3</v>
      </c>
      <c r="N164" s="2">
        <v>14</v>
      </c>
      <c r="O164" s="2">
        <v>3</v>
      </c>
      <c r="P164" s="2">
        <v>75</v>
      </c>
      <c r="Q164" s="2">
        <v>7</v>
      </c>
      <c r="R164" s="2">
        <v>89</v>
      </c>
      <c r="S164" s="2">
        <v>1</v>
      </c>
      <c r="T164" s="2">
        <v>44</v>
      </c>
      <c r="U164" s="2">
        <v>1</v>
      </c>
      <c r="V164" s="2">
        <v>7</v>
      </c>
      <c r="W164" s="2">
        <v>2</v>
      </c>
      <c r="X164" s="2">
        <v>38</v>
      </c>
      <c r="Y164" s="2">
        <v>0</v>
      </c>
      <c r="Z164" s="2">
        <v>0</v>
      </c>
      <c r="AA164" s="2">
        <v>0</v>
      </c>
      <c r="AB164" s="2">
        <v>1</v>
      </c>
      <c r="AC164" s="2">
        <v>1</v>
      </c>
      <c r="AD164" s="2">
        <v>0</v>
      </c>
      <c r="AE164" s="2">
        <v>0</v>
      </c>
      <c r="AF164" s="2">
        <v>1</v>
      </c>
      <c r="AG164" s="2">
        <v>0</v>
      </c>
      <c r="AH164" s="2">
        <v>0</v>
      </c>
      <c r="AI164" s="4">
        <f>Table2121418198588[[#This Row],[QB PY]]+Table2121418198588[[#This Row],[QB RY]]</f>
        <v>332</v>
      </c>
      <c r="AJ164" s="4">
        <f>Table2121418198588[[#This Row],[RB1 RY]]+Table2121418198588[[#This Row],[RB2+ RY]]+Table2121418198588[[#This Row],[RB1 RecY]]+Table2121418198588[[#This Row],[RB2 RecY]]</f>
        <v>139</v>
      </c>
    </row>
    <row r="165" spans="1:36" x14ac:dyDescent="0.35">
      <c r="A165" s="19" t="s">
        <v>650</v>
      </c>
      <c r="B165" s="1">
        <v>9</v>
      </c>
      <c r="C165" s="2" t="s">
        <v>697</v>
      </c>
      <c r="D165" s="2" t="s">
        <v>697</v>
      </c>
      <c r="E165" s="2" t="s">
        <v>697</v>
      </c>
      <c r="F165" s="2" t="s">
        <v>697</v>
      </c>
      <c r="G165" s="2" t="s">
        <v>697</v>
      </c>
      <c r="H165" s="2" t="s">
        <v>697</v>
      </c>
      <c r="I165" s="2" t="s">
        <v>697</v>
      </c>
      <c r="J165" s="2" t="s">
        <v>697</v>
      </c>
      <c r="K165" s="2" t="s">
        <v>697</v>
      </c>
      <c r="L165" s="2" t="s">
        <v>697</v>
      </c>
      <c r="M165" s="2" t="s">
        <v>697</v>
      </c>
      <c r="N165" s="2" t="s">
        <v>697</v>
      </c>
      <c r="O165" s="2" t="s">
        <v>697</v>
      </c>
      <c r="P165" s="2" t="s">
        <v>697</v>
      </c>
      <c r="Q165" s="2" t="s">
        <v>697</v>
      </c>
      <c r="R165" s="2" t="s">
        <v>697</v>
      </c>
      <c r="S165" s="2" t="s">
        <v>697</v>
      </c>
      <c r="T165" s="2" t="s">
        <v>697</v>
      </c>
      <c r="U165" s="2" t="s">
        <v>697</v>
      </c>
      <c r="V165" s="2" t="s">
        <v>697</v>
      </c>
      <c r="W165" s="2" t="s">
        <v>697</v>
      </c>
      <c r="X165" s="2" t="s">
        <v>697</v>
      </c>
      <c r="Y165" s="2" t="s">
        <v>697</v>
      </c>
      <c r="Z165" s="2" t="s">
        <v>697</v>
      </c>
      <c r="AA165" s="2" t="s">
        <v>697</v>
      </c>
      <c r="AB165" s="2" t="s">
        <v>697</v>
      </c>
      <c r="AC165" s="2" t="s">
        <v>697</v>
      </c>
      <c r="AD165" s="2" t="s">
        <v>697</v>
      </c>
      <c r="AE165" s="2" t="s">
        <v>697</v>
      </c>
      <c r="AF165" s="2" t="s">
        <v>697</v>
      </c>
      <c r="AG165" s="2" t="s">
        <v>697</v>
      </c>
      <c r="AH165" s="2" t="s">
        <v>697</v>
      </c>
      <c r="AI165" s="4" t="s">
        <v>697</v>
      </c>
      <c r="AJ165" s="4" t="s">
        <v>697</v>
      </c>
    </row>
    <row r="166" spans="1:36" x14ac:dyDescent="0.35">
      <c r="A166" s="19" t="s">
        <v>49</v>
      </c>
      <c r="B166" s="1">
        <v>10</v>
      </c>
      <c r="C166" s="2">
        <v>54</v>
      </c>
      <c r="D166" s="2">
        <v>1</v>
      </c>
      <c r="E166" s="2">
        <v>28</v>
      </c>
      <c r="F166" s="2">
        <v>83</v>
      </c>
      <c r="G166" s="2">
        <v>10</v>
      </c>
      <c r="H166" s="2">
        <v>6</v>
      </c>
      <c r="I166" s="2">
        <v>1</v>
      </c>
      <c r="J166" s="2">
        <v>42</v>
      </c>
      <c r="K166" s="2">
        <v>1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1</v>
      </c>
      <c r="R166" s="2">
        <v>4</v>
      </c>
      <c r="S166" s="2">
        <v>1</v>
      </c>
      <c r="T166" s="2">
        <v>3</v>
      </c>
      <c r="U166" s="2">
        <v>1</v>
      </c>
      <c r="V166" s="2">
        <v>4</v>
      </c>
      <c r="W166" s="2">
        <v>1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2</v>
      </c>
      <c r="AI166" s="4">
        <f>Table2121418198588[[#This Row],[QB PY]]+Table2121418198588[[#This Row],[QB RY]]</f>
        <v>82</v>
      </c>
      <c r="AJ166" s="4">
        <f>Table2121418198588[[#This Row],[RB1 RY]]+Table2121418198588[[#This Row],[RB2+ RY]]+Table2121418198588[[#This Row],[RB1 RecY]]+Table2121418198588[[#This Row],[RB2 RecY]]</f>
        <v>136</v>
      </c>
    </row>
    <row r="167" spans="1:36" x14ac:dyDescent="0.35">
      <c r="A167" s="19" t="s">
        <v>16</v>
      </c>
      <c r="B167" s="1">
        <v>11</v>
      </c>
      <c r="C167" s="2">
        <v>193</v>
      </c>
      <c r="D167" s="2">
        <v>0</v>
      </c>
      <c r="E167" s="2">
        <v>10</v>
      </c>
      <c r="F167" s="2">
        <v>103</v>
      </c>
      <c r="G167" s="2">
        <v>31</v>
      </c>
      <c r="H167" s="2">
        <v>40</v>
      </c>
      <c r="I167" s="2">
        <v>2</v>
      </c>
      <c r="J167" s="2">
        <v>19</v>
      </c>
      <c r="K167" s="2">
        <v>3</v>
      </c>
      <c r="L167" s="2">
        <v>38</v>
      </c>
      <c r="M167" s="2">
        <v>3</v>
      </c>
      <c r="N167" s="2">
        <v>78</v>
      </c>
      <c r="O167" s="2">
        <v>1</v>
      </c>
      <c r="P167" s="2">
        <v>11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32</v>
      </c>
      <c r="W167" s="2">
        <v>2</v>
      </c>
      <c r="X167" s="2">
        <v>15</v>
      </c>
      <c r="Y167" s="2">
        <v>0</v>
      </c>
      <c r="Z167" s="2">
        <v>1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</v>
      </c>
      <c r="AG167" s="2">
        <v>0</v>
      </c>
      <c r="AH167" s="2">
        <v>0</v>
      </c>
      <c r="AI167" s="4">
        <f>Table2121418198588[[#This Row],[QB PY]]+Table2121418198588[[#This Row],[QB RY]]</f>
        <v>203</v>
      </c>
      <c r="AJ167" s="4">
        <f>Table2121418198588[[#This Row],[RB1 RY]]+Table2121418198588[[#This Row],[RB2+ RY]]+Table2121418198588[[#This Row],[RB1 RecY]]+Table2121418198588[[#This Row],[RB2 RecY]]</f>
        <v>191</v>
      </c>
    </row>
    <row r="168" spans="1:36" x14ac:dyDescent="0.35">
      <c r="A168" s="19" t="s">
        <v>43</v>
      </c>
      <c r="B168" s="1">
        <v>12</v>
      </c>
      <c r="C168" s="2">
        <v>285</v>
      </c>
      <c r="D168" s="2">
        <v>1</v>
      </c>
      <c r="E168" s="2">
        <v>8</v>
      </c>
      <c r="F168" s="2">
        <v>50</v>
      </c>
      <c r="G168" s="2">
        <v>2</v>
      </c>
      <c r="H168" s="2">
        <v>0</v>
      </c>
      <c r="I168" s="2">
        <v>8</v>
      </c>
      <c r="J168" s="2">
        <v>58</v>
      </c>
      <c r="K168" s="2">
        <v>3</v>
      </c>
      <c r="L168" s="2">
        <v>18</v>
      </c>
      <c r="M168" s="2">
        <v>3</v>
      </c>
      <c r="N168" s="2">
        <v>28</v>
      </c>
      <c r="O168" s="2">
        <v>4</v>
      </c>
      <c r="P168" s="2">
        <v>62</v>
      </c>
      <c r="Q168" s="2">
        <v>1</v>
      </c>
      <c r="R168" s="2">
        <v>14</v>
      </c>
      <c r="S168" s="2">
        <v>0</v>
      </c>
      <c r="T168" s="2">
        <v>0</v>
      </c>
      <c r="U168" s="2">
        <v>6</v>
      </c>
      <c r="V168" s="2">
        <v>55</v>
      </c>
      <c r="W168" s="2">
        <v>5</v>
      </c>
      <c r="X168" s="2">
        <v>50</v>
      </c>
      <c r="Y168" s="2">
        <v>0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4">
        <f>Table2121418198588[[#This Row],[QB PY]]+Table2121418198588[[#This Row],[QB RY]]</f>
        <v>293</v>
      </c>
      <c r="AJ168" s="4">
        <f>Table2121418198588[[#This Row],[RB1 RY]]+Table2121418198588[[#This Row],[RB2+ RY]]+Table2121418198588[[#This Row],[RB1 RecY]]+Table2121418198588[[#This Row],[RB2 RecY]]</f>
        <v>128</v>
      </c>
    </row>
    <row r="169" spans="1:36" x14ac:dyDescent="0.35">
      <c r="A169" s="19" t="s">
        <v>53</v>
      </c>
      <c r="B169" s="1">
        <v>13</v>
      </c>
      <c r="C169" s="2">
        <v>168</v>
      </c>
      <c r="D169" s="2">
        <v>1</v>
      </c>
      <c r="E169" s="2">
        <v>6</v>
      </c>
      <c r="F169" s="2">
        <v>53</v>
      </c>
      <c r="G169" s="2">
        <v>26</v>
      </c>
      <c r="H169" s="2">
        <v>6</v>
      </c>
      <c r="I169" s="2">
        <v>4</v>
      </c>
      <c r="J169" s="2">
        <v>21</v>
      </c>
      <c r="K169" s="2">
        <v>2</v>
      </c>
      <c r="L169" s="2">
        <v>27</v>
      </c>
      <c r="M169" s="2">
        <v>4</v>
      </c>
      <c r="N169" s="2">
        <v>39</v>
      </c>
      <c r="O169" s="2">
        <v>2</v>
      </c>
      <c r="P169" s="2">
        <v>14</v>
      </c>
      <c r="Q169" s="2">
        <v>0</v>
      </c>
      <c r="R169" s="2">
        <v>0</v>
      </c>
      <c r="S169" s="2">
        <v>0</v>
      </c>
      <c r="T169" s="2">
        <v>0</v>
      </c>
      <c r="U169" s="2">
        <v>4</v>
      </c>
      <c r="V169" s="2">
        <v>67</v>
      </c>
      <c r="W169" s="2">
        <v>0</v>
      </c>
      <c r="X169" s="2">
        <v>0</v>
      </c>
      <c r="Y169" s="2">
        <v>1</v>
      </c>
      <c r="Z169" s="2">
        <v>1</v>
      </c>
      <c r="AA169" s="2">
        <v>0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4">
        <f>Table2121418198588[[#This Row],[QB PY]]+Table2121418198588[[#This Row],[QB RY]]</f>
        <v>174</v>
      </c>
      <c r="AJ169" s="4">
        <f>Table2121418198588[[#This Row],[RB1 RY]]+Table2121418198588[[#This Row],[RB2+ RY]]+Table2121418198588[[#This Row],[RB1 RecY]]+Table2121418198588[[#This Row],[RB2 RecY]]</f>
        <v>127</v>
      </c>
    </row>
    <row r="170" spans="1:36" x14ac:dyDescent="0.35">
      <c r="A170" s="19" t="s">
        <v>55</v>
      </c>
      <c r="B170" s="1">
        <v>14</v>
      </c>
      <c r="C170" s="2">
        <v>117</v>
      </c>
      <c r="D170" s="2">
        <v>2</v>
      </c>
      <c r="E170" s="2">
        <v>4</v>
      </c>
      <c r="F170" s="2">
        <v>161</v>
      </c>
      <c r="G170" s="2">
        <v>19</v>
      </c>
      <c r="H170" s="2">
        <v>0</v>
      </c>
      <c r="I170" s="2">
        <v>0</v>
      </c>
      <c r="J170" s="2">
        <v>0</v>
      </c>
      <c r="K170" s="2">
        <v>2</v>
      </c>
      <c r="L170" s="2">
        <v>28</v>
      </c>
      <c r="M170" s="2">
        <v>1</v>
      </c>
      <c r="N170" s="2">
        <v>14</v>
      </c>
      <c r="O170" s="2">
        <v>5</v>
      </c>
      <c r="P170" s="2">
        <v>24</v>
      </c>
      <c r="Q170" s="2">
        <v>2</v>
      </c>
      <c r="R170" s="2">
        <v>17</v>
      </c>
      <c r="S170" s="2">
        <v>0</v>
      </c>
      <c r="T170" s="2">
        <v>0</v>
      </c>
      <c r="U170" s="2">
        <v>2</v>
      </c>
      <c r="V170" s="2">
        <v>20</v>
      </c>
      <c r="W170" s="2">
        <v>2</v>
      </c>
      <c r="X170" s="2">
        <v>14</v>
      </c>
      <c r="Y170" s="2">
        <v>0</v>
      </c>
      <c r="Z170" s="2">
        <v>2</v>
      </c>
      <c r="AA170" s="2">
        <v>0</v>
      </c>
      <c r="AB170" s="2">
        <v>1</v>
      </c>
      <c r="AC170" s="2">
        <v>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4">
        <f>Table2121418198588[[#This Row],[QB PY]]+Table2121418198588[[#This Row],[QB RY]]</f>
        <v>121</v>
      </c>
      <c r="AJ170" s="4">
        <f>Table2121418198588[[#This Row],[RB1 RY]]+Table2121418198588[[#This Row],[RB2+ RY]]+Table2121418198588[[#This Row],[RB1 RecY]]+Table2121418198588[[#This Row],[RB2 RecY]]</f>
        <v>208</v>
      </c>
    </row>
    <row r="171" spans="1:36" x14ac:dyDescent="0.35">
      <c r="A171" s="19" t="s">
        <v>30</v>
      </c>
      <c r="B171" s="1">
        <v>15</v>
      </c>
      <c r="C171" s="2">
        <v>242</v>
      </c>
      <c r="D171" s="2">
        <v>2</v>
      </c>
      <c r="E171" s="2">
        <v>13</v>
      </c>
      <c r="F171" s="2">
        <v>98</v>
      </c>
      <c r="G171" s="2">
        <v>33</v>
      </c>
      <c r="H171" s="2">
        <v>-2</v>
      </c>
      <c r="I171" s="2">
        <v>1</v>
      </c>
      <c r="J171" s="2">
        <v>-2</v>
      </c>
      <c r="K171" s="2">
        <v>0</v>
      </c>
      <c r="L171" s="2">
        <v>0</v>
      </c>
      <c r="M171" s="2">
        <v>4</v>
      </c>
      <c r="N171" s="2">
        <v>69</v>
      </c>
      <c r="O171" s="2">
        <v>6</v>
      </c>
      <c r="P171" s="2">
        <v>84</v>
      </c>
      <c r="Q171" s="2">
        <v>0</v>
      </c>
      <c r="R171" s="2">
        <v>0</v>
      </c>
      <c r="S171" s="2">
        <v>0</v>
      </c>
      <c r="T171" s="2">
        <v>0</v>
      </c>
      <c r="U171" s="2">
        <v>4</v>
      </c>
      <c r="V171" s="2">
        <v>63</v>
      </c>
      <c r="W171" s="2">
        <v>2</v>
      </c>
      <c r="X171" s="2">
        <v>28</v>
      </c>
      <c r="Y171" s="2">
        <v>0</v>
      </c>
      <c r="Z171" s="2">
        <v>2</v>
      </c>
      <c r="AA171" s="2">
        <v>0</v>
      </c>
      <c r="AB171" s="2">
        <v>2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4">
        <f>Table2121418198588[[#This Row],[QB PY]]+Table2121418198588[[#This Row],[QB RY]]</f>
        <v>255</v>
      </c>
      <c r="AJ171" s="4">
        <f>Table2121418198588[[#This Row],[RB1 RY]]+Table2121418198588[[#This Row],[RB2+ RY]]+Table2121418198588[[#This Row],[RB1 RecY]]+Table2121418198588[[#This Row],[RB2 RecY]]</f>
        <v>129</v>
      </c>
    </row>
    <row r="172" spans="1:36" x14ac:dyDescent="0.35">
      <c r="A172" s="19" t="s">
        <v>17</v>
      </c>
      <c r="B172" s="1">
        <v>16</v>
      </c>
      <c r="C172" s="2">
        <v>130</v>
      </c>
      <c r="D172" s="2">
        <v>0</v>
      </c>
      <c r="E172" s="2">
        <v>17</v>
      </c>
      <c r="F172" s="2">
        <v>117</v>
      </c>
      <c r="G172" s="2">
        <v>30</v>
      </c>
      <c r="H172" s="2">
        <v>0</v>
      </c>
      <c r="I172" s="2">
        <v>1</v>
      </c>
      <c r="J172" s="2">
        <v>17</v>
      </c>
      <c r="K172" s="2">
        <v>2</v>
      </c>
      <c r="L172" s="2">
        <v>20</v>
      </c>
      <c r="M172" s="2">
        <v>4</v>
      </c>
      <c r="N172" s="2">
        <v>34</v>
      </c>
      <c r="O172" s="2">
        <v>1</v>
      </c>
      <c r="P172" s="2">
        <v>2</v>
      </c>
      <c r="Q172" s="2">
        <v>1</v>
      </c>
      <c r="R172" s="2">
        <v>21</v>
      </c>
      <c r="S172" s="2">
        <v>0</v>
      </c>
      <c r="T172" s="2">
        <v>0</v>
      </c>
      <c r="U172" s="2">
        <v>1</v>
      </c>
      <c r="V172" s="2">
        <v>10</v>
      </c>
      <c r="W172" s="2">
        <v>2</v>
      </c>
      <c r="X172" s="2">
        <v>26</v>
      </c>
      <c r="Y172" s="2">
        <v>0</v>
      </c>
      <c r="Z172" s="2">
        <v>2</v>
      </c>
      <c r="AA172" s="2">
        <v>1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4">
        <f>Table2121418198588[[#This Row],[QB PY]]+Table2121418198588[[#This Row],[QB RY]]</f>
        <v>147</v>
      </c>
      <c r="AJ172" s="4">
        <f>Table2121418198588[[#This Row],[RB1 RY]]+Table2121418198588[[#This Row],[RB2+ RY]]+Table2121418198588[[#This Row],[RB1 RecY]]+Table2121418198588[[#This Row],[RB2 RecY]]</f>
        <v>184</v>
      </c>
    </row>
    <row r="173" spans="1:36" x14ac:dyDescent="0.35">
      <c r="A173" s="19" t="s">
        <v>51</v>
      </c>
      <c r="B173" s="1">
        <v>17</v>
      </c>
      <c r="C173" s="2">
        <v>168</v>
      </c>
      <c r="D173" s="2">
        <v>0</v>
      </c>
      <c r="E173" s="2">
        <v>6</v>
      </c>
      <c r="F173" s="2">
        <v>64</v>
      </c>
      <c r="G173" s="2">
        <v>26</v>
      </c>
      <c r="H173" s="2">
        <v>35</v>
      </c>
      <c r="I173" s="2">
        <v>0</v>
      </c>
      <c r="J173" s="2">
        <v>0</v>
      </c>
      <c r="K173" s="2">
        <v>3</v>
      </c>
      <c r="L173" s="2">
        <v>12</v>
      </c>
      <c r="M173" s="2">
        <v>2</v>
      </c>
      <c r="N173" s="2">
        <v>14</v>
      </c>
      <c r="O173" s="2">
        <v>3</v>
      </c>
      <c r="P173" s="2">
        <v>21</v>
      </c>
      <c r="Q173" s="2">
        <v>3</v>
      </c>
      <c r="R173" s="2">
        <v>25</v>
      </c>
      <c r="S173" s="2">
        <v>0</v>
      </c>
      <c r="T173" s="2">
        <v>0</v>
      </c>
      <c r="U173" s="2">
        <v>2</v>
      </c>
      <c r="V173" s="2">
        <v>15</v>
      </c>
      <c r="W173" s="2">
        <v>8</v>
      </c>
      <c r="X173" s="2">
        <v>81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4">
        <f>Table2121418198588[[#This Row],[QB PY]]+Table2121418198588[[#This Row],[QB RY]]</f>
        <v>174</v>
      </c>
      <c r="AJ173" s="4">
        <f>Table2121418198588[[#This Row],[RB1 RY]]+Table2121418198588[[#This Row],[RB2+ RY]]+Table2121418198588[[#This Row],[RB1 RecY]]+Table2121418198588[[#This Row],[RB2 RecY]]</f>
        <v>102</v>
      </c>
    </row>
    <row r="174" spans="1:36" x14ac:dyDescent="0.35">
      <c r="A174" s="19" t="s">
        <v>31</v>
      </c>
      <c r="B174" s="1">
        <v>18</v>
      </c>
      <c r="C174" s="2">
        <v>236</v>
      </c>
      <c r="D174" s="2">
        <v>3</v>
      </c>
      <c r="E174" s="2">
        <v>19</v>
      </c>
      <c r="F174" s="2">
        <v>72</v>
      </c>
      <c r="G174" s="2">
        <v>42</v>
      </c>
      <c r="H174" s="2">
        <v>9</v>
      </c>
      <c r="I174" s="2">
        <v>4</v>
      </c>
      <c r="J174" s="2">
        <v>18</v>
      </c>
      <c r="K174" s="2">
        <v>3</v>
      </c>
      <c r="L174" s="2">
        <v>10</v>
      </c>
      <c r="M174" s="2">
        <v>8</v>
      </c>
      <c r="N174" s="2">
        <v>96</v>
      </c>
      <c r="O174" s="2">
        <v>6</v>
      </c>
      <c r="P174" s="2">
        <v>67</v>
      </c>
      <c r="Q174" s="2">
        <v>2</v>
      </c>
      <c r="R174" s="2">
        <v>10</v>
      </c>
      <c r="S174" s="2">
        <v>0</v>
      </c>
      <c r="T174" s="2">
        <v>0</v>
      </c>
      <c r="U174" s="2">
        <v>2</v>
      </c>
      <c r="V174" s="2">
        <v>13</v>
      </c>
      <c r="W174" s="2">
        <v>4</v>
      </c>
      <c r="X174" s="2">
        <v>22</v>
      </c>
      <c r="Y174" s="2">
        <v>0</v>
      </c>
      <c r="Z174" s="2">
        <v>1</v>
      </c>
      <c r="AA174" s="2">
        <v>0</v>
      </c>
      <c r="AB174" s="2">
        <v>1</v>
      </c>
      <c r="AC174" s="2">
        <v>1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4">
        <f>Table2121418198588[[#This Row],[QB PY]]+Table2121418198588[[#This Row],[QB RY]]</f>
        <v>255</v>
      </c>
      <c r="AJ174" s="4">
        <f>Table2121418198588[[#This Row],[RB1 RY]]+Table2121418198588[[#This Row],[RB2+ RY]]+Table2121418198588[[#This Row],[RB1 RecY]]+Table2121418198588[[#This Row],[RB2 RecY]]</f>
        <v>142</v>
      </c>
    </row>
    <row r="175" spans="1:36" x14ac:dyDescent="0.35">
      <c r="B175" s="1" t="s">
        <v>57</v>
      </c>
      <c r="C175" s="3">
        <f>AVERAGE(Table2121418198588[QB PY])</f>
        <v>189.41176470588235</v>
      </c>
      <c r="D175" s="3">
        <f>AVERAGE(Table2121418198588[P TD])</f>
        <v>1.4705882352941178</v>
      </c>
      <c r="E175" s="3">
        <f>AVERAGE(Table2121418198588[QB RY])</f>
        <v>12.235294117647058</v>
      </c>
      <c r="F175" s="3">
        <f>AVERAGE(Table2121418198588[RB1 RY])</f>
        <v>71.058823529411768</v>
      </c>
      <c r="G175" s="3">
        <f>AVERAGE(Table2121418198588[RB2+ RY])</f>
        <v>25.294117647058822</v>
      </c>
      <c r="H175" s="3">
        <f>AVERAGE(Table2121418198588[WR RY])</f>
        <v>7.8235294117647056</v>
      </c>
      <c r="I175" s="3">
        <f>AVERAGE(Table2121418198588[RB1 Recep])</f>
        <v>2.2941176470588234</v>
      </c>
      <c r="J175" s="3">
        <f>AVERAGE(Table2121418198588[RB1 RecY])</f>
        <v>16.294117647058822</v>
      </c>
      <c r="K175" s="3">
        <f>AVERAGE(Table2121418198588[RB2 Recep])</f>
        <v>1.8235294117647058</v>
      </c>
      <c r="L175" s="3">
        <f>AVERAGE(Table2121418198588[RB2 RecY])</f>
        <v>11.411764705882353</v>
      </c>
      <c r="M175" s="3">
        <f>AVERAGE(Table2121418198588[WR1 Recep])</f>
        <v>3.7647058823529411</v>
      </c>
      <c r="N175" s="3">
        <f>AVERAGE(Table2121418198588[WR1 RecY])</f>
        <v>49.529411764705884</v>
      </c>
      <c r="O175" s="3">
        <f>AVERAGE(Table2121418198588[WR2 Recep])</f>
        <v>3</v>
      </c>
      <c r="P175" s="3">
        <f>AVERAGE(Table2121418198588[WR2 RecY])</f>
        <v>32.705882352941174</v>
      </c>
      <c r="Q175" s="3">
        <f>AVERAGE(Table2121418198588[WR3 Recep])</f>
        <v>1.6470588235294117</v>
      </c>
      <c r="R175" s="3">
        <f>AVERAGE(Table2121418198588[WR3 RecY])</f>
        <v>20.588235294117649</v>
      </c>
      <c r="S175" s="3">
        <f>AVERAGE(Table2121418198588[WR4+ Recep])</f>
        <v>0.52941176470588236</v>
      </c>
      <c r="T175" s="3">
        <f>AVERAGE(Table2121418198588[WR4+ RecY])</f>
        <v>6.7058823529411766</v>
      </c>
      <c r="U175" s="3">
        <f>AVERAGE(Table2121418198588[TE1 Recep])</f>
        <v>2.7647058823529411</v>
      </c>
      <c r="V175" s="3">
        <f>AVERAGE(Table2121418198588[TE1 RecY])</f>
        <v>30</v>
      </c>
      <c r="W175" s="3">
        <f>AVERAGE(Table2121418198588[TE2 Recep])</f>
        <v>2.2941176470588234</v>
      </c>
      <c r="X175" s="3">
        <f>AVERAGE(Table2121418198588[TE2 RecY])</f>
        <v>22.176470588235293</v>
      </c>
      <c r="Y175" s="3">
        <f>AVERAGE(Table2121418198588[QB TD])</f>
        <v>5.8823529411764705E-2</v>
      </c>
      <c r="Z175" s="3">
        <f>AVERAGE(Table2121418198588[RB1 TD])</f>
        <v>0.82352941176470584</v>
      </c>
      <c r="AA175" s="3">
        <f>AVERAGE(Table2121418198588[RB2 TD])</f>
        <v>5.8823529411764705E-2</v>
      </c>
      <c r="AB175" s="3">
        <f>AVERAGE(Table2121418198588[WR1 TD])</f>
        <v>0.52941176470588236</v>
      </c>
      <c r="AC175" s="3">
        <f>AVERAGE(Table2121418198588[WR2 TD])</f>
        <v>0.23529411764705882</v>
      </c>
      <c r="AD175" s="3">
        <f>AVERAGE(Table2121418198588[WR3 TD])</f>
        <v>5.8823529411764705E-2</v>
      </c>
      <c r="AE175" s="3">
        <f>AVERAGE(Table2121418198588[WR4+ TD])</f>
        <v>0.17647058823529413</v>
      </c>
      <c r="AF175" s="3">
        <f>AVERAGE(Table2121418198588[TE1 TD])</f>
        <v>0.17647058823529413</v>
      </c>
      <c r="AG175" s="3">
        <f>AVERAGE(Table2121418198588[TE2 TD])</f>
        <v>0.17647058823529413</v>
      </c>
      <c r="AH175" s="3">
        <f>AVERAGE(Table2121418198588[D/ST TD])</f>
        <v>0.23529411764705882</v>
      </c>
      <c r="AI175" s="3">
        <f>AVERAGE(Table2121418198588[QB P+R])</f>
        <v>201.64705882352942</v>
      </c>
      <c r="AJ175" s="3">
        <f>AVERAGE(Table2121418198588[RB R+R])</f>
        <v>124.05882352941177</v>
      </c>
    </row>
    <row r="177" spans="1:36" x14ac:dyDescent="0.35">
      <c r="A177" s="230" t="s">
        <v>33</v>
      </c>
      <c r="B177" s="230"/>
      <c r="C177" s="230"/>
      <c r="D177" s="230"/>
      <c r="E177" s="230"/>
      <c r="F177" s="230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</row>
    <row r="178" spans="1:36" x14ac:dyDescent="0.35">
      <c r="A178" s="20" t="s">
        <v>63</v>
      </c>
      <c r="B178" s="6" t="s">
        <v>1</v>
      </c>
      <c r="C178" s="7" t="s">
        <v>18</v>
      </c>
      <c r="D178" s="8" t="s">
        <v>19</v>
      </c>
      <c r="E178" s="9" t="s">
        <v>20</v>
      </c>
      <c r="F178" s="10" t="s">
        <v>21</v>
      </c>
      <c r="G178" s="11" t="s">
        <v>22</v>
      </c>
      <c r="H178" s="12" t="s">
        <v>23</v>
      </c>
      <c r="I178" s="13" t="s">
        <v>667</v>
      </c>
      <c r="J178" s="13" t="s">
        <v>668</v>
      </c>
      <c r="K178" s="13" t="s">
        <v>665</v>
      </c>
      <c r="L178" s="13" t="s">
        <v>666</v>
      </c>
      <c r="M178" s="14" t="s">
        <v>2</v>
      </c>
      <c r="N178" s="14" t="s">
        <v>24</v>
      </c>
      <c r="O178" s="15" t="s">
        <v>3</v>
      </c>
      <c r="P178" s="15" t="s">
        <v>25</v>
      </c>
      <c r="Q178" s="16" t="s">
        <v>4</v>
      </c>
      <c r="R178" s="16" t="s">
        <v>26</v>
      </c>
      <c r="S178" s="17" t="s">
        <v>5</v>
      </c>
      <c r="T178" s="17" t="s">
        <v>27</v>
      </c>
      <c r="U178" s="18" t="s">
        <v>669</v>
      </c>
      <c r="V178" s="18" t="s">
        <v>670</v>
      </c>
      <c r="W178" s="18" t="s">
        <v>675</v>
      </c>
      <c r="X178" s="18" t="s">
        <v>671</v>
      </c>
      <c r="Y178" s="6" t="s">
        <v>6</v>
      </c>
      <c r="Z178" s="6" t="s">
        <v>7</v>
      </c>
      <c r="AA178" s="6" t="s">
        <v>674</v>
      </c>
      <c r="AB178" s="6" t="s">
        <v>8</v>
      </c>
      <c r="AC178" s="6" t="s">
        <v>9</v>
      </c>
      <c r="AD178" s="6" t="s">
        <v>10</v>
      </c>
      <c r="AE178" s="6" t="s">
        <v>11</v>
      </c>
      <c r="AF178" s="6" t="s">
        <v>673</v>
      </c>
      <c r="AG178" s="6" t="s">
        <v>672</v>
      </c>
      <c r="AH178" s="6" t="s">
        <v>12</v>
      </c>
      <c r="AI178" s="8" t="s">
        <v>14</v>
      </c>
      <c r="AJ178" s="11" t="s">
        <v>13</v>
      </c>
    </row>
    <row r="179" spans="1:36" x14ac:dyDescent="0.35">
      <c r="A179" s="19" t="s">
        <v>50</v>
      </c>
      <c r="B179" s="5">
        <v>1</v>
      </c>
      <c r="C179" s="4">
        <v>152</v>
      </c>
      <c r="D179" s="4">
        <v>0</v>
      </c>
      <c r="E179" s="4">
        <v>62</v>
      </c>
      <c r="F179" s="4">
        <v>60</v>
      </c>
      <c r="G179" s="4">
        <v>36</v>
      </c>
      <c r="H179" s="4">
        <v>0</v>
      </c>
      <c r="I179" s="4">
        <v>4</v>
      </c>
      <c r="J179" s="4">
        <v>24</v>
      </c>
      <c r="K179" s="4">
        <v>0</v>
      </c>
      <c r="L179" s="4">
        <v>0</v>
      </c>
      <c r="M179" s="4">
        <v>1</v>
      </c>
      <c r="N179" s="4">
        <v>8</v>
      </c>
      <c r="O179" s="4">
        <v>3</v>
      </c>
      <c r="P179" s="4">
        <v>16</v>
      </c>
      <c r="Q179" s="4">
        <v>3</v>
      </c>
      <c r="R179" s="4">
        <v>59</v>
      </c>
      <c r="S179" s="4">
        <v>0</v>
      </c>
      <c r="T179" s="4">
        <v>0</v>
      </c>
      <c r="U179" s="4">
        <v>7</v>
      </c>
      <c r="V179" s="4">
        <v>44</v>
      </c>
      <c r="W179" s="4">
        <v>1</v>
      </c>
      <c r="X179" s="4">
        <v>1</v>
      </c>
      <c r="Y179" s="4">
        <v>2</v>
      </c>
      <c r="Z179" s="4">
        <v>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f>Table212141819[[#This Row],[QB PY]]+Table212141819[[#This Row],[QB RY]]</f>
        <v>214</v>
      </c>
      <c r="AJ179" s="4">
        <f>Table212141819[[#This Row],[RB1 RY]]+Table212141819[[#This Row],[RB2+ RY]]+Table212141819[[#This Row],[RB1 RecY]]+Table212141819[[#This Row],[RB2 RecY]]</f>
        <v>120</v>
      </c>
    </row>
    <row r="180" spans="1:36" x14ac:dyDescent="0.35">
      <c r="A180" s="19" t="s">
        <v>48</v>
      </c>
      <c r="B180" s="1">
        <v>2</v>
      </c>
      <c r="C180" s="2">
        <v>450</v>
      </c>
      <c r="D180" s="2">
        <v>3</v>
      </c>
      <c r="E180" s="2">
        <v>20</v>
      </c>
      <c r="F180" s="2">
        <v>45</v>
      </c>
      <c r="G180" s="2">
        <v>19</v>
      </c>
      <c r="H180" s="2">
        <v>0</v>
      </c>
      <c r="I180" s="2">
        <v>2</v>
      </c>
      <c r="J180" s="2">
        <v>14</v>
      </c>
      <c r="K180" s="2">
        <v>5</v>
      </c>
      <c r="L180" s="2">
        <v>32</v>
      </c>
      <c r="M180" s="2">
        <v>9</v>
      </c>
      <c r="N180" s="2">
        <v>167</v>
      </c>
      <c r="O180" s="2">
        <v>8</v>
      </c>
      <c r="P180" s="2">
        <v>142</v>
      </c>
      <c r="Q180" s="2">
        <v>2</v>
      </c>
      <c r="R180" s="2">
        <v>61</v>
      </c>
      <c r="S180" s="2">
        <v>0</v>
      </c>
      <c r="T180" s="2">
        <v>0</v>
      </c>
      <c r="U180" s="2">
        <v>4</v>
      </c>
      <c r="V180" s="2">
        <v>34</v>
      </c>
      <c r="W180" s="2">
        <v>0</v>
      </c>
      <c r="X180" s="2">
        <v>0</v>
      </c>
      <c r="Y180" s="2">
        <v>0</v>
      </c>
      <c r="Z180" s="2">
        <v>1</v>
      </c>
      <c r="AA180" s="2">
        <v>0</v>
      </c>
      <c r="AB180" s="2">
        <v>2</v>
      </c>
      <c r="AC180" s="2">
        <v>1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4">
        <f>Table212141819[[#This Row],[QB PY]]+Table212141819[[#This Row],[QB RY]]</f>
        <v>470</v>
      </c>
      <c r="AJ180" s="4">
        <f>Table212141819[[#This Row],[RB1 RY]]+Table212141819[[#This Row],[RB2+ RY]]+Table212141819[[#This Row],[RB1 RecY]]+Table212141819[[#This Row],[RB2 RecY]]</f>
        <v>110</v>
      </c>
    </row>
    <row r="181" spans="1:36" x14ac:dyDescent="0.35">
      <c r="A181" s="19" t="s">
        <v>30</v>
      </c>
      <c r="B181" s="1">
        <v>3</v>
      </c>
      <c r="C181" s="2">
        <v>298</v>
      </c>
      <c r="D181" s="2">
        <v>4</v>
      </c>
      <c r="E181" s="2">
        <v>12</v>
      </c>
      <c r="F181" s="2">
        <v>33</v>
      </c>
      <c r="G181" s="2">
        <v>16</v>
      </c>
      <c r="H181" s="2">
        <v>26</v>
      </c>
      <c r="I181" s="2">
        <v>3</v>
      </c>
      <c r="J181" s="2">
        <v>45</v>
      </c>
      <c r="K181" s="2">
        <v>1</v>
      </c>
      <c r="L181" s="2">
        <v>4</v>
      </c>
      <c r="M181" s="2">
        <v>4</v>
      </c>
      <c r="N181" s="2">
        <v>21</v>
      </c>
      <c r="O181" s="2">
        <v>3</v>
      </c>
      <c r="P181" s="2">
        <v>62</v>
      </c>
      <c r="Q181" s="2">
        <v>3</v>
      </c>
      <c r="R181" s="2">
        <v>24</v>
      </c>
      <c r="S181" s="2">
        <v>3</v>
      </c>
      <c r="T181" s="2">
        <v>101</v>
      </c>
      <c r="U181" s="2">
        <v>1</v>
      </c>
      <c r="V181" s="2">
        <v>31</v>
      </c>
      <c r="W181" s="2">
        <v>1</v>
      </c>
      <c r="X181" s="2">
        <v>10</v>
      </c>
      <c r="Y181" s="2">
        <v>0</v>
      </c>
      <c r="Z181" s="2">
        <v>0</v>
      </c>
      <c r="AA181" s="2">
        <v>0</v>
      </c>
      <c r="AB181" s="2">
        <v>1</v>
      </c>
      <c r="AC181" s="2">
        <v>1</v>
      </c>
      <c r="AD181" s="2">
        <v>0</v>
      </c>
      <c r="AE181" s="2">
        <v>1</v>
      </c>
      <c r="AF181" s="2">
        <v>0</v>
      </c>
      <c r="AG181" s="2">
        <v>1</v>
      </c>
      <c r="AH181" s="2">
        <v>0</v>
      </c>
      <c r="AI181" s="4">
        <f>Table212141819[[#This Row],[QB PY]]+Table212141819[[#This Row],[QB RY]]</f>
        <v>310</v>
      </c>
      <c r="AJ181" s="4">
        <f>Table212141819[[#This Row],[RB1 RY]]+Table212141819[[#This Row],[RB2+ RY]]+Table212141819[[#This Row],[RB1 RecY]]+Table212141819[[#This Row],[RB2 RecY]]</f>
        <v>98</v>
      </c>
    </row>
    <row r="182" spans="1:36" x14ac:dyDescent="0.35">
      <c r="A182" s="19" t="s">
        <v>36</v>
      </c>
      <c r="B182" s="1">
        <v>4</v>
      </c>
      <c r="C182" s="2">
        <v>337</v>
      </c>
      <c r="D182" s="2">
        <v>3</v>
      </c>
      <c r="E182" s="2">
        <v>28</v>
      </c>
      <c r="F182" s="2">
        <v>86</v>
      </c>
      <c r="G182" s="2">
        <v>44</v>
      </c>
      <c r="H182" s="2">
        <v>6</v>
      </c>
      <c r="I182" s="2">
        <v>4</v>
      </c>
      <c r="J182" s="2">
        <v>71</v>
      </c>
      <c r="K182" s="2">
        <v>4</v>
      </c>
      <c r="L182" s="2">
        <v>38</v>
      </c>
      <c r="M182" s="2">
        <v>6</v>
      </c>
      <c r="N182" s="2">
        <v>58</v>
      </c>
      <c r="O182" s="2">
        <v>5</v>
      </c>
      <c r="P182" s="2">
        <v>58</v>
      </c>
      <c r="Q182" s="2">
        <v>2</v>
      </c>
      <c r="R182" s="2">
        <v>19</v>
      </c>
      <c r="S182" s="2">
        <v>4</v>
      </c>
      <c r="T182" s="2">
        <v>31</v>
      </c>
      <c r="U182" s="2">
        <v>5</v>
      </c>
      <c r="V182" s="2">
        <v>56</v>
      </c>
      <c r="W182" s="2">
        <v>1</v>
      </c>
      <c r="X182" s="2">
        <v>6</v>
      </c>
      <c r="Y182" s="2">
        <v>0</v>
      </c>
      <c r="Z182" s="2">
        <v>2</v>
      </c>
      <c r="AA182" s="2">
        <v>0</v>
      </c>
      <c r="AB182" s="2">
        <v>3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4">
        <f>Table212141819[[#This Row],[QB PY]]+Table212141819[[#This Row],[QB RY]]</f>
        <v>365</v>
      </c>
      <c r="AJ182" s="4">
        <f>Table212141819[[#This Row],[RB1 RY]]+Table212141819[[#This Row],[RB2+ RY]]+Table212141819[[#This Row],[RB1 RecY]]+Table212141819[[#This Row],[RB2 RecY]]</f>
        <v>239</v>
      </c>
    </row>
    <row r="183" spans="1:36" x14ac:dyDescent="0.35">
      <c r="A183" s="19" t="s">
        <v>49</v>
      </c>
      <c r="B183" s="1">
        <v>5</v>
      </c>
      <c r="C183" s="2">
        <v>283</v>
      </c>
      <c r="D183" s="2">
        <v>2</v>
      </c>
      <c r="E183" s="2">
        <v>26</v>
      </c>
      <c r="F183" s="2">
        <v>113</v>
      </c>
      <c r="G183" s="2">
        <v>5</v>
      </c>
      <c r="H183" s="2">
        <v>0</v>
      </c>
      <c r="I183" s="2">
        <v>4</v>
      </c>
      <c r="J183" s="2">
        <v>42</v>
      </c>
      <c r="K183" s="2">
        <v>4</v>
      </c>
      <c r="L183" s="2">
        <v>29</v>
      </c>
      <c r="M183" s="2">
        <v>6</v>
      </c>
      <c r="N183" s="2">
        <v>71</v>
      </c>
      <c r="O183" s="2">
        <v>3</v>
      </c>
      <c r="P183" s="2">
        <v>29</v>
      </c>
      <c r="Q183" s="2">
        <v>1</v>
      </c>
      <c r="R183" s="2">
        <v>3</v>
      </c>
      <c r="S183" s="2">
        <v>1</v>
      </c>
      <c r="T183" s="2">
        <v>14</v>
      </c>
      <c r="U183" s="2">
        <v>9</v>
      </c>
      <c r="V183" s="2">
        <v>67</v>
      </c>
      <c r="W183" s="2">
        <v>4</v>
      </c>
      <c r="X183" s="2">
        <v>28</v>
      </c>
      <c r="Y183" s="2">
        <v>0</v>
      </c>
      <c r="Z183" s="2">
        <v>0</v>
      </c>
      <c r="AA183" s="2">
        <v>1</v>
      </c>
      <c r="AB183" s="2">
        <v>1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4">
        <f>Table212141819[[#This Row],[QB PY]]+Table212141819[[#This Row],[QB RY]]</f>
        <v>309</v>
      </c>
      <c r="AJ183" s="4">
        <f>Table212141819[[#This Row],[RB1 RY]]+Table212141819[[#This Row],[RB2+ RY]]+Table212141819[[#This Row],[RB1 RecY]]+Table212141819[[#This Row],[RB2 RecY]]</f>
        <v>189</v>
      </c>
    </row>
    <row r="184" spans="1:36" x14ac:dyDescent="0.35">
      <c r="A184" s="19" t="s">
        <v>29</v>
      </c>
      <c r="B184" s="1">
        <v>6</v>
      </c>
      <c r="C184" s="2">
        <v>199</v>
      </c>
      <c r="D184" s="2">
        <v>3</v>
      </c>
      <c r="E184" s="2">
        <v>5</v>
      </c>
      <c r="F184" s="2">
        <v>183</v>
      </c>
      <c r="G184" s="2">
        <v>17</v>
      </c>
      <c r="H184" s="2">
        <v>11</v>
      </c>
      <c r="I184" s="2">
        <v>4</v>
      </c>
      <c r="J184" s="2">
        <v>56</v>
      </c>
      <c r="K184" s="2">
        <v>0</v>
      </c>
      <c r="L184" s="2">
        <v>0</v>
      </c>
      <c r="M184" s="2">
        <v>3</v>
      </c>
      <c r="N184" s="2">
        <v>29</v>
      </c>
      <c r="O184" s="2">
        <v>2</v>
      </c>
      <c r="P184" s="2">
        <v>11</v>
      </c>
      <c r="Q184" s="2">
        <v>1</v>
      </c>
      <c r="R184" s="2">
        <v>7</v>
      </c>
      <c r="S184" s="2">
        <v>2</v>
      </c>
      <c r="T184" s="2">
        <v>36</v>
      </c>
      <c r="U184" s="2">
        <v>4</v>
      </c>
      <c r="V184" s="2">
        <v>39</v>
      </c>
      <c r="W184" s="2">
        <v>1</v>
      </c>
      <c r="X184" s="2">
        <v>21</v>
      </c>
      <c r="Y184" s="2">
        <v>0</v>
      </c>
      <c r="Z184" s="2">
        <v>1</v>
      </c>
      <c r="AA184" s="2">
        <v>0</v>
      </c>
      <c r="AB184" s="2">
        <v>2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4">
        <f>Table212141819[[#This Row],[QB PY]]+Table212141819[[#This Row],[QB RY]]</f>
        <v>204</v>
      </c>
      <c r="AJ184" s="4">
        <f>Table212141819[[#This Row],[RB1 RY]]+Table212141819[[#This Row],[RB2+ RY]]+Table212141819[[#This Row],[RB1 RecY]]+Table212141819[[#This Row],[RB2 RecY]]</f>
        <v>256</v>
      </c>
    </row>
    <row r="185" spans="1:36" x14ac:dyDescent="0.35">
      <c r="A185" s="19" t="s">
        <v>56</v>
      </c>
      <c r="B185" s="1">
        <v>7</v>
      </c>
      <c r="C185" s="2">
        <v>219</v>
      </c>
      <c r="D185" s="2">
        <v>1</v>
      </c>
      <c r="E185" s="2">
        <v>69</v>
      </c>
      <c r="F185" s="2">
        <v>33</v>
      </c>
      <c r="G185" s="2">
        <v>34</v>
      </c>
      <c r="H185" s="2">
        <v>0</v>
      </c>
      <c r="I185" s="2">
        <v>1</v>
      </c>
      <c r="J185" s="2">
        <v>-1</v>
      </c>
      <c r="K185" s="2">
        <v>2</v>
      </c>
      <c r="L185" s="2">
        <v>23</v>
      </c>
      <c r="M185" s="2">
        <v>3</v>
      </c>
      <c r="N185" s="2">
        <v>60</v>
      </c>
      <c r="O185" s="2">
        <v>2</v>
      </c>
      <c r="P185" s="2">
        <v>59</v>
      </c>
      <c r="Q185" s="2">
        <v>4</v>
      </c>
      <c r="R185" s="2">
        <v>36</v>
      </c>
      <c r="S185" s="2">
        <v>0</v>
      </c>
      <c r="T185" s="2">
        <v>0</v>
      </c>
      <c r="U185" s="2">
        <v>3</v>
      </c>
      <c r="V185" s="2">
        <v>37</v>
      </c>
      <c r="W185" s="2">
        <v>1</v>
      </c>
      <c r="X185" s="2">
        <v>5</v>
      </c>
      <c r="Y185" s="2">
        <v>1</v>
      </c>
      <c r="Z185" s="2">
        <v>0</v>
      </c>
      <c r="AA185" s="2">
        <v>1</v>
      </c>
      <c r="AB185" s="2">
        <v>0</v>
      </c>
      <c r="AC185" s="2">
        <v>0</v>
      </c>
      <c r="AD185" s="2">
        <v>0</v>
      </c>
      <c r="AE185" s="2">
        <v>0</v>
      </c>
      <c r="AF185" s="2">
        <v>1</v>
      </c>
      <c r="AG185" s="2">
        <v>0</v>
      </c>
      <c r="AH185" s="2">
        <v>0</v>
      </c>
      <c r="AI185" s="4">
        <f>Table212141819[[#This Row],[QB PY]]+Table212141819[[#This Row],[QB RY]]</f>
        <v>288</v>
      </c>
      <c r="AJ185" s="4">
        <f>Table212141819[[#This Row],[RB1 RY]]+Table212141819[[#This Row],[RB2+ RY]]+Table212141819[[#This Row],[RB1 RecY]]+Table212141819[[#This Row],[RB2 RecY]]</f>
        <v>89</v>
      </c>
    </row>
    <row r="186" spans="1:36" x14ac:dyDescent="0.35">
      <c r="A186" s="19" t="s">
        <v>34</v>
      </c>
      <c r="B186" s="1">
        <v>8</v>
      </c>
      <c r="C186" s="2">
        <v>247</v>
      </c>
      <c r="D186" s="2">
        <v>4</v>
      </c>
      <c r="E186" s="2">
        <v>-2</v>
      </c>
      <c r="F186" s="2">
        <v>111</v>
      </c>
      <c r="G186" s="2">
        <v>52</v>
      </c>
      <c r="H186" s="2">
        <v>18</v>
      </c>
      <c r="I186" s="2">
        <v>2</v>
      </c>
      <c r="J186" s="2">
        <v>10</v>
      </c>
      <c r="K186" s="2">
        <v>1</v>
      </c>
      <c r="L186" s="2">
        <v>5</v>
      </c>
      <c r="M186" s="2">
        <v>4</v>
      </c>
      <c r="N186" s="2">
        <v>67</v>
      </c>
      <c r="O186" s="2">
        <v>6</v>
      </c>
      <c r="P186" s="2">
        <v>89</v>
      </c>
      <c r="Q186" s="2">
        <v>2</v>
      </c>
      <c r="R186" s="2">
        <v>40</v>
      </c>
      <c r="S186" s="2">
        <v>0</v>
      </c>
      <c r="T186" s="2">
        <v>0</v>
      </c>
      <c r="U186" s="2">
        <v>4</v>
      </c>
      <c r="V186" s="2">
        <v>36</v>
      </c>
      <c r="W186" s="2">
        <v>0</v>
      </c>
      <c r="X186" s="2">
        <v>0</v>
      </c>
      <c r="Y186" s="2">
        <v>0</v>
      </c>
      <c r="Z186" s="2">
        <v>0</v>
      </c>
      <c r="AA186" s="2">
        <v>3</v>
      </c>
      <c r="AB186" s="2">
        <v>0</v>
      </c>
      <c r="AC186" s="2">
        <v>2</v>
      </c>
      <c r="AD186" s="2">
        <v>1</v>
      </c>
      <c r="AE186" s="2">
        <v>0</v>
      </c>
      <c r="AF186" s="2">
        <v>0</v>
      </c>
      <c r="AG186" s="2">
        <v>0</v>
      </c>
      <c r="AH186" s="2">
        <v>0</v>
      </c>
      <c r="AI186" s="4">
        <f>Table212141819[[#This Row],[QB PY]]+Table212141819[[#This Row],[QB RY]]</f>
        <v>245</v>
      </c>
      <c r="AJ186" s="4">
        <f>Table212141819[[#This Row],[RB1 RY]]+Table212141819[[#This Row],[RB2+ RY]]+Table212141819[[#This Row],[RB1 RecY]]+Table212141819[[#This Row],[RB2 RecY]]</f>
        <v>178</v>
      </c>
    </row>
    <row r="187" spans="1:36" x14ac:dyDescent="0.35">
      <c r="A187" s="19" t="s">
        <v>0</v>
      </c>
      <c r="B187" s="1">
        <v>9</v>
      </c>
      <c r="C187" s="2">
        <v>261</v>
      </c>
      <c r="D187" s="2">
        <v>2</v>
      </c>
      <c r="E187" s="2">
        <v>4</v>
      </c>
      <c r="F187" s="2">
        <v>79</v>
      </c>
      <c r="G187" s="2">
        <v>27</v>
      </c>
      <c r="H187" s="2">
        <v>9</v>
      </c>
      <c r="I187" s="2">
        <v>2</v>
      </c>
      <c r="J187" s="2">
        <v>20</v>
      </c>
      <c r="K187" s="2">
        <v>1</v>
      </c>
      <c r="L187" s="2">
        <v>-1</v>
      </c>
      <c r="M187" s="2">
        <v>7</v>
      </c>
      <c r="N187" s="2">
        <v>96</v>
      </c>
      <c r="O187" s="2">
        <v>3</v>
      </c>
      <c r="P187" s="2">
        <v>61</v>
      </c>
      <c r="Q187" s="2">
        <v>0</v>
      </c>
      <c r="R187" s="2">
        <v>0</v>
      </c>
      <c r="S187" s="2">
        <v>0</v>
      </c>
      <c r="T187" s="2">
        <v>0</v>
      </c>
      <c r="U187" s="2">
        <v>5</v>
      </c>
      <c r="V187" s="2">
        <v>55</v>
      </c>
      <c r="W187" s="2">
        <v>3</v>
      </c>
      <c r="X187" s="2">
        <v>30</v>
      </c>
      <c r="Y187" s="2">
        <v>1</v>
      </c>
      <c r="Z187" s="2">
        <v>0</v>
      </c>
      <c r="AA187" s="2">
        <v>0</v>
      </c>
      <c r="AB187" s="2">
        <v>1</v>
      </c>
      <c r="AC187" s="2">
        <v>0</v>
      </c>
      <c r="AD187" s="2">
        <v>0</v>
      </c>
      <c r="AE187" s="2">
        <v>0</v>
      </c>
      <c r="AF187" s="2">
        <v>1</v>
      </c>
      <c r="AG187" s="2">
        <v>0</v>
      </c>
      <c r="AH187" s="2">
        <v>0</v>
      </c>
      <c r="AI187" s="4">
        <f>Table212141819[[#This Row],[QB PY]]+Table212141819[[#This Row],[QB RY]]</f>
        <v>265</v>
      </c>
      <c r="AJ187" s="4">
        <f>Table212141819[[#This Row],[RB1 RY]]+Table212141819[[#This Row],[RB2+ RY]]+Table212141819[[#This Row],[RB1 RecY]]+Table212141819[[#This Row],[RB2 RecY]]</f>
        <v>125</v>
      </c>
    </row>
    <row r="188" spans="1:36" x14ac:dyDescent="0.35">
      <c r="A188" s="19" t="s">
        <v>650</v>
      </c>
      <c r="B188" s="1">
        <v>10</v>
      </c>
      <c r="C188" s="2" t="s">
        <v>697</v>
      </c>
      <c r="D188" s="2" t="s">
        <v>697</v>
      </c>
      <c r="E188" s="2" t="s">
        <v>697</v>
      </c>
      <c r="F188" s="2" t="s">
        <v>697</v>
      </c>
      <c r="G188" s="2" t="s">
        <v>697</v>
      </c>
      <c r="H188" s="2" t="s">
        <v>697</v>
      </c>
      <c r="I188" s="2" t="s">
        <v>697</v>
      </c>
      <c r="J188" s="2" t="s">
        <v>697</v>
      </c>
      <c r="K188" s="2" t="s">
        <v>697</v>
      </c>
      <c r="L188" s="2" t="s">
        <v>697</v>
      </c>
      <c r="M188" s="2" t="s">
        <v>697</v>
      </c>
      <c r="N188" s="2" t="s">
        <v>697</v>
      </c>
      <c r="O188" s="2" t="s">
        <v>697</v>
      </c>
      <c r="P188" s="2" t="s">
        <v>697</v>
      </c>
      <c r="Q188" s="2" t="s">
        <v>697</v>
      </c>
      <c r="R188" s="2" t="s">
        <v>697</v>
      </c>
      <c r="S188" s="2" t="s">
        <v>697</v>
      </c>
      <c r="T188" s="2" t="s">
        <v>697</v>
      </c>
      <c r="U188" s="2" t="s">
        <v>697</v>
      </c>
      <c r="V188" s="2" t="s">
        <v>697</v>
      </c>
      <c r="W188" s="2" t="s">
        <v>697</v>
      </c>
      <c r="X188" s="2" t="s">
        <v>697</v>
      </c>
      <c r="Y188" s="2" t="s">
        <v>697</v>
      </c>
      <c r="Z188" s="2" t="s">
        <v>697</v>
      </c>
      <c r="AA188" s="2" t="s">
        <v>697</v>
      </c>
      <c r="AB188" s="2" t="s">
        <v>697</v>
      </c>
      <c r="AC188" s="2" t="s">
        <v>697</v>
      </c>
      <c r="AD188" s="2" t="s">
        <v>697</v>
      </c>
      <c r="AE188" s="2" t="s">
        <v>697</v>
      </c>
      <c r="AF188" s="2" t="s">
        <v>697</v>
      </c>
      <c r="AG188" s="2" t="s">
        <v>697</v>
      </c>
      <c r="AH188" s="2" t="s">
        <v>697</v>
      </c>
      <c r="AI188" s="4" t="s">
        <v>697</v>
      </c>
      <c r="AJ188" s="4" t="s">
        <v>697</v>
      </c>
    </row>
    <row r="189" spans="1:36" x14ac:dyDescent="0.35">
      <c r="A189" s="19" t="s">
        <v>43</v>
      </c>
      <c r="B189" s="1">
        <v>11</v>
      </c>
      <c r="C189" s="2">
        <v>238</v>
      </c>
      <c r="D189" s="2">
        <v>1</v>
      </c>
      <c r="E189" s="2">
        <v>14</v>
      </c>
      <c r="F189" s="2">
        <v>7</v>
      </c>
      <c r="G189" s="2">
        <v>6</v>
      </c>
      <c r="H189" s="2">
        <v>0</v>
      </c>
      <c r="I189" s="2">
        <v>6</v>
      </c>
      <c r="J189" s="2">
        <v>27</v>
      </c>
      <c r="K189" s="2">
        <v>2</v>
      </c>
      <c r="L189" s="2">
        <v>7</v>
      </c>
      <c r="M189" s="2">
        <v>4</v>
      </c>
      <c r="N189" s="2">
        <v>47</v>
      </c>
      <c r="O189" s="2">
        <v>3</v>
      </c>
      <c r="P189" s="2">
        <v>33</v>
      </c>
      <c r="Q189" s="2">
        <v>1</v>
      </c>
      <c r="R189" s="2">
        <v>19</v>
      </c>
      <c r="S189" s="2">
        <v>0</v>
      </c>
      <c r="T189" s="2">
        <v>0</v>
      </c>
      <c r="U189" s="2">
        <v>7</v>
      </c>
      <c r="V189" s="2">
        <v>72</v>
      </c>
      <c r="W189" s="2">
        <v>4</v>
      </c>
      <c r="X189" s="2">
        <v>33</v>
      </c>
      <c r="Y189" s="2">
        <v>0</v>
      </c>
      <c r="Z189" s="2">
        <v>0</v>
      </c>
      <c r="AA189" s="2">
        <v>0</v>
      </c>
      <c r="AB189" s="2">
        <v>1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4">
        <f>Table212141819[[#This Row],[QB PY]]+Table212141819[[#This Row],[QB RY]]</f>
        <v>252</v>
      </c>
      <c r="AJ189" s="4">
        <f>Table212141819[[#This Row],[RB1 RY]]+Table212141819[[#This Row],[RB2+ RY]]+Table212141819[[#This Row],[RB1 RecY]]+Table212141819[[#This Row],[RB2 RecY]]</f>
        <v>47</v>
      </c>
    </row>
    <row r="190" spans="1:36" x14ac:dyDescent="0.35">
      <c r="A190" s="19" t="s">
        <v>50</v>
      </c>
      <c r="B190" s="1">
        <v>12</v>
      </c>
      <c r="C190" s="2">
        <v>289</v>
      </c>
      <c r="D190" s="2">
        <v>1</v>
      </c>
      <c r="E190" s="2">
        <v>33</v>
      </c>
      <c r="F190" s="2">
        <v>22</v>
      </c>
      <c r="G190" s="2">
        <v>8</v>
      </c>
      <c r="H190" s="2">
        <v>0</v>
      </c>
      <c r="I190" s="2">
        <v>7</v>
      </c>
      <c r="J190" s="2">
        <v>52</v>
      </c>
      <c r="K190" s="2">
        <v>0</v>
      </c>
      <c r="L190" s="2">
        <v>0</v>
      </c>
      <c r="M190" s="2">
        <v>8</v>
      </c>
      <c r="N190" s="2">
        <v>110</v>
      </c>
      <c r="O190" s="2">
        <v>6</v>
      </c>
      <c r="P190" s="2">
        <v>89</v>
      </c>
      <c r="Q190" s="2">
        <v>0</v>
      </c>
      <c r="R190" s="2">
        <v>0</v>
      </c>
      <c r="S190" s="2">
        <v>3</v>
      </c>
      <c r="T190" s="2">
        <v>10</v>
      </c>
      <c r="U190" s="2">
        <v>2</v>
      </c>
      <c r="V190" s="2">
        <v>20</v>
      </c>
      <c r="W190" s="2">
        <v>1</v>
      </c>
      <c r="X190" s="2">
        <v>8</v>
      </c>
      <c r="Y190" s="2">
        <v>2</v>
      </c>
      <c r="Z190" s="2">
        <v>0</v>
      </c>
      <c r="AA190" s="2">
        <v>0</v>
      </c>
      <c r="AB190" s="2">
        <v>1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4">
        <f>Table212141819[[#This Row],[QB PY]]+Table212141819[[#This Row],[QB RY]]</f>
        <v>322</v>
      </c>
      <c r="AJ190" s="4">
        <f>Table212141819[[#This Row],[RB1 RY]]+Table212141819[[#This Row],[RB2+ RY]]+Table212141819[[#This Row],[RB1 RecY]]+Table212141819[[#This Row],[RB2 RecY]]</f>
        <v>82</v>
      </c>
    </row>
    <row r="191" spans="1:36" x14ac:dyDescent="0.35">
      <c r="A191" s="19" t="s">
        <v>40</v>
      </c>
      <c r="B191" s="1">
        <v>13</v>
      </c>
      <c r="C191" s="2">
        <v>261</v>
      </c>
      <c r="D191" s="2">
        <v>4</v>
      </c>
      <c r="E191" s="2">
        <v>30</v>
      </c>
      <c r="F191" s="2">
        <v>58</v>
      </c>
      <c r="G191" s="2">
        <v>16</v>
      </c>
      <c r="H191" s="2">
        <v>15</v>
      </c>
      <c r="I191" s="2">
        <v>1</v>
      </c>
      <c r="J191" s="2">
        <v>22</v>
      </c>
      <c r="K191" s="2">
        <v>2</v>
      </c>
      <c r="L191" s="2">
        <v>17</v>
      </c>
      <c r="M191" s="2">
        <v>8</v>
      </c>
      <c r="N191" s="2">
        <v>92</v>
      </c>
      <c r="O191" s="2">
        <v>4</v>
      </c>
      <c r="P191" s="2">
        <v>61</v>
      </c>
      <c r="Q191" s="2">
        <v>2</v>
      </c>
      <c r="R191" s="2">
        <v>20</v>
      </c>
      <c r="S191" s="2">
        <v>0</v>
      </c>
      <c r="T191" s="2">
        <v>0</v>
      </c>
      <c r="U191" s="2">
        <v>5</v>
      </c>
      <c r="V191" s="2">
        <v>45</v>
      </c>
      <c r="W191" s="2">
        <v>1</v>
      </c>
      <c r="X191" s="2">
        <v>4</v>
      </c>
      <c r="Y191" s="2">
        <v>0</v>
      </c>
      <c r="Z191" s="2">
        <v>0</v>
      </c>
      <c r="AA191" s="2">
        <v>0</v>
      </c>
      <c r="AB191" s="2">
        <v>2</v>
      </c>
      <c r="AC191" s="2">
        <v>0</v>
      </c>
      <c r="AD191" s="2">
        <v>1</v>
      </c>
      <c r="AE191" s="2">
        <v>0</v>
      </c>
      <c r="AF191" s="2">
        <v>1</v>
      </c>
      <c r="AG191" s="2">
        <v>0</v>
      </c>
      <c r="AH191" s="2">
        <v>0</v>
      </c>
      <c r="AI191" s="4">
        <f>Table212141819[[#This Row],[QB PY]]+Table212141819[[#This Row],[QB RY]]</f>
        <v>291</v>
      </c>
      <c r="AJ191" s="4">
        <f>Table212141819[[#This Row],[RB1 RY]]+Table212141819[[#This Row],[RB2+ RY]]+Table212141819[[#This Row],[RB1 RecY]]+Table212141819[[#This Row],[RB2 RecY]]</f>
        <v>113</v>
      </c>
    </row>
    <row r="192" spans="1:36" x14ac:dyDescent="0.35">
      <c r="A192" s="19" t="s">
        <v>35</v>
      </c>
      <c r="B192" s="1">
        <v>14</v>
      </c>
      <c r="C192" s="2">
        <v>309</v>
      </c>
      <c r="D192" s="2">
        <v>1</v>
      </c>
      <c r="E192" s="2">
        <v>-2</v>
      </c>
      <c r="F192" s="2">
        <v>43</v>
      </c>
      <c r="G192" s="2">
        <v>60</v>
      </c>
      <c r="H192" s="2">
        <v>8</v>
      </c>
      <c r="I192" s="2">
        <v>7</v>
      </c>
      <c r="J192" s="2">
        <v>77</v>
      </c>
      <c r="K192" s="2">
        <v>1</v>
      </c>
      <c r="L192" s="2">
        <v>13</v>
      </c>
      <c r="M192" s="2">
        <v>6</v>
      </c>
      <c r="N192" s="2">
        <v>92</v>
      </c>
      <c r="O192" s="2">
        <v>7</v>
      </c>
      <c r="P192" s="2">
        <v>96</v>
      </c>
      <c r="Q192" s="2">
        <v>2</v>
      </c>
      <c r="R192" s="2">
        <v>20</v>
      </c>
      <c r="S192" s="2">
        <v>0</v>
      </c>
      <c r="T192" s="2">
        <v>0</v>
      </c>
      <c r="U192" s="2">
        <v>1</v>
      </c>
      <c r="V192" s="2">
        <v>4</v>
      </c>
      <c r="W192" s="2">
        <v>1</v>
      </c>
      <c r="X192" s="2">
        <v>7</v>
      </c>
      <c r="Y192" s="2">
        <v>0</v>
      </c>
      <c r="Z192" s="2">
        <v>3</v>
      </c>
      <c r="AA192" s="2">
        <v>1</v>
      </c>
      <c r="AB192" s="2">
        <v>0</v>
      </c>
      <c r="AC192" s="2">
        <v>0</v>
      </c>
      <c r="AD192" s="2">
        <v>1</v>
      </c>
      <c r="AE192" s="2">
        <v>0</v>
      </c>
      <c r="AF192" s="2">
        <v>0</v>
      </c>
      <c r="AG192" s="2">
        <v>0</v>
      </c>
      <c r="AH192" s="2">
        <v>0</v>
      </c>
      <c r="AI192" s="4">
        <f>Table212141819[[#This Row],[QB PY]]+Table212141819[[#This Row],[QB RY]]</f>
        <v>307</v>
      </c>
      <c r="AJ192" s="4">
        <f>Table212141819[[#This Row],[RB1 RY]]+Table212141819[[#This Row],[RB2+ RY]]+Table212141819[[#This Row],[RB1 RecY]]+Table212141819[[#This Row],[RB2 RecY]]</f>
        <v>193</v>
      </c>
    </row>
    <row r="193" spans="1:36" x14ac:dyDescent="0.35">
      <c r="A193" s="19" t="s">
        <v>45</v>
      </c>
      <c r="B193" s="1">
        <v>15</v>
      </c>
      <c r="C193" s="2">
        <v>250</v>
      </c>
      <c r="D193" s="2">
        <v>2</v>
      </c>
      <c r="E193" s="2">
        <v>15</v>
      </c>
      <c r="F193" s="2">
        <v>34</v>
      </c>
      <c r="G193" s="2">
        <v>30</v>
      </c>
      <c r="H193" s="2">
        <v>-2</v>
      </c>
      <c r="I193" s="2">
        <v>3</v>
      </c>
      <c r="J193" s="2">
        <v>31</v>
      </c>
      <c r="K193" s="2">
        <v>0</v>
      </c>
      <c r="L193" s="2">
        <v>0</v>
      </c>
      <c r="M193" s="2">
        <v>2</v>
      </c>
      <c r="N193" s="2">
        <v>22</v>
      </c>
      <c r="O193" s="2">
        <v>2</v>
      </c>
      <c r="P193" s="2">
        <v>66</v>
      </c>
      <c r="Q193" s="2">
        <v>3</v>
      </c>
      <c r="R193" s="2">
        <v>47</v>
      </c>
      <c r="S193" s="2">
        <v>0</v>
      </c>
      <c r="T193" s="2">
        <v>0</v>
      </c>
      <c r="U193" s="2">
        <v>4</v>
      </c>
      <c r="V193" s="2">
        <v>66</v>
      </c>
      <c r="W193" s="2">
        <v>1</v>
      </c>
      <c r="X193" s="2">
        <v>18</v>
      </c>
      <c r="Y193" s="2">
        <v>1</v>
      </c>
      <c r="Z193" s="2">
        <v>0</v>
      </c>
      <c r="AA193" s="2">
        <v>1</v>
      </c>
      <c r="AB193" s="2">
        <v>0</v>
      </c>
      <c r="AC193" s="2">
        <v>0</v>
      </c>
      <c r="AD193" s="2">
        <v>2</v>
      </c>
      <c r="AE193" s="2">
        <v>0</v>
      </c>
      <c r="AF193" s="2">
        <v>0</v>
      </c>
      <c r="AG193" s="2">
        <v>0</v>
      </c>
      <c r="AH193" s="2">
        <v>0</v>
      </c>
      <c r="AI193" s="4">
        <f>Table212141819[[#This Row],[QB PY]]+Table212141819[[#This Row],[QB RY]]</f>
        <v>265</v>
      </c>
      <c r="AJ193" s="4">
        <f>Table212141819[[#This Row],[RB1 RY]]+Table212141819[[#This Row],[RB2+ RY]]+Table212141819[[#This Row],[RB1 RecY]]+Table212141819[[#This Row],[RB2 RecY]]</f>
        <v>95</v>
      </c>
    </row>
    <row r="194" spans="1:36" x14ac:dyDescent="0.35">
      <c r="A194" s="19" t="s">
        <v>41</v>
      </c>
      <c r="B194" s="1">
        <v>16</v>
      </c>
      <c r="C194" s="2">
        <v>300</v>
      </c>
      <c r="D194" s="2">
        <v>2</v>
      </c>
      <c r="E194" s="2">
        <v>42</v>
      </c>
      <c r="F194" s="2">
        <v>85</v>
      </c>
      <c r="G194" s="2">
        <v>25</v>
      </c>
      <c r="H194" s="2">
        <v>0</v>
      </c>
      <c r="I194" s="2">
        <v>1</v>
      </c>
      <c r="J194" s="2">
        <v>10</v>
      </c>
      <c r="K194" s="2">
        <v>0</v>
      </c>
      <c r="L194" s="2">
        <v>0</v>
      </c>
      <c r="M194" s="2">
        <v>4</v>
      </c>
      <c r="N194" s="2">
        <v>43</v>
      </c>
      <c r="O194" s="2">
        <v>4</v>
      </c>
      <c r="P194" s="2">
        <v>104</v>
      </c>
      <c r="Q194" s="2">
        <v>5</v>
      </c>
      <c r="R194" s="2">
        <v>44</v>
      </c>
      <c r="S194" s="2">
        <v>5</v>
      </c>
      <c r="T194" s="2">
        <v>64</v>
      </c>
      <c r="U194" s="2">
        <v>1</v>
      </c>
      <c r="V194" s="2">
        <v>7</v>
      </c>
      <c r="W194" s="2">
        <v>3</v>
      </c>
      <c r="X194" s="2">
        <v>28</v>
      </c>
      <c r="Y194" s="2">
        <v>1</v>
      </c>
      <c r="Z194" s="2">
        <v>1</v>
      </c>
      <c r="AA194" s="2">
        <v>0</v>
      </c>
      <c r="AB194" s="2">
        <v>1</v>
      </c>
      <c r="AC194" s="2">
        <v>1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4">
        <f>Table212141819[[#This Row],[QB PY]]+Table212141819[[#This Row],[QB RY]]</f>
        <v>342</v>
      </c>
      <c r="AJ194" s="4">
        <f>Table212141819[[#This Row],[RB1 RY]]+Table212141819[[#This Row],[RB2+ RY]]+Table212141819[[#This Row],[RB1 RecY]]+Table212141819[[#This Row],[RB2 RecY]]</f>
        <v>120</v>
      </c>
    </row>
    <row r="195" spans="1:36" x14ac:dyDescent="0.35">
      <c r="A195" s="19" t="s">
        <v>56</v>
      </c>
      <c r="B195" s="1">
        <v>17</v>
      </c>
      <c r="C195" s="2">
        <v>198</v>
      </c>
      <c r="D195" s="2">
        <v>0</v>
      </c>
      <c r="E195" s="2">
        <v>10</v>
      </c>
      <c r="F195" s="2">
        <v>105</v>
      </c>
      <c r="G195" s="2">
        <v>-2</v>
      </c>
      <c r="H195" s="2">
        <v>25</v>
      </c>
      <c r="I195" s="2">
        <v>0</v>
      </c>
      <c r="J195" s="2">
        <v>0</v>
      </c>
      <c r="K195" s="2">
        <v>3</v>
      </c>
      <c r="L195" s="2">
        <v>12</v>
      </c>
      <c r="M195" s="2">
        <v>5</v>
      </c>
      <c r="N195" s="2">
        <v>63</v>
      </c>
      <c r="O195" s="2">
        <v>2</v>
      </c>
      <c r="P195" s="2">
        <v>68</v>
      </c>
      <c r="Q195" s="2">
        <v>1</v>
      </c>
      <c r="R195" s="2">
        <v>11</v>
      </c>
      <c r="S195" s="2">
        <v>1</v>
      </c>
      <c r="T195" s="2">
        <v>15</v>
      </c>
      <c r="U195" s="2">
        <v>3</v>
      </c>
      <c r="V195" s="2">
        <v>29</v>
      </c>
      <c r="W195" s="2">
        <v>0</v>
      </c>
      <c r="X195" s="2">
        <v>0</v>
      </c>
      <c r="Y195" s="2">
        <v>0</v>
      </c>
      <c r="Z195" s="2">
        <v>2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4">
        <f>Table212141819[[#This Row],[QB PY]]+Table212141819[[#This Row],[QB RY]]</f>
        <v>208</v>
      </c>
      <c r="AJ195" s="4">
        <f>Table212141819[[#This Row],[RB1 RY]]+Table212141819[[#This Row],[RB2+ RY]]+Table212141819[[#This Row],[RB1 RecY]]+Table212141819[[#This Row],[RB2 RecY]]</f>
        <v>115</v>
      </c>
    </row>
    <row r="196" spans="1:36" x14ac:dyDescent="0.35">
      <c r="A196" s="19" t="s">
        <v>48</v>
      </c>
      <c r="B196" s="1">
        <v>18</v>
      </c>
      <c r="C196" s="2">
        <v>230</v>
      </c>
      <c r="D196" s="2">
        <v>2</v>
      </c>
      <c r="E196" s="2">
        <v>32</v>
      </c>
      <c r="F196" s="2">
        <v>103</v>
      </c>
      <c r="G196" s="2">
        <v>26</v>
      </c>
      <c r="H196" s="2">
        <v>0</v>
      </c>
      <c r="I196" s="2">
        <v>8</v>
      </c>
      <c r="J196" s="2">
        <v>56</v>
      </c>
      <c r="K196" s="2">
        <v>0</v>
      </c>
      <c r="L196" s="2">
        <v>0</v>
      </c>
      <c r="M196" s="2">
        <v>4</v>
      </c>
      <c r="N196" s="2">
        <v>34</v>
      </c>
      <c r="O196" s="2">
        <v>0</v>
      </c>
      <c r="P196" s="2">
        <v>0</v>
      </c>
      <c r="Q196" s="2">
        <v>8</v>
      </c>
      <c r="R196" s="2">
        <v>102</v>
      </c>
      <c r="S196" s="2">
        <v>0</v>
      </c>
      <c r="T196" s="2">
        <v>0</v>
      </c>
      <c r="U196" s="2">
        <v>2</v>
      </c>
      <c r="V196" s="2">
        <v>38</v>
      </c>
      <c r="W196" s="2">
        <v>0</v>
      </c>
      <c r="X196" s="2">
        <v>0</v>
      </c>
      <c r="Y196" s="2">
        <v>0</v>
      </c>
      <c r="Z196" s="2">
        <v>1</v>
      </c>
      <c r="AA196" s="2">
        <v>1</v>
      </c>
      <c r="AB196" s="2">
        <v>0</v>
      </c>
      <c r="AC196" s="2">
        <v>0</v>
      </c>
      <c r="AD196" s="2">
        <v>0</v>
      </c>
      <c r="AE196" s="2">
        <v>0</v>
      </c>
      <c r="AF196" s="2">
        <v>1</v>
      </c>
      <c r="AG196" s="2">
        <v>0</v>
      </c>
      <c r="AH196" s="2">
        <v>0</v>
      </c>
      <c r="AI196" s="4">
        <f>Table212141819[[#This Row],[QB PY]]+Table212141819[[#This Row],[QB RY]]</f>
        <v>262</v>
      </c>
      <c r="AJ196" s="4">
        <f>Table212141819[[#This Row],[RB1 RY]]+Table212141819[[#This Row],[RB2+ RY]]+Table212141819[[#This Row],[RB1 RecY]]+Table212141819[[#This Row],[RB2 RecY]]</f>
        <v>185</v>
      </c>
    </row>
    <row r="197" spans="1:36" x14ac:dyDescent="0.35">
      <c r="B197" s="1" t="s">
        <v>57</v>
      </c>
      <c r="C197" s="3">
        <f>AVERAGE(Table212141819[QB PY])</f>
        <v>265.94117647058823</v>
      </c>
      <c r="D197" s="3">
        <f>AVERAGE(Table212141819[P TD])</f>
        <v>2.0588235294117645</v>
      </c>
      <c r="E197" s="3">
        <f>AVERAGE(Table212141819[QB RY])</f>
        <v>23.411764705882351</v>
      </c>
      <c r="F197" s="3">
        <f>AVERAGE(Table212141819[RB1 RY])</f>
        <v>70.588235294117652</v>
      </c>
      <c r="G197" s="3">
        <f>AVERAGE(Table212141819[RB2+ RY])</f>
        <v>24.647058823529413</v>
      </c>
      <c r="H197" s="3">
        <f>AVERAGE(Table212141819[WR RY])</f>
        <v>6.8235294117647056</v>
      </c>
      <c r="I197" s="3">
        <f>AVERAGE(Table212141819[RB1 Recep])</f>
        <v>3.4705882352941178</v>
      </c>
      <c r="J197" s="3">
        <f>AVERAGE(Table212141819[RB1 RecY])</f>
        <v>32.705882352941174</v>
      </c>
      <c r="K197" s="3">
        <f>AVERAGE(Table212141819[RB2 Recep])</f>
        <v>1.5294117647058822</v>
      </c>
      <c r="L197" s="3">
        <f>AVERAGE(Table212141819[RB2 RecY])</f>
        <v>10.529411764705882</v>
      </c>
      <c r="M197" s="3">
        <f>AVERAGE(Table212141819[WR1 Recep])</f>
        <v>4.9411764705882355</v>
      </c>
      <c r="N197" s="3">
        <f>AVERAGE(Table212141819[WR1 RecY])</f>
        <v>63.529411764705884</v>
      </c>
      <c r="O197" s="3">
        <f>AVERAGE(Table212141819[WR2 Recep])</f>
        <v>3.7058823529411766</v>
      </c>
      <c r="P197" s="3">
        <f>AVERAGE(Table212141819[WR2 RecY])</f>
        <v>61.411764705882355</v>
      </c>
      <c r="Q197" s="3">
        <f>AVERAGE(Table212141819[WR3 Recep])</f>
        <v>2.3529411764705883</v>
      </c>
      <c r="R197" s="3">
        <f>AVERAGE(Table212141819[WR3 RecY])</f>
        <v>30.117647058823529</v>
      </c>
      <c r="S197" s="3">
        <f>AVERAGE(Table212141819[WR4+ Recep])</f>
        <v>1.1176470588235294</v>
      </c>
      <c r="T197" s="3">
        <f>AVERAGE(Table212141819[WR4+ RecY])</f>
        <v>15.941176470588236</v>
      </c>
      <c r="U197" s="3">
        <f>AVERAGE(Table212141819[TE1 Recep])</f>
        <v>3.9411764705882355</v>
      </c>
      <c r="V197" s="3">
        <f>AVERAGE(Table212141819[TE1 RecY])</f>
        <v>40</v>
      </c>
      <c r="W197" s="3">
        <f>AVERAGE(Table212141819[TE2 Recep])</f>
        <v>1.3529411764705883</v>
      </c>
      <c r="X197" s="3">
        <f>AVERAGE(Table212141819[TE2 RecY])</f>
        <v>11.705882352941176</v>
      </c>
      <c r="Y197" s="3">
        <f>AVERAGE(Table212141819[QB TD])</f>
        <v>0.47058823529411764</v>
      </c>
      <c r="Z197" s="3">
        <f>AVERAGE(Table212141819[RB1 TD])</f>
        <v>0.70588235294117652</v>
      </c>
      <c r="AA197" s="3">
        <f>AVERAGE(Table212141819[RB2 TD])</f>
        <v>0.47058823529411764</v>
      </c>
      <c r="AB197" s="3">
        <f>AVERAGE(Table212141819[WR1 TD])</f>
        <v>0.88235294117647056</v>
      </c>
      <c r="AC197" s="3">
        <f>AVERAGE(Table212141819[WR2 TD])</f>
        <v>0.29411764705882354</v>
      </c>
      <c r="AD197" s="3">
        <f>AVERAGE(Table212141819[WR3 TD])</f>
        <v>0.29411764705882354</v>
      </c>
      <c r="AE197" s="3">
        <f>AVERAGE(Table212141819[WR4+ TD])</f>
        <v>5.8823529411764705E-2</v>
      </c>
      <c r="AF197" s="3">
        <f>AVERAGE(Table212141819[TE1 TD])</f>
        <v>0.23529411764705882</v>
      </c>
      <c r="AG197" s="3">
        <f>AVERAGE(Table212141819[TE2 TD])</f>
        <v>5.8823529411764705E-2</v>
      </c>
      <c r="AH197" s="3">
        <f>AVERAGE(Table212141819[D/ST TD])</f>
        <v>0</v>
      </c>
      <c r="AI197" s="3">
        <f>AVERAGE(Table212141819[QB P+R])</f>
        <v>289.35294117647061</v>
      </c>
      <c r="AJ197" s="3">
        <f>AVERAGE(Table212141819[RB R+R])</f>
        <v>138.47058823529412</v>
      </c>
    </row>
    <row r="199" spans="1:36" x14ac:dyDescent="0.35">
      <c r="A199" s="230" t="s">
        <v>34</v>
      </c>
      <c r="B199" s="230"/>
      <c r="C199" s="230"/>
      <c r="D199" s="23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  <c r="AD199" s="230"/>
      <c r="AE199" s="230"/>
      <c r="AF199" s="230"/>
      <c r="AG199" s="230"/>
      <c r="AH199" s="230"/>
      <c r="AI199" s="230"/>
      <c r="AJ199" s="230"/>
    </row>
    <row r="200" spans="1:36" x14ac:dyDescent="0.35">
      <c r="A200" s="20" t="s">
        <v>63</v>
      </c>
      <c r="B200" s="6" t="s">
        <v>1</v>
      </c>
      <c r="C200" s="7" t="s">
        <v>18</v>
      </c>
      <c r="D200" s="8" t="s">
        <v>19</v>
      </c>
      <c r="E200" s="9" t="s">
        <v>20</v>
      </c>
      <c r="F200" s="10" t="s">
        <v>21</v>
      </c>
      <c r="G200" s="11" t="s">
        <v>22</v>
      </c>
      <c r="H200" s="12" t="s">
        <v>23</v>
      </c>
      <c r="I200" s="13" t="s">
        <v>667</v>
      </c>
      <c r="J200" s="13" t="s">
        <v>668</v>
      </c>
      <c r="K200" s="13" t="s">
        <v>665</v>
      </c>
      <c r="L200" s="13" t="s">
        <v>666</v>
      </c>
      <c r="M200" s="14" t="s">
        <v>2</v>
      </c>
      <c r="N200" s="14" t="s">
        <v>24</v>
      </c>
      <c r="O200" s="15" t="s">
        <v>3</v>
      </c>
      <c r="P200" s="15" t="s">
        <v>25</v>
      </c>
      <c r="Q200" s="16" t="s">
        <v>4</v>
      </c>
      <c r="R200" s="16" t="s">
        <v>26</v>
      </c>
      <c r="S200" s="17" t="s">
        <v>5</v>
      </c>
      <c r="T200" s="17" t="s">
        <v>27</v>
      </c>
      <c r="U200" s="18" t="s">
        <v>669</v>
      </c>
      <c r="V200" s="18" t="s">
        <v>670</v>
      </c>
      <c r="W200" s="18" t="s">
        <v>675</v>
      </c>
      <c r="X200" s="18" t="s">
        <v>671</v>
      </c>
      <c r="Y200" s="6" t="s">
        <v>6</v>
      </c>
      <c r="Z200" s="6" t="s">
        <v>7</v>
      </c>
      <c r="AA200" s="6" t="s">
        <v>674</v>
      </c>
      <c r="AB200" s="6" t="s">
        <v>8</v>
      </c>
      <c r="AC200" s="6" t="s">
        <v>9</v>
      </c>
      <c r="AD200" s="6" t="s">
        <v>10</v>
      </c>
      <c r="AE200" s="6" t="s">
        <v>11</v>
      </c>
      <c r="AF200" s="6" t="s">
        <v>673</v>
      </c>
      <c r="AG200" s="6" t="s">
        <v>672</v>
      </c>
      <c r="AH200" s="6" t="s">
        <v>12</v>
      </c>
      <c r="AI200" s="8" t="s">
        <v>14</v>
      </c>
      <c r="AJ200" s="11" t="s">
        <v>13</v>
      </c>
    </row>
    <row r="201" spans="1:36" x14ac:dyDescent="0.35">
      <c r="A201" s="19" t="s">
        <v>55</v>
      </c>
      <c r="B201" s="5">
        <v>1</v>
      </c>
      <c r="C201" s="4">
        <v>112</v>
      </c>
      <c r="D201" s="4">
        <v>0</v>
      </c>
      <c r="E201" s="4">
        <v>0</v>
      </c>
      <c r="F201" s="4">
        <v>60</v>
      </c>
      <c r="G201" s="4">
        <v>2</v>
      </c>
      <c r="H201" s="4">
        <v>9</v>
      </c>
      <c r="I201" s="4">
        <v>1</v>
      </c>
      <c r="J201" s="4">
        <v>29</v>
      </c>
      <c r="K201" s="4">
        <v>0</v>
      </c>
      <c r="L201" s="4">
        <v>0</v>
      </c>
      <c r="M201" s="4">
        <v>4</v>
      </c>
      <c r="N201" s="4">
        <v>27</v>
      </c>
      <c r="O201" s="4">
        <v>2</v>
      </c>
      <c r="P201" s="4">
        <v>13</v>
      </c>
      <c r="Q201" s="4">
        <v>0</v>
      </c>
      <c r="R201" s="4">
        <v>0</v>
      </c>
      <c r="S201" s="4">
        <v>1</v>
      </c>
      <c r="T201" s="4">
        <v>8</v>
      </c>
      <c r="U201" s="4">
        <v>3</v>
      </c>
      <c r="V201" s="4">
        <v>19</v>
      </c>
      <c r="W201" s="4">
        <v>1</v>
      </c>
      <c r="X201" s="4">
        <v>16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f>Table21214181985[[#This Row],[QB PY]]+Table21214181985[[#This Row],[QB RY]]</f>
        <v>112</v>
      </c>
      <c r="AJ201" s="4">
        <f>Table21214181985[[#This Row],[RB1 RY]]+Table21214181985[[#This Row],[RB2+ RY]]+Table21214181985[[#This Row],[RB1 RecY]]+Table21214181985[[#This Row],[RB2 RecY]]</f>
        <v>91</v>
      </c>
    </row>
    <row r="202" spans="1:36" x14ac:dyDescent="0.35">
      <c r="A202" s="19" t="s">
        <v>38</v>
      </c>
      <c r="B202" s="1">
        <v>2</v>
      </c>
      <c r="C202" s="2">
        <v>316</v>
      </c>
      <c r="D202" s="2">
        <v>1</v>
      </c>
      <c r="E202" s="2">
        <v>2</v>
      </c>
      <c r="F202" s="2">
        <v>165</v>
      </c>
      <c r="G202" s="2">
        <v>0</v>
      </c>
      <c r="H202" s="2">
        <v>0</v>
      </c>
      <c r="I202" s="2">
        <v>2</v>
      </c>
      <c r="J202" s="2">
        <v>50</v>
      </c>
      <c r="K202" s="2">
        <v>0</v>
      </c>
      <c r="L202" s="2">
        <v>0</v>
      </c>
      <c r="M202" s="2">
        <v>4</v>
      </c>
      <c r="N202" s="2">
        <v>40</v>
      </c>
      <c r="O202" s="2">
        <v>6</v>
      </c>
      <c r="P202" s="2">
        <v>51</v>
      </c>
      <c r="Q202" s="2">
        <v>4</v>
      </c>
      <c r="R202" s="2">
        <v>68</v>
      </c>
      <c r="S202" s="2">
        <v>2</v>
      </c>
      <c r="T202" s="2">
        <v>20</v>
      </c>
      <c r="U202" s="2">
        <v>4</v>
      </c>
      <c r="V202" s="2">
        <v>79</v>
      </c>
      <c r="W202" s="2">
        <v>1</v>
      </c>
      <c r="X202" s="2">
        <v>8</v>
      </c>
      <c r="Y202" s="2">
        <v>1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4">
        <f>Table21214181985[[#This Row],[QB PY]]+Table21214181985[[#This Row],[QB RY]]</f>
        <v>318</v>
      </c>
      <c r="AJ202" s="4">
        <f>Table21214181985[[#This Row],[RB1 RY]]+Table21214181985[[#This Row],[RB2+ RY]]+Table21214181985[[#This Row],[RB1 RecY]]+Table21214181985[[#This Row],[RB2 RecY]]</f>
        <v>215</v>
      </c>
    </row>
    <row r="203" spans="1:36" x14ac:dyDescent="0.35">
      <c r="A203" s="19" t="s">
        <v>41</v>
      </c>
      <c r="B203" s="1">
        <v>3</v>
      </c>
      <c r="C203" s="2">
        <v>300</v>
      </c>
      <c r="D203" s="2">
        <v>1</v>
      </c>
      <c r="E203" s="2">
        <v>6</v>
      </c>
      <c r="F203" s="2">
        <v>70</v>
      </c>
      <c r="G203" s="2">
        <v>28</v>
      </c>
      <c r="H203" s="2">
        <v>2</v>
      </c>
      <c r="I203" s="2">
        <v>6</v>
      </c>
      <c r="J203" s="2">
        <v>59</v>
      </c>
      <c r="K203" s="2">
        <v>0</v>
      </c>
      <c r="L203" s="2">
        <v>0</v>
      </c>
      <c r="M203" s="2">
        <v>4</v>
      </c>
      <c r="N203" s="2">
        <v>41</v>
      </c>
      <c r="O203" s="2">
        <v>6</v>
      </c>
      <c r="P203" s="2">
        <v>89</v>
      </c>
      <c r="Q203" s="2">
        <v>7</v>
      </c>
      <c r="R203" s="2">
        <v>65</v>
      </c>
      <c r="S203" s="2">
        <v>0</v>
      </c>
      <c r="T203" s="2">
        <v>0</v>
      </c>
      <c r="U203" s="2">
        <v>5</v>
      </c>
      <c r="V203" s="2">
        <v>46</v>
      </c>
      <c r="W203" s="2">
        <v>0</v>
      </c>
      <c r="X203" s="2">
        <v>0</v>
      </c>
      <c r="Y203" s="2">
        <v>0</v>
      </c>
      <c r="Z203" s="2">
        <v>1</v>
      </c>
      <c r="AA203" s="2">
        <v>0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2">
        <v>0</v>
      </c>
      <c r="AH203" s="2">
        <v>0</v>
      </c>
      <c r="AI203" s="4">
        <f>Table21214181985[[#This Row],[QB PY]]+Table21214181985[[#This Row],[QB RY]]</f>
        <v>306</v>
      </c>
      <c r="AJ203" s="4">
        <f>Table21214181985[[#This Row],[RB1 RY]]+Table21214181985[[#This Row],[RB2+ RY]]+Table21214181985[[#This Row],[RB1 RecY]]+Table21214181985[[#This Row],[RB2 RecY]]</f>
        <v>157</v>
      </c>
    </row>
    <row r="204" spans="1:36" x14ac:dyDescent="0.35">
      <c r="A204" s="19" t="s">
        <v>31</v>
      </c>
      <c r="B204" s="1">
        <v>4</v>
      </c>
      <c r="C204" s="2">
        <v>125</v>
      </c>
      <c r="D204" s="2">
        <v>0</v>
      </c>
      <c r="E204" s="2">
        <v>4</v>
      </c>
      <c r="F204" s="2">
        <v>40</v>
      </c>
      <c r="G204" s="2">
        <v>4</v>
      </c>
      <c r="H204" s="2">
        <v>5</v>
      </c>
      <c r="I204" s="2">
        <v>3</v>
      </c>
      <c r="J204" s="2">
        <v>31</v>
      </c>
      <c r="K204" s="2">
        <v>0</v>
      </c>
      <c r="L204" s="2">
        <v>0</v>
      </c>
      <c r="M204" s="2">
        <v>5</v>
      </c>
      <c r="N204" s="2">
        <v>23</v>
      </c>
      <c r="O204" s="2">
        <v>3</v>
      </c>
      <c r="P204" s="2">
        <v>32</v>
      </c>
      <c r="Q204" s="2">
        <v>1</v>
      </c>
      <c r="R204" s="2">
        <v>22</v>
      </c>
      <c r="S204" s="2">
        <v>1</v>
      </c>
      <c r="T204" s="2">
        <v>9</v>
      </c>
      <c r="U204" s="2">
        <v>1</v>
      </c>
      <c r="V204" s="2">
        <v>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4">
        <f>Table21214181985[[#This Row],[QB PY]]+Table21214181985[[#This Row],[QB RY]]</f>
        <v>129</v>
      </c>
      <c r="AJ204" s="4">
        <f>Table21214181985[[#This Row],[RB1 RY]]+Table21214181985[[#This Row],[RB2+ RY]]+Table21214181985[[#This Row],[RB1 RecY]]+Table21214181985[[#This Row],[RB2 RecY]]</f>
        <v>75</v>
      </c>
    </row>
    <row r="205" spans="1:36" x14ac:dyDescent="0.35">
      <c r="A205" s="19" t="s">
        <v>50</v>
      </c>
      <c r="B205" s="1">
        <v>5</v>
      </c>
      <c r="C205" s="2">
        <v>280</v>
      </c>
      <c r="D205" s="2">
        <v>2</v>
      </c>
      <c r="E205" s="2">
        <v>3</v>
      </c>
      <c r="F205" s="2">
        <v>30</v>
      </c>
      <c r="G205" s="2">
        <v>12</v>
      </c>
      <c r="H205" s="2">
        <v>0</v>
      </c>
      <c r="I205" s="2">
        <v>3</v>
      </c>
      <c r="J205" s="2">
        <v>58</v>
      </c>
      <c r="K205" s="2">
        <v>1</v>
      </c>
      <c r="L205" s="2">
        <v>4</v>
      </c>
      <c r="M205" s="2">
        <v>5</v>
      </c>
      <c r="N205" s="2">
        <v>43</v>
      </c>
      <c r="O205" s="2">
        <v>8</v>
      </c>
      <c r="P205" s="2">
        <v>114</v>
      </c>
      <c r="Q205" s="2">
        <v>1</v>
      </c>
      <c r="R205" s="2">
        <v>24</v>
      </c>
      <c r="S205" s="2">
        <v>0</v>
      </c>
      <c r="T205" s="2">
        <v>0</v>
      </c>
      <c r="U205" s="2">
        <v>3</v>
      </c>
      <c r="V205" s="2">
        <v>19</v>
      </c>
      <c r="W205" s="2">
        <v>2</v>
      </c>
      <c r="X205" s="2">
        <v>18</v>
      </c>
      <c r="Y205" s="2">
        <v>0</v>
      </c>
      <c r="Z205" s="2">
        <v>1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</v>
      </c>
      <c r="AG205" s="2">
        <v>0</v>
      </c>
      <c r="AH205" s="2">
        <v>0</v>
      </c>
      <c r="AI205" s="4">
        <f>Table21214181985[[#This Row],[QB PY]]+Table21214181985[[#This Row],[QB RY]]</f>
        <v>283</v>
      </c>
      <c r="AJ205" s="4">
        <f>Table21214181985[[#This Row],[RB1 RY]]+Table21214181985[[#This Row],[RB2+ RY]]+Table21214181985[[#This Row],[RB1 RecY]]+Table21214181985[[#This Row],[RB2 RecY]]</f>
        <v>104</v>
      </c>
    </row>
    <row r="206" spans="1:36" x14ac:dyDescent="0.35">
      <c r="A206" s="19" t="s">
        <v>49</v>
      </c>
      <c r="B206" s="1">
        <v>6</v>
      </c>
      <c r="C206" s="2">
        <v>45</v>
      </c>
      <c r="D206" s="2">
        <v>0</v>
      </c>
      <c r="E206" s="2">
        <v>31</v>
      </c>
      <c r="F206" s="2">
        <v>59</v>
      </c>
      <c r="G206" s="2">
        <v>2</v>
      </c>
      <c r="H206" s="2">
        <v>0</v>
      </c>
      <c r="I206" s="2">
        <v>1</v>
      </c>
      <c r="J206" s="2">
        <v>6</v>
      </c>
      <c r="K206" s="2">
        <v>1</v>
      </c>
      <c r="L206" s="2">
        <v>-1</v>
      </c>
      <c r="M206" s="2">
        <v>3</v>
      </c>
      <c r="N206" s="2">
        <v>13</v>
      </c>
      <c r="O206" s="2">
        <v>3</v>
      </c>
      <c r="P206" s="2">
        <v>25</v>
      </c>
      <c r="Q206" s="2">
        <v>0</v>
      </c>
      <c r="R206" s="2">
        <v>0</v>
      </c>
      <c r="S206" s="2">
        <v>0</v>
      </c>
      <c r="T206" s="2">
        <v>0</v>
      </c>
      <c r="U206" s="2">
        <v>1</v>
      </c>
      <c r="V206" s="2">
        <v>2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4">
        <f>Table21214181985[[#This Row],[QB PY]]+Table21214181985[[#This Row],[QB RY]]</f>
        <v>76</v>
      </c>
      <c r="AJ206" s="4">
        <f>Table21214181985[[#This Row],[RB1 RY]]+Table21214181985[[#This Row],[RB2+ RY]]+Table21214181985[[#This Row],[RB1 RecY]]+Table21214181985[[#This Row],[RB2 RecY]]</f>
        <v>66</v>
      </c>
    </row>
    <row r="207" spans="1:36" x14ac:dyDescent="0.35">
      <c r="A207" s="19" t="s">
        <v>48</v>
      </c>
      <c r="B207" s="1">
        <v>7</v>
      </c>
      <c r="C207" s="2">
        <v>283</v>
      </c>
      <c r="D207" s="2">
        <v>3</v>
      </c>
      <c r="E207" s="2">
        <v>11</v>
      </c>
      <c r="F207" s="2">
        <v>60</v>
      </c>
      <c r="G207" s="2">
        <v>48</v>
      </c>
      <c r="H207" s="2">
        <v>0</v>
      </c>
      <c r="I207" s="2">
        <v>3</v>
      </c>
      <c r="J207" s="2">
        <v>34</v>
      </c>
      <c r="K207" s="2">
        <v>0</v>
      </c>
      <c r="L207" s="2">
        <v>0</v>
      </c>
      <c r="M207" s="2">
        <v>6</v>
      </c>
      <c r="N207" s="2">
        <v>95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3</v>
      </c>
      <c r="V207" s="2">
        <v>66</v>
      </c>
      <c r="W207" s="2">
        <v>3</v>
      </c>
      <c r="X207" s="2">
        <v>88</v>
      </c>
      <c r="Y207" s="2">
        <v>1</v>
      </c>
      <c r="Z207" s="2">
        <v>1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1</v>
      </c>
      <c r="AG207" s="2">
        <v>1</v>
      </c>
      <c r="AH207" s="2">
        <v>0</v>
      </c>
      <c r="AI207" s="4">
        <f>Table21214181985[[#This Row],[QB PY]]+Table21214181985[[#This Row],[QB RY]]</f>
        <v>294</v>
      </c>
      <c r="AJ207" s="4">
        <f>Table21214181985[[#This Row],[RB1 RY]]+Table21214181985[[#This Row],[RB2+ RY]]+Table21214181985[[#This Row],[RB1 RecY]]+Table21214181985[[#This Row],[RB2 RecY]]</f>
        <v>142</v>
      </c>
    </row>
    <row r="208" spans="1:36" x14ac:dyDescent="0.35">
      <c r="A208" s="19" t="s">
        <v>33</v>
      </c>
      <c r="B208" s="1">
        <v>8</v>
      </c>
      <c r="C208" s="2">
        <v>246</v>
      </c>
      <c r="D208" s="2">
        <v>1</v>
      </c>
      <c r="E208" s="2">
        <v>31</v>
      </c>
      <c r="F208" s="2">
        <v>41</v>
      </c>
      <c r="G208" s="2">
        <v>34</v>
      </c>
      <c r="H208" s="2">
        <v>2</v>
      </c>
      <c r="I208" s="2">
        <v>1</v>
      </c>
      <c r="J208" s="2">
        <v>8</v>
      </c>
      <c r="K208" s="2">
        <v>0</v>
      </c>
      <c r="L208" s="2">
        <v>0</v>
      </c>
      <c r="M208" s="2">
        <v>7</v>
      </c>
      <c r="N208" s="2">
        <v>74</v>
      </c>
      <c r="O208" s="2">
        <v>7</v>
      </c>
      <c r="P208" s="2">
        <v>78</v>
      </c>
      <c r="Q208" s="2">
        <v>2</v>
      </c>
      <c r="R208" s="2">
        <v>47</v>
      </c>
      <c r="S208" s="2">
        <v>2</v>
      </c>
      <c r="T208" s="2">
        <v>5</v>
      </c>
      <c r="U208" s="2">
        <v>2</v>
      </c>
      <c r="V208" s="2">
        <v>25</v>
      </c>
      <c r="W208" s="2">
        <v>1</v>
      </c>
      <c r="X208" s="2">
        <v>9</v>
      </c>
      <c r="Y208" s="2">
        <v>0</v>
      </c>
      <c r="Z208" s="2">
        <v>2</v>
      </c>
      <c r="AA208" s="2">
        <v>0</v>
      </c>
      <c r="AB208" s="2">
        <v>0</v>
      </c>
      <c r="AC208" s="2">
        <v>0</v>
      </c>
      <c r="AD208" s="2">
        <v>1</v>
      </c>
      <c r="AE208" s="2">
        <v>0</v>
      </c>
      <c r="AF208" s="2">
        <v>0</v>
      </c>
      <c r="AG208" s="2">
        <v>0</v>
      </c>
      <c r="AH208" s="2">
        <v>0</v>
      </c>
      <c r="AI208" s="4">
        <f>Table21214181985[[#This Row],[QB PY]]+Table21214181985[[#This Row],[QB RY]]</f>
        <v>277</v>
      </c>
      <c r="AJ208" s="4">
        <f>Table21214181985[[#This Row],[RB1 RY]]+Table21214181985[[#This Row],[RB2+ RY]]+Table21214181985[[#This Row],[RB1 RecY]]+Table21214181985[[#This Row],[RB2 RecY]]</f>
        <v>83</v>
      </c>
    </row>
    <row r="209" spans="1:36" x14ac:dyDescent="0.35">
      <c r="A209" s="19" t="s">
        <v>37</v>
      </c>
      <c r="B209" s="1">
        <v>9</v>
      </c>
      <c r="C209" s="2">
        <v>216</v>
      </c>
      <c r="D209" s="2">
        <v>0</v>
      </c>
      <c r="E209" s="2">
        <v>19</v>
      </c>
      <c r="F209" s="2">
        <v>34</v>
      </c>
      <c r="G209" s="2">
        <v>27</v>
      </c>
      <c r="H209" s="2">
        <v>-3</v>
      </c>
      <c r="I209" s="2">
        <v>0</v>
      </c>
      <c r="J209" s="2">
        <v>0</v>
      </c>
      <c r="K209" s="2">
        <v>1</v>
      </c>
      <c r="L209" s="2">
        <v>2</v>
      </c>
      <c r="M209" s="2">
        <v>7</v>
      </c>
      <c r="N209" s="2">
        <v>75</v>
      </c>
      <c r="O209" s="2">
        <v>4</v>
      </c>
      <c r="P209" s="2">
        <v>26</v>
      </c>
      <c r="Q209" s="2">
        <v>3</v>
      </c>
      <c r="R209" s="2">
        <v>30</v>
      </c>
      <c r="S209" s="2">
        <v>1</v>
      </c>
      <c r="T209" s="2">
        <v>4</v>
      </c>
      <c r="U209" s="2">
        <v>6</v>
      </c>
      <c r="V209" s="2">
        <v>77</v>
      </c>
      <c r="W209" s="2">
        <v>1</v>
      </c>
      <c r="X209" s="2">
        <v>2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4">
        <f>Table21214181985[[#This Row],[QB PY]]+Table21214181985[[#This Row],[QB RY]]</f>
        <v>235</v>
      </c>
      <c r="AJ209" s="4">
        <f>Table21214181985[[#This Row],[RB1 RY]]+Table21214181985[[#This Row],[RB2+ RY]]+Table21214181985[[#This Row],[RB1 RecY]]+Table21214181985[[#This Row],[RB2 RecY]]</f>
        <v>63</v>
      </c>
    </row>
    <row r="210" spans="1:36" x14ac:dyDescent="0.35">
      <c r="A210" s="19" t="s">
        <v>43</v>
      </c>
      <c r="B210" s="1">
        <v>10</v>
      </c>
      <c r="C210" s="2">
        <v>143</v>
      </c>
      <c r="D210" s="2">
        <v>0</v>
      </c>
      <c r="E210" s="2">
        <v>7</v>
      </c>
      <c r="F210" s="2">
        <v>60</v>
      </c>
      <c r="G210" s="2">
        <v>4</v>
      </c>
      <c r="H210" s="2">
        <v>3</v>
      </c>
      <c r="I210" s="2">
        <v>3</v>
      </c>
      <c r="J210" s="2">
        <v>3</v>
      </c>
      <c r="K210" s="2">
        <v>1</v>
      </c>
      <c r="L210" s="2">
        <v>11</v>
      </c>
      <c r="M210" s="2">
        <v>2</v>
      </c>
      <c r="N210" s="2">
        <v>28</v>
      </c>
      <c r="O210" s="2">
        <v>5</v>
      </c>
      <c r="P210" s="2">
        <v>44</v>
      </c>
      <c r="Q210" s="2">
        <v>0</v>
      </c>
      <c r="R210" s="2">
        <v>0</v>
      </c>
      <c r="S210" s="2">
        <v>1</v>
      </c>
      <c r="T210" s="2">
        <v>4</v>
      </c>
      <c r="U210" s="2">
        <v>1</v>
      </c>
      <c r="V210" s="2">
        <v>31</v>
      </c>
      <c r="W210" s="2">
        <v>3</v>
      </c>
      <c r="X210" s="2">
        <v>22</v>
      </c>
      <c r="Y210" s="2">
        <v>0</v>
      </c>
      <c r="Z210" s="2">
        <v>1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4">
        <f>Table21214181985[[#This Row],[QB PY]]+Table21214181985[[#This Row],[QB RY]]</f>
        <v>150</v>
      </c>
      <c r="AJ210" s="4">
        <f>Table21214181985[[#This Row],[RB1 RY]]+Table21214181985[[#This Row],[RB2+ RY]]+Table21214181985[[#This Row],[RB1 RecY]]+Table21214181985[[#This Row],[RB2 RecY]]</f>
        <v>78</v>
      </c>
    </row>
    <row r="211" spans="1:36" x14ac:dyDescent="0.35">
      <c r="A211" s="19" t="s">
        <v>40</v>
      </c>
      <c r="B211" s="1">
        <v>11</v>
      </c>
      <c r="C211" s="2">
        <v>276</v>
      </c>
      <c r="D211" s="2">
        <v>1</v>
      </c>
      <c r="E211" s="2">
        <v>3</v>
      </c>
      <c r="F211" s="2">
        <v>59</v>
      </c>
      <c r="G211" s="2">
        <v>0</v>
      </c>
      <c r="H211" s="2">
        <v>0</v>
      </c>
      <c r="I211" s="2">
        <v>1</v>
      </c>
      <c r="J211" s="2">
        <v>3</v>
      </c>
      <c r="K211" s="2">
        <v>2</v>
      </c>
      <c r="L211" s="2">
        <v>8</v>
      </c>
      <c r="M211" s="2">
        <v>6</v>
      </c>
      <c r="N211" s="2">
        <v>38</v>
      </c>
      <c r="O211" s="2">
        <v>3</v>
      </c>
      <c r="P211" s="2">
        <v>25</v>
      </c>
      <c r="Q211" s="2">
        <v>4</v>
      </c>
      <c r="R211" s="2">
        <v>40</v>
      </c>
      <c r="S211" s="2">
        <v>1</v>
      </c>
      <c r="T211" s="2">
        <v>61</v>
      </c>
      <c r="U211" s="2">
        <v>9</v>
      </c>
      <c r="V211" s="2">
        <v>91</v>
      </c>
      <c r="W211" s="2">
        <v>3</v>
      </c>
      <c r="X211" s="2">
        <v>10</v>
      </c>
      <c r="Y211" s="2">
        <v>0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</v>
      </c>
      <c r="AG211" s="2">
        <v>0</v>
      </c>
      <c r="AH211" s="2">
        <v>0</v>
      </c>
      <c r="AI211" s="4">
        <f>Table21214181985[[#This Row],[QB PY]]+Table21214181985[[#This Row],[QB RY]]</f>
        <v>279</v>
      </c>
      <c r="AJ211" s="4">
        <f>Table21214181985[[#This Row],[RB1 RY]]+Table21214181985[[#This Row],[RB2+ RY]]+Table21214181985[[#This Row],[RB1 RecY]]+Table21214181985[[#This Row],[RB2 RecY]]</f>
        <v>70</v>
      </c>
    </row>
    <row r="212" spans="1:36" x14ac:dyDescent="0.35">
      <c r="A212" s="19" t="s">
        <v>650</v>
      </c>
      <c r="B212" s="1">
        <v>12</v>
      </c>
      <c r="C212" s="2" t="s">
        <v>697</v>
      </c>
      <c r="D212" s="2" t="s">
        <v>697</v>
      </c>
      <c r="E212" s="2" t="s">
        <v>697</v>
      </c>
      <c r="F212" s="2" t="s">
        <v>697</v>
      </c>
      <c r="G212" s="2" t="s">
        <v>697</v>
      </c>
      <c r="H212" s="2" t="s">
        <v>697</v>
      </c>
      <c r="I212" s="2" t="s">
        <v>697</v>
      </c>
      <c r="J212" s="2" t="s">
        <v>697</v>
      </c>
      <c r="K212" s="2" t="s">
        <v>697</v>
      </c>
      <c r="L212" s="2" t="s">
        <v>697</v>
      </c>
      <c r="M212" s="2" t="s">
        <v>697</v>
      </c>
      <c r="N212" s="2" t="s">
        <v>697</v>
      </c>
      <c r="O212" s="2" t="s">
        <v>697</v>
      </c>
      <c r="P212" s="2" t="s">
        <v>697</v>
      </c>
      <c r="Q212" s="2" t="s">
        <v>697</v>
      </c>
      <c r="R212" s="2" t="s">
        <v>697</v>
      </c>
      <c r="S212" s="2" t="s">
        <v>697</v>
      </c>
      <c r="T212" s="2" t="s">
        <v>697</v>
      </c>
      <c r="U212" s="2" t="s">
        <v>697</v>
      </c>
      <c r="V212" s="2" t="s">
        <v>697</v>
      </c>
      <c r="W212" s="2" t="s">
        <v>697</v>
      </c>
      <c r="X212" s="2" t="s">
        <v>697</v>
      </c>
      <c r="Y212" s="2" t="s">
        <v>697</v>
      </c>
      <c r="Z212" s="2" t="s">
        <v>697</v>
      </c>
      <c r="AA212" s="2" t="s">
        <v>697</v>
      </c>
      <c r="AB212" s="2" t="s">
        <v>697</v>
      </c>
      <c r="AC212" s="2" t="s">
        <v>697</v>
      </c>
      <c r="AD212" s="2" t="s">
        <v>697</v>
      </c>
      <c r="AE212" s="2" t="s">
        <v>697</v>
      </c>
      <c r="AF212" s="2" t="s">
        <v>697</v>
      </c>
      <c r="AG212" s="2" t="s">
        <v>697</v>
      </c>
      <c r="AH212" s="2" t="s">
        <v>697</v>
      </c>
      <c r="AI212" s="4" t="s">
        <v>697</v>
      </c>
      <c r="AJ212" s="4" t="s">
        <v>697</v>
      </c>
    </row>
    <row r="213" spans="1:36" x14ac:dyDescent="0.35">
      <c r="A213" s="19" t="s">
        <v>56</v>
      </c>
      <c r="B213" s="1">
        <v>13</v>
      </c>
      <c r="C213" s="2">
        <v>294</v>
      </c>
      <c r="D213" s="2">
        <v>2</v>
      </c>
      <c r="E213" s="2">
        <v>55</v>
      </c>
      <c r="F213" s="2">
        <v>41</v>
      </c>
      <c r="G213" s="2">
        <v>50</v>
      </c>
      <c r="H213" s="2">
        <v>-3</v>
      </c>
      <c r="I213" s="2">
        <v>2</v>
      </c>
      <c r="J213" s="2">
        <v>0</v>
      </c>
      <c r="K213" s="2">
        <v>0</v>
      </c>
      <c r="L213" s="2">
        <v>0</v>
      </c>
      <c r="M213" s="2">
        <v>7</v>
      </c>
      <c r="N213" s="2">
        <v>96</v>
      </c>
      <c r="O213" s="2">
        <v>5</v>
      </c>
      <c r="P213" s="2">
        <v>64</v>
      </c>
      <c r="Q213" s="2">
        <v>1</v>
      </c>
      <c r="R213" s="2">
        <v>5</v>
      </c>
      <c r="S213" s="2">
        <v>0</v>
      </c>
      <c r="T213" s="2">
        <v>0</v>
      </c>
      <c r="U213" s="2">
        <v>10</v>
      </c>
      <c r="V213" s="2">
        <v>106</v>
      </c>
      <c r="W213" s="2">
        <v>3</v>
      </c>
      <c r="X213" s="2">
        <v>23</v>
      </c>
      <c r="Y213" s="2">
        <v>0</v>
      </c>
      <c r="Z213" s="2">
        <v>1</v>
      </c>
      <c r="AA213" s="2">
        <v>0</v>
      </c>
      <c r="AB213" s="2">
        <v>1</v>
      </c>
      <c r="AC213" s="2">
        <v>0</v>
      </c>
      <c r="AD213" s="2">
        <v>1</v>
      </c>
      <c r="AE213" s="2">
        <v>0</v>
      </c>
      <c r="AF213" s="2">
        <v>0</v>
      </c>
      <c r="AG213" s="2">
        <v>0</v>
      </c>
      <c r="AH213" s="2">
        <v>0</v>
      </c>
      <c r="AI213" s="4">
        <f>Table21214181985[[#This Row],[QB PY]]+Table21214181985[[#This Row],[QB RY]]</f>
        <v>349</v>
      </c>
      <c r="AJ213" s="4">
        <f>Table21214181985[[#This Row],[RB1 RY]]+Table21214181985[[#This Row],[RB2+ RY]]+Table21214181985[[#This Row],[RB1 RecY]]+Table21214181985[[#This Row],[RB2 RecY]]</f>
        <v>91</v>
      </c>
    </row>
    <row r="214" spans="1:36" x14ac:dyDescent="0.35">
      <c r="A214" s="19" t="s">
        <v>43</v>
      </c>
      <c r="B214" s="1">
        <v>14</v>
      </c>
      <c r="C214" s="2">
        <v>213</v>
      </c>
      <c r="D214" s="2">
        <v>2</v>
      </c>
      <c r="E214" s="2">
        <v>10</v>
      </c>
      <c r="F214" s="2">
        <v>30</v>
      </c>
      <c r="G214" s="2">
        <v>0</v>
      </c>
      <c r="H214" s="2">
        <v>0</v>
      </c>
      <c r="I214" s="2">
        <v>2</v>
      </c>
      <c r="J214" s="2">
        <v>8</v>
      </c>
      <c r="K214" s="2">
        <v>1</v>
      </c>
      <c r="L214" s="2">
        <v>2</v>
      </c>
      <c r="M214" s="2">
        <v>2</v>
      </c>
      <c r="N214" s="2">
        <v>24</v>
      </c>
      <c r="O214" s="2">
        <v>6</v>
      </c>
      <c r="P214" s="2">
        <v>50</v>
      </c>
      <c r="Q214" s="2">
        <v>3</v>
      </c>
      <c r="R214" s="2">
        <v>41</v>
      </c>
      <c r="S214" s="2">
        <v>1</v>
      </c>
      <c r="T214" s="2">
        <v>25</v>
      </c>
      <c r="U214" s="2">
        <v>4</v>
      </c>
      <c r="V214" s="2">
        <v>46</v>
      </c>
      <c r="W214" s="2">
        <v>2</v>
      </c>
      <c r="X214" s="2">
        <v>17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1</v>
      </c>
      <c r="AF214" s="2">
        <v>1</v>
      </c>
      <c r="AG214" s="2">
        <v>0</v>
      </c>
      <c r="AH214" s="2">
        <v>0</v>
      </c>
      <c r="AI214" s="4">
        <f>Table21214181985[[#This Row],[QB PY]]+Table21214181985[[#This Row],[QB RY]]</f>
        <v>223</v>
      </c>
      <c r="AJ214" s="4">
        <f>Table21214181985[[#This Row],[RB1 RY]]+Table21214181985[[#This Row],[RB2+ RY]]+Table21214181985[[#This Row],[RB1 RecY]]+Table21214181985[[#This Row],[RB2 RecY]]</f>
        <v>40</v>
      </c>
    </row>
    <row r="215" spans="1:36" x14ac:dyDescent="0.35">
      <c r="A215" s="19" t="s">
        <v>36</v>
      </c>
      <c r="B215" s="1">
        <v>15</v>
      </c>
      <c r="C215" s="2">
        <v>276</v>
      </c>
      <c r="D215" s="2">
        <v>1</v>
      </c>
      <c r="E215" s="2">
        <v>29</v>
      </c>
      <c r="F215" s="2">
        <v>73</v>
      </c>
      <c r="G215" s="2">
        <v>13</v>
      </c>
      <c r="H215" s="2">
        <v>0</v>
      </c>
      <c r="I215" s="2">
        <v>2</v>
      </c>
      <c r="J215" s="2">
        <v>19</v>
      </c>
      <c r="K215" s="2">
        <v>1</v>
      </c>
      <c r="L215" s="2">
        <v>6</v>
      </c>
      <c r="M215" s="2">
        <v>3</v>
      </c>
      <c r="N215" s="2">
        <v>29</v>
      </c>
      <c r="O215" s="2">
        <v>2</v>
      </c>
      <c r="P215" s="2">
        <v>36</v>
      </c>
      <c r="Q215" s="2">
        <v>5</v>
      </c>
      <c r="R215" s="2">
        <v>55</v>
      </c>
      <c r="S215" s="2">
        <v>4</v>
      </c>
      <c r="T215" s="2">
        <v>61</v>
      </c>
      <c r="U215" s="2">
        <v>4</v>
      </c>
      <c r="V215" s="2">
        <v>52</v>
      </c>
      <c r="W215" s="2">
        <v>3</v>
      </c>
      <c r="X215" s="2">
        <v>18</v>
      </c>
      <c r="Y215" s="2">
        <v>0</v>
      </c>
      <c r="Z215" s="2">
        <v>2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4">
        <f>Table21214181985[[#This Row],[QB PY]]+Table21214181985[[#This Row],[QB RY]]</f>
        <v>305</v>
      </c>
      <c r="AJ215" s="4">
        <f>Table21214181985[[#This Row],[RB1 RY]]+Table21214181985[[#This Row],[RB2+ RY]]+Table21214181985[[#This Row],[RB1 RecY]]+Table21214181985[[#This Row],[RB2 RecY]]</f>
        <v>111</v>
      </c>
    </row>
    <row r="216" spans="1:36" x14ac:dyDescent="0.35">
      <c r="A216" s="19" t="s">
        <v>39</v>
      </c>
      <c r="B216" s="1">
        <v>16</v>
      </c>
      <c r="C216" s="2">
        <v>279</v>
      </c>
      <c r="D216" s="2">
        <v>3</v>
      </c>
      <c r="E216" s="2">
        <v>20</v>
      </c>
      <c r="F216" s="2">
        <v>50</v>
      </c>
      <c r="G216" s="2">
        <v>10</v>
      </c>
      <c r="H216" s="2">
        <v>1</v>
      </c>
      <c r="I216" s="2">
        <v>4</v>
      </c>
      <c r="J216" s="2">
        <v>16</v>
      </c>
      <c r="K216" s="2">
        <v>0</v>
      </c>
      <c r="L216" s="2">
        <v>0</v>
      </c>
      <c r="M216" s="2">
        <v>2</v>
      </c>
      <c r="N216" s="2">
        <v>18</v>
      </c>
      <c r="O216" s="2">
        <v>4</v>
      </c>
      <c r="P216" s="2">
        <v>45</v>
      </c>
      <c r="Q216" s="2">
        <v>6</v>
      </c>
      <c r="R216" s="2">
        <v>145</v>
      </c>
      <c r="S216" s="2">
        <v>1</v>
      </c>
      <c r="T216" s="2">
        <v>11</v>
      </c>
      <c r="U216" s="2">
        <v>5</v>
      </c>
      <c r="V216" s="2">
        <v>39</v>
      </c>
      <c r="W216" s="2">
        <v>1</v>
      </c>
      <c r="X216" s="2">
        <v>5</v>
      </c>
      <c r="Y216" s="2">
        <v>1</v>
      </c>
      <c r="Z216" s="2">
        <v>1</v>
      </c>
      <c r="AA216" s="2">
        <v>0</v>
      </c>
      <c r="AB216" s="2">
        <v>0</v>
      </c>
      <c r="AC216" s="2">
        <v>0</v>
      </c>
      <c r="AD216" s="2">
        <v>1</v>
      </c>
      <c r="AE216" s="2">
        <v>0</v>
      </c>
      <c r="AF216" s="2">
        <v>1</v>
      </c>
      <c r="AG216" s="2">
        <v>0</v>
      </c>
      <c r="AH216" s="2">
        <v>0</v>
      </c>
      <c r="AI216" s="4">
        <f>Table21214181985[[#This Row],[QB PY]]+Table21214181985[[#This Row],[QB RY]]</f>
        <v>299</v>
      </c>
      <c r="AJ216" s="4">
        <f>Table21214181985[[#This Row],[RB1 RY]]+Table21214181985[[#This Row],[RB2+ RY]]+Table21214181985[[#This Row],[RB1 RecY]]+Table21214181985[[#This Row],[RB2 RecY]]</f>
        <v>76</v>
      </c>
    </row>
    <row r="217" spans="1:36" x14ac:dyDescent="0.35">
      <c r="A217" s="19" t="s">
        <v>40</v>
      </c>
      <c r="B217" s="1">
        <v>17</v>
      </c>
      <c r="C217" s="2">
        <v>66</v>
      </c>
      <c r="D217" s="2">
        <v>1</v>
      </c>
      <c r="E217" s="2">
        <v>11</v>
      </c>
      <c r="F217" s="2">
        <v>32</v>
      </c>
      <c r="G217" s="2">
        <v>38</v>
      </c>
      <c r="H217" s="2">
        <v>1</v>
      </c>
      <c r="I217" s="2">
        <v>0</v>
      </c>
      <c r="J217" s="2">
        <v>0</v>
      </c>
      <c r="K217" s="2">
        <v>3</v>
      </c>
      <c r="L217" s="2">
        <v>5</v>
      </c>
      <c r="M217" s="2">
        <v>0</v>
      </c>
      <c r="N217" s="2">
        <v>0</v>
      </c>
      <c r="O217" s="2">
        <v>1</v>
      </c>
      <c r="P217" s="2">
        <v>7</v>
      </c>
      <c r="Q217" s="2">
        <v>3</v>
      </c>
      <c r="R217" s="2">
        <v>16</v>
      </c>
      <c r="S217" s="2">
        <v>0</v>
      </c>
      <c r="T217" s="2">
        <v>0</v>
      </c>
      <c r="U217" s="2">
        <v>5</v>
      </c>
      <c r="V217" s="2">
        <v>36</v>
      </c>
      <c r="W217" s="2">
        <v>1</v>
      </c>
      <c r="X217" s="2">
        <v>2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4">
        <f>Table21214181985[[#This Row],[QB PY]]+Table21214181985[[#This Row],[QB RY]]</f>
        <v>77</v>
      </c>
      <c r="AJ217" s="4">
        <f>Table21214181985[[#This Row],[RB1 RY]]+Table21214181985[[#This Row],[RB2+ RY]]+Table21214181985[[#This Row],[RB1 RecY]]+Table21214181985[[#This Row],[RB2 RecY]]</f>
        <v>75</v>
      </c>
    </row>
    <row r="218" spans="1:36" x14ac:dyDescent="0.35">
      <c r="A218" s="19" t="s">
        <v>41</v>
      </c>
      <c r="B218" s="1">
        <v>18</v>
      </c>
      <c r="C218" s="2">
        <v>136</v>
      </c>
      <c r="D218" s="2">
        <v>0</v>
      </c>
      <c r="E218" s="2">
        <v>69</v>
      </c>
      <c r="F218" s="2">
        <v>29</v>
      </c>
      <c r="G218" s="2">
        <v>15</v>
      </c>
      <c r="H218" s="2">
        <v>0</v>
      </c>
      <c r="I218" s="2">
        <v>3</v>
      </c>
      <c r="J218" s="2">
        <v>8</v>
      </c>
      <c r="K218" s="2">
        <v>1</v>
      </c>
      <c r="L218" s="2">
        <v>-2</v>
      </c>
      <c r="M218" s="2">
        <v>7</v>
      </c>
      <c r="N218" s="2">
        <v>36</v>
      </c>
      <c r="O218" s="2">
        <v>2</v>
      </c>
      <c r="P218" s="2">
        <v>28</v>
      </c>
      <c r="Q218" s="2">
        <v>1</v>
      </c>
      <c r="R218" s="2">
        <v>7</v>
      </c>
      <c r="S218" s="2">
        <v>2</v>
      </c>
      <c r="T218" s="2">
        <v>24</v>
      </c>
      <c r="U218" s="2">
        <v>2</v>
      </c>
      <c r="V218" s="2">
        <v>23</v>
      </c>
      <c r="W218" s="2">
        <v>2</v>
      </c>
      <c r="X218" s="2">
        <v>12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4">
        <f>Table21214181985[[#This Row],[QB PY]]+Table21214181985[[#This Row],[QB RY]]</f>
        <v>205</v>
      </c>
      <c r="AJ218" s="4">
        <f>Table21214181985[[#This Row],[RB1 RY]]+Table21214181985[[#This Row],[RB2+ RY]]+Table21214181985[[#This Row],[RB1 RecY]]+Table21214181985[[#This Row],[RB2 RecY]]</f>
        <v>50</v>
      </c>
    </row>
    <row r="219" spans="1:36" x14ac:dyDescent="0.35">
      <c r="B219" s="1" t="s">
        <v>57</v>
      </c>
      <c r="C219" s="3">
        <f>AVERAGE(Table21214181985[QB PY])</f>
        <v>212.11764705882354</v>
      </c>
      <c r="D219" s="3">
        <f>AVERAGE(Table21214181985[P TD])</f>
        <v>1.0588235294117647</v>
      </c>
      <c r="E219" s="3">
        <f>AVERAGE(Table21214181985[QB RY])</f>
        <v>18.294117647058822</v>
      </c>
      <c r="F219" s="3">
        <f>AVERAGE(Table21214181985[RB1 RY])</f>
        <v>54.882352941176471</v>
      </c>
      <c r="G219" s="3">
        <f>AVERAGE(Table21214181985[RB2+ RY])</f>
        <v>16.882352941176471</v>
      </c>
      <c r="H219" s="3">
        <f>AVERAGE(Table21214181985[WR RY])</f>
        <v>1</v>
      </c>
      <c r="I219" s="3">
        <f>AVERAGE(Table21214181985[RB1 Recep])</f>
        <v>2.1764705882352939</v>
      </c>
      <c r="J219" s="3">
        <f>AVERAGE(Table21214181985[RB1 RecY])</f>
        <v>19.529411764705884</v>
      </c>
      <c r="K219" s="3">
        <f>AVERAGE(Table21214181985[RB2 Recep])</f>
        <v>0.70588235294117652</v>
      </c>
      <c r="L219" s="3">
        <f>AVERAGE(Table21214181985[RB2 RecY])</f>
        <v>2.0588235294117645</v>
      </c>
      <c r="M219" s="3">
        <f>AVERAGE(Table21214181985[WR1 Recep])</f>
        <v>4.3529411764705879</v>
      </c>
      <c r="N219" s="3">
        <f>AVERAGE(Table21214181985[WR1 RecY])</f>
        <v>41.176470588235297</v>
      </c>
      <c r="O219" s="3">
        <f>AVERAGE(Table21214181985[WR2 Recep])</f>
        <v>3.9411764705882355</v>
      </c>
      <c r="P219" s="3">
        <f>AVERAGE(Table21214181985[WR2 RecY])</f>
        <v>42.764705882352942</v>
      </c>
      <c r="Q219" s="3">
        <f>AVERAGE(Table21214181985[WR3 Recep])</f>
        <v>2.4117647058823528</v>
      </c>
      <c r="R219" s="3">
        <f>AVERAGE(Table21214181985[WR3 RecY])</f>
        <v>33.235294117647058</v>
      </c>
      <c r="S219" s="3">
        <f>AVERAGE(Table21214181985[WR4+ Recep])</f>
        <v>1</v>
      </c>
      <c r="T219" s="3">
        <f>AVERAGE(Table21214181985[WR4+ RecY])</f>
        <v>13.647058823529411</v>
      </c>
      <c r="U219" s="3">
        <f>AVERAGE(Table21214181985[TE1 Recep])</f>
        <v>4</v>
      </c>
      <c r="V219" s="3">
        <f>AVERAGE(Table21214181985[TE1 RecY])</f>
        <v>45</v>
      </c>
      <c r="W219" s="3">
        <f>AVERAGE(Table21214181985[TE2 Recep])</f>
        <v>1.588235294117647</v>
      </c>
      <c r="X219" s="3">
        <f>AVERAGE(Table21214181985[TE2 RecY])</f>
        <v>14.705882352941176</v>
      </c>
      <c r="Y219" s="3">
        <f>AVERAGE(Table21214181985[QB TD])</f>
        <v>0.17647058823529413</v>
      </c>
      <c r="Z219" s="3">
        <f>AVERAGE(Table21214181985[RB1 TD])</f>
        <v>0.70588235294117652</v>
      </c>
      <c r="AA219" s="3">
        <f>AVERAGE(Table21214181985[RB2 TD])</f>
        <v>0.11764705882352941</v>
      </c>
      <c r="AB219" s="3">
        <f>AVERAGE(Table21214181985[WR1 TD])</f>
        <v>5.8823529411764705E-2</v>
      </c>
      <c r="AC219" s="3">
        <f>AVERAGE(Table21214181985[WR2 TD])</f>
        <v>0</v>
      </c>
      <c r="AD219" s="3">
        <f>AVERAGE(Table21214181985[WR3 TD])</f>
        <v>0.23529411764705882</v>
      </c>
      <c r="AE219" s="3">
        <f>AVERAGE(Table21214181985[WR4+ TD])</f>
        <v>5.8823529411764705E-2</v>
      </c>
      <c r="AF219" s="3">
        <f>AVERAGE(Table21214181985[TE1 TD])</f>
        <v>0.29411764705882354</v>
      </c>
      <c r="AG219" s="3">
        <f>AVERAGE(Table21214181985[TE2 TD])</f>
        <v>5.8823529411764705E-2</v>
      </c>
      <c r="AH219" s="3">
        <f>AVERAGE(Table21214181985[D/ST TD])</f>
        <v>0</v>
      </c>
      <c r="AI219" s="3">
        <f>AVERAGE(Table21214181985[QB P+R])</f>
        <v>230.41176470588235</v>
      </c>
      <c r="AJ219" s="3">
        <f>AVERAGE(Table21214181985[RB R+R])</f>
        <v>93.352941176470594</v>
      </c>
    </row>
    <row r="221" spans="1:36" x14ac:dyDescent="0.35">
      <c r="A221" s="230" t="s">
        <v>35</v>
      </c>
      <c r="B221" s="230"/>
      <c r="C221" s="230"/>
      <c r="D221" s="230"/>
      <c r="E221" s="230"/>
      <c r="F221" s="230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  <c r="AD221" s="230"/>
      <c r="AE221" s="230"/>
      <c r="AF221" s="230"/>
      <c r="AG221" s="230"/>
      <c r="AH221" s="230"/>
      <c r="AI221" s="230"/>
      <c r="AJ221" s="230"/>
    </row>
    <row r="222" spans="1:36" x14ac:dyDescent="0.35">
      <c r="A222" s="20" t="s">
        <v>63</v>
      </c>
      <c r="B222" s="6" t="s">
        <v>1</v>
      </c>
      <c r="C222" s="7" t="s">
        <v>18</v>
      </c>
      <c r="D222" s="8" t="s">
        <v>19</v>
      </c>
      <c r="E222" s="9" t="s">
        <v>20</v>
      </c>
      <c r="F222" s="10" t="s">
        <v>21</v>
      </c>
      <c r="G222" s="11" t="s">
        <v>22</v>
      </c>
      <c r="H222" s="12" t="s">
        <v>23</v>
      </c>
      <c r="I222" s="13" t="s">
        <v>667</v>
      </c>
      <c r="J222" s="13" t="s">
        <v>668</v>
      </c>
      <c r="K222" s="13" t="s">
        <v>665</v>
      </c>
      <c r="L222" s="13" t="s">
        <v>666</v>
      </c>
      <c r="M222" s="14" t="s">
        <v>2</v>
      </c>
      <c r="N222" s="14" t="s">
        <v>24</v>
      </c>
      <c r="O222" s="15" t="s">
        <v>3</v>
      </c>
      <c r="P222" s="15" t="s">
        <v>25</v>
      </c>
      <c r="Q222" s="16" t="s">
        <v>4</v>
      </c>
      <c r="R222" s="16" t="s">
        <v>26</v>
      </c>
      <c r="S222" s="17" t="s">
        <v>5</v>
      </c>
      <c r="T222" s="17" t="s">
        <v>27</v>
      </c>
      <c r="U222" s="18" t="s">
        <v>669</v>
      </c>
      <c r="V222" s="18" t="s">
        <v>670</v>
      </c>
      <c r="W222" s="18" t="s">
        <v>675</v>
      </c>
      <c r="X222" s="18" t="s">
        <v>671</v>
      </c>
      <c r="Y222" s="6" t="s">
        <v>6</v>
      </c>
      <c r="Z222" s="6" t="s">
        <v>7</v>
      </c>
      <c r="AA222" s="6" t="s">
        <v>674</v>
      </c>
      <c r="AB222" s="6" t="s">
        <v>8</v>
      </c>
      <c r="AC222" s="6" t="s">
        <v>9</v>
      </c>
      <c r="AD222" s="6" t="s">
        <v>10</v>
      </c>
      <c r="AE222" s="6" t="s">
        <v>11</v>
      </c>
      <c r="AF222" s="6" t="s">
        <v>673</v>
      </c>
      <c r="AG222" s="6" t="s">
        <v>672</v>
      </c>
      <c r="AH222" s="6" t="s">
        <v>12</v>
      </c>
      <c r="AI222" s="8" t="s">
        <v>14</v>
      </c>
      <c r="AJ222" s="11" t="s">
        <v>13</v>
      </c>
    </row>
    <row r="223" spans="1:36" x14ac:dyDescent="0.35">
      <c r="A223" s="19" t="s">
        <v>36</v>
      </c>
      <c r="B223" s="5">
        <v>1</v>
      </c>
      <c r="C223" s="4">
        <v>188</v>
      </c>
      <c r="D223" s="4">
        <v>2</v>
      </c>
      <c r="E223" s="4">
        <v>4</v>
      </c>
      <c r="F223" s="4">
        <v>66</v>
      </c>
      <c r="G223" s="4">
        <v>5</v>
      </c>
      <c r="H223" s="4">
        <v>3</v>
      </c>
      <c r="I223" s="4">
        <v>1</v>
      </c>
      <c r="J223" s="4">
        <v>4</v>
      </c>
      <c r="K223" s="4">
        <v>1</v>
      </c>
      <c r="L223" s="4">
        <v>2</v>
      </c>
      <c r="M223" s="4">
        <v>3</v>
      </c>
      <c r="N223" s="4">
        <v>45</v>
      </c>
      <c r="O223" s="4">
        <v>2</v>
      </c>
      <c r="P223" s="4">
        <v>16</v>
      </c>
      <c r="Q223" s="4">
        <v>2</v>
      </c>
      <c r="R223" s="4">
        <v>68</v>
      </c>
      <c r="S223" s="4">
        <v>4</v>
      </c>
      <c r="T223" s="4">
        <v>31</v>
      </c>
      <c r="U223" s="4">
        <v>2</v>
      </c>
      <c r="V223" s="4">
        <v>16</v>
      </c>
      <c r="W223" s="4">
        <v>2</v>
      </c>
      <c r="X223" s="4">
        <v>6</v>
      </c>
      <c r="Y223" s="4">
        <v>0</v>
      </c>
      <c r="Z223" s="4">
        <v>1</v>
      </c>
      <c r="AA223" s="4">
        <v>0</v>
      </c>
      <c r="AB223" s="4">
        <v>1</v>
      </c>
      <c r="AC223" s="4">
        <v>0</v>
      </c>
      <c r="AD223" s="4">
        <v>0</v>
      </c>
      <c r="AE223" s="4">
        <v>0</v>
      </c>
      <c r="AF223" s="4">
        <v>1</v>
      </c>
      <c r="AG223" s="4">
        <v>0</v>
      </c>
      <c r="AH223" s="4">
        <v>0</v>
      </c>
      <c r="AI223" s="4">
        <f>Table2121418198586[[#This Row],[QB PY]]+Table2121418198586[[#This Row],[QB RY]]</f>
        <v>192</v>
      </c>
      <c r="AJ223" s="4">
        <f>Table2121418198586[[#This Row],[RB1 RY]]+Table2121418198586[[#This Row],[RB2+ RY]]+Table2121418198586[[#This Row],[RB1 RecY]]+Table2121418198586[[#This Row],[RB2 RecY]]</f>
        <v>77</v>
      </c>
    </row>
    <row r="224" spans="1:36" x14ac:dyDescent="0.35">
      <c r="A224" s="19" t="s">
        <v>30</v>
      </c>
      <c r="B224" s="1">
        <v>2</v>
      </c>
      <c r="C224" s="2">
        <v>234</v>
      </c>
      <c r="D224" s="2">
        <v>2</v>
      </c>
      <c r="E224" s="2">
        <v>34</v>
      </c>
      <c r="F224" s="2">
        <v>63</v>
      </c>
      <c r="G224" s="2">
        <v>28</v>
      </c>
      <c r="H224" s="2">
        <v>9</v>
      </c>
      <c r="I224" s="2">
        <v>3</v>
      </c>
      <c r="J224" s="2">
        <v>6</v>
      </c>
      <c r="K224" s="2">
        <v>1</v>
      </c>
      <c r="L224" s="2">
        <v>8</v>
      </c>
      <c r="M224" s="2">
        <v>5</v>
      </c>
      <c r="N224" s="2">
        <v>46</v>
      </c>
      <c r="O224" s="2">
        <v>7</v>
      </c>
      <c r="P224" s="2">
        <v>128</v>
      </c>
      <c r="Q224" s="2">
        <v>2</v>
      </c>
      <c r="R224" s="2">
        <v>12</v>
      </c>
      <c r="S224" s="2">
        <v>1</v>
      </c>
      <c r="T224" s="2">
        <v>5</v>
      </c>
      <c r="U224" s="2">
        <v>2</v>
      </c>
      <c r="V224" s="2">
        <v>29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2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4">
        <f>Table2121418198586[[#This Row],[QB PY]]+Table2121418198586[[#This Row],[QB RY]]</f>
        <v>268</v>
      </c>
      <c r="AJ224" s="4">
        <f>Table2121418198586[[#This Row],[RB1 RY]]+Table2121418198586[[#This Row],[RB2+ RY]]+Table2121418198586[[#This Row],[RB1 RecY]]+Table2121418198586[[#This Row],[RB2 RecY]]</f>
        <v>105</v>
      </c>
    </row>
    <row r="225" spans="1:36" x14ac:dyDescent="0.35">
      <c r="A225" s="19" t="s">
        <v>16</v>
      </c>
      <c r="B225" s="1">
        <v>3</v>
      </c>
      <c r="C225" s="2">
        <v>288</v>
      </c>
      <c r="D225" s="2">
        <v>3</v>
      </c>
      <c r="E225" s="2">
        <v>35</v>
      </c>
      <c r="F225" s="2">
        <v>50</v>
      </c>
      <c r="G225" s="2">
        <v>0</v>
      </c>
      <c r="H225" s="2">
        <v>0</v>
      </c>
      <c r="I225" s="2">
        <v>1</v>
      </c>
      <c r="J225" s="2">
        <v>7</v>
      </c>
      <c r="K225" s="2">
        <v>3</v>
      </c>
      <c r="L225" s="2">
        <v>45</v>
      </c>
      <c r="M225" s="2">
        <v>2</v>
      </c>
      <c r="N225" s="2">
        <v>13</v>
      </c>
      <c r="O225" s="2">
        <v>5</v>
      </c>
      <c r="P225" s="2">
        <v>63</v>
      </c>
      <c r="Q225" s="2">
        <v>1</v>
      </c>
      <c r="R225" s="2">
        <v>13</v>
      </c>
      <c r="S225" s="2">
        <v>1</v>
      </c>
      <c r="T225" s="2">
        <v>34</v>
      </c>
      <c r="U225" s="2">
        <v>6</v>
      </c>
      <c r="V225" s="2">
        <v>91</v>
      </c>
      <c r="W225" s="2">
        <v>2</v>
      </c>
      <c r="X225" s="2">
        <v>22</v>
      </c>
      <c r="Y225" s="2">
        <v>0</v>
      </c>
      <c r="Z225" s="2">
        <v>1</v>
      </c>
      <c r="AA225" s="2">
        <v>0</v>
      </c>
      <c r="AB225" s="2">
        <v>0</v>
      </c>
      <c r="AC225" s="2">
        <v>1</v>
      </c>
      <c r="AD225" s="2">
        <v>0</v>
      </c>
      <c r="AE225" s="2">
        <v>0</v>
      </c>
      <c r="AF225" s="2">
        <v>2</v>
      </c>
      <c r="AG225" s="2">
        <v>0</v>
      </c>
      <c r="AH225" s="2">
        <v>0</v>
      </c>
      <c r="AI225" s="4">
        <f>Table2121418198586[[#This Row],[QB PY]]+Table2121418198586[[#This Row],[QB RY]]</f>
        <v>323</v>
      </c>
      <c r="AJ225" s="4">
        <f>Table2121418198586[[#This Row],[RB1 RY]]+Table2121418198586[[#This Row],[RB2+ RY]]+Table2121418198586[[#This Row],[RB1 RecY]]+Table2121418198586[[#This Row],[RB2 RecY]]</f>
        <v>102</v>
      </c>
    </row>
    <row r="226" spans="1:36" x14ac:dyDescent="0.35">
      <c r="A226" s="19" t="s">
        <v>32</v>
      </c>
      <c r="B226" s="1">
        <v>4</v>
      </c>
      <c r="C226" s="2">
        <v>184</v>
      </c>
      <c r="D226" s="2">
        <v>2</v>
      </c>
      <c r="E226" s="2">
        <v>-1</v>
      </c>
      <c r="F226" s="2">
        <v>82</v>
      </c>
      <c r="G226" s="2">
        <v>-3</v>
      </c>
      <c r="H226" s="2">
        <v>1</v>
      </c>
      <c r="I226" s="2">
        <v>4</v>
      </c>
      <c r="J226" s="2">
        <v>33</v>
      </c>
      <c r="K226" s="2">
        <v>1</v>
      </c>
      <c r="L226" s="2">
        <v>4</v>
      </c>
      <c r="M226" s="2">
        <v>3</v>
      </c>
      <c r="N226" s="2">
        <v>48</v>
      </c>
      <c r="O226" s="2">
        <v>1</v>
      </c>
      <c r="P226" s="2">
        <v>6</v>
      </c>
      <c r="Q226" s="2">
        <v>3</v>
      </c>
      <c r="R226" s="2">
        <v>58</v>
      </c>
      <c r="S226" s="2">
        <v>0</v>
      </c>
      <c r="T226" s="2">
        <v>0</v>
      </c>
      <c r="U226" s="2">
        <v>2</v>
      </c>
      <c r="V226" s="2">
        <v>11</v>
      </c>
      <c r="W226" s="2">
        <v>2</v>
      </c>
      <c r="X226" s="2">
        <v>24</v>
      </c>
      <c r="Y226" s="2">
        <v>0</v>
      </c>
      <c r="Z226" s="2">
        <v>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4">
        <f>Table2121418198586[[#This Row],[QB PY]]+Table2121418198586[[#This Row],[QB RY]]</f>
        <v>183</v>
      </c>
      <c r="AJ226" s="4">
        <f>Table2121418198586[[#This Row],[RB1 RY]]+Table2121418198586[[#This Row],[RB2+ RY]]+Table2121418198586[[#This Row],[RB1 RecY]]+Table2121418198586[[#This Row],[RB2 RecY]]</f>
        <v>116</v>
      </c>
    </row>
    <row r="227" spans="1:36" x14ac:dyDescent="0.35">
      <c r="A227" s="19" t="s">
        <v>31</v>
      </c>
      <c r="B227" s="1">
        <v>5</v>
      </c>
      <c r="C227" s="2">
        <v>251</v>
      </c>
      <c r="D227" s="2">
        <v>3</v>
      </c>
      <c r="E227" s="2">
        <v>31</v>
      </c>
      <c r="F227" s="2">
        <v>27</v>
      </c>
      <c r="G227" s="2">
        <v>27</v>
      </c>
      <c r="H227" s="2">
        <v>0</v>
      </c>
      <c r="I227" s="2">
        <v>7</v>
      </c>
      <c r="J227" s="2">
        <v>21</v>
      </c>
      <c r="K227" s="2">
        <v>2</v>
      </c>
      <c r="L227" s="2">
        <v>2</v>
      </c>
      <c r="M227" s="2">
        <v>6</v>
      </c>
      <c r="N227" s="2">
        <v>110</v>
      </c>
      <c r="O227" s="2">
        <v>3</v>
      </c>
      <c r="P227" s="2">
        <v>22</v>
      </c>
      <c r="Q227" s="2">
        <v>5</v>
      </c>
      <c r="R227" s="2">
        <v>82</v>
      </c>
      <c r="S227" s="2">
        <v>0</v>
      </c>
      <c r="T227" s="2">
        <v>0</v>
      </c>
      <c r="U227" s="2">
        <v>2</v>
      </c>
      <c r="V227" s="2">
        <v>15</v>
      </c>
      <c r="W227" s="2">
        <v>1</v>
      </c>
      <c r="X227" s="2">
        <v>-1</v>
      </c>
      <c r="Y227" s="2">
        <v>0</v>
      </c>
      <c r="Z227" s="2">
        <v>0</v>
      </c>
      <c r="AA227" s="2">
        <v>0</v>
      </c>
      <c r="AB227" s="2">
        <v>2</v>
      </c>
      <c r="AC227" s="2">
        <v>1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4">
        <f>Table2121418198586[[#This Row],[QB PY]]+Table2121418198586[[#This Row],[QB RY]]</f>
        <v>282</v>
      </c>
      <c r="AJ227" s="4">
        <f>Table2121418198586[[#This Row],[RB1 RY]]+Table2121418198586[[#This Row],[RB2+ RY]]+Table2121418198586[[#This Row],[RB1 RecY]]+Table2121418198586[[#This Row],[RB2 RecY]]</f>
        <v>77</v>
      </c>
    </row>
    <row r="228" spans="1:36" x14ac:dyDescent="0.35">
      <c r="A228" s="19" t="s">
        <v>40</v>
      </c>
      <c r="B228" s="1">
        <v>6</v>
      </c>
      <c r="C228" s="2">
        <v>257</v>
      </c>
      <c r="D228" s="2">
        <v>3</v>
      </c>
      <c r="E228" s="2">
        <v>32</v>
      </c>
      <c r="F228" s="2">
        <v>51</v>
      </c>
      <c r="G228" s="2">
        <v>23</v>
      </c>
      <c r="H228" s="2">
        <v>6</v>
      </c>
      <c r="I228" s="2">
        <v>3</v>
      </c>
      <c r="J228" s="2">
        <v>21</v>
      </c>
      <c r="K228" s="2">
        <v>2</v>
      </c>
      <c r="L228" s="2">
        <v>11</v>
      </c>
      <c r="M228" s="2">
        <v>2</v>
      </c>
      <c r="N228" s="2">
        <v>20</v>
      </c>
      <c r="O228" s="2">
        <v>4</v>
      </c>
      <c r="P228" s="2">
        <v>45</v>
      </c>
      <c r="Q228" s="2">
        <v>3</v>
      </c>
      <c r="R228" s="2">
        <v>57</v>
      </c>
      <c r="S228" s="2">
        <v>0</v>
      </c>
      <c r="T228" s="2">
        <v>0</v>
      </c>
      <c r="U228" s="2">
        <v>6</v>
      </c>
      <c r="V228" s="2">
        <v>78</v>
      </c>
      <c r="W228" s="2">
        <v>2</v>
      </c>
      <c r="X228" s="2">
        <v>25</v>
      </c>
      <c r="Y228" s="2">
        <v>1</v>
      </c>
      <c r="Z228" s="2">
        <v>0</v>
      </c>
      <c r="AA228" s="2">
        <v>0</v>
      </c>
      <c r="AB228" s="2">
        <v>1</v>
      </c>
      <c r="AC228" s="2">
        <v>2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4">
        <f>Table2121418198586[[#This Row],[QB PY]]+Table2121418198586[[#This Row],[QB RY]]</f>
        <v>289</v>
      </c>
      <c r="AJ228" s="4">
        <f>Table2121418198586[[#This Row],[RB1 RY]]+Table2121418198586[[#This Row],[RB2+ RY]]+Table2121418198586[[#This Row],[RB1 RecY]]+Table2121418198586[[#This Row],[RB2 RecY]]</f>
        <v>106</v>
      </c>
    </row>
    <row r="229" spans="1:36" x14ac:dyDescent="0.35">
      <c r="A229" s="19" t="s">
        <v>54</v>
      </c>
      <c r="B229" s="1">
        <v>7</v>
      </c>
      <c r="C229" s="2">
        <v>228</v>
      </c>
      <c r="D229" s="2">
        <v>1</v>
      </c>
      <c r="E229" s="2">
        <v>-1</v>
      </c>
      <c r="F229" s="2">
        <v>38</v>
      </c>
      <c r="G229" s="2">
        <v>4</v>
      </c>
      <c r="H229" s="2">
        <v>0</v>
      </c>
      <c r="I229" s="2">
        <v>4</v>
      </c>
      <c r="J229" s="2">
        <v>6</v>
      </c>
      <c r="K229" s="2">
        <v>1</v>
      </c>
      <c r="L229" s="2">
        <v>2</v>
      </c>
      <c r="M229" s="2">
        <v>4</v>
      </c>
      <c r="N229" s="2">
        <v>58</v>
      </c>
      <c r="O229" s="2">
        <v>4</v>
      </c>
      <c r="P229" s="2">
        <v>58</v>
      </c>
      <c r="Q229" s="2">
        <v>7</v>
      </c>
      <c r="R229" s="2">
        <v>25</v>
      </c>
      <c r="S229" s="2">
        <v>1</v>
      </c>
      <c r="T229" s="2">
        <v>14</v>
      </c>
      <c r="U229" s="2">
        <v>7</v>
      </c>
      <c r="V229" s="2">
        <v>65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1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4">
        <f>Table2121418198586[[#This Row],[QB PY]]+Table2121418198586[[#This Row],[QB RY]]</f>
        <v>227</v>
      </c>
      <c r="AJ229" s="4">
        <f>Table2121418198586[[#This Row],[RB1 RY]]+Table2121418198586[[#This Row],[RB2+ RY]]+Table2121418198586[[#This Row],[RB1 RecY]]+Table2121418198586[[#This Row],[RB2 RecY]]</f>
        <v>50</v>
      </c>
    </row>
    <row r="230" spans="1:36" x14ac:dyDescent="0.35">
      <c r="A230" s="19" t="s">
        <v>650</v>
      </c>
      <c r="B230" s="1">
        <v>8</v>
      </c>
      <c r="C230" s="2" t="s">
        <v>697</v>
      </c>
      <c r="D230" s="2" t="s">
        <v>697</v>
      </c>
      <c r="E230" s="2" t="s">
        <v>697</v>
      </c>
      <c r="F230" s="2" t="s">
        <v>697</v>
      </c>
      <c r="G230" s="2" t="s">
        <v>697</v>
      </c>
      <c r="H230" s="2" t="s">
        <v>697</v>
      </c>
      <c r="I230" s="2" t="s">
        <v>697</v>
      </c>
      <c r="J230" s="2" t="s">
        <v>697</v>
      </c>
      <c r="K230" s="2" t="s">
        <v>697</v>
      </c>
      <c r="L230" s="2" t="s">
        <v>697</v>
      </c>
      <c r="M230" s="2" t="s">
        <v>697</v>
      </c>
      <c r="N230" s="2" t="s">
        <v>697</v>
      </c>
      <c r="O230" s="2" t="s">
        <v>697</v>
      </c>
      <c r="P230" s="2" t="s">
        <v>697</v>
      </c>
      <c r="Q230" s="2" t="s">
        <v>697</v>
      </c>
      <c r="R230" s="2" t="s">
        <v>697</v>
      </c>
      <c r="S230" s="2" t="s">
        <v>697</v>
      </c>
      <c r="T230" s="2" t="s">
        <v>697</v>
      </c>
      <c r="U230" s="2" t="s">
        <v>697</v>
      </c>
      <c r="V230" s="2" t="s">
        <v>697</v>
      </c>
      <c r="W230" s="2" t="s">
        <v>697</v>
      </c>
      <c r="X230" s="2" t="s">
        <v>697</v>
      </c>
      <c r="Y230" s="2" t="s">
        <v>697</v>
      </c>
      <c r="Z230" s="2" t="s">
        <v>697</v>
      </c>
      <c r="AA230" s="2" t="s">
        <v>697</v>
      </c>
      <c r="AB230" s="2" t="s">
        <v>697</v>
      </c>
      <c r="AC230" s="2" t="s">
        <v>697</v>
      </c>
      <c r="AD230" s="2" t="s">
        <v>697</v>
      </c>
      <c r="AE230" s="2" t="s">
        <v>697</v>
      </c>
      <c r="AF230" s="2" t="s">
        <v>697</v>
      </c>
      <c r="AG230" s="2" t="s">
        <v>697</v>
      </c>
      <c r="AH230" s="2" t="s">
        <v>697</v>
      </c>
      <c r="AI230" s="4" t="s">
        <v>697</v>
      </c>
      <c r="AJ230" s="4" t="s">
        <v>697</v>
      </c>
    </row>
    <row r="231" spans="1:36" x14ac:dyDescent="0.35">
      <c r="A231" s="19" t="s">
        <v>45</v>
      </c>
      <c r="B231" s="1">
        <v>9</v>
      </c>
      <c r="C231" s="2">
        <v>143</v>
      </c>
      <c r="D231" s="2">
        <v>2</v>
      </c>
      <c r="E231" s="2">
        <v>12</v>
      </c>
      <c r="F231" s="2">
        <v>78</v>
      </c>
      <c r="G231" s="2">
        <v>36</v>
      </c>
      <c r="H231" s="2">
        <v>16</v>
      </c>
      <c r="I231" s="2">
        <v>2</v>
      </c>
      <c r="J231" s="2">
        <v>20</v>
      </c>
      <c r="K231" s="2">
        <v>1</v>
      </c>
      <c r="L231" s="2">
        <v>1</v>
      </c>
      <c r="M231" s="2">
        <v>6</v>
      </c>
      <c r="N231" s="2">
        <v>47</v>
      </c>
      <c r="O231" s="2">
        <v>2</v>
      </c>
      <c r="P231" s="2">
        <v>48</v>
      </c>
      <c r="Q231" s="2">
        <v>1</v>
      </c>
      <c r="R231" s="2">
        <v>16</v>
      </c>
      <c r="S231" s="2">
        <v>0</v>
      </c>
      <c r="T231" s="2">
        <v>0</v>
      </c>
      <c r="U231" s="2">
        <v>2</v>
      </c>
      <c r="V231" s="2">
        <v>11</v>
      </c>
      <c r="W231" s="2">
        <v>0</v>
      </c>
      <c r="X231" s="2">
        <v>0</v>
      </c>
      <c r="Y231" s="2">
        <v>1</v>
      </c>
      <c r="Z231" s="2">
        <v>0</v>
      </c>
      <c r="AA231" s="2">
        <v>0</v>
      </c>
      <c r="AB231" s="2">
        <v>1</v>
      </c>
      <c r="AC231" s="2">
        <v>0</v>
      </c>
      <c r="AD231" s="2">
        <v>0</v>
      </c>
      <c r="AE231" s="2">
        <v>0</v>
      </c>
      <c r="AF231" s="2">
        <v>1</v>
      </c>
      <c r="AG231" s="2">
        <v>0</v>
      </c>
      <c r="AH231" s="2">
        <v>0</v>
      </c>
      <c r="AI231" s="4">
        <f>Table2121418198586[[#This Row],[QB PY]]+Table2121418198586[[#This Row],[QB RY]]</f>
        <v>155</v>
      </c>
      <c r="AJ231" s="4">
        <f>Table2121418198586[[#This Row],[RB1 RY]]+Table2121418198586[[#This Row],[RB2+ RY]]+Table2121418198586[[#This Row],[RB1 RecY]]+Table2121418198586[[#This Row],[RB2 RecY]]</f>
        <v>135</v>
      </c>
    </row>
    <row r="232" spans="1:36" x14ac:dyDescent="0.35">
      <c r="A232" s="19" t="s">
        <v>56</v>
      </c>
      <c r="B232" s="1">
        <v>10</v>
      </c>
      <c r="C232" s="2">
        <v>213</v>
      </c>
      <c r="D232" s="2">
        <v>2</v>
      </c>
      <c r="E232" s="2">
        <v>22</v>
      </c>
      <c r="F232" s="2">
        <v>30</v>
      </c>
      <c r="G232" s="2">
        <v>41</v>
      </c>
      <c r="H232" s="2">
        <v>0</v>
      </c>
      <c r="I232" s="2">
        <v>1</v>
      </c>
      <c r="J232" s="2">
        <v>4</v>
      </c>
      <c r="K232" s="2">
        <v>0</v>
      </c>
      <c r="L232" s="2">
        <v>0</v>
      </c>
      <c r="M232" s="2">
        <v>4</v>
      </c>
      <c r="N232" s="2">
        <v>29</v>
      </c>
      <c r="O232" s="2">
        <v>3</v>
      </c>
      <c r="P232" s="2">
        <v>58</v>
      </c>
      <c r="Q232" s="2">
        <v>1</v>
      </c>
      <c r="R232" s="2">
        <v>41</v>
      </c>
      <c r="S232" s="2">
        <v>1</v>
      </c>
      <c r="T232" s="2">
        <v>17</v>
      </c>
      <c r="U232" s="2">
        <v>4</v>
      </c>
      <c r="V232" s="2">
        <v>54</v>
      </c>
      <c r="W232" s="2">
        <v>2</v>
      </c>
      <c r="X232" s="2">
        <v>10</v>
      </c>
      <c r="Y232" s="2">
        <v>0</v>
      </c>
      <c r="Z232" s="2">
        <v>0</v>
      </c>
      <c r="AA232" s="2">
        <v>1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4">
        <f>Table2121418198586[[#This Row],[QB PY]]+Table2121418198586[[#This Row],[QB RY]]</f>
        <v>235</v>
      </c>
      <c r="AJ232" s="4">
        <f>Table2121418198586[[#This Row],[RB1 RY]]+Table2121418198586[[#This Row],[RB2+ RY]]+Table2121418198586[[#This Row],[RB1 RecY]]+Table2121418198586[[#This Row],[RB2 RecY]]</f>
        <v>75</v>
      </c>
    </row>
    <row r="233" spans="1:36" x14ac:dyDescent="0.35">
      <c r="A233" s="19" t="s">
        <v>50</v>
      </c>
      <c r="B233" s="1">
        <v>11</v>
      </c>
      <c r="C233" s="2">
        <v>135</v>
      </c>
      <c r="D233" s="2">
        <v>0</v>
      </c>
      <c r="E233" s="2">
        <v>31</v>
      </c>
      <c r="F233" s="2">
        <v>83</v>
      </c>
      <c r="G233" s="2">
        <v>34</v>
      </c>
      <c r="H233" s="2">
        <v>0</v>
      </c>
      <c r="I233" s="2">
        <v>1</v>
      </c>
      <c r="J233" s="2">
        <v>7</v>
      </c>
      <c r="K233" s="2">
        <v>0</v>
      </c>
      <c r="L233" s="2">
        <v>0</v>
      </c>
      <c r="M233" s="2">
        <v>7</v>
      </c>
      <c r="N233" s="2">
        <v>49</v>
      </c>
      <c r="O233" s="2">
        <v>1</v>
      </c>
      <c r="P233" s="2">
        <v>8</v>
      </c>
      <c r="Q233" s="2">
        <v>2</v>
      </c>
      <c r="R233" s="2">
        <v>43</v>
      </c>
      <c r="S233" s="2">
        <v>0</v>
      </c>
      <c r="T233" s="2">
        <v>0</v>
      </c>
      <c r="U233" s="2">
        <v>2</v>
      </c>
      <c r="V233" s="2">
        <v>24</v>
      </c>
      <c r="W233" s="2">
        <v>1</v>
      </c>
      <c r="X233" s="2">
        <v>4</v>
      </c>
      <c r="Y233" s="2">
        <v>1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4">
        <f>Table2121418198586[[#This Row],[QB PY]]+Table2121418198586[[#This Row],[QB RY]]</f>
        <v>166</v>
      </c>
      <c r="AJ233" s="4">
        <f>Table2121418198586[[#This Row],[RB1 RY]]+Table2121418198586[[#This Row],[RB2+ RY]]+Table2121418198586[[#This Row],[RB1 RecY]]+Table2121418198586[[#This Row],[RB2 RecY]]</f>
        <v>124</v>
      </c>
    </row>
    <row r="234" spans="1:36" x14ac:dyDescent="0.35">
      <c r="A234" s="19" t="s">
        <v>48</v>
      </c>
      <c r="B234" s="1">
        <v>12</v>
      </c>
      <c r="C234" s="2">
        <v>399</v>
      </c>
      <c r="D234" s="2">
        <v>3</v>
      </c>
      <c r="E234" s="2">
        <v>13</v>
      </c>
      <c r="F234" s="2">
        <v>62</v>
      </c>
      <c r="G234" s="2">
        <v>47</v>
      </c>
      <c r="H234" s="2">
        <v>0</v>
      </c>
      <c r="I234" s="2">
        <v>3</v>
      </c>
      <c r="J234" s="2">
        <v>68</v>
      </c>
      <c r="K234" s="2">
        <v>0</v>
      </c>
      <c r="L234" s="2">
        <v>0</v>
      </c>
      <c r="M234" s="2">
        <v>9</v>
      </c>
      <c r="N234" s="2">
        <v>156</v>
      </c>
      <c r="O234" s="2">
        <v>2</v>
      </c>
      <c r="P234" s="2">
        <v>42</v>
      </c>
      <c r="Q234" s="2">
        <v>1</v>
      </c>
      <c r="R234" s="2">
        <v>23</v>
      </c>
      <c r="S234" s="2">
        <v>0</v>
      </c>
      <c r="T234" s="2">
        <v>0</v>
      </c>
      <c r="U234" s="2">
        <v>3</v>
      </c>
      <c r="V234" s="2">
        <v>77</v>
      </c>
      <c r="W234" s="2">
        <v>1</v>
      </c>
      <c r="X234" s="2">
        <v>33</v>
      </c>
      <c r="Y234" s="2">
        <v>1</v>
      </c>
      <c r="Z234" s="2">
        <v>0</v>
      </c>
      <c r="AA234" s="2">
        <v>0</v>
      </c>
      <c r="AB234" s="2">
        <v>1</v>
      </c>
      <c r="AC234" s="2">
        <v>1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4">
        <f>Table2121418198586[[#This Row],[QB PY]]+Table2121418198586[[#This Row],[QB RY]]</f>
        <v>412</v>
      </c>
      <c r="AJ234" s="4">
        <f>Table2121418198586[[#This Row],[RB1 RY]]+Table2121418198586[[#This Row],[RB2+ RY]]+Table2121418198586[[#This Row],[RB1 RecY]]+Table2121418198586[[#This Row],[RB2 RecY]]</f>
        <v>177</v>
      </c>
    </row>
    <row r="235" spans="1:36" x14ac:dyDescent="0.35">
      <c r="A235" s="19" t="s">
        <v>36</v>
      </c>
      <c r="B235" s="1">
        <v>13</v>
      </c>
      <c r="C235" s="2">
        <v>234</v>
      </c>
      <c r="D235" s="2">
        <v>4</v>
      </c>
      <c r="E235" s="2">
        <v>4</v>
      </c>
      <c r="F235" s="2">
        <v>83</v>
      </c>
      <c r="G235" s="2">
        <v>14</v>
      </c>
      <c r="H235" s="2">
        <v>24</v>
      </c>
      <c r="I235" s="2">
        <v>1</v>
      </c>
      <c r="J235" s="2">
        <v>8</v>
      </c>
      <c r="K235" s="2">
        <v>2</v>
      </c>
      <c r="L235" s="2">
        <v>9</v>
      </c>
      <c r="M235" s="2">
        <v>4</v>
      </c>
      <c r="N235" s="2">
        <v>20</v>
      </c>
      <c r="O235" s="2">
        <v>4</v>
      </c>
      <c r="P235" s="2">
        <v>80</v>
      </c>
      <c r="Q235" s="2">
        <v>6</v>
      </c>
      <c r="R235" s="2">
        <v>94</v>
      </c>
      <c r="S235" s="2">
        <v>0</v>
      </c>
      <c r="T235" s="2">
        <v>0</v>
      </c>
      <c r="U235" s="2">
        <v>1</v>
      </c>
      <c r="V235" s="2">
        <v>23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1</v>
      </c>
      <c r="AC235" s="2">
        <v>1</v>
      </c>
      <c r="AD235" s="2">
        <v>2</v>
      </c>
      <c r="AE235" s="2">
        <v>0</v>
      </c>
      <c r="AF235" s="2">
        <v>0</v>
      </c>
      <c r="AG235" s="2">
        <v>0</v>
      </c>
      <c r="AH235" s="2">
        <v>0</v>
      </c>
      <c r="AI235" s="4">
        <f>Table2121418198586[[#This Row],[QB PY]]+Table2121418198586[[#This Row],[QB RY]]</f>
        <v>238</v>
      </c>
      <c r="AJ235" s="4">
        <f>Table2121418198586[[#This Row],[RB1 RY]]+Table2121418198586[[#This Row],[RB2+ RY]]+Table2121418198586[[#This Row],[RB1 RecY]]+Table2121418198586[[#This Row],[RB2 RecY]]</f>
        <v>114</v>
      </c>
    </row>
    <row r="236" spans="1:36" x14ac:dyDescent="0.35">
      <c r="A236" s="19" t="s">
        <v>33</v>
      </c>
      <c r="B236" s="1">
        <v>14</v>
      </c>
      <c r="C236" s="2">
        <v>376</v>
      </c>
      <c r="D236" s="2">
        <v>1</v>
      </c>
      <c r="E236" s="2">
        <v>14</v>
      </c>
      <c r="F236" s="2">
        <v>67</v>
      </c>
      <c r="G236" s="2">
        <v>6</v>
      </c>
      <c r="H236" s="2">
        <v>4</v>
      </c>
      <c r="I236" s="2">
        <v>2</v>
      </c>
      <c r="J236" s="2">
        <v>0</v>
      </c>
      <c r="K236" s="2">
        <v>0</v>
      </c>
      <c r="L236" s="2">
        <v>0</v>
      </c>
      <c r="M236" s="2">
        <v>6</v>
      </c>
      <c r="N236" s="2">
        <v>121</v>
      </c>
      <c r="O236" s="2">
        <v>5</v>
      </c>
      <c r="P236" s="2">
        <v>37</v>
      </c>
      <c r="Q236" s="2">
        <v>9</v>
      </c>
      <c r="R236" s="2">
        <v>115</v>
      </c>
      <c r="S236" s="2">
        <v>2</v>
      </c>
      <c r="T236" s="2">
        <v>26</v>
      </c>
      <c r="U236" s="2">
        <v>5</v>
      </c>
      <c r="V236" s="2">
        <v>58</v>
      </c>
      <c r="W236" s="2">
        <v>2</v>
      </c>
      <c r="X236" s="2">
        <v>19</v>
      </c>
      <c r="Y236" s="2">
        <v>0</v>
      </c>
      <c r="Z236" s="2">
        <v>1</v>
      </c>
      <c r="AA236" s="2">
        <v>0</v>
      </c>
      <c r="AB236" s="2">
        <v>0</v>
      </c>
      <c r="AC236" s="2">
        <v>0</v>
      </c>
      <c r="AD236" s="2">
        <v>1</v>
      </c>
      <c r="AE236" s="2">
        <v>0</v>
      </c>
      <c r="AF236" s="2">
        <v>0</v>
      </c>
      <c r="AG236" s="2">
        <v>0</v>
      </c>
      <c r="AH236" s="2">
        <v>0</v>
      </c>
      <c r="AI236" s="4">
        <f>Table2121418198586[[#This Row],[QB PY]]+Table2121418198586[[#This Row],[QB RY]]</f>
        <v>390</v>
      </c>
      <c r="AJ236" s="4">
        <f>Table2121418198586[[#This Row],[RB1 RY]]+Table2121418198586[[#This Row],[RB2+ RY]]+Table2121418198586[[#This Row],[RB1 RecY]]+Table2121418198586[[#This Row],[RB2 RecY]]</f>
        <v>73</v>
      </c>
    </row>
    <row r="237" spans="1:36" x14ac:dyDescent="0.35">
      <c r="A237" s="19" t="s">
        <v>42</v>
      </c>
      <c r="B237" s="1">
        <v>15</v>
      </c>
      <c r="C237" s="2">
        <v>368</v>
      </c>
      <c r="D237" s="2">
        <v>2</v>
      </c>
      <c r="E237" s="2">
        <v>2</v>
      </c>
      <c r="F237" s="2">
        <v>78</v>
      </c>
      <c r="G237" s="2">
        <v>71</v>
      </c>
      <c r="H237" s="2">
        <v>8</v>
      </c>
      <c r="I237" s="2">
        <v>1</v>
      </c>
      <c r="J237" s="2">
        <v>10</v>
      </c>
      <c r="K237" s="2">
        <v>0</v>
      </c>
      <c r="L237" s="2">
        <v>0</v>
      </c>
      <c r="M237" s="2">
        <v>9</v>
      </c>
      <c r="N237" s="2">
        <v>181</v>
      </c>
      <c r="O237" s="2">
        <v>4</v>
      </c>
      <c r="P237" s="2">
        <v>71</v>
      </c>
      <c r="Q237" s="2">
        <v>1</v>
      </c>
      <c r="R237" s="2">
        <v>9</v>
      </c>
      <c r="S237" s="2">
        <v>0</v>
      </c>
      <c r="T237" s="2">
        <v>0</v>
      </c>
      <c r="U237" s="2">
        <v>5</v>
      </c>
      <c r="V237" s="2">
        <v>75</v>
      </c>
      <c r="W237" s="2">
        <v>4</v>
      </c>
      <c r="X237" s="2">
        <v>22</v>
      </c>
      <c r="Y237" s="2">
        <v>0</v>
      </c>
      <c r="Z237" s="2">
        <v>2</v>
      </c>
      <c r="AA237" s="2">
        <v>1</v>
      </c>
      <c r="AB237" s="2">
        <v>0</v>
      </c>
      <c r="AC237" s="2">
        <v>0</v>
      </c>
      <c r="AD237" s="2">
        <v>0</v>
      </c>
      <c r="AE237" s="2">
        <v>0</v>
      </c>
      <c r="AF237" s="2">
        <v>2</v>
      </c>
      <c r="AG237" s="2">
        <v>0</v>
      </c>
      <c r="AH237" s="2">
        <v>0</v>
      </c>
      <c r="AI237" s="4">
        <f>Table2121418198586[[#This Row],[QB PY]]+Table2121418198586[[#This Row],[QB RY]]</f>
        <v>370</v>
      </c>
      <c r="AJ237" s="4">
        <f>Table2121418198586[[#This Row],[RB1 RY]]+Table2121418198586[[#This Row],[RB2+ RY]]+Table2121418198586[[#This Row],[RB1 RecY]]+Table2121418198586[[#This Row],[RB2 RecY]]</f>
        <v>159</v>
      </c>
    </row>
    <row r="238" spans="1:36" x14ac:dyDescent="0.35">
      <c r="A238" s="19" t="s">
        <v>51</v>
      </c>
      <c r="B238" s="1">
        <v>16</v>
      </c>
      <c r="C238" s="2">
        <v>266</v>
      </c>
      <c r="D238" s="2">
        <v>1</v>
      </c>
      <c r="E238" s="2">
        <v>9</v>
      </c>
      <c r="F238" s="2">
        <v>143</v>
      </c>
      <c r="G238" s="2">
        <v>50</v>
      </c>
      <c r="H238" s="2">
        <v>28</v>
      </c>
      <c r="I238" s="2">
        <v>2</v>
      </c>
      <c r="J238" s="2">
        <v>8</v>
      </c>
      <c r="K238" s="2">
        <v>5</v>
      </c>
      <c r="L238" s="2">
        <v>78</v>
      </c>
      <c r="M238" s="2">
        <v>4</v>
      </c>
      <c r="N238" s="2">
        <v>42</v>
      </c>
      <c r="O238" s="2">
        <v>1</v>
      </c>
      <c r="P238" s="2">
        <v>8</v>
      </c>
      <c r="Q238" s="2">
        <v>4</v>
      </c>
      <c r="R238" s="2">
        <v>49</v>
      </c>
      <c r="S238" s="2">
        <v>4</v>
      </c>
      <c r="T238" s="2">
        <v>25</v>
      </c>
      <c r="U238" s="2">
        <v>3</v>
      </c>
      <c r="V238" s="2">
        <v>36</v>
      </c>
      <c r="W238" s="2">
        <v>4</v>
      </c>
      <c r="X238" s="2">
        <v>20</v>
      </c>
      <c r="Y238" s="2">
        <v>0</v>
      </c>
      <c r="Z238" s="2">
        <v>2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4">
        <f>Table2121418198586[[#This Row],[QB PY]]+Table2121418198586[[#This Row],[QB RY]]</f>
        <v>275</v>
      </c>
      <c r="AJ238" s="4">
        <f>Table2121418198586[[#This Row],[RB1 RY]]+Table2121418198586[[#This Row],[RB2+ RY]]+Table2121418198586[[#This Row],[RB1 RecY]]+Table2121418198586[[#This Row],[RB2 RecY]]</f>
        <v>279</v>
      </c>
    </row>
    <row r="239" spans="1:36" x14ac:dyDescent="0.35">
      <c r="A239" s="19" t="s">
        <v>45</v>
      </c>
      <c r="B239" s="1">
        <v>17</v>
      </c>
      <c r="C239" s="2">
        <v>51</v>
      </c>
      <c r="D239" s="2">
        <v>0</v>
      </c>
      <c r="E239" s="2">
        <v>16</v>
      </c>
      <c r="F239" s="2">
        <v>53</v>
      </c>
      <c r="G239" s="2">
        <v>24</v>
      </c>
      <c r="H239" s="2">
        <v>65</v>
      </c>
      <c r="I239" s="2">
        <v>3</v>
      </c>
      <c r="J239" s="2">
        <v>10</v>
      </c>
      <c r="K239" s="2">
        <v>0</v>
      </c>
      <c r="L239" s="2">
        <v>0</v>
      </c>
      <c r="M239" s="2">
        <v>4</v>
      </c>
      <c r="N239" s="2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>
        <v>8</v>
      </c>
      <c r="W239" s="2">
        <v>1</v>
      </c>
      <c r="X239" s="2">
        <v>3</v>
      </c>
      <c r="Y239" s="2">
        <v>0</v>
      </c>
      <c r="Z239" s="2">
        <v>1</v>
      </c>
      <c r="AA239" s="2">
        <v>0</v>
      </c>
      <c r="AB239" s="2">
        <v>0</v>
      </c>
      <c r="AC239" s="2">
        <v>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4">
        <f>Table2121418198586[[#This Row],[QB PY]]+Table2121418198586[[#This Row],[QB RY]]</f>
        <v>67</v>
      </c>
      <c r="AJ239" s="4">
        <f>Table2121418198586[[#This Row],[RB1 RY]]+Table2121418198586[[#This Row],[RB2+ RY]]+Table2121418198586[[#This Row],[RB1 RecY]]+Table2121418198586[[#This Row],[RB2 RecY]]</f>
        <v>87</v>
      </c>
    </row>
    <row r="240" spans="1:36" x14ac:dyDescent="0.35">
      <c r="A240" s="19" t="s">
        <v>30</v>
      </c>
      <c r="B240" s="1">
        <v>18</v>
      </c>
      <c r="C240" s="2">
        <v>212</v>
      </c>
      <c r="D240" s="2">
        <v>2</v>
      </c>
      <c r="E240" s="2">
        <v>1</v>
      </c>
      <c r="F240" s="2">
        <v>40</v>
      </c>
      <c r="G240" s="2">
        <v>14</v>
      </c>
      <c r="H240" s="2">
        <v>10</v>
      </c>
      <c r="I240" s="2">
        <v>1</v>
      </c>
      <c r="J240" s="2">
        <v>8</v>
      </c>
      <c r="K240" s="2">
        <v>1</v>
      </c>
      <c r="L240" s="2">
        <v>15</v>
      </c>
      <c r="M240" s="2">
        <v>1</v>
      </c>
      <c r="N240" s="2">
        <v>11</v>
      </c>
      <c r="O240" s="2">
        <v>3</v>
      </c>
      <c r="P240" s="2">
        <v>35</v>
      </c>
      <c r="Q240" s="2">
        <v>2</v>
      </c>
      <c r="R240" s="2">
        <v>36</v>
      </c>
      <c r="S240" s="2">
        <v>0</v>
      </c>
      <c r="T240" s="2">
        <v>0</v>
      </c>
      <c r="U240" s="2">
        <v>10</v>
      </c>
      <c r="V240" s="2">
        <v>91</v>
      </c>
      <c r="W240" s="2">
        <v>2</v>
      </c>
      <c r="X240" s="2">
        <v>16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1</v>
      </c>
      <c r="AE240" s="2">
        <v>0</v>
      </c>
      <c r="AF240" s="2">
        <v>1</v>
      </c>
      <c r="AG240" s="2">
        <v>0</v>
      </c>
      <c r="AH240" s="2">
        <v>0</v>
      </c>
      <c r="AI240" s="4">
        <f>Table2121418198586[[#This Row],[QB PY]]+Table2121418198586[[#This Row],[QB RY]]</f>
        <v>213</v>
      </c>
      <c r="AJ240" s="4">
        <f>Table2121418198586[[#This Row],[RB1 RY]]+Table2121418198586[[#This Row],[RB2+ RY]]+Table2121418198586[[#This Row],[RB1 RecY]]+Table2121418198586[[#This Row],[RB2 RecY]]</f>
        <v>77</v>
      </c>
    </row>
    <row r="241" spans="1:36" x14ac:dyDescent="0.35">
      <c r="B241" s="1" t="s">
        <v>57</v>
      </c>
      <c r="C241" s="3">
        <f>AVERAGE(Table2121418198586[QB PY])</f>
        <v>236.88235294117646</v>
      </c>
      <c r="D241" s="3">
        <f>AVERAGE(Table2121418198586[P TD])</f>
        <v>1.9411764705882353</v>
      </c>
      <c r="E241" s="3">
        <f>AVERAGE(Table2121418198586[QB RY])</f>
        <v>15.176470588235293</v>
      </c>
      <c r="F241" s="3">
        <f>AVERAGE(Table2121418198586[RB1 RY])</f>
        <v>64.352941176470594</v>
      </c>
      <c r="G241" s="3">
        <f>AVERAGE(Table2121418198586[RB2+ RY])</f>
        <v>24.764705882352942</v>
      </c>
      <c r="H241" s="3">
        <f>AVERAGE(Table2121418198586[WR RY])</f>
        <v>10.235294117647058</v>
      </c>
      <c r="I241" s="3">
        <f>AVERAGE(Table2121418198586[RB1 Recep])</f>
        <v>2.3529411764705883</v>
      </c>
      <c r="J241" s="3">
        <f>AVERAGE(Table2121418198586[RB1 RecY])</f>
        <v>14.176470588235293</v>
      </c>
      <c r="K241" s="3">
        <f>AVERAGE(Table2121418198586[RB2 Recep])</f>
        <v>1.1764705882352942</v>
      </c>
      <c r="L241" s="3">
        <f>AVERAGE(Table2121418198586[RB2 RecY])</f>
        <v>10.411764705882353</v>
      </c>
      <c r="M241" s="3">
        <f>AVERAGE(Table2121418198586[WR1 Recep])</f>
        <v>4.6470588235294121</v>
      </c>
      <c r="N241" s="3">
        <f>AVERAGE(Table2121418198586[WR1 RecY])</f>
        <v>60.352941176470587</v>
      </c>
      <c r="O241" s="3">
        <f>AVERAGE(Table2121418198586[WR2 Recep])</f>
        <v>3</v>
      </c>
      <c r="P241" s="3">
        <f>AVERAGE(Table2121418198586[WR2 RecY])</f>
        <v>42.647058823529413</v>
      </c>
      <c r="Q241" s="3">
        <f>AVERAGE(Table2121418198586[WR3 Recep])</f>
        <v>2.9411764705882355</v>
      </c>
      <c r="R241" s="3">
        <f>AVERAGE(Table2121418198586[WR3 RecY])</f>
        <v>43.588235294117645</v>
      </c>
      <c r="S241" s="3">
        <f>AVERAGE(Table2121418198586[WR4+ Recep])</f>
        <v>0.82352941176470584</v>
      </c>
      <c r="T241" s="3">
        <f>AVERAGE(Table2121418198586[WR4+ RecY])</f>
        <v>8.9411764705882355</v>
      </c>
      <c r="U241" s="3">
        <f>AVERAGE(Table2121418198586[TE1 Recep])</f>
        <v>3.7058823529411766</v>
      </c>
      <c r="V241" s="3">
        <f>AVERAGE(Table2121418198586[TE1 RecY])</f>
        <v>44.823529411764703</v>
      </c>
      <c r="W241" s="3">
        <f>AVERAGE(Table2121418198586[TE2 Recep])</f>
        <v>1.5294117647058822</v>
      </c>
      <c r="X241" s="3">
        <f>AVERAGE(Table2121418198586[TE2 RecY])</f>
        <v>11.941176470588236</v>
      </c>
      <c r="Y241" s="3">
        <f>AVERAGE(Table2121418198586[QB TD])</f>
        <v>0.23529411764705882</v>
      </c>
      <c r="Z241" s="3">
        <f>AVERAGE(Table2121418198586[RB1 TD])</f>
        <v>0.58823529411764708</v>
      </c>
      <c r="AA241" s="3">
        <f>AVERAGE(Table2121418198586[RB2 TD])</f>
        <v>0.17647058823529413</v>
      </c>
      <c r="AB241" s="3">
        <f>AVERAGE(Table2121418198586[WR1 TD])</f>
        <v>0.47058823529411764</v>
      </c>
      <c r="AC241" s="3">
        <f>AVERAGE(Table2121418198586[WR2 TD])</f>
        <v>0.58823529411764708</v>
      </c>
      <c r="AD241" s="3">
        <f>AVERAGE(Table2121418198586[WR3 TD])</f>
        <v>0.23529411764705882</v>
      </c>
      <c r="AE241" s="3">
        <f>AVERAGE(Table2121418198586[WR4+ TD])</f>
        <v>0</v>
      </c>
      <c r="AF241" s="3">
        <f>AVERAGE(Table2121418198586[TE1 TD])</f>
        <v>0.41176470588235292</v>
      </c>
      <c r="AG241" s="3">
        <f>AVERAGE(Table2121418198586[TE2 TD])</f>
        <v>0</v>
      </c>
      <c r="AH241" s="3">
        <f>AVERAGE(Table2121418198586[D/ST TD])</f>
        <v>0</v>
      </c>
      <c r="AI241" s="3">
        <f>AVERAGE(Table2121418198586[QB P+R])</f>
        <v>252.05882352941177</v>
      </c>
      <c r="AJ241" s="3">
        <f>AVERAGE(Table2121418198586[RB R+R])</f>
        <v>113.70588235294117</v>
      </c>
    </row>
    <row r="243" spans="1:36" x14ac:dyDescent="0.35">
      <c r="A243" s="230" t="s">
        <v>36</v>
      </c>
      <c r="B243" s="230"/>
      <c r="C243" s="230"/>
      <c r="D243" s="230"/>
      <c r="E243" s="230"/>
      <c r="F243" s="230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  <c r="Y243" s="230"/>
      <c r="Z243" s="230"/>
      <c r="AA243" s="230"/>
      <c r="AB243" s="230"/>
      <c r="AC243" s="230"/>
      <c r="AD243" s="230"/>
      <c r="AE243" s="230"/>
      <c r="AF243" s="230"/>
      <c r="AG243" s="230"/>
      <c r="AH243" s="230"/>
      <c r="AI243" s="230"/>
      <c r="AJ243" s="230"/>
    </row>
    <row r="244" spans="1:36" x14ac:dyDescent="0.35">
      <c r="A244" s="20" t="s">
        <v>63</v>
      </c>
      <c r="B244" s="6" t="s">
        <v>1</v>
      </c>
      <c r="C244" s="7" t="s">
        <v>18</v>
      </c>
      <c r="D244" s="8" t="s">
        <v>19</v>
      </c>
      <c r="E244" s="9" t="s">
        <v>20</v>
      </c>
      <c r="F244" s="10" t="s">
        <v>21</v>
      </c>
      <c r="G244" s="11" t="s">
        <v>22</v>
      </c>
      <c r="H244" s="12" t="s">
        <v>23</v>
      </c>
      <c r="I244" s="13" t="s">
        <v>667</v>
      </c>
      <c r="J244" s="13" t="s">
        <v>668</v>
      </c>
      <c r="K244" s="13" t="s">
        <v>665</v>
      </c>
      <c r="L244" s="13" t="s">
        <v>666</v>
      </c>
      <c r="M244" s="14" t="s">
        <v>2</v>
      </c>
      <c r="N244" s="14" t="s">
        <v>24</v>
      </c>
      <c r="O244" s="15" t="s">
        <v>3</v>
      </c>
      <c r="P244" s="15" t="s">
        <v>25</v>
      </c>
      <c r="Q244" s="16" t="s">
        <v>4</v>
      </c>
      <c r="R244" s="16" t="s">
        <v>26</v>
      </c>
      <c r="S244" s="17" t="s">
        <v>5</v>
      </c>
      <c r="T244" s="17" t="s">
        <v>27</v>
      </c>
      <c r="U244" s="18" t="s">
        <v>669</v>
      </c>
      <c r="V244" s="18" t="s">
        <v>670</v>
      </c>
      <c r="W244" s="18" t="s">
        <v>675</v>
      </c>
      <c r="X244" s="18" t="s">
        <v>671</v>
      </c>
      <c r="Y244" s="6" t="s">
        <v>6</v>
      </c>
      <c r="Z244" s="6" t="s">
        <v>7</v>
      </c>
      <c r="AA244" s="6" t="s">
        <v>674</v>
      </c>
      <c r="AB244" s="6" t="s">
        <v>8</v>
      </c>
      <c r="AC244" s="6" t="s">
        <v>9</v>
      </c>
      <c r="AD244" s="6" t="s">
        <v>10</v>
      </c>
      <c r="AE244" s="6" t="s">
        <v>11</v>
      </c>
      <c r="AF244" s="6" t="s">
        <v>673</v>
      </c>
      <c r="AG244" s="6" t="s">
        <v>672</v>
      </c>
      <c r="AH244" s="6" t="s">
        <v>12</v>
      </c>
      <c r="AI244" s="8" t="s">
        <v>14</v>
      </c>
      <c r="AJ244" s="11" t="s">
        <v>13</v>
      </c>
    </row>
    <row r="245" spans="1:36" x14ac:dyDescent="0.35">
      <c r="A245" s="19" t="s">
        <v>35</v>
      </c>
      <c r="B245" s="5">
        <v>1</v>
      </c>
      <c r="C245" s="4">
        <v>225</v>
      </c>
      <c r="D245" s="4">
        <v>1</v>
      </c>
      <c r="E245" s="4">
        <v>-1</v>
      </c>
      <c r="F245" s="4">
        <v>19</v>
      </c>
      <c r="G245" s="4">
        <v>25</v>
      </c>
      <c r="H245" s="4">
        <v>3</v>
      </c>
      <c r="I245" s="4">
        <v>10</v>
      </c>
      <c r="J245" s="4">
        <v>31</v>
      </c>
      <c r="K245" s="4">
        <v>4</v>
      </c>
      <c r="L245" s="4">
        <v>18</v>
      </c>
      <c r="M245" s="4">
        <v>4</v>
      </c>
      <c r="N245" s="4">
        <v>45</v>
      </c>
      <c r="O245" s="4">
        <v>4</v>
      </c>
      <c r="P245" s="4">
        <v>23</v>
      </c>
      <c r="Q245" s="4">
        <v>2</v>
      </c>
      <c r="R245" s="4">
        <v>16</v>
      </c>
      <c r="S245" s="4">
        <v>1</v>
      </c>
      <c r="T245" s="4">
        <v>13</v>
      </c>
      <c r="U245" s="4">
        <v>6</v>
      </c>
      <c r="V245" s="4">
        <v>79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</v>
      </c>
      <c r="AF245" s="4">
        <v>0</v>
      </c>
      <c r="AG245" s="4">
        <v>0</v>
      </c>
      <c r="AH245" s="4">
        <v>0</v>
      </c>
      <c r="AI245" s="4">
        <f>Table2121418198598101[[#This Row],[QB PY]]+Table2121418198598101[[#This Row],[QB RY]]</f>
        <v>224</v>
      </c>
      <c r="AJ245" s="4">
        <f>Table2121418198598101[[#This Row],[RB1 RY]]+Table2121418198598101[[#This Row],[RB2+ RY]]+Table2121418198598101[[#This Row],[RB1 RecY]]+Table2121418198598101[[#This Row],[RB2 RecY]]</f>
        <v>93</v>
      </c>
    </row>
    <row r="246" spans="1:36" x14ac:dyDescent="0.35">
      <c r="A246" s="19" t="s">
        <v>56</v>
      </c>
      <c r="B246" s="1">
        <v>2</v>
      </c>
      <c r="C246" s="2">
        <v>200</v>
      </c>
      <c r="D246" s="2">
        <v>2</v>
      </c>
      <c r="E246" s="2">
        <v>17</v>
      </c>
      <c r="F246" s="2">
        <v>17</v>
      </c>
      <c r="G246" s="2">
        <v>17</v>
      </c>
      <c r="H246" s="2">
        <v>0</v>
      </c>
      <c r="I246" s="2">
        <v>2</v>
      </c>
      <c r="J246" s="2">
        <v>7</v>
      </c>
      <c r="K246" s="2">
        <v>0</v>
      </c>
      <c r="L246" s="2">
        <v>0</v>
      </c>
      <c r="M246" s="2">
        <v>5</v>
      </c>
      <c r="N246" s="2">
        <v>48</v>
      </c>
      <c r="O246" s="2">
        <v>7</v>
      </c>
      <c r="P246" s="2">
        <v>44</v>
      </c>
      <c r="Q246" s="2">
        <v>1</v>
      </c>
      <c r="R246" s="2">
        <v>9</v>
      </c>
      <c r="S246" s="2">
        <v>2</v>
      </c>
      <c r="T246" s="2">
        <v>21</v>
      </c>
      <c r="U246" s="2">
        <v>6</v>
      </c>
      <c r="V246" s="2">
        <v>64</v>
      </c>
      <c r="W246" s="2">
        <v>1</v>
      </c>
      <c r="X246" s="2">
        <v>7</v>
      </c>
      <c r="Y246" s="2">
        <v>0</v>
      </c>
      <c r="Z246" s="2">
        <v>0</v>
      </c>
      <c r="AA246" s="2">
        <v>0</v>
      </c>
      <c r="AB246" s="2">
        <v>0</v>
      </c>
      <c r="AC246" s="2">
        <v>1</v>
      </c>
      <c r="AD246" s="2">
        <v>0</v>
      </c>
      <c r="AE246" s="2">
        <v>0</v>
      </c>
      <c r="AF246" s="2">
        <v>1</v>
      </c>
      <c r="AG246" s="2">
        <v>0</v>
      </c>
      <c r="AH246" s="2">
        <v>0</v>
      </c>
      <c r="AI246" s="4">
        <f>Table2121418198598101[[#This Row],[QB PY]]+Table2121418198598101[[#This Row],[QB RY]]</f>
        <v>217</v>
      </c>
      <c r="AJ246" s="4">
        <f>Table2121418198598101[[#This Row],[RB1 RY]]+Table2121418198598101[[#This Row],[RB2+ RY]]+Table2121418198598101[[#This Row],[RB1 RecY]]+Table2121418198598101[[#This Row],[RB2 RecY]]</f>
        <v>41</v>
      </c>
    </row>
    <row r="247" spans="1:36" x14ac:dyDescent="0.35">
      <c r="A247" s="19" t="s">
        <v>32</v>
      </c>
      <c r="B247" s="1">
        <v>3</v>
      </c>
      <c r="C247" s="2">
        <v>142</v>
      </c>
      <c r="D247" s="2">
        <v>0</v>
      </c>
      <c r="E247" s="2">
        <v>0</v>
      </c>
      <c r="F247" s="2">
        <v>94</v>
      </c>
      <c r="G247" s="2">
        <v>2</v>
      </c>
      <c r="H247" s="2">
        <v>0</v>
      </c>
      <c r="I247" s="2">
        <v>1</v>
      </c>
      <c r="J247" s="2">
        <v>1</v>
      </c>
      <c r="K247" s="2">
        <v>4</v>
      </c>
      <c r="L247" s="2">
        <v>10</v>
      </c>
      <c r="M247" s="2">
        <v>1</v>
      </c>
      <c r="N247" s="2">
        <v>17</v>
      </c>
      <c r="O247" s="2">
        <v>3</v>
      </c>
      <c r="P247" s="2">
        <v>26</v>
      </c>
      <c r="Q247" s="2">
        <v>2</v>
      </c>
      <c r="R247" s="2">
        <v>16</v>
      </c>
      <c r="S247" s="2">
        <v>2</v>
      </c>
      <c r="T247" s="2">
        <v>7</v>
      </c>
      <c r="U247" s="2">
        <v>5</v>
      </c>
      <c r="V247" s="2">
        <v>40</v>
      </c>
      <c r="W247" s="2">
        <v>3</v>
      </c>
      <c r="X247" s="2">
        <v>25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4">
        <f>Table2121418198598101[[#This Row],[QB PY]]+Table2121418198598101[[#This Row],[QB RY]]</f>
        <v>142</v>
      </c>
      <c r="AJ247" s="4">
        <f>Table2121418198598101[[#This Row],[RB1 RY]]+Table2121418198598101[[#This Row],[RB2+ RY]]+Table2121418198598101[[#This Row],[RB1 RecY]]+Table2121418198598101[[#This Row],[RB2 RecY]]</f>
        <v>107</v>
      </c>
    </row>
    <row r="248" spans="1:36" x14ac:dyDescent="0.35">
      <c r="A248" s="19" t="s">
        <v>33</v>
      </c>
      <c r="B248" s="1">
        <v>4</v>
      </c>
      <c r="C248" s="2">
        <v>319</v>
      </c>
      <c r="D248" s="2">
        <v>3</v>
      </c>
      <c r="E248" s="2">
        <v>2</v>
      </c>
      <c r="F248" s="2">
        <v>85</v>
      </c>
      <c r="G248" s="2">
        <v>14</v>
      </c>
      <c r="H248" s="2">
        <v>16</v>
      </c>
      <c r="I248" s="2">
        <v>3</v>
      </c>
      <c r="J248" s="2">
        <v>15</v>
      </c>
      <c r="K248" s="2">
        <v>2</v>
      </c>
      <c r="L248" s="2">
        <v>17</v>
      </c>
      <c r="M248" s="2">
        <v>8</v>
      </c>
      <c r="N248" s="2">
        <v>134</v>
      </c>
      <c r="O248" s="2">
        <v>4</v>
      </c>
      <c r="P248" s="2">
        <v>61</v>
      </c>
      <c r="Q248" s="2">
        <v>3</v>
      </c>
      <c r="R248" s="2">
        <v>30</v>
      </c>
      <c r="S248" s="2">
        <v>2</v>
      </c>
      <c r="T248" s="2">
        <v>14</v>
      </c>
      <c r="U248" s="2">
        <v>7</v>
      </c>
      <c r="V248" s="2">
        <v>40</v>
      </c>
      <c r="W248" s="2">
        <v>2</v>
      </c>
      <c r="X248" s="2">
        <v>8</v>
      </c>
      <c r="Y248" s="2">
        <v>1</v>
      </c>
      <c r="Z248" s="2">
        <v>1</v>
      </c>
      <c r="AA248" s="2">
        <v>0</v>
      </c>
      <c r="AB248" s="2">
        <v>2</v>
      </c>
      <c r="AC248" s="2">
        <v>0</v>
      </c>
      <c r="AD248" s="2">
        <v>0</v>
      </c>
      <c r="AE248" s="2">
        <v>0</v>
      </c>
      <c r="AF248" s="2">
        <v>1</v>
      </c>
      <c r="AG248" s="2">
        <v>0</v>
      </c>
      <c r="AH248" s="2">
        <v>0</v>
      </c>
      <c r="AI248" s="4">
        <f>Table2121418198598101[[#This Row],[QB PY]]+Table2121418198598101[[#This Row],[QB RY]]</f>
        <v>321</v>
      </c>
      <c r="AJ248" s="4">
        <f>Table2121418198598101[[#This Row],[RB1 RY]]+Table2121418198598101[[#This Row],[RB2+ RY]]+Table2121418198598101[[#This Row],[RB1 RecY]]+Table2121418198598101[[#This Row],[RB2 RecY]]</f>
        <v>131</v>
      </c>
    </row>
    <row r="249" spans="1:36" x14ac:dyDescent="0.35">
      <c r="A249" s="19" t="s">
        <v>650</v>
      </c>
      <c r="B249" s="1">
        <v>5</v>
      </c>
      <c r="C249" s="2" t="s">
        <v>697</v>
      </c>
      <c r="D249" s="2" t="s">
        <v>697</v>
      </c>
      <c r="E249" s="2" t="s">
        <v>697</v>
      </c>
      <c r="F249" s="2" t="s">
        <v>697</v>
      </c>
      <c r="G249" s="2" t="s">
        <v>697</v>
      </c>
      <c r="H249" s="2" t="s">
        <v>697</v>
      </c>
      <c r="I249" s="2" t="s">
        <v>697</v>
      </c>
      <c r="J249" s="2" t="s">
        <v>697</v>
      </c>
      <c r="K249" s="2" t="s">
        <v>697</v>
      </c>
      <c r="L249" s="2" t="s">
        <v>697</v>
      </c>
      <c r="M249" s="2" t="s">
        <v>697</v>
      </c>
      <c r="N249" s="2" t="s">
        <v>697</v>
      </c>
      <c r="O249" s="2" t="s">
        <v>697</v>
      </c>
      <c r="P249" s="2" t="s">
        <v>697</v>
      </c>
      <c r="Q249" s="2" t="s">
        <v>697</v>
      </c>
      <c r="R249" s="2" t="s">
        <v>697</v>
      </c>
      <c r="S249" s="2" t="s">
        <v>697</v>
      </c>
      <c r="T249" s="2" t="s">
        <v>697</v>
      </c>
      <c r="U249" s="2" t="s">
        <v>697</v>
      </c>
      <c r="V249" s="2" t="s">
        <v>697</v>
      </c>
      <c r="W249" s="2" t="s">
        <v>697</v>
      </c>
      <c r="X249" s="2" t="s">
        <v>697</v>
      </c>
      <c r="Y249" s="2" t="s">
        <v>697</v>
      </c>
      <c r="Z249" s="2" t="s">
        <v>697</v>
      </c>
      <c r="AA249" s="2" t="s">
        <v>697</v>
      </c>
      <c r="AB249" s="2" t="s">
        <v>697</v>
      </c>
      <c r="AC249" s="2" t="s">
        <v>697</v>
      </c>
      <c r="AD249" s="2" t="s">
        <v>697</v>
      </c>
      <c r="AE249" s="2" t="s">
        <v>697</v>
      </c>
      <c r="AF249" s="2" t="s">
        <v>697</v>
      </c>
      <c r="AG249" s="2" t="s">
        <v>697</v>
      </c>
      <c r="AH249" s="2" t="s">
        <v>697</v>
      </c>
      <c r="AI249" s="4" t="s">
        <v>697</v>
      </c>
      <c r="AJ249" s="4" t="s">
        <v>697</v>
      </c>
    </row>
    <row r="250" spans="1:36" x14ac:dyDescent="0.35">
      <c r="A250" s="19" t="s">
        <v>31</v>
      </c>
      <c r="B250" s="1">
        <v>6</v>
      </c>
      <c r="C250" s="2">
        <v>219</v>
      </c>
      <c r="D250" s="2">
        <v>2</v>
      </c>
      <c r="E250" s="2">
        <v>0</v>
      </c>
      <c r="F250" s="2">
        <v>42</v>
      </c>
      <c r="G250" s="2">
        <v>16</v>
      </c>
      <c r="H250" s="2">
        <v>-3</v>
      </c>
      <c r="I250" s="2">
        <v>2</v>
      </c>
      <c r="J250" s="2">
        <v>7</v>
      </c>
      <c r="K250" s="2">
        <v>2</v>
      </c>
      <c r="L250" s="2">
        <v>16</v>
      </c>
      <c r="M250" s="2">
        <v>10</v>
      </c>
      <c r="N250" s="2">
        <v>94</v>
      </c>
      <c r="O250" s="2">
        <v>5</v>
      </c>
      <c r="P250" s="2">
        <v>62</v>
      </c>
      <c r="Q250" s="2">
        <v>1</v>
      </c>
      <c r="R250" s="2">
        <v>5</v>
      </c>
      <c r="S250" s="2">
        <v>0</v>
      </c>
      <c r="T250" s="2">
        <v>0</v>
      </c>
      <c r="U250" s="2">
        <v>4</v>
      </c>
      <c r="V250" s="2">
        <v>27</v>
      </c>
      <c r="W250" s="2">
        <v>5</v>
      </c>
      <c r="X250" s="2">
        <v>8</v>
      </c>
      <c r="Y250" s="2">
        <v>0</v>
      </c>
      <c r="Z250" s="2">
        <v>0</v>
      </c>
      <c r="AA250" s="2">
        <v>0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1</v>
      </c>
      <c r="AH250" s="2">
        <v>0</v>
      </c>
      <c r="AI250" s="4">
        <f>Table2121418198598101[[#This Row],[QB PY]]+Table2121418198598101[[#This Row],[QB RY]]</f>
        <v>219</v>
      </c>
      <c r="AJ250" s="4">
        <f>Table2121418198598101[[#This Row],[RB1 RY]]+Table2121418198598101[[#This Row],[RB2+ RY]]+Table2121418198598101[[#This Row],[RB1 RecY]]+Table2121418198598101[[#This Row],[RB2 RecY]]</f>
        <v>81</v>
      </c>
    </row>
    <row r="251" spans="1:36" x14ac:dyDescent="0.35">
      <c r="A251" s="19" t="s">
        <v>0</v>
      </c>
      <c r="B251" s="1">
        <v>7</v>
      </c>
      <c r="C251" s="2">
        <v>279</v>
      </c>
      <c r="D251" s="2">
        <v>2</v>
      </c>
      <c r="E251" s="2">
        <v>26</v>
      </c>
      <c r="F251" s="2">
        <v>57</v>
      </c>
      <c r="G251" s="2">
        <v>11</v>
      </c>
      <c r="H251" s="2">
        <v>0</v>
      </c>
      <c r="I251" s="2">
        <v>3</v>
      </c>
      <c r="J251" s="2">
        <v>7</v>
      </c>
      <c r="K251" s="2">
        <v>2</v>
      </c>
      <c r="L251" s="2">
        <v>25</v>
      </c>
      <c r="M251" s="2">
        <v>2</v>
      </c>
      <c r="N251" s="2">
        <v>58</v>
      </c>
      <c r="O251" s="2">
        <v>3</v>
      </c>
      <c r="P251" s="2">
        <v>40</v>
      </c>
      <c r="Q251" s="2">
        <v>2</v>
      </c>
      <c r="R251" s="2">
        <v>67</v>
      </c>
      <c r="S251" s="2">
        <v>2</v>
      </c>
      <c r="T251" s="2">
        <v>5</v>
      </c>
      <c r="U251" s="2">
        <v>10</v>
      </c>
      <c r="V251" s="2">
        <v>74</v>
      </c>
      <c r="W251" s="2">
        <v>1</v>
      </c>
      <c r="X251" s="2">
        <v>3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</v>
      </c>
      <c r="AG251" s="2">
        <v>0</v>
      </c>
      <c r="AH251" s="2">
        <v>0</v>
      </c>
      <c r="AI251" s="4">
        <f>Table2121418198598101[[#This Row],[QB PY]]+Table2121418198598101[[#This Row],[QB RY]]</f>
        <v>305</v>
      </c>
      <c r="AJ251" s="4">
        <f>Table2121418198598101[[#This Row],[RB1 RY]]+Table2121418198598101[[#This Row],[RB2+ RY]]+Table2121418198598101[[#This Row],[RB1 RecY]]+Table2121418198598101[[#This Row],[RB2 RecY]]</f>
        <v>100</v>
      </c>
    </row>
    <row r="252" spans="1:36" x14ac:dyDescent="0.35">
      <c r="A252" s="19" t="s">
        <v>51</v>
      </c>
      <c r="B252" s="1">
        <v>8</v>
      </c>
      <c r="C252" s="2">
        <v>219</v>
      </c>
      <c r="D252" s="2">
        <v>2</v>
      </c>
      <c r="E252" s="2">
        <v>0</v>
      </c>
      <c r="F252" s="2">
        <v>62</v>
      </c>
      <c r="G252" s="2">
        <v>31</v>
      </c>
      <c r="H252" s="2">
        <v>0</v>
      </c>
      <c r="I252" s="2">
        <v>2</v>
      </c>
      <c r="J252" s="2">
        <v>11</v>
      </c>
      <c r="K252" s="2">
        <v>2</v>
      </c>
      <c r="L252" s="2">
        <v>4</v>
      </c>
      <c r="M252" s="2">
        <v>5</v>
      </c>
      <c r="N252" s="2">
        <v>55</v>
      </c>
      <c r="O252" s="2">
        <v>4</v>
      </c>
      <c r="P252" s="2">
        <v>28</v>
      </c>
      <c r="Q252" s="2">
        <v>4</v>
      </c>
      <c r="R252" s="2">
        <v>74</v>
      </c>
      <c r="S252" s="2">
        <v>1</v>
      </c>
      <c r="T252" s="2">
        <v>13</v>
      </c>
      <c r="U252" s="2">
        <v>2</v>
      </c>
      <c r="V252" s="2">
        <v>17</v>
      </c>
      <c r="W252" s="2">
        <v>4</v>
      </c>
      <c r="X252" s="2">
        <v>17</v>
      </c>
      <c r="Y252" s="2">
        <v>0</v>
      </c>
      <c r="Z252" s="2">
        <v>0</v>
      </c>
      <c r="AA252" s="2">
        <v>0</v>
      </c>
      <c r="AB252" s="2">
        <v>1</v>
      </c>
      <c r="AC252" s="2">
        <v>0</v>
      </c>
      <c r="AD252" s="2">
        <v>1</v>
      </c>
      <c r="AE252" s="2">
        <v>0</v>
      </c>
      <c r="AF252" s="2">
        <v>0</v>
      </c>
      <c r="AG252" s="2">
        <v>0</v>
      </c>
      <c r="AH252" s="2">
        <v>0</v>
      </c>
      <c r="AI252" s="4">
        <f>Table2121418198598101[[#This Row],[QB PY]]+Table2121418198598101[[#This Row],[QB RY]]</f>
        <v>219</v>
      </c>
      <c r="AJ252" s="4">
        <f>Table2121418198598101[[#This Row],[RB1 RY]]+Table2121418198598101[[#This Row],[RB2+ RY]]+Table2121418198598101[[#This Row],[RB1 RecY]]+Table2121418198598101[[#This Row],[RB2 RecY]]</f>
        <v>108</v>
      </c>
    </row>
    <row r="253" spans="1:36" x14ac:dyDescent="0.35">
      <c r="A253" s="19" t="s">
        <v>29</v>
      </c>
      <c r="B253" s="1">
        <v>9</v>
      </c>
      <c r="C253" s="2">
        <v>102</v>
      </c>
      <c r="D253" s="2">
        <v>0</v>
      </c>
      <c r="E253" s="2">
        <v>9</v>
      </c>
      <c r="F253" s="2">
        <v>130</v>
      </c>
      <c r="G253" s="2">
        <v>17</v>
      </c>
      <c r="H253" s="2">
        <v>7</v>
      </c>
      <c r="I253" s="2">
        <v>2</v>
      </c>
      <c r="J253" s="2">
        <v>11</v>
      </c>
      <c r="K253" s="2">
        <v>0</v>
      </c>
      <c r="L253" s="2">
        <v>0</v>
      </c>
      <c r="M253" s="2">
        <v>4</v>
      </c>
      <c r="N253" s="2">
        <v>46</v>
      </c>
      <c r="O253" s="2">
        <v>1</v>
      </c>
      <c r="P253" s="2">
        <v>22</v>
      </c>
      <c r="Q253" s="2">
        <v>1</v>
      </c>
      <c r="R253" s="2">
        <v>9</v>
      </c>
      <c r="S253" s="2">
        <v>2</v>
      </c>
      <c r="T253" s="2">
        <v>9</v>
      </c>
      <c r="U253" s="2">
        <v>1</v>
      </c>
      <c r="V253" s="2">
        <v>5</v>
      </c>
      <c r="W253" s="2">
        <v>0</v>
      </c>
      <c r="X253" s="2">
        <v>0</v>
      </c>
      <c r="Y253" s="2">
        <v>0</v>
      </c>
      <c r="Z253" s="2">
        <v>2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4">
        <f>Table2121418198598101[[#This Row],[QB PY]]+Table2121418198598101[[#This Row],[QB RY]]</f>
        <v>111</v>
      </c>
      <c r="AJ253" s="4">
        <f>Table2121418198598101[[#This Row],[RB1 RY]]+Table2121418198598101[[#This Row],[RB2+ RY]]+Table2121418198598101[[#This Row],[RB1 RecY]]+Table2121418198598101[[#This Row],[RB2 RecY]]</f>
        <v>158</v>
      </c>
    </row>
    <row r="254" spans="1:36" x14ac:dyDescent="0.35">
      <c r="A254" s="19" t="s">
        <v>50</v>
      </c>
      <c r="B254" s="1">
        <v>10</v>
      </c>
      <c r="C254" s="2">
        <v>183</v>
      </c>
      <c r="D254" s="2">
        <v>1</v>
      </c>
      <c r="E254" s="2">
        <v>27</v>
      </c>
      <c r="F254" s="2">
        <v>60</v>
      </c>
      <c r="G254" s="2">
        <v>24</v>
      </c>
      <c r="H254" s="2">
        <v>0</v>
      </c>
      <c r="I254" s="2">
        <v>3</v>
      </c>
      <c r="J254" s="2">
        <v>41</v>
      </c>
      <c r="K254" s="2">
        <v>2</v>
      </c>
      <c r="L254" s="2">
        <v>17</v>
      </c>
      <c r="M254" s="2">
        <v>2</v>
      </c>
      <c r="N254" s="2">
        <v>13</v>
      </c>
      <c r="O254" s="2">
        <v>4</v>
      </c>
      <c r="P254" s="2">
        <v>69</v>
      </c>
      <c r="Q254" s="2">
        <v>0</v>
      </c>
      <c r="R254" s="2">
        <v>0</v>
      </c>
      <c r="S254" s="2">
        <v>0</v>
      </c>
      <c r="T254" s="2">
        <v>0</v>
      </c>
      <c r="U254" s="2">
        <v>4</v>
      </c>
      <c r="V254" s="2">
        <v>43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1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4">
        <f>Table2121418198598101[[#This Row],[QB PY]]+Table2121418198598101[[#This Row],[QB RY]]</f>
        <v>210</v>
      </c>
      <c r="AJ254" s="4">
        <f>Table2121418198598101[[#This Row],[RB1 RY]]+Table2121418198598101[[#This Row],[RB2+ RY]]+Table2121418198598101[[#This Row],[RB1 RecY]]+Table2121418198598101[[#This Row],[RB2 RecY]]</f>
        <v>142</v>
      </c>
    </row>
    <row r="255" spans="1:36" x14ac:dyDescent="0.35">
      <c r="A255" s="19" t="s">
        <v>48</v>
      </c>
      <c r="B255" s="1">
        <v>11</v>
      </c>
      <c r="C255" s="2">
        <v>201</v>
      </c>
      <c r="D255" s="2">
        <v>0</v>
      </c>
      <c r="E255" s="2">
        <v>10</v>
      </c>
      <c r="F255" s="2">
        <v>88</v>
      </c>
      <c r="G255" s="2">
        <v>44</v>
      </c>
      <c r="H255" s="2">
        <v>0</v>
      </c>
      <c r="I255" s="2">
        <v>4</v>
      </c>
      <c r="J255" s="2">
        <v>51</v>
      </c>
      <c r="K255" s="2">
        <v>1</v>
      </c>
      <c r="L255" s="2">
        <v>3</v>
      </c>
      <c r="M255" s="2">
        <v>4</v>
      </c>
      <c r="N255" s="2">
        <v>36</v>
      </c>
      <c r="O255" s="2">
        <v>5</v>
      </c>
      <c r="P255" s="2">
        <v>57</v>
      </c>
      <c r="Q255" s="2">
        <v>2</v>
      </c>
      <c r="R255" s="2">
        <v>18</v>
      </c>
      <c r="S255" s="2">
        <v>0</v>
      </c>
      <c r="T255" s="2">
        <v>0</v>
      </c>
      <c r="U255" s="2">
        <v>3</v>
      </c>
      <c r="V255" s="2">
        <v>36</v>
      </c>
      <c r="W255" s="2">
        <v>0</v>
      </c>
      <c r="X255" s="2">
        <v>0</v>
      </c>
      <c r="Y255" s="2">
        <v>1</v>
      </c>
      <c r="Z255" s="2">
        <v>0</v>
      </c>
      <c r="AA255" s="2">
        <v>2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4">
        <f>Table2121418198598101[[#This Row],[QB PY]]+Table2121418198598101[[#This Row],[QB RY]]</f>
        <v>211</v>
      </c>
      <c r="AJ255" s="4">
        <f>Table2121418198598101[[#This Row],[RB1 RY]]+Table2121418198598101[[#This Row],[RB2+ RY]]+Table2121418198598101[[#This Row],[RB1 RecY]]+Table2121418198598101[[#This Row],[RB2 RecY]]</f>
        <v>186</v>
      </c>
    </row>
    <row r="256" spans="1:36" x14ac:dyDescent="0.35">
      <c r="A256" s="19" t="s">
        <v>45</v>
      </c>
      <c r="B256" s="1">
        <v>12</v>
      </c>
      <c r="C256" s="2">
        <v>87</v>
      </c>
      <c r="D256" s="2">
        <v>0</v>
      </c>
      <c r="E256" s="2">
        <v>10</v>
      </c>
      <c r="F256" s="2">
        <v>42</v>
      </c>
      <c r="G256" s="2">
        <v>41</v>
      </c>
      <c r="H256" s="2">
        <v>0</v>
      </c>
      <c r="I256" s="2">
        <v>3</v>
      </c>
      <c r="J256" s="2">
        <v>16</v>
      </c>
      <c r="K256" s="2">
        <v>0</v>
      </c>
      <c r="L256" s="2">
        <v>0</v>
      </c>
      <c r="M256" s="2">
        <v>4</v>
      </c>
      <c r="N256" s="2">
        <v>48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4</v>
      </c>
      <c r="V256" s="2">
        <v>19</v>
      </c>
      <c r="W256" s="2">
        <v>1</v>
      </c>
      <c r="X256" s="2">
        <v>4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4">
        <f>Table2121418198598101[[#This Row],[QB PY]]+Table2121418198598101[[#This Row],[QB RY]]</f>
        <v>97</v>
      </c>
      <c r="AJ256" s="4">
        <f>Table2121418198598101[[#This Row],[RB1 RY]]+Table2121418198598101[[#This Row],[RB2+ RY]]+Table2121418198598101[[#This Row],[RB1 RecY]]+Table2121418198598101[[#This Row],[RB2 RecY]]</f>
        <v>99</v>
      </c>
    </row>
    <row r="257" spans="1:36" x14ac:dyDescent="0.35">
      <c r="A257" s="19" t="s">
        <v>35</v>
      </c>
      <c r="B257" s="1">
        <v>13</v>
      </c>
      <c r="C257" s="2">
        <v>256</v>
      </c>
      <c r="D257" s="2">
        <v>2</v>
      </c>
      <c r="E257" s="2">
        <v>24</v>
      </c>
      <c r="F257" s="2">
        <v>68</v>
      </c>
      <c r="G257" s="2">
        <v>32</v>
      </c>
      <c r="H257" s="2">
        <v>-5</v>
      </c>
      <c r="I257" s="2">
        <v>3</v>
      </c>
      <c r="J257" s="2">
        <v>18</v>
      </c>
      <c r="K257" s="2">
        <v>2</v>
      </c>
      <c r="L257" s="2">
        <v>16</v>
      </c>
      <c r="M257" s="2">
        <v>7</v>
      </c>
      <c r="N257" s="2">
        <v>144</v>
      </c>
      <c r="O257" s="2">
        <v>2</v>
      </c>
      <c r="P257" s="2">
        <v>35</v>
      </c>
      <c r="Q257" s="2">
        <v>4</v>
      </c>
      <c r="R257" s="2">
        <v>36</v>
      </c>
      <c r="S257" s="2">
        <v>0</v>
      </c>
      <c r="T257" s="2">
        <v>0</v>
      </c>
      <c r="U257" s="2">
        <v>1</v>
      </c>
      <c r="V257" s="2">
        <v>3</v>
      </c>
      <c r="W257" s="2">
        <v>1</v>
      </c>
      <c r="X257" s="2">
        <v>4</v>
      </c>
      <c r="Y257" s="2">
        <v>0</v>
      </c>
      <c r="Z257" s="2">
        <v>0</v>
      </c>
      <c r="AA257" s="2">
        <v>1</v>
      </c>
      <c r="AB257" s="2">
        <v>1</v>
      </c>
      <c r="AC257" s="2">
        <v>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4">
        <f>Table2121418198598101[[#This Row],[QB PY]]+Table2121418198598101[[#This Row],[QB RY]]</f>
        <v>280</v>
      </c>
      <c r="AJ257" s="4">
        <f>Table2121418198598101[[#This Row],[RB1 RY]]+Table2121418198598101[[#This Row],[RB2+ RY]]+Table2121418198598101[[#This Row],[RB1 RecY]]+Table2121418198598101[[#This Row],[RB2 RecY]]</f>
        <v>134</v>
      </c>
    </row>
    <row r="258" spans="1:36" x14ac:dyDescent="0.35">
      <c r="A258" s="19" t="s">
        <v>30</v>
      </c>
      <c r="B258" s="1">
        <v>14</v>
      </c>
      <c r="C258" s="2">
        <v>186</v>
      </c>
      <c r="D258" s="2">
        <v>2</v>
      </c>
      <c r="E258" s="2">
        <v>15</v>
      </c>
      <c r="F258" s="2">
        <v>63</v>
      </c>
      <c r="G258" s="2">
        <v>57</v>
      </c>
      <c r="H258" s="2">
        <v>3</v>
      </c>
      <c r="I258" s="2">
        <v>3</v>
      </c>
      <c r="J258" s="2">
        <v>19</v>
      </c>
      <c r="K258" s="2">
        <v>1</v>
      </c>
      <c r="L258" s="2">
        <v>0</v>
      </c>
      <c r="M258" s="2">
        <v>1</v>
      </c>
      <c r="N258" s="2">
        <v>-4</v>
      </c>
      <c r="O258" s="2">
        <v>4</v>
      </c>
      <c r="P258" s="2">
        <v>67</v>
      </c>
      <c r="Q258" s="2">
        <v>2</v>
      </c>
      <c r="R258" s="2">
        <v>7</v>
      </c>
      <c r="S258" s="2">
        <v>1</v>
      </c>
      <c r="T258" s="2">
        <v>24</v>
      </c>
      <c r="U258" s="2">
        <v>4</v>
      </c>
      <c r="V258" s="2">
        <v>29</v>
      </c>
      <c r="W258" s="2">
        <v>3</v>
      </c>
      <c r="X258" s="2">
        <v>44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1</v>
      </c>
      <c r="AG258" s="2">
        <v>0</v>
      </c>
      <c r="AH258" s="2">
        <v>0</v>
      </c>
      <c r="AI258" s="4">
        <f>Table2121418198598101[[#This Row],[QB PY]]+Table2121418198598101[[#This Row],[QB RY]]</f>
        <v>201</v>
      </c>
      <c r="AJ258" s="4">
        <f>Table2121418198598101[[#This Row],[RB1 RY]]+Table2121418198598101[[#This Row],[RB2+ RY]]+Table2121418198598101[[#This Row],[RB1 RecY]]+Table2121418198598101[[#This Row],[RB2 RecY]]</f>
        <v>139</v>
      </c>
    </row>
    <row r="259" spans="1:36" x14ac:dyDescent="0.35">
      <c r="A259" s="19" t="s">
        <v>34</v>
      </c>
      <c r="B259" s="1">
        <v>15</v>
      </c>
      <c r="C259" s="2">
        <v>302</v>
      </c>
      <c r="D259" s="2">
        <v>4</v>
      </c>
      <c r="E259" s="2">
        <v>10</v>
      </c>
      <c r="F259" s="2">
        <v>65</v>
      </c>
      <c r="G259" s="2">
        <v>3</v>
      </c>
      <c r="H259" s="2">
        <v>11</v>
      </c>
      <c r="I259" s="2">
        <v>0</v>
      </c>
      <c r="J259" s="2">
        <v>0</v>
      </c>
      <c r="K259" s="2">
        <v>1</v>
      </c>
      <c r="L259" s="2">
        <v>1</v>
      </c>
      <c r="M259" s="2">
        <v>7</v>
      </c>
      <c r="N259" s="2">
        <v>113</v>
      </c>
      <c r="O259" s="2">
        <v>6</v>
      </c>
      <c r="P259" s="2">
        <v>85</v>
      </c>
      <c r="Q259" s="2">
        <v>4</v>
      </c>
      <c r="R259" s="2">
        <v>29</v>
      </c>
      <c r="S259" s="2">
        <v>4</v>
      </c>
      <c r="T259" s="2">
        <v>62</v>
      </c>
      <c r="U259" s="2">
        <v>1</v>
      </c>
      <c r="V259" s="2">
        <v>12</v>
      </c>
      <c r="W259" s="2">
        <v>0</v>
      </c>
      <c r="X259" s="2">
        <v>0</v>
      </c>
      <c r="Y259" s="2">
        <v>0</v>
      </c>
      <c r="Z259" s="2">
        <v>1</v>
      </c>
      <c r="AA259" s="2">
        <v>0</v>
      </c>
      <c r="AB259" s="2">
        <v>1</v>
      </c>
      <c r="AC259" s="2">
        <v>1</v>
      </c>
      <c r="AD259" s="2">
        <v>0</v>
      </c>
      <c r="AE259" s="2">
        <v>2</v>
      </c>
      <c r="AF259" s="2">
        <v>0</v>
      </c>
      <c r="AG259" s="2">
        <v>0</v>
      </c>
      <c r="AH259" s="2">
        <v>0</v>
      </c>
      <c r="AI259" s="4">
        <f>Table2121418198598101[[#This Row],[QB PY]]+Table2121418198598101[[#This Row],[QB RY]]</f>
        <v>312</v>
      </c>
      <c r="AJ259" s="4">
        <f>Table2121418198598101[[#This Row],[RB1 RY]]+Table2121418198598101[[#This Row],[RB2+ RY]]+Table2121418198598101[[#This Row],[RB1 RecY]]+Table2121418198598101[[#This Row],[RB2 RecY]]</f>
        <v>69</v>
      </c>
    </row>
    <row r="260" spans="1:36" x14ac:dyDescent="0.35">
      <c r="A260" s="19" t="s">
        <v>30</v>
      </c>
      <c r="B260" s="1">
        <v>16</v>
      </c>
      <c r="C260" s="2">
        <v>250</v>
      </c>
      <c r="D260" s="2">
        <v>2</v>
      </c>
      <c r="E260" s="2">
        <v>30</v>
      </c>
      <c r="F260" s="2">
        <v>58</v>
      </c>
      <c r="G260" s="2">
        <v>50</v>
      </c>
      <c r="H260" s="2">
        <v>12</v>
      </c>
      <c r="I260" s="2">
        <v>2</v>
      </c>
      <c r="J260" s="2">
        <v>12</v>
      </c>
      <c r="K260" s="2">
        <v>3</v>
      </c>
      <c r="L260" s="2">
        <v>43</v>
      </c>
      <c r="M260" s="2">
        <v>5</v>
      </c>
      <c r="N260" s="2">
        <v>97</v>
      </c>
      <c r="O260" s="2">
        <v>2</v>
      </c>
      <c r="P260" s="2">
        <v>33</v>
      </c>
      <c r="Q260" s="2">
        <v>2</v>
      </c>
      <c r="R260" s="2">
        <v>21</v>
      </c>
      <c r="S260" s="2">
        <v>0</v>
      </c>
      <c r="T260" s="2">
        <v>0</v>
      </c>
      <c r="U260" s="2">
        <v>3</v>
      </c>
      <c r="V260" s="2">
        <v>30</v>
      </c>
      <c r="W260" s="2">
        <v>2</v>
      </c>
      <c r="X260" s="2">
        <v>14</v>
      </c>
      <c r="Y260" s="2">
        <v>0</v>
      </c>
      <c r="Z260" s="2">
        <v>0</v>
      </c>
      <c r="AA260" s="2">
        <v>0</v>
      </c>
      <c r="AB260" s="2">
        <v>1</v>
      </c>
      <c r="AC260" s="2">
        <v>0</v>
      </c>
      <c r="AD260" s="2">
        <v>1</v>
      </c>
      <c r="AE260" s="2">
        <v>0</v>
      </c>
      <c r="AF260" s="2">
        <v>0</v>
      </c>
      <c r="AG260" s="2">
        <v>0</v>
      </c>
      <c r="AH260" s="2">
        <v>0</v>
      </c>
      <c r="AI260" s="4">
        <f>Table2121418198598101[[#This Row],[QB PY]]+Table2121418198598101[[#This Row],[QB RY]]</f>
        <v>280</v>
      </c>
      <c r="AJ260" s="4">
        <f>Table2121418198598101[[#This Row],[RB1 RY]]+Table2121418198598101[[#This Row],[RB2+ RY]]+Table2121418198598101[[#This Row],[RB1 RecY]]+Table2121418198598101[[#This Row],[RB2 RecY]]</f>
        <v>163</v>
      </c>
    </row>
    <row r="261" spans="1:36" x14ac:dyDescent="0.35">
      <c r="A261" s="19" t="s">
        <v>16</v>
      </c>
      <c r="B261" s="1">
        <v>17</v>
      </c>
      <c r="C261" s="2">
        <v>107</v>
      </c>
      <c r="D261" s="2">
        <v>1</v>
      </c>
      <c r="E261" s="2">
        <v>60</v>
      </c>
      <c r="F261" s="2">
        <v>216</v>
      </c>
      <c r="G261" s="2">
        <v>31</v>
      </c>
      <c r="H261" s="2">
        <v>0</v>
      </c>
      <c r="I261" s="2">
        <v>0</v>
      </c>
      <c r="J261" s="2">
        <v>0</v>
      </c>
      <c r="K261" s="2">
        <v>4</v>
      </c>
      <c r="L261" s="2">
        <v>15</v>
      </c>
      <c r="M261" s="2">
        <v>4</v>
      </c>
      <c r="N261" s="2">
        <v>30</v>
      </c>
      <c r="O261" s="2">
        <v>1</v>
      </c>
      <c r="P261" s="2">
        <v>7</v>
      </c>
      <c r="Q261" s="2">
        <v>0</v>
      </c>
      <c r="R261" s="2">
        <v>0</v>
      </c>
      <c r="S261" s="2">
        <v>0</v>
      </c>
      <c r="T261" s="2">
        <v>0</v>
      </c>
      <c r="U261" s="2">
        <v>4</v>
      </c>
      <c r="V261" s="2">
        <v>28</v>
      </c>
      <c r="W261" s="2">
        <v>3</v>
      </c>
      <c r="X261" s="2">
        <v>27</v>
      </c>
      <c r="Y261" s="2">
        <v>0</v>
      </c>
      <c r="Z261" s="2">
        <v>4</v>
      </c>
      <c r="AA261" s="2">
        <v>0</v>
      </c>
      <c r="AB261" s="2">
        <v>1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4">
        <f>Table2121418198598101[[#This Row],[QB PY]]+Table2121418198598101[[#This Row],[QB RY]]</f>
        <v>167</v>
      </c>
      <c r="AJ261" s="4">
        <f>Table2121418198598101[[#This Row],[RB1 RY]]+Table2121418198598101[[#This Row],[RB2+ RY]]+Table2121418198598101[[#This Row],[RB1 RecY]]+Table2121418198598101[[#This Row],[RB2 RecY]]</f>
        <v>262</v>
      </c>
    </row>
    <row r="262" spans="1:36" x14ac:dyDescent="0.35">
      <c r="A262" s="19" t="s">
        <v>45</v>
      </c>
      <c r="B262" s="1">
        <v>18</v>
      </c>
      <c r="C262" s="2">
        <v>239</v>
      </c>
      <c r="D262" s="2">
        <v>0</v>
      </c>
      <c r="E262" s="2">
        <v>7</v>
      </c>
      <c r="F262" s="2">
        <v>94</v>
      </c>
      <c r="G262" s="2">
        <v>33</v>
      </c>
      <c r="H262" s="2">
        <v>3</v>
      </c>
      <c r="I262" s="2">
        <v>3</v>
      </c>
      <c r="J262" s="2">
        <v>11</v>
      </c>
      <c r="K262" s="2">
        <v>2</v>
      </c>
      <c r="L262" s="2">
        <v>14</v>
      </c>
      <c r="M262" s="2">
        <v>8</v>
      </c>
      <c r="N262" s="2">
        <v>101</v>
      </c>
      <c r="O262" s="2">
        <v>1</v>
      </c>
      <c r="P262" s="2">
        <v>8</v>
      </c>
      <c r="Q262" s="2">
        <v>3</v>
      </c>
      <c r="R262" s="2">
        <v>49</v>
      </c>
      <c r="S262" s="2">
        <v>0</v>
      </c>
      <c r="T262" s="2">
        <v>0</v>
      </c>
      <c r="U262" s="2">
        <v>2</v>
      </c>
      <c r="V262" s="2">
        <v>29</v>
      </c>
      <c r="W262" s="2">
        <v>2</v>
      </c>
      <c r="X262" s="2">
        <v>27</v>
      </c>
      <c r="Y262" s="2">
        <v>0</v>
      </c>
      <c r="Z262" s="2">
        <v>0</v>
      </c>
      <c r="AA262" s="2">
        <v>1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4">
        <f>Table2121418198598101[[#This Row],[QB PY]]+Table2121418198598101[[#This Row],[QB RY]]</f>
        <v>246</v>
      </c>
      <c r="AJ262" s="4">
        <f>Table2121418198598101[[#This Row],[RB1 RY]]+Table2121418198598101[[#This Row],[RB2+ RY]]+Table2121418198598101[[#This Row],[RB1 RecY]]+Table2121418198598101[[#This Row],[RB2 RecY]]</f>
        <v>152</v>
      </c>
    </row>
    <row r="263" spans="1:36" x14ac:dyDescent="0.35">
      <c r="B263" s="1" t="s">
        <v>57</v>
      </c>
      <c r="C263" s="3">
        <f>AVERAGE(Table2121418198598101[QB PY])</f>
        <v>206.8235294117647</v>
      </c>
      <c r="D263" s="3">
        <f>AVERAGE(Table2121418198598101[P TD])</f>
        <v>1.411764705882353</v>
      </c>
      <c r="E263" s="3">
        <f>AVERAGE(Table2121418198598101[QB RY])</f>
        <v>14.470588235294118</v>
      </c>
      <c r="F263" s="3">
        <f>AVERAGE(Table2121418198598101[RB1 RY])</f>
        <v>74.117647058823536</v>
      </c>
      <c r="G263" s="3">
        <f>AVERAGE(Table2121418198598101[RB2+ RY])</f>
        <v>26.352941176470587</v>
      </c>
      <c r="H263" s="3">
        <f>AVERAGE(Table2121418198598101[WR RY])</f>
        <v>2.7647058823529411</v>
      </c>
      <c r="I263" s="3">
        <f>AVERAGE(Table2121418198598101[RB1 Recep])</f>
        <v>2.7058823529411766</v>
      </c>
      <c r="J263" s="3">
        <f>AVERAGE(Table2121418198598101[RB1 RecY])</f>
        <v>15.176470588235293</v>
      </c>
      <c r="K263" s="3">
        <f>AVERAGE(Table2121418198598101[RB2 Recep])</f>
        <v>1.8823529411764706</v>
      </c>
      <c r="L263" s="3">
        <f>AVERAGE(Table2121418198598101[RB2 RecY])</f>
        <v>11.705882352941176</v>
      </c>
      <c r="M263" s="3">
        <f>AVERAGE(Table2121418198598101[WR1 Recep])</f>
        <v>4.7647058823529411</v>
      </c>
      <c r="N263" s="3">
        <f>AVERAGE(Table2121418198598101[WR1 RecY])</f>
        <v>63.235294117647058</v>
      </c>
      <c r="O263" s="3">
        <f>AVERAGE(Table2121418198598101[WR2 Recep])</f>
        <v>3.2941176470588234</v>
      </c>
      <c r="P263" s="3">
        <f>AVERAGE(Table2121418198598101[WR2 RecY])</f>
        <v>39.235294117647058</v>
      </c>
      <c r="Q263" s="3">
        <f>AVERAGE(Table2121418198598101[WR3 Recep])</f>
        <v>1.9411764705882353</v>
      </c>
      <c r="R263" s="3">
        <f>AVERAGE(Table2121418198598101[WR3 RecY])</f>
        <v>22.705882352941178</v>
      </c>
      <c r="S263" s="3">
        <f>AVERAGE(Table2121418198598101[WR4+ Recep])</f>
        <v>1</v>
      </c>
      <c r="T263" s="3">
        <f>AVERAGE(Table2121418198598101[WR4+ RecY])</f>
        <v>9.882352941176471</v>
      </c>
      <c r="U263" s="3">
        <f>AVERAGE(Table2121418198598101[TE1 Recep])</f>
        <v>3.9411764705882355</v>
      </c>
      <c r="V263" s="3">
        <f>AVERAGE(Table2121418198598101[TE1 RecY])</f>
        <v>33.823529411764703</v>
      </c>
      <c r="W263" s="3">
        <f>AVERAGE(Table2121418198598101[TE2 Recep])</f>
        <v>1.6470588235294117</v>
      </c>
      <c r="X263" s="3">
        <f>AVERAGE(Table2121418198598101[TE2 RecY])</f>
        <v>11.058823529411764</v>
      </c>
      <c r="Y263" s="3">
        <f>AVERAGE(Table2121418198598101[QB TD])</f>
        <v>0.11764705882352941</v>
      </c>
      <c r="Z263" s="3">
        <f>AVERAGE(Table2121418198598101[RB1 TD])</f>
        <v>0.52941176470588236</v>
      </c>
      <c r="AA263" s="3">
        <f>AVERAGE(Table2121418198598101[RB2 TD])</f>
        <v>0.23529411764705882</v>
      </c>
      <c r="AB263" s="3">
        <f>AVERAGE(Table2121418198598101[WR1 TD])</f>
        <v>0.47058823529411764</v>
      </c>
      <c r="AC263" s="3">
        <f>AVERAGE(Table2121418198598101[WR2 TD])</f>
        <v>0.23529411764705882</v>
      </c>
      <c r="AD263" s="3">
        <f>AVERAGE(Table2121418198598101[WR3 TD])</f>
        <v>0.17647058823529413</v>
      </c>
      <c r="AE263" s="3">
        <f>AVERAGE(Table2121418198598101[WR4+ TD])</f>
        <v>0.17647058823529413</v>
      </c>
      <c r="AF263" s="3">
        <f>AVERAGE(Table2121418198598101[TE1 TD])</f>
        <v>0.29411764705882354</v>
      </c>
      <c r="AG263" s="3">
        <f>AVERAGE(Table2121418198598101[TE2 TD])</f>
        <v>5.8823529411764705E-2</v>
      </c>
      <c r="AH263" s="3">
        <f>AVERAGE(Table2121418198598101[D/ST TD])</f>
        <v>0</v>
      </c>
      <c r="AI263" s="3">
        <f>AVERAGE(Table2121418198598101[QB P+R])</f>
        <v>221.29411764705881</v>
      </c>
      <c r="AJ263" s="3">
        <f>AVERAGE(Table2121418198598101[RB R+R])</f>
        <v>127.35294117647059</v>
      </c>
    </row>
    <row r="265" spans="1:36" x14ac:dyDescent="0.35">
      <c r="A265" s="230" t="s">
        <v>37</v>
      </c>
      <c r="B265" s="230"/>
      <c r="C265" s="230"/>
      <c r="D265" s="230"/>
      <c r="E265" s="230"/>
      <c r="F265" s="230"/>
      <c r="G265" s="230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  <c r="AI265" s="230"/>
      <c r="AJ265" s="230"/>
    </row>
    <row r="266" spans="1:36" x14ac:dyDescent="0.35">
      <c r="A266" s="20" t="s">
        <v>63</v>
      </c>
      <c r="B266" s="6" t="s">
        <v>1</v>
      </c>
      <c r="C266" s="7" t="s">
        <v>18</v>
      </c>
      <c r="D266" s="8" t="s">
        <v>19</v>
      </c>
      <c r="E266" s="9" t="s">
        <v>20</v>
      </c>
      <c r="F266" s="10" t="s">
        <v>21</v>
      </c>
      <c r="G266" s="11" t="s">
        <v>22</v>
      </c>
      <c r="H266" s="12" t="s">
        <v>23</v>
      </c>
      <c r="I266" s="13" t="s">
        <v>667</v>
      </c>
      <c r="J266" s="13" t="s">
        <v>668</v>
      </c>
      <c r="K266" s="13" t="s">
        <v>665</v>
      </c>
      <c r="L266" s="13" t="s">
        <v>666</v>
      </c>
      <c r="M266" s="14" t="s">
        <v>2</v>
      </c>
      <c r="N266" s="14" t="s">
        <v>24</v>
      </c>
      <c r="O266" s="15" t="s">
        <v>3</v>
      </c>
      <c r="P266" s="15" t="s">
        <v>25</v>
      </c>
      <c r="Q266" s="16" t="s">
        <v>4</v>
      </c>
      <c r="R266" s="16" t="s">
        <v>26</v>
      </c>
      <c r="S266" s="17" t="s">
        <v>5</v>
      </c>
      <c r="T266" s="17" t="s">
        <v>27</v>
      </c>
      <c r="U266" s="18" t="s">
        <v>669</v>
      </c>
      <c r="V266" s="18" t="s">
        <v>670</v>
      </c>
      <c r="W266" s="18" t="s">
        <v>675</v>
      </c>
      <c r="X266" s="18" t="s">
        <v>671</v>
      </c>
      <c r="Y266" s="6" t="s">
        <v>6</v>
      </c>
      <c r="Z266" s="6" t="s">
        <v>7</v>
      </c>
      <c r="AA266" s="6" t="s">
        <v>674</v>
      </c>
      <c r="AB266" s="6" t="s">
        <v>8</v>
      </c>
      <c r="AC266" s="6" t="s">
        <v>9</v>
      </c>
      <c r="AD266" s="6" t="s">
        <v>10</v>
      </c>
      <c r="AE266" s="6" t="s">
        <v>11</v>
      </c>
      <c r="AF266" s="6" t="s">
        <v>673</v>
      </c>
      <c r="AG266" s="6" t="s">
        <v>672</v>
      </c>
      <c r="AH266" s="6" t="s">
        <v>12</v>
      </c>
      <c r="AI266" s="8" t="s">
        <v>14</v>
      </c>
      <c r="AJ266" s="11" t="s">
        <v>13</v>
      </c>
    </row>
    <row r="267" spans="1:36" x14ac:dyDescent="0.35">
      <c r="A267" s="19" t="s">
        <v>42</v>
      </c>
      <c r="B267" s="5">
        <v>1</v>
      </c>
      <c r="C267" s="4">
        <v>245</v>
      </c>
      <c r="D267" s="4">
        <v>1</v>
      </c>
      <c r="E267" s="4">
        <v>-2</v>
      </c>
      <c r="F267" s="4">
        <v>66</v>
      </c>
      <c r="G267" s="4">
        <v>2</v>
      </c>
      <c r="H267" s="4">
        <v>6</v>
      </c>
      <c r="I267" s="4">
        <v>1</v>
      </c>
      <c r="J267" s="4">
        <v>3</v>
      </c>
      <c r="K267" s="4">
        <v>1</v>
      </c>
      <c r="L267" s="4">
        <v>14</v>
      </c>
      <c r="M267" s="4">
        <v>10</v>
      </c>
      <c r="N267" s="4">
        <v>130</v>
      </c>
      <c r="O267" s="4">
        <v>4</v>
      </c>
      <c r="P267" s="4">
        <v>51</v>
      </c>
      <c r="Q267" s="4">
        <v>1</v>
      </c>
      <c r="R267" s="4">
        <v>4</v>
      </c>
      <c r="S267" s="4">
        <v>1</v>
      </c>
      <c r="T267" s="4">
        <v>36</v>
      </c>
      <c r="U267" s="4">
        <v>1</v>
      </c>
      <c r="V267" s="4">
        <v>13</v>
      </c>
      <c r="W267" s="4">
        <v>2</v>
      </c>
      <c r="X267" s="4">
        <v>-6</v>
      </c>
      <c r="Y267" s="4">
        <v>0</v>
      </c>
      <c r="Z267" s="4">
        <v>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</v>
      </c>
      <c r="AG267" s="4">
        <v>0</v>
      </c>
      <c r="AH267" s="4">
        <v>0</v>
      </c>
      <c r="AI267" s="4">
        <f>Table2121418198598102[[#This Row],[QB PY]]+Table2121418198598102[[#This Row],[QB RY]]</f>
        <v>243</v>
      </c>
      <c r="AJ267" s="4">
        <f>Table2121418198598102[[#This Row],[RB1 RY]]+Table2121418198598102[[#This Row],[RB2+ RY]]+Table2121418198598102[[#This Row],[RB1 RecY]]+Table2121418198598102[[#This Row],[RB2 RecY]]</f>
        <v>85</v>
      </c>
    </row>
    <row r="268" spans="1:36" x14ac:dyDescent="0.35">
      <c r="A268" s="19" t="s">
        <v>54</v>
      </c>
      <c r="B268" s="1">
        <v>2</v>
      </c>
      <c r="C268" s="2">
        <v>215</v>
      </c>
      <c r="D268" s="2">
        <v>2</v>
      </c>
      <c r="E268" s="2">
        <v>33</v>
      </c>
      <c r="F268" s="2">
        <v>71</v>
      </c>
      <c r="G268" s="2">
        <v>65</v>
      </c>
      <c r="H268" s="2">
        <v>0</v>
      </c>
      <c r="I268" s="2">
        <v>6</v>
      </c>
      <c r="J268" s="2">
        <v>50</v>
      </c>
      <c r="K268" s="2">
        <v>2</v>
      </c>
      <c r="L268" s="2">
        <v>1</v>
      </c>
      <c r="M268" s="2">
        <v>5</v>
      </c>
      <c r="N268" s="2">
        <v>56</v>
      </c>
      <c r="O268" s="2">
        <v>4</v>
      </c>
      <c r="P268" s="2">
        <v>29</v>
      </c>
      <c r="Q268" s="2">
        <v>4</v>
      </c>
      <c r="R268" s="2">
        <v>34</v>
      </c>
      <c r="S268" s="2">
        <v>1</v>
      </c>
      <c r="T268" s="2">
        <v>20</v>
      </c>
      <c r="U268" s="2">
        <v>3</v>
      </c>
      <c r="V268" s="2">
        <v>25</v>
      </c>
      <c r="W268" s="2">
        <v>0</v>
      </c>
      <c r="X268" s="2">
        <v>0</v>
      </c>
      <c r="Y268" s="2">
        <v>0</v>
      </c>
      <c r="Z268" s="2">
        <v>0</v>
      </c>
      <c r="AA268" s="2">
        <v>1</v>
      </c>
      <c r="AB268" s="2">
        <v>0</v>
      </c>
      <c r="AC268" s="2">
        <v>1</v>
      </c>
      <c r="AD268" s="2">
        <v>0</v>
      </c>
      <c r="AE268" s="2">
        <v>1</v>
      </c>
      <c r="AF268" s="2">
        <v>0</v>
      </c>
      <c r="AG268" s="2">
        <v>0</v>
      </c>
      <c r="AH268" s="2">
        <v>0</v>
      </c>
      <c r="AI268" s="4">
        <f>Table2121418198598102[[#This Row],[QB PY]]+Table2121418198598102[[#This Row],[QB RY]]</f>
        <v>248</v>
      </c>
      <c r="AJ268" s="4">
        <f>Table2121418198598102[[#This Row],[RB1 RY]]+Table2121418198598102[[#This Row],[RB2+ RY]]+Table2121418198598102[[#This Row],[RB1 RecY]]+Table2121418198598102[[#This Row],[RB2 RecY]]</f>
        <v>187</v>
      </c>
    </row>
    <row r="269" spans="1:36" x14ac:dyDescent="0.35">
      <c r="A269" s="19" t="s">
        <v>39</v>
      </c>
      <c r="B269" s="1">
        <v>3</v>
      </c>
      <c r="C269" s="2">
        <v>222</v>
      </c>
      <c r="D269" s="2">
        <v>0</v>
      </c>
      <c r="E269" s="2">
        <v>9</v>
      </c>
      <c r="F269" s="2">
        <v>56</v>
      </c>
      <c r="G269" s="2">
        <v>21</v>
      </c>
      <c r="H269" s="2">
        <v>0</v>
      </c>
      <c r="I269" s="2">
        <v>0</v>
      </c>
      <c r="J269" s="2">
        <v>0</v>
      </c>
      <c r="K269" s="2">
        <v>1</v>
      </c>
      <c r="L269" s="2">
        <v>9</v>
      </c>
      <c r="M269" s="2">
        <v>2</v>
      </c>
      <c r="N269" s="2">
        <v>55</v>
      </c>
      <c r="O269" s="2">
        <v>1</v>
      </c>
      <c r="P269" s="2">
        <v>21</v>
      </c>
      <c r="Q269" s="2">
        <v>2</v>
      </c>
      <c r="R269" s="2">
        <v>7</v>
      </c>
      <c r="S269" s="2">
        <v>5</v>
      </c>
      <c r="T269" s="2">
        <v>50</v>
      </c>
      <c r="U269" s="2">
        <v>6</v>
      </c>
      <c r="V269" s="2">
        <v>61</v>
      </c>
      <c r="W269" s="2">
        <v>3</v>
      </c>
      <c r="X269" s="2">
        <v>19</v>
      </c>
      <c r="Y269" s="2">
        <v>0</v>
      </c>
      <c r="Z269" s="2">
        <v>1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4">
        <f>Table2121418198598102[[#This Row],[QB PY]]+Table2121418198598102[[#This Row],[QB RY]]</f>
        <v>231</v>
      </c>
      <c r="AJ269" s="4">
        <f>Table2121418198598102[[#This Row],[RB1 RY]]+Table2121418198598102[[#This Row],[RB2+ RY]]+Table2121418198598102[[#This Row],[RB1 RecY]]+Table2121418198598102[[#This Row],[RB2 RecY]]</f>
        <v>86</v>
      </c>
    </row>
    <row r="270" spans="1:36" x14ac:dyDescent="0.35">
      <c r="A270" s="19" t="s">
        <v>55</v>
      </c>
      <c r="B270" s="1">
        <v>4</v>
      </c>
      <c r="C270" s="2">
        <v>108</v>
      </c>
      <c r="D270" s="2">
        <v>0</v>
      </c>
      <c r="E270" s="2">
        <v>22</v>
      </c>
      <c r="F270" s="2">
        <v>64</v>
      </c>
      <c r="G270" s="2">
        <v>0</v>
      </c>
      <c r="H270" s="2">
        <v>-4</v>
      </c>
      <c r="I270" s="2">
        <v>3</v>
      </c>
      <c r="J270" s="2">
        <v>12</v>
      </c>
      <c r="K270" s="2">
        <v>0</v>
      </c>
      <c r="L270" s="2">
        <v>0</v>
      </c>
      <c r="M270" s="2">
        <v>2</v>
      </c>
      <c r="N270" s="2">
        <v>30</v>
      </c>
      <c r="O270" s="2">
        <v>2</v>
      </c>
      <c r="P270" s="2">
        <v>44</v>
      </c>
      <c r="Q270" s="2">
        <v>1</v>
      </c>
      <c r="R270" s="2">
        <v>6</v>
      </c>
      <c r="S270" s="2">
        <v>0</v>
      </c>
      <c r="T270" s="2">
        <v>0</v>
      </c>
      <c r="U270" s="2">
        <v>1</v>
      </c>
      <c r="V270" s="2">
        <v>4</v>
      </c>
      <c r="W270" s="2">
        <v>1</v>
      </c>
      <c r="X270" s="2">
        <v>12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4">
        <f>Table2121418198598102[[#This Row],[QB PY]]+Table2121418198598102[[#This Row],[QB RY]]</f>
        <v>130</v>
      </c>
      <c r="AJ270" s="4">
        <f>Table2121418198598102[[#This Row],[RB1 RY]]+Table2121418198598102[[#This Row],[RB2+ RY]]+Table2121418198598102[[#This Row],[RB1 RecY]]+Table2121418198598102[[#This Row],[RB2 RecY]]</f>
        <v>76</v>
      </c>
    </row>
    <row r="271" spans="1:36" x14ac:dyDescent="0.35">
      <c r="A271" s="19" t="s">
        <v>16</v>
      </c>
      <c r="B271" s="1">
        <v>5</v>
      </c>
      <c r="C271" s="2">
        <v>179</v>
      </c>
      <c r="D271" s="2">
        <v>0</v>
      </c>
      <c r="E271" s="2">
        <v>0</v>
      </c>
      <c r="F271" s="2">
        <v>33</v>
      </c>
      <c r="G271" s="2">
        <v>11</v>
      </c>
      <c r="H271" s="2">
        <v>0</v>
      </c>
      <c r="I271" s="2">
        <v>0</v>
      </c>
      <c r="J271" s="2">
        <v>0</v>
      </c>
      <c r="K271" s="2">
        <v>2</v>
      </c>
      <c r="L271" s="2">
        <v>14</v>
      </c>
      <c r="M271" s="2">
        <v>5</v>
      </c>
      <c r="N271" s="2">
        <v>72</v>
      </c>
      <c r="O271" s="2">
        <v>0</v>
      </c>
      <c r="P271" s="2">
        <v>0</v>
      </c>
      <c r="Q271" s="2">
        <v>2</v>
      </c>
      <c r="R271" s="2">
        <v>46</v>
      </c>
      <c r="S271" s="2">
        <v>0</v>
      </c>
      <c r="T271" s="2">
        <v>0</v>
      </c>
      <c r="U271" s="2">
        <v>2</v>
      </c>
      <c r="V271" s="2">
        <v>22</v>
      </c>
      <c r="W271" s="2">
        <v>3</v>
      </c>
      <c r="X271" s="2">
        <v>25</v>
      </c>
      <c r="Y271" s="2">
        <v>0</v>
      </c>
      <c r="Z271" s="2">
        <v>1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4">
        <f>Table2121418198598102[[#This Row],[QB PY]]+Table2121418198598102[[#This Row],[QB RY]]</f>
        <v>179</v>
      </c>
      <c r="AJ271" s="4">
        <f>Table2121418198598102[[#This Row],[RB1 RY]]+Table2121418198598102[[#This Row],[RB2+ RY]]+Table2121418198598102[[#This Row],[RB1 RecY]]+Table2121418198598102[[#This Row],[RB2 RecY]]</f>
        <v>58</v>
      </c>
    </row>
    <row r="272" spans="1:36" x14ac:dyDescent="0.35">
      <c r="A272" s="19" t="s">
        <v>650</v>
      </c>
      <c r="B272" s="1">
        <v>6</v>
      </c>
      <c r="C272" s="2" t="s">
        <v>697</v>
      </c>
      <c r="D272" s="2" t="s">
        <v>697</v>
      </c>
      <c r="E272" s="2" t="s">
        <v>697</v>
      </c>
      <c r="F272" s="2" t="s">
        <v>697</v>
      </c>
      <c r="G272" s="2" t="s">
        <v>697</v>
      </c>
      <c r="H272" s="2" t="s">
        <v>697</v>
      </c>
      <c r="I272" s="2" t="s">
        <v>697</v>
      </c>
      <c r="J272" s="2" t="s">
        <v>697</v>
      </c>
      <c r="K272" s="2" t="s">
        <v>697</v>
      </c>
      <c r="L272" s="2" t="s">
        <v>697</v>
      </c>
      <c r="M272" s="2" t="s">
        <v>697</v>
      </c>
      <c r="N272" s="2" t="s">
        <v>697</v>
      </c>
      <c r="O272" s="2" t="s">
        <v>697</v>
      </c>
      <c r="P272" s="2" t="s">
        <v>697</v>
      </c>
      <c r="Q272" s="2" t="s">
        <v>697</v>
      </c>
      <c r="R272" s="2" t="s">
        <v>697</v>
      </c>
      <c r="S272" s="2" t="s">
        <v>697</v>
      </c>
      <c r="T272" s="2" t="s">
        <v>697</v>
      </c>
      <c r="U272" s="2" t="s">
        <v>697</v>
      </c>
      <c r="V272" s="2" t="s">
        <v>697</v>
      </c>
      <c r="W272" s="2" t="s">
        <v>697</v>
      </c>
      <c r="X272" s="2" t="s">
        <v>697</v>
      </c>
      <c r="Y272" s="2" t="s">
        <v>697</v>
      </c>
      <c r="Z272" s="2" t="s">
        <v>697</v>
      </c>
      <c r="AA272" s="2" t="s">
        <v>697</v>
      </c>
      <c r="AB272" s="2" t="s">
        <v>697</v>
      </c>
      <c r="AC272" s="2" t="s">
        <v>697</v>
      </c>
      <c r="AD272" s="2" t="s">
        <v>697</v>
      </c>
      <c r="AE272" s="2" t="s">
        <v>697</v>
      </c>
      <c r="AF272" s="2" t="s">
        <v>697</v>
      </c>
      <c r="AG272" s="2" t="s">
        <v>697</v>
      </c>
      <c r="AH272" s="2" t="s">
        <v>697</v>
      </c>
      <c r="AI272" s="4" t="s">
        <v>697</v>
      </c>
      <c r="AJ272" s="4" t="s">
        <v>697</v>
      </c>
    </row>
    <row r="273" spans="1:36" x14ac:dyDescent="0.35">
      <c r="A273" s="19" t="s">
        <v>52</v>
      </c>
      <c r="B273" s="1">
        <v>7</v>
      </c>
      <c r="C273" s="2">
        <v>213</v>
      </c>
      <c r="D273" s="2">
        <v>1</v>
      </c>
      <c r="E273" s="2">
        <v>1</v>
      </c>
      <c r="F273" s="2">
        <v>66</v>
      </c>
      <c r="G273" s="2">
        <v>49</v>
      </c>
      <c r="H273" s="2">
        <v>2</v>
      </c>
      <c r="I273" s="2">
        <v>2</v>
      </c>
      <c r="J273" s="2">
        <v>6</v>
      </c>
      <c r="K273" s="2">
        <v>0</v>
      </c>
      <c r="L273" s="2">
        <v>0</v>
      </c>
      <c r="M273" s="2">
        <v>8</v>
      </c>
      <c r="N273" s="2">
        <v>123</v>
      </c>
      <c r="O273" s="2">
        <v>1</v>
      </c>
      <c r="P273" s="2">
        <v>32</v>
      </c>
      <c r="Q273" s="2">
        <v>1</v>
      </c>
      <c r="R273" s="2">
        <v>3</v>
      </c>
      <c r="S273" s="2">
        <v>0</v>
      </c>
      <c r="T273" s="2">
        <v>0</v>
      </c>
      <c r="U273" s="2">
        <v>4</v>
      </c>
      <c r="V273" s="2">
        <v>42</v>
      </c>
      <c r="W273" s="2">
        <v>1</v>
      </c>
      <c r="X273" s="2">
        <v>7</v>
      </c>
      <c r="Y273" s="2">
        <v>0</v>
      </c>
      <c r="Z273" s="2">
        <v>0</v>
      </c>
      <c r="AA273" s="2">
        <v>2</v>
      </c>
      <c r="AB273" s="2">
        <v>1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4">
        <f>Table2121418198598102[[#This Row],[QB PY]]+Table2121418198598102[[#This Row],[QB RY]]</f>
        <v>214</v>
      </c>
      <c r="AJ273" s="4">
        <f>Table2121418198598102[[#This Row],[RB1 RY]]+Table2121418198598102[[#This Row],[RB2+ RY]]+Table2121418198598102[[#This Row],[RB1 RecY]]+Table2121418198598102[[#This Row],[RB2 RecY]]</f>
        <v>121</v>
      </c>
    </row>
    <row r="274" spans="1:36" x14ac:dyDescent="0.35">
      <c r="A274" s="19" t="s">
        <v>53</v>
      </c>
      <c r="B274" s="1">
        <v>8</v>
      </c>
      <c r="C274" s="2">
        <v>193</v>
      </c>
      <c r="D274" s="2">
        <v>2</v>
      </c>
      <c r="E274" s="2">
        <v>23</v>
      </c>
      <c r="F274" s="2">
        <v>25</v>
      </c>
      <c r="G274" s="2">
        <v>0</v>
      </c>
      <c r="H274" s="2">
        <v>0</v>
      </c>
      <c r="I274" s="2">
        <v>3</v>
      </c>
      <c r="J274" s="2">
        <v>43</v>
      </c>
      <c r="K274" s="2">
        <v>1</v>
      </c>
      <c r="L274" s="2">
        <v>4</v>
      </c>
      <c r="M274" s="2">
        <v>4</v>
      </c>
      <c r="N274" s="2">
        <v>45</v>
      </c>
      <c r="O274" s="2">
        <v>3</v>
      </c>
      <c r="P274" s="2">
        <v>44</v>
      </c>
      <c r="Q274" s="2">
        <v>2</v>
      </c>
      <c r="R274" s="2">
        <v>5</v>
      </c>
      <c r="S274" s="2">
        <v>1</v>
      </c>
      <c r="T274" s="2">
        <v>7</v>
      </c>
      <c r="U274" s="2">
        <v>4</v>
      </c>
      <c r="V274" s="2">
        <v>43</v>
      </c>
      <c r="W274" s="2">
        <v>1</v>
      </c>
      <c r="X274" s="2">
        <v>2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</v>
      </c>
      <c r="AG274" s="2">
        <v>1</v>
      </c>
      <c r="AH274" s="2">
        <v>0</v>
      </c>
      <c r="AI274" s="4">
        <f>Table2121418198598102[[#This Row],[QB PY]]+Table2121418198598102[[#This Row],[QB RY]]</f>
        <v>216</v>
      </c>
      <c r="AJ274" s="4">
        <f>Table2121418198598102[[#This Row],[RB1 RY]]+Table2121418198598102[[#This Row],[RB2+ RY]]+Table2121418198598102[[#This Row],[RB1 RecY]]+Table2121418198598102[[#This Row],[RB2 RecY]]</f>
        <v>72</v>
      </c>
    </row>
    <row r="275" spans="1:36" x14ac:dyDescent="0.35">
      <c r="A275" s="19" t="s">
        <v>34</v>
      </c>
      <c r="B275" s="1">
        <v>9</v>
      </c>
      <c r="C275" s="2">
        <v>173</v>
      </c>
      <c r="D275" s="2">
        <v>2</v>
      </c>
      <c r="E275" s="2">
        <v>36</v>
      </c>
      <c r="F275" s="2">
        <v>61</v>
      </c>
      <c r="G275" s="2">
        <v>7</v>
      </c>
      <c r="H275" s="2">
        <v>-4</v>
      </c>
      <c r="I275" s="2">
        <v>1</v>
      </c>
      <c r="J275" s="2">
        <v>-2</v>
      </c>
      <c r="K275" s="2">
        <v>7</v>
      </c>
      <c r="L275" s="2">
        <v>57</v>
      </c>
      <c r="M275" s="2">
        <v>1</v>
      </c>
      <c r="N275" s="2">
        <v>30</v>
      </c>
      <c r="O275" s="2">
        <v>4</v>
      </c>
      <c r="P275" s="2">
        <v>27</v>
      </c>
      <c r="Q275" s="2">
        <v>2</v>
      </c>
      <c r="R275" s="2">
        <v>20</v>
      </c>
      <c r="S275" s="2">
        <v>1</v>
      </c>
      <c r="T275" s="2">
        <v>16</v>
      </c>
      <c r="U275" s="2">
        <v>0</v>
      </c>
      <c r="V275" s="2">
        <v>0</v>
      </c>
      <c r="W275" s="2">
        <v>2</v>
      </c>
      <c r="X275" s="2">
        <v>25</v>
      </c>
      <c r="Y275" s="2">
        <v>0</v>
      </c>
      <c r="Z275" s="2">
        <v>0</v>
      </c>
      <c r="AA275" s="2">
        <v>1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4">
        <f>Table2121418198598102[[#This Row],[QB PY]]+Table2121418198598102[[#This Row],[QB RY]]</f>
        <v>209</v>
      </c>
      <c r="AJ275" s="4">
        <f>Table2121418198598102[[#This Row],[RB1 RY]]+Table2121418198598102[[#This Row],[RB2+ RY]]+Table2121418198598102[[#This Row],[RB1 RecY]]+Table2121418198598102[[#This Row],[RB2 RecY]]</f>
        <v>123</v>
      </c>
    </row>
    <row r="276" spans="1:36" x14ac:dyDescent="0.35">
      <c r="A276" s="19" t="s">
        <v>39</v>
      </c>
      <c r="B276" s="1">
        <v>10</v>
      </c>
      <c r="C276" s="2">
        <v>158</v>
      </c>
      <c r="D276" s="2">
        <v>1</v>
      </c>
      <c r="E276" s="2">
        <v>35</v>
      </c>
      <c r="F276" s="2">
        <v>58</v>
      </c>
      <c r="G276" s="2">
        <v>5</v>
      </c>
      <c r="H276" s="2">
        <v>-4</v>
      </c>
      <c r="I276" s="2">
        <v>2</v>
      </c>
      <c r="J276" s="2">
        <v>19</v>
      </c>
      <c r="K276" s="2">
        <v>2</v>
      </c>
      <c r="L276" s="2">
        <v>11</v>
      </c>
      <c r="M276" s="2">
        <v>3</v>
      </c>
      <c r="N276" s="2">
        <v>41</v>
      </c>
      <c r="O276" s="2">
        <v>3</v>
      </c>
      <c r="P276" s="2">
        <v>33</v>
      </c>
      <c r="Q276" s="2">
        <v>2</v>
      </c>
      <c r="R276" s="2">
        <v>33</v>
      </c>
      <c r="S276" s="2">
        <v>0</v>
      </c>
      <c r="T276" s="2">
        <v>0</v>
      </c>
      <c r="U276" s="2">
        <v>1</v>
      </c>
      <c r="V276" s="2">
        <v>21</v>
      </c>
      <c r="W276" s="2">
        <v>0</v>
      </c>
      <c r="X276" s="2">
        <v>0</v>
      </c>
      <c r="Y276" s="2">
        <v>0</v>
      </c>
      <c r="Z276" s="2">
        <v>1</v>
      </c>
      <c r="AA276" s="2">
        <v>0</v>
      </c>
      <c r="AB276" s="2">
        <v>0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1</v>
      </c>
      <c r="AI276" s="4">
        <f>Table2121418198598102[[#This Row],[QB PY]]+Table2121418198598102[[#This Row],[QB RY]]</f>
        <v>193</v>
      </c>
      <c r="AJ276" s="4">
        <f>Table2121418198598102[[#This Row],[RB1 RY]]+Table2121418198598102[[#This Row],[RB2+ RY]]+Table2121418198598102[[#This Row],[RB1 RecY]]+Table2121418198598102[[#This Row],[RB2 RecY]]</f>
        <v>93</v>
      </c>
    </row>
    <row r="277" spans="1:36" x14ac:dyDescent="0.35">
      <c r="A277" s="19" t="s">
        <v>55</v>
      </c>
      <c r="B277" s="1">
        <v>11</v>
      </c>
      <c r="C277" s="2">
        <v>194</v>
      </c>
      <c r="D277" s="2">
        <v>1</v>
      </c>
      <c r="E277" s="2">
        <v>33</v>
      </c>
      <c r="F277" s="2">
        <v>22</v>
      </c>
      <c r="G277" s="2">
        <v>3</v>
      </c>
      <c r="H277" s="2">
        <v>0</v>
      </c>
      <c r="I277" s="2">
        <v>3</v>
      </c>
      <c r="J277" s="2">
        <v>4</v>
      </c>
      <c r="K277" s="2">
        <v>5</v>
      </c>
      <c r="L277" s="2">
        <v>31</v>
      </c>
      <c r="M277" s="2">
        <v>2</v>
      </c>
      <c r="N277" s="2">
        <v>11</v>
      </c>
      <c r="O277" s="2">
        <v>3</v>
      </c>
      <c r="P277" s="2">
        <v>22</v>
      </c>
      <c r="Q277" s="2">
        <v>2</v>
      </c>
      <c r="R277" s="2">
        <v>14</v>
      </c>
      <c r="S277" s="2">
        <v>2</v>
      </c>
      <c r="T277" s="2">
        <v>27</v>
      </c>
      <c r="U277" s="2">
        <v>3</v>
      </c>
      <c r="V277" s="2">
        <v>56</v>
      </c>
      <c r="W277" s="2">
        <v>4</v>
      </c>
      <c r="X277" s="2">
        <v>29</v>
      </c>
      <c r="Y277" s="2">
        <v>0</v>
      </c>
      <c r="Z277" s="2">
        <v>0</v>
      </c>
      <c r="AA277" s="2">
        <v>0</v>
      </c>
      <c r="AB277" s="2">
        <v>0</v>
      </c>
      <c r="AC277" s="2">
        <v>1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4">
        <f>Table2121418198598102[[#This Row],[QB PY]]+Table2121418198598102[[#This Row],[QB RY]]</f>
        <v>227</v>
      </c>
      <c r="AJ277" s="4">
        <f>Table2121418198598102[[#This Row],[RB1 RY]]+Table2121418198598102[[#This Row],[RB2+ RY]]+Table2121418198598102[[#This Row],[RB1 RecY]]+Table2121418198598102[[#This Row],[RB2 RecY]]</f>
        <v>60</v>
      </c>
    </row>
    <row r="278" spans="1:36" x14ac:dyDescent="0.35">
      <c r="A278" s="19" t="s">
        <v>17</v>
      </c>
      <c r="B278" s="1">
        <v>12</v>
      </c>
      <c r="C278" s="2">
        <v>253</v>
      </c>
      <c r="D278" s="2">
        <v>0</v>
      </c>
      <c r="E278" s="2">
        <v>20</v>
      </c>
      <c r="F278" s="2">
        <v>116</v>
      </c>
      <c r="G278" s="2">
        <v>7</v>
      </c>
      <c r="H278" s="2">
        <v>0</v>
      </c>
      <c r="I278" s="2">
        <v>3</v>
      </c>
      <c r="J278" s="2">
        <v>13</v>
      </c>
      <c r="K278" s="2">
        <v>4</v>
      </c>
      <c r="L278" s="2">
        <v>47</v>
      </c>
      <c r="M278" s="2">
        <v>8</v>
      </c>
      <c r="N278" s="2">
        <v>110</v>
      </c>
      <c r="O278" s="2">
        <v>2</v>
      </c>
      <c r="P278" s="2">
        <v>21</v>
      </c>
      <c r="Q278" s="2">
        <v>1</v>
      </c>
      <c r="R278" s="2">
        <v>22</v>
      </c>
      <c r="S278" s="2">
        <v>1</v>
      </c>
      <c r="T278" s="2">
        <v>-3</v>
      </c>
      <c r="U278" s="2">
        <v>3</v>
      </c>
      <c r="V278" s="2">
        <v>17</v>
      </c>
      <c r="W278" s="2">
        <v>2</v>
      </c>
      <c r="X278" s="2">
        <v>26</v>
      </c>
      <c r="Y278" s="2">
        <v>0</v>
      </c>
      <c r="Z278" s="2">
        <v>1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1</v>
      </c>
      <c r="AI278" s="4">
        <f>Table2121418198598102[[#This Row],[QB PY]]+Table2121418198598102[[#This Row],[QB RY]]</f>
        <v>273</v>
      </c>
      <c r="AJ278" s="4">
        <f>Table2121418198598102[[#This Row],[RB1 RY]]+Table2121418198598102[[#This Row],[RB2+ RY]]+Table2121418198598102[[#This Row],[RB1 RecY]]+Table2121418198598102[[#This Row],[RB2 RecY]]</f>
        <v>183</v>
      </c>
    </row>
    <row r="279" spans="1:36" x14ac:dyDescent="0.35">
      <c r="A279" s="19" t="s">
        <v>38</v>
      </c>
      <c r="B279" s="1">
        <v>13</v>
      </c>
      <c r="C279" s="2">
        <v>201</v>
      </c>
      <c r="D279" s="2">
        <v>2</v>
      </c>
      <c r="E279" s="2">
        <v>1</v>
      </c>
      <c r="F279" s="2">
        <v>85</v>
      </c>
      <c r="G279" s="2">
        <v>0</v>
      </c>
      <c r="H279" s="2">
        <v>0</v>
      </c>
      <c r="I279" s="2">
        <v>3</v>
      </c>
      <c r="J279" s="2">
        <v>36</v>
      </c>
      <c r="K279" s="2">
        <v>0</v>
      </c>
      <c r="L279" s="2">
        <v>0</v>
      </c>
      <c r="M279" s="2">
        <v>1</v>
      </c>
      <c r="N279" s="2">
        <v>13</v>
      </c>
      <c r="O279" s="2">
        <v>4</v>
      </c>
      <c r="P279" s="2">
        <v>78</v>
      </c>
      <c r="Q279" s="2">
        <v>2</v>
      </c>
      <c r="R279" s="2">
        <v>44</v>
      </c>
      <c r="S279" s="2">
        <v>0</v>
      </c>
      <c r="T279" s="2">
        <v>0</v>
      </c>
      <c r="U279" s="2">
        <v>3</v>
      </c>
      <c r="V279" s="2">
        <v>22</v>
      </c>
      <c r="W279" s="2">
        <v>1</v>
      </c>
      <c r="X279" s="2">
        <v>8</v>
      </c>
      <c r="Y279" s="2">
        <v>0</v>
      </c>
      <c r="Z279" s="2">
        <v>0</v>
      </c>
      <c r="AA279" s="2">
        <v>0</v>
      </c>
      <c r="AB279" s="2">
        <v>0</v>
      </c>
      <c r="AC279" s="2">
        <v>1</v>
      </c>
      <c r="AD279" s="2">
        <v>0</v>
      </c>
      <c r="AE279" s="2">
        <v>0</v>
      </c>
      <c r="AF279" s="2">
        <v>1</v>
      </c>
      <c r="AG279" s="2">
        <v>0</v>
      </c>
      <c r="AH279" s="2">
        <v>0</v>
      </c>
      <c r="AI279" s="4">
        <f>Table2121418198598102[[#This Row],[QB PY]]+Table2121418198598102[[#This Row],[QB RY]]</f>
        <v>202</v>
      </c>
      <c r="AJ279" s="4">
        <f>Table2121418198598102[[#This Row],[RB1 RY]]+Table2121418198598102[[#This Row],[RB2+ RY]]+Table2121418198598102[[#This Row],[RB1 RecY]]+Table2121418198598102[[#This Row],[RB2 RecY]]</f>
        <v>121</v>
      </c>
    </row>
    <row r="280" spans="1:36" x14ac:dyDescent="0.35">
      <c r="A280" s="19" t="s">
        <v>40</v>
      </c>
      <c r="B280" s="1">
        <v>14</v>
      </c>
      <c r="C280" s="2">
        <v>160</v>
      </c>
      <c r="D280" s="2">
        <v>0</v>
      </c>
      <c r="E280" s="2">
        <v>59</v>
      </c>
      <c r="F280" s="2">
        <v>30</v>
      </c>
      <c r="G280" s="2">
        <v>37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4</v>
      </c>
      <c r="N280" s="2">
        <v>34</v>
      </c>
      <c r="O280" s="2">
        <v>3</v>
      </c>
      <c r="P280" s="2">
        <v>55</v>
      </c>
      <c r="Q280" s="2">
        <v>1</v>
      </c>
      <c r="R280" s="2">
        <v>35</v>
      </c>
      <c r="S280" s="2">
        <v>3</v>
      </c>
      <c r="T280" s="2">
        <v>24</v>
      </c>
      <c r="U280" s="2">
        <v>1</v>
      </c>
      <c r="V280" s="2">
        <v>8</v>
      </c>
      <c r="W280" s="2">
        <v>2</v>
      </c>
      <c r="X280" s="2">
        <v>4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4">
        <f>Table2121418198598102[[#This Row],[QB PY]]+Table2121418198598102[[#This Row],[QB RY]]</f>
        <v>219</v>
      </c>
      <c r="AJ280" s="4">
        <f>Table2121418198598102[[#This Row],[RB1 RY]]+Table2121418198598102[[#This Row],[RB2+ RY]]+Table2121418198598102[[#This Row],[RB1 RecY]]+Table2121418198598102[[#This Row],[RB2 RecY]]</f>
        <v>67</v>
      </c>
    </row>
    <row r="281" spans="1:36" x14ac:dyDescent="0.35">
      <c r="A281" s="19" t="s">
        <v>0</v>
      </c>
      <c r="B281" s="1">
        <v>15</v>
      </c>
      <c r="C281" s="2">
        <v>249</v>
      </c>
      <c r="D281" s="2">
        <v>3</v>
      </c>
      <c r="E281" s="2">
        <v>6</v>
      </c>
      <c r="F281" s="2">
        <v>56</v>
      </c>
      <c r="G281" s="2">
        <v>10</v>
      </c>
      <c r="H281" s="2">
        <v>0</v>
      </c>
      <c r="I281" s="2">
        <v>4</v>
      </c>
      <c r="J281" s="2">
        <v>38</v>
      </c>
      <c r="K281" s="2">
        <v>2</v>
      </c>
      <c r="L281" s="2">
        <v>0</v>
      </c>
      <c r="M281" s="2">
        <v>5</v>
      </c>
      <c r="N281" s="2">
        <v>54</v>
      </c>
      <c r="O281" s="2">
        <v>1</v>
      </c>
      <c r="P281" s="2">
        <v>19</v>
      </c>
      <c r="Q281" s="2">
        <v>0</v>
      </c>
      <c r="R281" s="2">
        <v>0</v>
      </c>
      <c r="S281" s="2">
        <v>0</v>
      </c>
      <c r="T281" s="2">
        <v>0</v>
      </c>
      <c r="U281" s="2">
        <v>12</v>
      </c>
      <c r="V281" s="2">
        <v>134</v>
      </c>
      <c r="W281" s="2">
        <v>3</v>
      </c>
      <c r="X281" s="2">
        <v>4</v>
      </c>
      <c r="Y281" s="2">
        <v>0</v>
      </c>
      <c r="Z281" s="2">
        <v>0</v>
      </c>
      <c r="AA281" s="2">
        <v>0</v>
      </c>
      <c r="AB281" s="2">
        <v>1</v>
      </c>
      <c r="AC281" s="2">
        <v>0</v>
      </c>
      <c r="AD281" s="2">
        <v>0</v>
      </c>
      <c r="AE281" s="2">
        <v>0</v>
      </c>
      <c r="AF281" s="2">
        <v>2</v>
      </c>
      <c r="AG281" s="2">
        <v>0</v>
      </c>
      <c r="AH281" s="2">
        <v>0</v>
      </c>
      <c r="AI281" s="4">
        <f>Table2121418198598102[[#This Row],[QB PY]]+Table2121418198598102[[#This Row],[QB RY]]</f>
        <v>255</v>
      </c>
      <c r="AJ281" s="4">
        <f>Table2121418198598102[[#This Row],[RB1 RY]]+Table2121418198598102[[#This Row],[RB2+ RY]]+Table2121418198598102[[#This Row],[RB1 RecY]]+Table2121418198598102[[#This Row],[RB2 RecY]]</f>
        <v>104</v>
      </c>
    </row>
    <row r="282" spans="1:36" x14ac:dyDescent="0.35">
      <c r="A282" s="19" t="s">
        <v>43</v>
      </c>
      <c r="B282" s="1">
        <v>16</v>
      </c>
      <c r="C282" s="2">
        <v>201</v>
      </c>
      <c r="D282" s="2">
        <v>2</v>
      </c>
      <c r="E282" s="2">
        <v>0</v>
      </c>
      <c r="F282" s="2">
        <v>128</v>
      </c>
      <c r="G282" s="2">
        <v>6</v>
      </c>
      <c r="H282" s="2">
        <v>11</v>
      </c>
      <c r="I282" s="2">
        <v>1</v>
      </c>
      <c r="J282" s="2">
        <v>60</v>
      </c>
      <c r="K282" s="2">
        <v>1</v>
      </c>
      <c r="L282" s="2">
        <v>3</v>
      </c>
      <c r="M282" s="2">
        <v>4</v>
      </c>
      <c r="N282" s="2">
        <v>43</v>
      </c>
      <c r="O282" s="2">
        <v>2</v>
      </c>
      <c r="P282" s="2">
        <v>43</v>
      </c>
      <c r="Q282" s="2">
        <v>1</v>
      </c>
      <c r="R282" s="2">
        <v>6</v>
      </c>
      <c r="S282" s="2">
        <v>1</v>
      </c>
      <c r="T282" s="2">
        <v>3</v>
      </c>
      <c r="U282" s="2">
        <v>5</v>
      </c>
      <c r="V282" s="2">
        <v>33</v>
      </c>
      <c r="W282" s="2">
        <v>1</v>
      </c>
      <c r="X282" s="2">
        <v>10</v>
      </c>
      <c r="Y282" s="2">
        <v>0</v>
      </c>
      <c r="Z282" s="2">
        <v>2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</v>
      </c>
      <c r="AG282" s="2">
        <v>0</v>
      </c>
      <c r="AH282" s="2">
        <v>0</v>
      </c>
      <c r="AI282" s="4">
        <f>Table2121418198598102[[#This Row],[QB PY]]+Table2121418198598102[[#This Row],[QB RY]]</f>
        <v>201</v>
      </c>
      <c r="AJ282" s="4">
        <f>Table2121418198598102[[#This Row],[RB1 RY]]+Table2121418198598102[[#This Row],[RB2+ RY]]+Table2121418198598102[[#This Row],[RB1 RecY]]+Table2121418198598102[[#This Row],[RB2 RecY]]</f>
        <v>197</v>
      </c>
    </row>
    <row r="283" spans="1:36" x14ac:dyDescent="0.35">
      <c r="A283" s="19" t="s">
        <v>41</v>
      </c>
      <c r="B283" s="1">
        <v>17</v>
      </c>
      <c r="C283" s="2">
        <v>236</v>
      </c>
      <c r="D283" s="2">
        <v>1</v>
      </c>
      <c r="E283" s="2">
        <v>37</v>
      </c>
      <c r="F283" s="2">
        <v>29</v>
      </c>
      <c r="G283" s="2">
        <v>1</v>
      </c>
      <c r="H283" s="2">
        <v>7</v>
      </c>
      <c r="I283" s="2">
        <v>8</v>
      </c>
      <c r="J283" s="2">
        <v>31</v>
      </c>
      <c r="K283" s="2">
        <v>0</v>
      </c>
      <c r="L283" s="2">
        <v>0</v>
      </c>
      <c r="M283" s="2">
        <v>1</v>
      </c>
      <c r="N283" s="2">
        <v>31</v>
      </c>
      <c r="O283" s="2">
        <v>5</v>
      </c>
      <c r="P283" s="2">
        <v>98</v>
      </c>
      <c r="Q283" s="2">
        <v>1</v>
      </c>
      <c r="R283" s="2">
        <v>17</v>
      </c>
      <c r="S283" s="2">
        <v>1</v>
      </c>
      <c r="T283" s="2">
        <v>8</v>
      </c>
      <c r="U283" s="2">
        <v>3</v>
      </c>
      <c r="V283" s="2">
        <v>32</v>
      </c>
      <c r="W283" s="2">
        <v>2</v>
      </c>
      <c r="X283" s="2">
        <v>19</v>
      </c>
      <c r="Y283" s="2">
        <v>0</v>
      </c>
      <c r="Z283" s="2">
        <v>1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</v>
      </c>
      <c r="AG283" s="2">
        <v>0</v>
      </c>
      <c r="AH283" s="2">
        <v>0</v>
      </c>
      <c r="AI283" s="4">
        <f>Table2121418198598102[[#This Row],[QB PY]]+Table2121418198598102[[#This Row],[QB RY]]</f>
        <v>273</v>
      </c>
      <c r="AJ283" s="4">
        <f>Table2121418198598102[[#This Row],[RB1 RY]]+Table2121418198598102[[#This Row],[RB2+ RY]]+Table2121418198598102[[#This Row],[RB1 RecY]]+Table2121418198598102[[#This Row],[RB2 RecY]]</f>
        <v>61</v>
      </c>
    </row>
    <row r="284" spans="1:36" x14ac:dyDescent="0.35">
      <c r="A284" s="19" t="s">
        <v>38</v>
      </c>
      <c r="B284" s="1">
        <v>18</v>
      </c>
      <c r="C284" s="2">
        <v>286</v>
      </c>
      <c r="D284" s="2">
        <v>2</v>
      </c>
      <c r="E284" s="2">
        <v>21</v>
      </c>
      <c r="F284" s="2">
        <v>26</v>
      </c>
      <c r="G284" s="2">
        <v>34</v>
      </c>
      <c r="H284" s="2">
        <v>-5</v>
      </c>
      <c r="I284" s="2">
        <v>2</v>
      </c>
      <c r="J284" s="2">
        <v>13</v>
      </c>
      <c r="K284" s="2">
        <v>2</v>
      </c>
      <c r="L284" s="2">
        <v>24</v>
      </c>
      <c r="M284" s="2">
        <v>2</v>
      </c>
      <c r="N284" s="2">
        <v>11</v>
      </c>
      <c r="O284" s="2">
        <v>4</v>
      </c>
      <c r="P284" s="2">
        <v>132</v>
      </c>
      <c r="Q284" s="2">
        <v>4</v>
      </c>
      <c r="R284" s="2">
        <v>61</v>
      </c>
      <c r="S284" s="2">
        <v>0</v>
      </c>
      <c r="T284" s="2">
        <v>0</v>
      </c>
      <c r="U284" s="2">
        <v>5</v>
      </c>
      <c r="V284" s="2">
        <v>26</v>
      </c>
      <c r="W284" s="2">
        <v>4</v>
      </c>
      <c r="X284" s="2">
        <v>19</v>
      </c>
      <c r="Y284" s="2">
        <v>1</v>
      </c>
      <c r="Z284" s="2">
        <v>0</v>
      </c>
      <c r="AA284" s="2">
        <v>0</v>
      </c>
      <c r="AB284" s="2">
        <v>0</v>
      </c>
      <c r="AC284" s="2">
        <v>2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4">
        <f>Table2121418198598102[[#This Row],[QB PY]]+Table2121418198598102[[#This Row],[QB RY]]</f>
        <v>307</v>
      </c>
      <c r="AJ284" s="4">
        <f>Table2121418198598102[[#This Row],[RB1 RY]]+Table2121418198598102[[#This Row],[RB2+ RY]]+Table2121418198598102[[#This Row],[RB1 RecY]]+Table2121418198598102[[#This Row],[RB2 RecY]]</f>
        <v>97</v>
      </c>
    </row>
    <row r="285" spans="1:36" x14ac:dyDescent="0.35">
      <c r="B285" s="1" t="s">
        <v>57</v>
      </c>
      <c r="C285" s="3">
        <f>AVERAGE(Table2121418198598102[QB PY])</f>
        <v>205.05882352941177</v>
      </c>
      <c r="D285" s="3">
        <f>AVERAGE(Table2121418198598102[P TD])</f>
        <v>1.1764705882352942</v>
      </c>
      <c r="E285" s="3">
        <f>AVERAGE(Table2121418198598102[QB RY])</f>
        <v>19.647058823529413</v>
      </c>
      <c r="F285" s="3">
        <f>AVERAGE(Table2121418198598102[RB1 RY])</f>
        <v>58.352941176470587</v>
      </c>
      <c r="G285" s="3">
        <f>AVERAGE(Table2121418198598102[RB2+ RY])</f>
        <v>15.176470588235293</v>
      </c>
      <c r="H285" s="3">
        <f>AVERAGE(Table2121418198598102[WR RY])</f>
        <v>0.52941176470588236</v>
      </c>
      <c r="I285" s="3">
        <f>AVERAGE(Table2121418198598102[RB1 Recep])</f>
        <v>2.4705882352941178</v>
      </c>
      <c r="J285" s="3">
        <f>AVERAGE(Table2121418198598102[RB1 RecY])</f>
        <v>19.176470588235293</v>
      </c>
      <c r="K285" s="3">
        <f>AVERAGE(Table2121418198598102[RB2 Recep])</f>
        <v>1.7647058823529411</v>
      </c>
      <c r="L285" s="3">
        <f>AVERAGE(Table2121418198598102[RB2 RecY])</f>
        <v>12.647058823529411</v>
      </c>
      <c r="M285" s="3">
        <f>AVERAGE(Table2121418198598102[WR1 Recep])</f>
        <v>3.9411764705882355</v>
      </c>
      <c r="N285" s="3">
        <f>AVERAGE(Table2121418198598102[WR1 RecY])</f>
        <v>52.294117647058826</v>
      </c>
      <c r="O285" s="3">
        <f>AVERAGE(Table2121418198598102[WR2 Recep])</f>
        <v>2.7058823529411766</v>
      </c>
      <c r="P285" s="3">
        <f>AVERAGE(Table2121418198598102[WR2 RecY])</f>
        <v>44.058823529411768</v>
      </c>
      <c r="Q285" s="3">
        <f>AVERAGE(Table2121418198598102[WR3 Recep])</f>
        <v>1.7058823529411764</v>
      </c>
      <c r="R285" s="3">
        <f>AVERAGE(Table2121418198598102[WR3 RecY])</f>
        <v>21</v>
      </c>
      <c r="S285" s="3">
        <f>AVERAGE(Table2121418198598102[WR4+ Recep])</f>
        <v>1</v>
      </c>
      <c r="T285" s="3">
        <f>AVERAGE(Table2121418198598102[WR4+ RecY])</f>
        <v>11.058823529411764</v>
      </c>
      <c r="U285" s="3">
        <f>AVERAGE(Table2121418198598102[TE1 Recep])</f>
        <v>3.3529411764705883</v>
      </c>
      <c r="V285" s="3">
        <f>AVERAGE(Table2121418198598102[TE1 RecY])</f>
        <v>32.882352941176471</v>
      </c>
      <c r="W285" s="3">
        <f>AVERAGE(Table2121418198598102[TE2 Recep])</f>
        <v>1.8823529411764706</v>
      </c>
      <c r="X285" s="3">
        <f>AVERAGE(Table2121418198598102[TE2 RecY])</f>
        <v>11.941176470588236</v>
      </c>
      <c r="Y285" s="3">
        <f>AVERAGE(Table2121418198598102[QB TD])</f>
        <v>5.8823529411764705E-2</v>
      </c>
      <c r="Z285" s="3">
        <f>AVERAGE(Table2121418198598102[RB1 TD])</f>
        <v>0.52941176470588236</v>
      </c>
      <c r="AA285" s="3">
        <f>AVERAGE(Table2121418198598102[RB2 TD])</f>
        <v>0.29411764705882354</v>
      </c>
      <c r="AB285" s="3">
        <f>AVERAGE(Table2121418198598102[WR1 TD])</f>
        <v>0.17647058823529413</v>
      </c>
      <c r="AC285" s="3">
        <f>AVERAGE(Table2121418198598102[WR2 TD])</f>
        <v>0.35294117647058826</v>
      </c>
      <c r="AD285" s="3">
        <f>AVERAGE(Table2121418198598102[WR3 TD])</f>
        <v>0</v>
      </c>
      <c r="AE285" s="3">
        <f>AVERAGE(Table2121418198598102[WR4+ TD])</f>
        <v>5.8823529411764705E-2</v>
      </c>
      <c r="AF285" s="3">
        <f>AVERAGE(Table2121418198598102[TE1 TD])</f>
        <v>0.41176470588235292</v>
      </c>
      <c r="AG285" s="3">
        <f>AVERAGE(Table2121418198598102[TE2 TD])</f>
        <v>5.8823529411764705E-2</v>
      </c>
      <c r="AH285" s="3">
        <f>AVERAGE(Table2121418198598102[D/ST TD])</f>
        <v>0.11764705882352941</v>
      </c>
      <c r="AI285" s="3">
        <f>AVERAGE(Table2121418198598102[QB P+R])</f>
        <v>224.70588235294119</v>
      </c>
      <c r="AJ285" s="3">
        <f>AVERAGE(Table2121418198598102[RB R+R])</f>
        <v>105.35294117647059</v>
      </c>
    </row>
    <row r="287" spans="1:36" x14ac:dyDescent="0.35">
      <c r="A287" s="230" t="s">
        <v>38</v>
      </c>
      <c r="B287" s="230"/>
      <c r="C287" s="230"/>
      <c r="D287" s="230"/>
      <c r="E287" s="230"/>
      <c r="F287" s="230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  <c r="AI287" s="230"/>
      <c r="AJ287" s="230"/>
    </row>
    <row r="288" spans="1:36" x14ac:dyDescent="0.35">
      <c r="A288" s="20" t="s">
        <v>63</v>
      </c>
      <c r="B288" s="6" t="s">
        <v>1</v>
      </c>
      <c r="C288" s="7" t="s">
        <v>18</v>
      </c>
      <c r="D288" s="8" t="s">
        <v>19</v>
      </c>
      <c r="E288" s="9" t="s">
        <v>20</v>
      </c>
      <c r="F288" s="10" t="s">
        <v>21</v>
      </c>
      <c r="G288" s="11" t="s">
        <v>22</v>
      </c>
      <c r="H288" s="12" t="s">
        <v>23</v>
      </c>
      <c r="I288" s="13" t="s">
        <v>667</v>
      </c>
      <c r="J288" s="13" t="s">
        <v>668</v>
      </c>
      <c r="K288" s="13" t="s">
        <v>665</v>
      </c>
      <c r="L288" s="13" t="s">
        <v>666</v>
      </c>
      <c r="M288" s="14" t="s">
        <v>2</v>
      </c>
      <c r="N288" s="14" t="s">
        <v>24</v>
      </c>
      <c r="O288" s="15" t="s">
        <v>3</v>
      </c>
      <c r="P288" s="15" t="s">
        <v>25</v>
      </c>
      <c r="Q288" s="16" t="s">
        <v>4</v>
      </c>
      <c r="R288" s="16" t="s">
        <v>26</v>
      </c>
      <c r="S288" s="17" t="s">
        <v>5</v>
      </c>
      <c r="T288" s="17" t="s">
        <v>27</v>
      </c>
      <c r="U288" s="18" t="s">
        <v>669</v>
      </c>
      <c r="V288" s="18" t="s">
        <v>670</v>
      </c>
      <c r="W288" s="18" t="s">
        <v>675</v>
      </c>
      <c r="X288" s="18" t="s">
        <v>671</v>
      </c>
      <c r="Y288" s="6" t="s">
        <v>6</v>
      </c>
      <c r="Z288" s="6" t="s">
        <v>7</v>
      </c>
      <c r="AA288" s="6" t="s">
        <v>674</v>
      </c>
      <c r="AB288" s="6" t="s">
        <v>8</v>
      </c>
      <c r="AC288" s="6" t="s">
        <v>9</v>
      </c>
      <c r="AD288" s="6" t="s">
        <v>10</v>
      </c>
      <c r="AE288" s="6" t="s">
        <v>11</v>
      </c>
      <c r="AF288" s="6" t="s">
        <v>673</v>
      </c>
      <c r="AG288" s="6" t="s">
        <v>672</v>
      </c>
      <c r="AH288" s="6" t="s">
        <v>12</v>
      </c>
      <c r="AI288" s="8" t="s">
        <v>14</v>
      </c>
      <c r="AJ288" s="11" t="s">
        <v>13</v>
      </c>
    </row>
    <row r="289" spans="1:36" x14ac:dyDescent="0.35">
      <c r="A289" s="19" t="s">
        <v>44</v>
      </c>
      <c r="B289" s="5">
        <v>1</v>
      </c>
      <c r="C289" s="4">
        <v>146</v>
      </c>
      <c r="D289" s="4">
        <v>1</v>
      </c>
      <c r="E289" s="4">
        <v>10</v>
      </c>
      <c r="F289" s="4">
        <v>55</v>
      </c>
      <c r="G289" s="4">
        <v>4</v>
      </c>
      <c r="H289" s="4">
        <v>9</v>
      </c>
      <c r="I289" s="4">
        <v>3</v>
      </c>
      <c r="J289" s="4">
        <v>20</v>
      </c>
      <c r="K289" s="4">
        <v>2</v>
      </c>
      <c r="L289" s="4">
        <v>0</v>
      </c>
      <c r="M289" s="4">
        <v>4</v>
      </c>
      <c r="N289" s="4">
        <v>40</v>
      </c>
      <c r="O289" s="4">
        <v>4</v>
      </c>
      <c r="P289" s="4">
        <v>30</v>
      </c>
      <c r="Q289" s="4">
        <v>2</v>
      </c>
      <c r="R289" s="4">
        <v>20</v>
      </c>
      <c r="S289" s="4">
        <v>2</v>
      </c>
      <c r="T289" s="4">
        <v>16</v>
      </c>
      <c r="U289" s="4">
        <v>2</v>
      </c>
      <c r="V289" s="4">
        <v>20</v>
      </c>
      <c r="W289" s="4">
        <v>0</v>
      </c>
      <c r="X289" s="4">
        <v>0</v>
      </c>
      <c r="Y289" s="4">
        <v>0</v>
      </c>
      <c r="Z289" s="4">
        <v>1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f>Table2121418198598103[[#This Row],[QB PY]]+Table2121418198598103[[#This Row],[QB RY]]</f>
        <v>156</v>
      </c>
      <c r="AJ289" s="4">
        <f>Table2121418198598103[[#This Row],[RB1 RY]]+Table2121418198598103[[#This Row],[RB2+ RY]]+Table2121418198598103[[#This Row],[RB1 RecY]]+Table2121418198598103[[#This Row],[RB2 RecY]]</f>
        <v>79</v>
      </c>
    </row>
    <row r="290" spans="1:36" x14ac:dyDescent="0.35">
      <c r="A290" s="19" t="s">
        <v>34</v>
      </c>
      <c r="B290" s="1">
        <v>2</v>
      </c>
      <c r="C290" s="2">
        <v>206</v>
      </c>
      <c r="D290" s="2">
        <v>3</v>
      </c>
      <c r="E290" s="2">
        <v>20</v>
      </c>
      <c r="F290" s="2">
        <v>76</v>
      </c>
      <c r="G290" s="2">
        <v>11</v>
      </c>
      <c r="H290" s="2">
        <v>11</v>
      </c>
      <c r="I290" s="2">
        <v>1</v>
      </c>
      <c r="J290" s="2">
        <v>9</v>
      </c>
      <c r="K290" s="2">
        <v>3</v>
      </c>
      <c r="L290" s="2">
        <v>35</v>
      </c>
      <c r="M290" s="2">
        <v>1</v>
      </c>
      <c r="N290" s="2">
        <v>6</v>
      </c>
      <c r="O290" s="2">
        <v>8</v>
      </c>
      <c r="P290" s="2">
        <v>89</v>
      </c>
      <c r="Q290" s="2">
        <v>2</v>
      </c>
      <c r="R290" s="2">
        <v>24</v>
      </c>
      <c r="S290" s="2">
        <v>3</v>
      </c>
      <c r="T290" s="2">
        <v>21</v>
      </c>
      <c r="U290" s="2">
        <v>1</v>
      </c>
      <c r="V290" s="2">
        <v>12</v>
      </c>
      <c r="W290" s="2">
        <v>3</v>
      </c>
      <c r="X290" s="2">
        <v>10</v>
      </c>
      <c r="Y290" s="2">
        <v>0</v>
      </c>
      <c r="Z290" s="2">
        <v>1</v>
      </c>
      <c r="AA290" s="2">
        <v>0</v>
      </c>
      <c r="AB290" s="2">
        <v>0</v>
      </c>
      <c r="AC290" s="2">
        <v>1</v>
      </c>
      <c r="AD290" s="2">
        <v>1</v>
      </c>
      <c r="AE290" s="2">
        <v>0</v>
      </c>
      <c r="AF290" s="2">
        <v>0</v>
      </c>
      <c r="AG290" s="2">
        <v>1</v>
      </c>
      <c r="AH290" s="2">
        <v>0</v>
      </c>
      <c r="AI290" s="4">
        <f>Table2121418198598103[[#This Row],[QB PY]]+Table2121418198598103[[#This Row],[QB RY]]</f>
        <v>226</v>
      </c>
      <c r="AJ290" s="4">
        <f>Table2121418198598103[[#This Row],[RB1 RY]]+Table2121418198598103[[#This Row],[RB2+ RY]]+Table2121418198598103[[#This Row],[RB1 RecY]]+Table2121418198598103[[#This Row],[RB2 RecY]]</f>
        <v>131</v>
      </c>
    </row>
    <row r="291" spans="1:36" x14ac:dyDescent="0.35">
      <c r="A291" s="19" t="s">
        <v>55</v>
      </c>
      <c r="B291" s="1">
        <v>3</v>
      </c>
      <c r="C291" s="2">
        <v>219</v>
      </c>
      <c r="D291" s="2">
        <v>1</v>
      </c>
      <c r="E291" s="2">
        <v>12</v>
      </c>
      <c r="F291" s="2">
        <v>45</v>
      </c>
      <c r="G291" s="2">
        <v>26</v>
      </c>
      <c r="H291" s="2">
        <v>3</v>
      </c>
      <c r="I291" s="2">
        <v>2</v>
      </c>
      <c r="J291" s="2">
        <v>14</v>
      </c>
      <c r="K291" s="2">
        <v>0</v>
      </c>
      <c r="L291" s="2">
        <v>0</v>
      </c>
      <c r="M291" s="2">
        <v>1</v>
      </c>
      <c r="N291" s="2">
        <v>27</v>
      </c>
      <c r="O291" s="2">
        <v>4</v>
      </c>
      <c r="P291" s="2">
        <v>38</v>
      </c>
      <c r="Q291" s="2">
        <v>4</v>
      </c>
      <c r="R291" s="2">
        <v>37</v>
      </c>
      <c r="S291" s="2">
        <v>4</v>
      </c>
      <c r="T291" s="2">
        <v>10</v>
      </c>
      <c r="U291" s="2">
        <v>5</v>
      </c>
      <c r="V291" s="2">
        <v>66</v>
      </c>
      <c r="W291" s="2">
        <v>3</v>
      </c>
      <c r="X291" s="2">
        <v>27</v>
      </c>
      <c r="Y291" s="2">
        <v>0</v>
      </c>
      <c r="Z291" s="2">
        <v>1</v>
      </c>
      <c r="AA291" s="2">
        <v>0</v>
      </c>
      <c r="AB291" s="2">
        <v>0</v>
      </c>
      <c r="AC291" s="2">
        <v>1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4">
        <f>Table2121418198598103[[#This Row],[QB PY]]+Table2121418198598103[[#This Row],[QB RY]]</f>
        <v>231</v>
      </c>
      <c r="AJ291" s="4">
        <f>Table2121418198598103[[#This Row],[RB1 RY]]+Table2121418198598103[[#This Row],[RB2+ RY]]+Table2121418198598103[[#This Row],[RB1 RecY]]+Table2121418198598103[[#This Row],[RB2 RecY]]</f>
        <v>85</v>
      </c>
    </row>
    <row r="292" spans="1:36" x14ac:dyDescent="0.35">
      <c r="A292" s="19" t="s">
        <v>42</v>
      </c>
      <c r="B292" s="1">
        <v>4</v>
      </c>
      <c r="C292" s="2">
        <v>375</v>
      </c>
      <c r="D292" s="2">
        <v>3</v>
      </c>
      <c r="E292" s="2">
        <v>4</v>
      </c>
      <c r="F292" s="2">
        <v>77</v>
      </c>
      <c r="G292" s="2">
        <v>21</v>
      </c>
      <c r="H292" s="2">
        <v>0</v>
      </c>
      <c r="I292" s="2">
        <v>3</v>
      </c>
      <c r="J292" s="2">
        <v>17</v>
      </c>
      <c r="K292" s="2">
        <v>2</v>
      </c>
      <c r="L292" s="2">
        <v>-5</v>
      </c>
      <c r="M292" s="2">
        <v>13</v>
      </c>
      <c r="N292" s="2">
        <v>170</v>
      </c>
      <c r="O292" s="2">
        <v>4</v>
      </c>
      <c r="P292" s="2">
        <v>56</v>
      </c>
      <c r="Q292" s="2">
        <v>1</v>
      </c>
      <c r="R292" s="2">
        <v>88</v>
      </c>
      <c r="S292" s="2">
        <v>1</v>
      </c>
      <c r="T292" s="2">
        <v>7</v>
      </c>
      <c r="U292" s="2">
        <v>2</v>
      </c>
      <c r="V292" s="2">
        <v>25</v>
      </c>
      <c r="W292" s="2">
        <v>3</v>
      </c>
      <c r="X292" s="2">
        <v>17</v>
      </c>
      <c r="Y292" s="2">
        <v>0</v>
      </c>
      <c r="Z292" s="2">
        <v>0</v>
      </c>
      <c r="AA292" s="2">
        <v>0</v>
      </c>
      <c r="AB292" s="2">
        <v>1</v>
      </c>
      <c r="AC292" s="2">
        <v>1</v>
      </c>
      <c r="AD292" s="2">
        <v>1</v>
      </c>
      <c r="AE292" s="2">
        <v>0</v>
      </c>
      <c r="AF292" s="2">
        <v>0</v>
      </c>
      <c r="AG292" s="2">
        <v>0</v>
      </c>
      <c r="AH292" s="2">
        <v>0</v>
      </c>
      <c r="AI292" s="4">
        <f>Table2121418198598103[[#This Row],[QB PY]]+Table2121418198598103[[#This Row],[QB RY]]</f>
        <v>379</v>
      </c>
      <c r="AJ292" s="4">
        <f>Table2121418198598103[[#This Row],[RB1 RY]]+Table2121418198598103[[#This Row],[RB2+ RY]]+Table2121418198598103[[#This Row],[RB1 RecY]]+Table2121418198598103[[#This Row],[RB2 RecY]]</f>
        <v>110</v>
      </c>
    </row>
    <row r="293" spans="1:36" x14ac:dyDescent="0.35">
      <c r="A293" s="19" t="s">
        <v>43</v>
      </c>
      <c r="B293" s="1">
        <v>5</v>
      </c>
      <c r="C293" s="2">
        <v>228</v>
      </c>
      <c r="D293" s="2">
        <v>0</v>
      </c>
      <c r="E293" s="2">
        <v>8</v>
      </c>
      <c r="F293" s="2">
        <v>67</v>
      </c>
      <c r="G293" s="2">
        <v>22</v>
      </c>
      <c r="H293" s="2">
        <v>9</v>
      </c>
      <c r="I293" s="2">
        <v>5</v>
      </c>
      <c r="J293" s="2">
        <v>42</v>
      </c>
      <c r="K293" s="2">
        <v>0</v>
      </c>
      <c r="L293" s="2">
        <v>0</v>
      </c>
      <c r="M293" s="2">
        <v>4</v>
      </c>
      <c r="N293" s="2">
        <v>32</v>
      </c>
      <c r="O293" s="2">
        <v>4</v>
      </c>
      <c r="P293" s="2">
        <v>62</v>
      </c>
      <c r="Q293" s="2">
        <v>3</v>
      </c>
      <c r="R293" s="2">
        <v>27</v>
      </c>
      <c r="S293" s="2">
        <v>3</v>
      </c>
      <c r="T293" s="2">
        <v>20</v>
      </c>
      <c r="U293" s="2">
        <v>5</v>
      </c>
      <c r="V293" s="2">
        <v>36</v>
      </c>
      <c r="W293" s="2">
        <v>1</v>
      </c>
      <c r="X293" s="2">
        <v>9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4">
        <f>Table2121418198598103[[#This Row],[QB PY]]+Table2121418198598103[[#This Row],[QB RY]]</f>
        <v>236</v>
      </c>
      <c r="AJ293" s="4">
        <f>Table2121418198598103[[#This Row],[RB1 RY]]+Table2121418198598103[[#This Row],[RB2+ RY]]+Table2121418198598103[[#This Row],[RB1 RecY]]+Table2121418198598103[[#This Row],[RB2 RecY]]</f>
        <v>131</v>
      </c>
    </row>
    <row r="294" spans="1:36" x14ac:dyDescent="0.35">
      <c r="A294" s="19" t="s">
        <v>0</v>
      </c>
      <c r="B294" s="1">
        <v>6</v>
      </c>
      <c r="C294" s="2">
        <v>320</v>
      </c>
      <c r="D294" s="2">
        <v>2</v>
      </c>
      <c r="E294" s="2">
        <v>19</v>
      </c>
      <c r="F294" s="2">
        <v>34</v>
      </c>
      <c r="G294" s="2">
        <v>35</v>
      </c>
      <c r="H294" s="2">
        <v>0</v>
      </c>
      <c r="I294" s="2">
        <v>2</v>
      </c>
      <c r="J294" s="2">
        <v>30</v>
      </c>
      <c r="K294" s="2">
        <v>1</v>
      </c>
      <c r="L294" s="2">
        <v>20</v>
      </c>
      <c r="M294" s="2">
        <v>2</v>
      </c>
      <c r="N294" s="2">
        <v>32</v>
      </c>
      <c r="O294" s="2">
        <v>4</v>
      </c>
      <c r="P294" s="2">
        <v>44</v>
      </c>
      <c r="Q294" s="2">
        <v>5</v>
      </c>
      <c r="R294" s="2">
        <v>79</v>
      </c>
      <c r="S294" s="2">
        <v>3</v>
      </c>
      <c r="T294" s="2">
        <v>9</v>
      </c>
      <c r="U294" s="2">
        <v>8</v>
      </c>
      <c r="V294" s="2">
        <v>72</v>
      </c>
      <c r="W294" s="2">
        <v>2</v>
      </c>
      <c r="X294" s="2">
        <v>34</v>
      </c>
      <c r="Y294" s="2">
        <v>0</v>
      </c>
      <c r="Z294" s="2">
        <v>0</v>
      </c>
      <c r="AA294" s="2">
        <v>1</v>
      </c>
      <c r="AB294" s="2">
        <v>0</v>
      </c>
      <c r="AC294" s="2">
        <v>0</v>
      </c>
      <c r="AD294" s="2">
        <v>0</v>
      </c>
      <c r="AE294" s="2">
        <v>1</v>
      </c>
      <c r="AF294" s="2">
        <v>1</v>
      </c>
      <c r="AG294" s="2">
        <v>0</v>
      </c>
      <c r="AH294" s="2">
        <v>0</v>
      </c>
      <c r="AI294" s="4">
        <f>Table2121418198598103[[#This Row],[QB PY]]+Table2121418198598103[[#This Row],[QB RY]]</f>
        <v>339</v>
      </c>
      <c r="AJ294" s="4">
        <f>Table2121418198598103[[#This Row],[RB1 RY]]+Table2121418198598103[[#This Row],[RB2+ RY]]+Table2121418198598103[[#This Row],[RB1 RecY]]+Table2121418198598103[[#This Row],[RB2 RecY]]</f>
        <v>119</v>
      </c>
    </row>
    <row r="295" spans="1:36" x14ac:dyDescent="0.35">
      <c r="A295" s="19" t="s">
        <v>41</v>
      </c>
      <c r="B295" s="1">
        <v>7</v>
      </c>
      <c r="C295" s="2">
        <v>420</v>
      </c>
      <c r="D295" s="2">
        <v>3</v>
      </c>
      <c r="E295" s="2">
        <v>31</v>
      </c>
      <c r="F295" s="2">
        <v>20</v>
      </c>
      <c r="G295" s="2">
        <v>3</v>
      </c>
      <c r="H295" s="2">
        <v>0</v>
      </c>
      <c r="I295" s="2">
        <v>4</v>
      </c>
      <c r="J295" s="2">
        <v>15</v>
      </c>
      <c r="K295" s="2">
        <v>2</v>
      </c>
      <c r="L295" s="2">
        <v>2</v>
      </c>
      <c r="M295" s="2">
        <v>9</v>
      </c>
      <c r="N295" s="2">
        <v>67</v>
      </c>
      <c r="O295" s="2">
        <v>2</v>
      </c>
      <c r="P295" s="2">
        <v>30</v>
      </c>
      <c r="Q295" s="2">
        <v>11</v>
      </c>
      <c r="R295" s="2">
        <v>119</v>
      </c>
      <c r="S295" s="2">
        <v>2</v>
      </c>
      <c r="T295" s="2">
        <v>23</v>
      </c>
      <c r="U295" s="2">
        <v>7</v>
      </c>
      <c r="V295" s="2">
        <v>164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1</v>
      </c>
      <c r="AD295" s="2">
        <v>1</v>
      </c>
      <c r="AE295" s="2">
        <v>0</v>
      </c>
      <c r="AF295" s="2">
        <v>1</v>
      </c>
      <c r="AG295" s="2">
        <v>0</v>
      </c>
      <c r="AH295" s="2">
        <v>0</v>
      </c>
      <c r="AI295" s="4">
        <f>Table2121418198598103[[#This Row],[QB PY]]+Table2121418198598103[[#This Row],[QB RY]]</f>
        <v>451</v>
      </c>
      <c r="AJ295" s="4">
        <f>Table2121418198598103[[#This Row],[RB1 RY]]+Table2121418198598103[[#This Row],[RB2+ RY]]+Table2121418198598103[[#This Row],[RB1 RecY]]+Table2121418198598103[[#This Row],[RB2 RecY]]</f>
        <v>40</v>
      </c>
    </row>
    <row r="296" spans="1:36" x14ac:dyDescent="0.35">
      <c r="A296" s="19" t="s">
        <v>55</v>
      </c>
      <c r="B296" s="1">
        <v>8</v>
      </c>
      <c r="C296" s="2">
        <v>259</v>
      </c>
      <c r="D296" s="2">
        <v>1</v>
      </c>
      <c r="E296" s="2">
        <v>4</v>
      </c>
      <c r="F296" s="2">
        <v>44</v>
      </c>
      <c r="G296" s="2">
        <v>64</v>
      </c>
      <c r="H296" s="2">
        <v>1</v>
      </c>
      <c r="I296" s="2">
        <v>1</v>
      </c>
      <c r="J296" s="2">
        <v>9</v>
      </c>
      <c r="K296" s="2">
        <v>3</v>
      </c>
      <c r="L296" s="2">
        <v>23</v>
      </c>
      <c r="M296" s="2">
        <v>4</v>
      </c>
      <c r="N296" s="2">
        <v>52</v>
      </c>
      <c r="O296" s="2">
        <v>7</v>
      </c>
      <c r="P296" s="2">
        <v>93</v>
      </c>
      <c r="Q296" s="2">
        <v>1</v>
      </c>
      <c r="R296" s="2">
        <v>6</v>
      </c>
      <c r="S296" s="2">
        <v>0</v>
      </c>
      <c r="T296" s="2">
        <v>0</v>
      </c>
      <c r="U296" s="2">
        <v>4</v>
      </c>
      <c r="V296" s="2">
        <v>53</v>
      </c>
      <c r="W296" s="2">
        <v>2</v>
      </c>
      <c r="X296" s="2">
        <v>23</v>
      </c>
      <c r="Y296" s="2">
        <v>0</v>
      </c>
      <c r="Z296" s="2">
        <v>0</v>
      </c>
      <c r="AA296" s="2">
        <v>1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1</v>
      </c>
      <c r="AH296" s="2">
        <v>0</v>
      </c>
      <c r="AI296" s="4">
        <f>Table2121418198598103[[#This Row],[QB PY]]+Table2121418198598103[[#This Row],[QB RY]]</f>
        <v>263</v>
      </c>
      <c r="AJ296" s="4">
        <f>Table2121418198598103[[#This Row],[RB1 RY]]+Table2121418198598103[[#This Row],[RB2+ RY]]+Table2121418198598103[[#This Row],[RB1 RecY]]+Table2121418198598103[[#This Row],[RB2 RecY]]</f>
        <v>140</v>
      </c>
    </row>
    <row r="297" spans="1:36" x14ac:dyDescent="0.35">
      <c r="A297" s="19" t="s">
        <v>51</v>
      </c>
      <c r="B297" s="1">
        <v>9</v>
      </c>
      <c r="C297" s="2">
        <v>203</v>
      </c>
      <c r="D297" s="2">
        <v>1</v>
      </c>
      <c r="E297" s="2">
        <v>0</v>
      </c>
      <c r="F297" s="2">
        <v>31</v>
      </c>
      <c r="G297" s="2">
        <v>3</v>
      </c>
      <c r="H297" s="2">
        <v>4</v>
      </c>
      <c r="I297" s="2">
        <v>2</v>
      </c>
      <c r="J297" s="2">
        <v>-2</v>
      </c>
      <c r="K297" s="2">
        <v>5</v>
      </c>
      <c r="L297" s="2">
        <v>44</v>
      </c>
      <c r="M297" s="2">
        <v>2</v>
      </c>
      <c r="N297" s="2">
        <v>6</v>
      </c>
      <c r="O297" s="2">
        <v>5</v>
      </c>
      <c r="P297" s="2">
        <v>56</v>
      </c>
      <c r="Q297" s="2">
        <v>1</v>
      </c>
      <c r="R297" s="2">
        <v>4</v>
      </c>
      <c r="S297" s="2">
        <v>0</v>
      </c>
      <c r="T297" s="2">
        <v>0</v>
      </c>
      <c r="U297" s="2">
        <v>3</v>
      </c>
      <c r="V297" s="2">
        <v>25</v>
      </c>
      <c r="W297" s="2">
        <v>7</v>
      </c>
      <c r="X297" s="2">
        <v>70</v>
      </c>
      <c r="Y297" s="2">
        <v>0</v>
      </c>
      <c r="Z297" s="2">
        <v>2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1</v>
      </c>
      <c r="AH297" s="2">
        <v>0</v>
      </c>
      <c r="AI297" s="4">
        <f>Table2121418198598103[[#This Row],[QB PY]]+Table2121418198598103[[#This Row],[QB RY]]</f>
        <v>203</v>
      </c>
      <c r="AJ297" s="4">
        <f>Table2121418198598103[[#This Row],[RB1 RY]]+Table2121418198598103[[#This Row],[RB2+ RY]]+Table2121418198598103[[#This Row],[RB1 RecY]]+Table2121418198598103[[#This Row],[RB2 RecY]]</f>
        <v>76</v>
      </c>
    </row>
    <row r="298" spans="1:36" x14ac:dyDescent="0.35">
      <c r="A298" s="19" t="s">
        <v>15</v>
      </c>
      <c r="B298" s="1">
        <v>10</v>
      </c>
      <c r="C298" s="2">
        <v>177</v>
      </c>
      <c r="D298" s="2">
        <v>1</v>
      </c>
      <c r="E298" s="2">
        <v>-1</v>
      </c>
      <c r="F298" s="2">
        <v>84</v>
      </c>
      <c r="G298" s="2">
        <v>57</v>
      </c>
      <c r="H298" s="2">
        <v>0</v>
      </c>
      <c r="I298" s="2">
        <v>2</v>
      </c>
      <c r="J298" s="2">
        <v>4</v>
      </c>
      <c r="K298" s="2">
        <v>0</v>
      </c>
      <c r="L298" s="2">
        <v>0</v>
      </c>
      <c r="M298" s="2">
        <v>6</v>
      </c>
      <c r="N298" s="2">
        <v>104</v>
      </c>
      <c r="O298" s="2">
        <v>1</v>
      </c>
      <c r="P298" s="2">
        <v>17</v>
      </c>
      <c r="Q298" s="2">
        <v>0</v>
      </c>
      <c r="R298" s="2">
        <v>0</v>
      </c>
      <c r="S298" s="2">
        <v>0</v>
      </c>
      <c r="T298" s="2">
        <v>0</v>
      </c>
      <c r="U298" s="2">
        <v>2</v>
      </c>
      <c r="V298" s="2">
        <v>38</v>
      </c>
      <c r="W298" s="2">
        <v>1</v>
      </c>
      <c r="X298" s="2">
        <v>14</v>
      </c>
      <c r="Y298" s="2">
        <v>0</v>
      </c>
      <c r="Z298" s="2">
        <v>0</v>
      </c>
      <c r="AA298" s="2">
        <v>2</v>
      </c>
      <c r="AB298" s="2">
        <v>1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4">
        <f>Table2121418198598103[[#This Row],[QB PY]]+Table2121418198598103[[#This Row],[QB RY]]</f>
        <v>176</v>
      </c>
      <c r="AJ298" s="4">
        <f>Table2121418198598103[[#This Row],[RB1 RY]]+Table2121418198598103[[#This Row],[RB2+ RY]]+Table2121418198598103[[#This Row],[RB1 RecY]]+Table2121418198598103[[#This Row],[RB2 RecY]]</f>
        <v>145</v>
      </c>
    </row>
    <row r="299" spans="1:36" x14ac:dyDescent="0.35">
      <c r="A299" s="19" t="s">
        <v>650</v>
      </c>
      <c r="B299" s="1">
        <v>11</v>
      </c>
      <c r="C299" s="2" t="s">
        <v>697</v>
      </c>
      <c r="D299" s="2" t="s">
        <v>697</v>
      </c>
      <c r="E299" s="2" t="s">
        <v>697</v>
      </c>
      <c r="F299" s="2" t="s">
        <v>697</v>
      </c>
      <c r="G299" s="2" t="s">
        <v>697</v>
      </c>
      <c r="H299" s="2" t="s">
        <v>697</v>
      </c>
      <c r="I299" s="2" t="s">
        <v>697</v>
      </c>
      <c r="J299" s="2" t="s">
        <v>697</v>
      </c>
      <c r="K299" s="2" t="s">
        <v>697</v>
      </c>
      <c r="L299" s="2" t="s">
        <v>697</v>
      </c>
      <c r="M299" s="2" t="s">
        <v>697</v>
      </c>
      <c r="N299" s="2" t="s">
        <v>697</v>
      </c>
      <c r="O299" s="2" t="s">
        <v>697</v>
      </c>
      <c r="P299" s="2" t="s">
        <v>697</v>
      </c>
      <c r="Q299" s="2" t="s">
        <v>697</v>
      </c>
      <c r="R299" s="2" t="s">
        <v>697</v>
      </c>
      <c r="S299" s="2" t="s">
        <v>697</v>
      </c>
      <c r="T299" s="2" t="s">
        <v>697</v>
      </c>
      <c r="U299" s="2" t="s">
        <v>697</v>
      </c>
      <c r="V299" s="2" t="s">
        <v>697</v>
      </c>
      <c r="W299" s="2" t="s">
        <v>697</v>
      </c>
      <c r="X299" s="2" t="s">
        <v>697</v>
      </c>
      <c r="Y299" s="2" t="s">
        <v>697</v>
      </c>
      <c r="Z299" s="2" t="s">
        <v>697</v>
      </c>
      <c r="AA299" s="2" t="s">
        <v>697</v>
      </c>
      <c r="AB299" s="2" t="s">
        <v>697</v>
      </c>
      <c r="AC299" s="2" t="s">
        <v>697</v>
      </c>
      <c r="AD299" s="2" t="s">
        <v>697</v>
      </c>
      <c r="AE299" s="2" t="s">
        <v>697</v>
      </c>
      <c r="AF299" s="2" t="s">
        <v>697</v>
      </c>
      <c r="AG299" s="2" t="s">
        <v>697</v>
      </c>
      <c r="AH299" s="2" t="s">
        <v>697</v>
      </c>
      <c r="AI299" s="4" t="s">
        <v>697</v>
      </c>
      <c r="AJ299" s="4" t="s">
        <v>697</v>
      </c>
    </row>
    <row r="300" spans="1:36" x14ac:dyDescent="0.35">
      <c r="A300" s="19" t="s">
        <v>40</v>
      </c>
      <c r="B300" s="1">
        <v>12</v>
      </c>
      <c r="C300" s="2">
        <v>352</v>
      </c>
      <c r="D300" s="2">
        <v>0</v>
      </c>
      <c r="E300" s="2">
        <v>30</v>
      </c>
      <c r="F300" s="2">
        <v>104</v>
      </c>
      <c r="G300" s="2">
        <v>13</v>
      </c>
      <c r="H300" s="2">
        <v>1</v>
      </c>
      <c r="I300" s="2">
        <v>3</v>
      </c>
      <c r="J300" s="2">
        <v>26</v>
      </c>
      <c r="K300" s="2">
        <v>5</v>
      </c>
      <c r="L300" s="2">
        <v>40</v>
      </c>
      <c r="M300" s="2">
        <v>8</v>
      </c>
      <c r="N300" s="2">
        <v>141</v>
      </c>
      <c r="O300" s="2">
        <v>4</v>
      </c>
      <c r="P300" s="2">
        <v>59</v>
      </c>
      <c r="Q300" s="2">
        <v>1</v>
      </c>
      <c r="R300" s="2">
        <v>10</v>
      </c>
      <c r="S300" s="2">
        <v>1</v>
      </c>
      <c r="T300" s="2">
        <v>8</v>
      </c>
      <c r="U300" s="2">
        <v>4</v>
      </c>
      <c r="V300" s="2">
        <v>43</v>
      </c>
      <c r="W300" s="2">
        <v>3</v>
      </c>
      <c r="X300" s="2">
        <v>25</v>
      </c>
      <c r="Y300" s="2">
        <v>0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4">
        <f>Table2121418198598103[[#This Row],[QB PY]]+Table2121418198598103[[#This Row],[QB RY]]</f>
        <v>382</v>
      </c>
      <c r="AJ300" s="4">
        <f>Table2121418198598103[[#This Row],[RB1 RY]]+Table2121418198598103[[#This Row],[RB2+ RY]]+Table2121418198598103[[#This Row],[RB1 RecY]]+Table2121418198598103[[#This Row],[RB2 RecY]]</f>
        <v>183</v>
      </c>
    </row>
    <row r="301" spans="1:36" x14ac:dyDescent="0.35">
      <c r="A301" s="19" t="s">
        <v>37</v>
      </c>
      <c r="B301" s="1">
        <v>13</v>
      </c>
      <c r="C301" s="2">
        <v>276</v>
      </c>
      <c r="D301" s="2">
        <v>0</v>
      </c>
      <c r="E301" s="2">
        <v>0</v>
      </c>
      <c r="F301" s="2">
        <v>64</v>
      </c>
      <c r="G301" s="2">
        <v>34</v>
      </c>
      <c r="H301" s="2">
        <v>10</v>
      </c>
      <c r="I301" s="2">
        <v>1</v>
      </c>
      <c r="J301" s="2">
        <v>3</v>
      </c>
      <c r="K301" s="2">
        <v>0</v>
      </c>
      <c r="L301" s="2">
        <v>0</v>
      </c>
      <c r="M301" s="2">
        <v>5</v>
      </c>
      <c r="N301" s="2">
        <v>98</v>
      </c>
      <c r="O301" s="2">
        <v>5</v>
      </c>
      <c r="P301" s="2">
        <v>65</v>
      </c>
      <c r="Q301" s="2">
        <v>2</v>
      </c>
      <c r="R301" s="2">
        <v>39</v>
      </c>
      <c r="S301" s="2">
        <v>0</v>
      </c>
      <c r="T301" s="2">
        <v>0</v>
      </c>
      <c r="U301" s="2">
        <v>7</v>
      </c>
      <c r="V301" s="2">
        <v>55</v>
      </c>
      <c r="W301" s="2">
        <v>2</v>
      </c>
      <c r="X301" s="2">
        <v>16</v>
      </c>
      <c r="Y301" s="2">
        <v>0</v>
      </c>
      <c r="Z301" s="2">
        <v>0</v>
      </c>
      <c r="AA301" s="2">
        <v>1</v>
      </c>
      <c r="AB301" s="2">
        <v>1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4">
        <f>Table2121418198598103[[#This Row],[QB PY]]+Table2121418198598103[[#This Row],[QB RY]]</f>
        <v>276</v>
      </c>
      <c r="AJ301" s="4">
        <f>Table2121418198598103[[#This Row],[RB1 RY]]+Table2121418198598103[[#This Row],[RB2+ RY]]+Table2121418198598103[[#This Row],[RB1 RecY]]+Table2121418198598103[[#This Row],[RB2 RecY]]</f>
        <v>101</v>
      </c>
    </row>
    <row r="302" spans="1:36" x14ac:dyDescent="0.35">
      <c r="A302" s="19" t="s">
        <v>39</v>
      </c>
      <c r="B302" s="1">
        <v>14</v>
      </c>
      <c r="C302" s="2">
        <v>247</v>
      </c>
      <c r="D302" s="2">
        <v>2</v>
      </c>
      <c r="E302" s="2">
        <v>15</v>
      </c>
      <c r="F302" s="2">
        <v>74</v>
      </c>
      <c r="G302" s="2">
        <v>5</v>
      </c>
      <c r="H302" s="2">
        <v>9</v>
      </c>
      <c r="I302" s="2">
        <v>1</v>
      </c>
      <c r="J302" s="2">
        <v>8</v>
      </c>
      <c r="K302" s="2">
        <v>2</v>
      </c>
      <c r="L302" s="2">
        <v>8</v>
      </c>
      <c r="M302" s="2">
        <v>3</v>
      </c>
      <c r="N302" s="2">
        <v>87</v>
      </c>
      <c r="O302" s="2">
        <v>4</v>
      </c>
      <c r="P302" s="2">
        <v>39</v>
      </c>
      <c r="Q302" s="2">
        <v>5</v>
      </c>
      <c r="R302" s="2">
        <v>78</v>
      </c>
      <c r="S302" s="2">
        <v>0</v>
      </c>
      <c r="T302" s="2">
        <v>0</v>
      </c>
      <c r="U302" s="2">
        <v>3</v>
      </c>
      <c r="V302" s="2">
        <v>27</v>
      </c>
      <c r="W302" s="2">
        <v>0</v>
      </c>
      <c r="X302" s="2">
        <v>0</v>
      </c>
      <c r="Y302" s="2">
        <v>0</v>
      </c>
      <c r="Z302" s="2">
        <v>2</v>
      </c>
      <c r="AA302" s="2">
        <v>0</v>
      </c>
      <c r="AB302" s="2">
        <v>0</v>
      </c>
      <c r="AC302" s="2">
        <v>1</v>
      </c>
      <c r="AD302" s="2">
        <v>1</v>
      </c>
      <c r="AE302" s="2">
        <v>0</v>
      </c>
      <c r="AF302" s="2">
        <v>0</v>
      </c>
      <c r="AG302" s="2">
        <v>0</v>
      </c>
      <c r="AH302" s="2">
        <v>0</v>
      </c>
      <c r="AI302" s="4">
        <f>Table2121418198598103[[#This Row],[QB PY]]+Table2121418198598103[[#This Row],[QB RY]]</f>
        <v>262</v>
      </c>
      <c r="AJ302" s="4">
        <f>Table2121418198598103[[#This Row],[RB1 RY]]+Table2121418198598103[[#This Row],[RB2+ RY]]+Table2121418198598103[[#This Row],[RB1 RecY]]+Table2121418198598103[[#This Row],[RB2 RecY]]</f>
        <v>95</v>
      </c>
    </row>
    <row r="303" spans="1:36" x14ac:dyDescent="0.35">
      <c r="A303" s="19" t="s">
        <v>52</v>
      </c>
      <c r="B303" s="1">
        <v>15</v>
      </c>
      <c r="C303" s="2">
        <v>271</v>
      </c>
      <c r="D303" s="2">
        <v>0</v>
      </c>
      <c r="E303" s="2">
        <v>5</v>
      </c>
      <c r="F303" s="2">
        <v>17</v>
      </c>
      <c r="G303" s="2">
        <v>31</v>
      </c>
      <c r="H303" s="2">
        <v>-3</v>
      </c>
      <c r="I303" s="2">
        <v>1</v>
      </c>
      <c r="J303" s="2">
        <v>2</v>
      </c>
      <c r="K303" s="2">
        <v>0</v>
      </c>
      <c r="L303" s="2">
        <v>0</v>
      </c>
      <c r="M303" s="2">
        <v>7</v>
      </c>
      <c r="N303" s="2">
        <v>113</v>
      </c>
      <c r="O303" s="2">
        <v>5</v>
      </c>
      <c r="P303" s="2">
        <v>46</v>
      </c>
      <c r="Q303" s="2">
        <v>5</v>
      </c>
      <c r="R303" s="2">
        <v>74</v>
      </c>
      <c r="S303" s="2">
        <v>0</v>
      </c>
      <c r="T303" s="2">
        <v>0</v>
      </c>
      <c r="U303" s="2">
        <v>3</v>
      </c>
      <c r="V303" s="2">
        <v>27</v>
      </c>
      <c r="W303" s="2">
        <v>1</v>
      </c>
      <c r="X303" s="2">
        <v>9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4">
        <f>Table2121418198598103[[#This Row],[QB PY]]+Table2121418198598103[[#This Row],[QB RY]]</f>
        <v>276</v>
      </c>
      <c r="AJ303" s="4">
        <f>Table2121418198598103[[#This Row],[RB1 RY]]+Table2121418198598103[[#This Row],[RB2+ RY]]+Table2121418198598103[[#This Row],[RB1 RecY]]+Table2121418198598103[[#This Row],[RB2 RecY]]</f>
        <v>50</v>
      </c>
    </row>
    <row r="304" spans="1:36" x14ac:dyDescent="0.35">
      <c r="A304" s="19" t="s">
        <v>53</v>
      </c>
      <c r="B304" s="1">
        <v>16</v>
      </c>
      <c r="C304" s="2">
        <v>295</v>
      </c>
      <c r="D304" s="2">
        <v>5</v>
      </c>
      <c r="E304" s="2">
        <v>8</v>
      </c>
      <c r="F304" s="2">
        <v>117</v>
      </c>
      <c r="G304" s="2">
        <v>20</v>
      </c>
      <c r="H304" s="2">
        <v>0</v>
      </c>
      <c r="I304" s="2">
        <v>6</v>
      </c>
      <c r="J304" s="2">
        <v>29</v>
      </c>
      <c r="K304" s="2">
        <v>0</v>
      </c>
      <c r="L304" s="2">
        <v>0</v>
      </c>
      <c r="M304" s="2">
        <v>5</v>
      </c>
      <c r="N304" s="2">
        <v>71</v>
      </c>
      <c r="O304" s="2">
        <v>3</v>
      </c>
      <c r="P304" s="2">
        <v>27</v>
      </c>
      <c r="Q304" s="2">
        <v>2</v>
      </c>
      <c r="R304" s="2">
        <v>23</v>
      </c>
      <c r="S304" s="2">
        <v>1</v>
      </c>
      <c r="T304" s="2">
        <v>23</v>
      </c>
      <c r="U304" s="2">
        <v>7</v>
      </c>
      <c r="V304" s="2">
        <v>115</v>
      </c>
      <c r="W304" s="2">
        <v>1</v>
      </c>
      <c r="X304" s="2">
        <v>7</v>
      </c>
      <c r="Y304" s="2">
        <v>0</v>
      </c>
      <c r="Z304" s="2">
        <v>2</v>
      </c>
      <c r="AA304" s="2">
        <v>0</v>
      </c>
      <c r="AB304" s="2">
        <v>1</v>
      </c>
      <c r="AC304" s="2">
        <v>0</v>
      </c>
      <c r="AD304" s="2">
        <v>1</v>
      </c>
      <c r="AE304" s="2">
        <v>0</v>
      </c>
      <c r="AF304" s="2">
        <v>1</v>
      </c>
      <c r="AG304" s="2">
        <v>0</v>
      </c>
      <c r="AH304" s="2">
        <v>1</v>
      </c>
      <c r="AI304" s="4">
        <f>Table2121418198598103[[#This Row],[QB PY]]+Table2121418198598103[[#This Row],[QB RY]]</f>
        <v>303</v>
      </c>
      <c r="AJ304" s="4">
        <f>Table2121418198598103[[#This Row],[RB1 RY]]+Table2121418198598103[[#This Row],[RB2+ RY]]+Table2121418198598103[[#This Row],[RB1 RecY]]+Table2121418198598103[[#This Row],[RB2 RecY]]</f>
        <v>166</v>
      </c>
    </row>
    <row r="305" spans="1:36" x14ac:dyDescent="0.35">
      <c r="A305" s="19" t="s">
        <v>39</v>
      </c>
      <c r="B305" s="1">
        <v>17</v>
      </c>
      <c r="C305" s="2">
        <v>263</v>
      </c>
      <c r="D305" s="2">
        <v>0</v>
      </c>
      <c r="E305" s="2">
        <v>26</v>
      </c>
      <c r="F305" s="2">
        <v>76</v>
      </c>
      <c r="G305" s="2">
        <v>24</v>
      </c>
      <c r="H305" s="2">
        <v>-5</v>
      </c>
      <c r="I305" s="2">
        <v>2</v>
      </c>
      <c r="J305" s="2">
        <v>16</v>
      </c>
      <c r="K305" s="2">
        <v>0</v>
      </c>
      <c r="L305" s="2">
        <v>0</v>
      </c>
      <c r="M305" s="2">
        <v>4</v>
      </c>
      <c r="N305" s="2">
        <v>39</v>
      </c>
      <c r="O305" s="2">
        <v>6</v>
      </c>
      <c r="P305" s="2">
        <v>39</v>
      </c>
      <c r="Q305" s="2">
        <v>8</v>
      </c>
      <c r="R305" s="2">
        <v>115</v>
      </c>
      <c r="S305" s="2">
        <v>0</v>
      </c>
      <c r="T305" s="2">
        <v>0</v>
      </c>
      <c r="U305" s="2">
        <v>3</v>
      </c>
      <c r="V305" s="2">
        <v>54</v>
      </c>
      <c r="W305" s="2">
        <v>0</v>
      </c>
      <c r="X305" s="2">
        <v>0</v>
      </c>
      <c r="Y305" s="2">
        <v>2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4">
        <f>Table2121418198598103[[#This Row],[QB PY]]+Table2121418198598103[[#This Row],[QB RY]]</f>
        <v>289</v>
      </c>
      <c r="AJ305" s="4">
        <f>Table2121418198598103[[#This Row],[RB1 RY]]+Table2121418198598103[[#This Row],[RB2+ RY]]+Table2121418198598103[[#This Row],[RB1 RecY]]+Table2121418198598103[[#This Row],[RB2 RecY]]</f>
        <v>116</v>
      </c>
    </row>
    <row r="306" spans="1:36" x14ac:dyDescent="0.35">
      <c r="A306" s="19" t="s">
        <v>37</v>
      </c>
      <c r="B306" s="1">
        <v>18</v>
      </c>
      <c r="C306" s="2">
        <v>205</v>
      </c>
      <c r="D306" s="2">
        <v>1</v>
      </c>
      <c r="E306" s="2">
        <v>17</v>
      </c>
      <c r="F306" s="2">
        <v>48</v>
      </c>
      <c r="G306" s="2">
        <v>69</v>
      </c>
      <c r="H306" s="2">
        <v>0</v>
      </c>
      <c r="I306" s="2">
        <v>2</v>
      </c>
      <c r="J306" s="2">
        <v>0</v>
      </c>
      <c r="K306" s="2">
        <v>1</v>
      </c>
      <c r="L306" s="2">
        <v>6</v>
      </c>
      <c r="M306" s="2">
        <v>2</v>
      </c>
      <c r="N306" s="2">
        <v>23</v>
      </c>
      <c r="O306" s="2">
        <v>1</v>
      </c>
      <c r="P306" s="2">
        <v>-3</v>
      </c>
      <c r="Q306" s="2">
        <v>5</v>
      </c>
      <c r="R306" s="2">
        <v>84</v>
      </c>
      <c r="S306" s="2">
        <v>1</v>
      </c>
      <c r="T306" s="2">
        <v>13</v>
      </c>
      <c r="U306" s="2">
        <v>4</v>
      </c>
      <c r="V306" s="2">
        <v>73</v>
      </c>
      <c r="W306" s="2">
        <v>1</v>
      </c>
      <c r="X306" s="2">
        <v>9</v>
      </c>
      <c r="Y306" s="2">
        <v>1</v>
      </c>
      <c r="Z306" s="2">
        <v>0</v>
      </c>
      <c r="AA306" s="2">
        <v>0</v>
      </c>
      <c r="AB306" s="2">
        <v>1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1</v>
      </c>
      <c r="AI306" s="4">
        <f>Table2121418198598103[[#This Row],[QB PY]]+Table2121418198598103[[#This Row],[QB RY]]</f>
        <v>222</v>
      </c>
      <c r="AJ306" s="4">
        <f>Table2121418198598103[[#This Row],[RB1 RY]]+Table2121418198598103[[#This Row],[RB2+ RY]]+Table2121418198598103[[#This Row],[RB1 RecY]]+Table2121418198598103[[#This Row],[RB2 RecY]]</f>
        <v>123</v>
      </c>
    </row>
    <row r="307" spans="1:36" x14ac:dyDescent="0.35">
      <c r="B307" s="1" t="s">
        <v>57</v>
      </c>
      <c r="C307" s="3">
        <f>AVERAGE(Table2121418198598103[QB PY])</f>
        <v>262.47058823529414</v>
      </c>
      <c r="D307" s="3">
        <f>AVERAGE(Table2121418198598103[P TD])</f>
        <v>1.411764705882353</v>
      </c>
      <c r="E307" s="3">
        <f>AVERAGE(Table2121418198598103[QB RY])</f>
        <v>12.235294117647058</v>
      </c>
      <c r="F307" s="3">
        <f>AVERAGE(Table2121418198598103[RB1 RY])</f>
        <v>60.764705882352942</v>
      </c>
      <c r="G307" s="3">
        <f>AVERAGE(Table2121418198598103[RB2+ RY])</f>
        <v>26</v>
      </c>
      <c r="H307" s="3">
        <f>AVERAGE(Table2121418198598103[WR RY])</f>
        <v>2.8823529411764706</v>
      </c>
      <c r="I307" s="3">
        <f>AVERAGE(Table2121418198598103[RB1 Recep])</f>
        <v>2.4117647058823528</v>
      </c>
      <c r="J307" s="3">
        <f>AVERAGE(Table2121418198598103[RB1 RecY])</f>
        <v>14.235294117647058</v>
      </c>
      <c r="K307" s="3">
        <f>AVERAGE(Table2121418198598103[RB2 Recep])</f>
        <v>1.5294117647058822</v>
      </c>
      <c r="L307" s="3">
        <f>AVERAGE(Table2121418198598103[RB2 RecY])</f>
        <v>10.176470588235293</v>
      </c>
      <c r="M307" s="3">
        <f>AVERAGE(Table2121418198598103[WR1 Recep])</f>
        <v>4.7058823529411766</v>
      </c>
      <c r="N307" s="3">
        <f>AVERAGE(Table2121418198598103[WR1 RecY])</f>
        <v>65.17647058823529</v>
      </c>
      <c r="O307" s="3">
        <f>AVERAGE(Table2121418198598103[WR2 Recep])</f>
        <v>4.1764705882352944</v>
      </c>
      <c r="P307" s="3">
        <f>AVERAGE(Table2121418198598103[WR2 RecY])</f>
        <v>46.294117647058826</v>
      </c>
      <c r="Q307" s="3">
        <f>AVERAGE(Table2121418198598103[WR3 Recep])</f>
        <v>3.4117647058823528</v>
      </c>
      <c r="R307" s="3">
        <f>AVERAGE(Table2121418198598103[WR3 RecY])</f>
        <v>48.647058823529413</v>
      </c>
      <c r="S307" s="3">
        <f>AVERAGE(Table2121418198598103[WR4+ Recep])</f>
        <v>1.2352941176470589</v>
      </c>
      <c r="T307" s="3">
        <f>AVERAGE(Table2121418198598103[WR4+ RecY])</f>
        <v>8.8235294117647065</v>
      </c>
      <c r="U307" s="3">
        <f>AVERAGE(Table2121418198598103[TE1 Recep])</f>
        <v>4.117647058823529</v>
      </c>
      <c r="V307" s="3">
        <f>AVERAGE(Table2121418198598103[TE1 RecY])</f>
        <v>53.235294117647058</v>
      </c>
      <c r="W307" s="3">
        <f>AVERAGE(Table2121418198598103[TE2 Recep])</f>
        <v>1.7647058823529411</v>
      </c>
      <c r="X307" s="3">
        <f>AVERAGE(Table2121418198598103[TE2 RecY])</f>
        <v>15.882352941176471</v>
      </c>
      <c r="Y307" s="3">
        <f>AVERAGE(Table2121418198598103[QB TD])</f>
        <v>0.17647058823529413</v>
      </c>
      <c r="Z307" s="3">
        <f>AVERAGE(Table2121418198598103[RB1 TD])</f>
        <v>0.58823529411764708</v>
      </c>
      <c r="AA307" s="3">
        <f>AVERAGE(Table2121418198598103[RB2 TD])</f>
        <v>0.29411764705882354</v>
      </c>
      <c r="AB307" s="3">
        <f>AVERAGE(Table2121418198598103[WR1 TD])</f>
        <v>0.29411764705882354</v>
      </c>
      <c r="AC307" s="3">
        <f>AVERAGE(Table2121418198598103[WR2 TD])</f>
        <v>0.29411764705882354</v>
      </c>
      <c r="AD307" s="3">
        <f>AVERAGE(Table2121418198598103[WR3 TD])</f>
        <v>0.29411764705882354</v>
      </c>
      <c r="AE307" s="3">
        <f>AVERAGE(Table2121418198598103[WR4+ TD])</f>
        <v>5.8823529411764705E-2</v>
      </c>
      <c r="AF307" s="3">
        <f>AVERAGE(Table2121418198598103[TE1 TD])</f>
        <v>0.17647058823529413</v>
      </c>
      <c r="AG307" s="3">
        <f>AVERAGE(Table2121418198598103[TE2 TD])</f>
        <v>0.17647058823529413</v>
      </c>
      <c r="AH307" s="3">
        <f>AVERAGE(Table2121418198598103[D/ST TD])</f>
        <v>0.11764705882352941</v>
      </c>
      <c r="AI307" s="3">
        <f>AVERAGE(Table2121418198598103[QB P+R])</f>
        <v>274.70588235294116</v>
      </c>
      <c r="AJ307" s="3">
        <f>AVERAGE(Table2121418198598103[RB R+R])</f>
        <v>111.17647058823529</v>
      </c>
    </row>
    <row r="309" spans="1:36" x14ac:dyDescent="0.35">
      <c r="A309" s="230" t="s">
        <v>39</v>
      </c>
      <c r="B309" s="230"/>
      <c r="C309" s="230"/>
      <c r="D309" s="230"/>
      <c r="E309" s="230"/>
      <c r="F309" s="230"/>
      <c r="G309" s="23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  <c r="AF309" s="230"/>
      <c r="AG309" s="230"/>
      <c r="AH309" s="230"/>
      <c r="AI309" s="230"/>
      <c r="AJ309" s="230"/>
    </row>
    <row r="310" spans="1:36" x14ac:dyDescent="0.35">
      <c r="A310" s="20" t="s">
        <v>63</v>
      </c>
      <c r="B310" s="6" t="s">
        <v>1</v>
      </c>
      <c r="C310" s="7" t="s">
        <v>18</v>
      </c>
      <c r="D310" s="8" t="s">
        <v>19</v>
      </c>
      <c r="E310" s="9" t="s">
        <v>20</v>
      </c>
      <c r="F310" s="10" t="s">
        <v>21</v>
      </c>
      <c r="G310" s="11" t="s">
        <v>22</v>
      </c>
      <c r="H310" s="12" t="s">
        <v>23</v>
      </c>
      <c r="I310" s="13" t="s">
        <v>667</v>
      </c>
      <c r="J310" s="13" t="s">
        <v>668</v>
      </c>
      <c r="K310" s="13" t="s">
        <v>665</v>
      </c>
      <c r="L310" s="13" t="s">
        <v>666</v>
      </c>
      <c r="M310" s="14" t="s">
        <v>2</v>
      </c>
      <c r="N310" s="14" t="s">
        <v>24</v>
      </c>
      <c r="O310" s="15" t="s">
        <v>3</v>
      </c>
      <c r="P310" s="15" t="s">
        <v>25</v>
      </c>
      <c r="Q310" s="16" t="s">
        <v>4</v>
      </c>
      <c r="R310" s="16" t="s">
        <v>26</v>
      </c>
      <c r="S310" s="17" t="s">
        <v>5</v>
      </c>
      <c r="T310" s="17" t="s">
        <v>27</v>
      </c>
      <c r="U310" s="18" t="s">
        <v>669</v>
      </c>
      <c r="V310" s="18" t="s">
        <v>670</v>
      </c>
      <c r="W310" s="18" t="s">
        <v>675</v>
      </c>
      <c r="X310" s="18" t="s">
        <v>671</v>
      </c>
      <c r="Y310" s="6" t="s">
        <v>6</v>
      </c>
      <c r="Z310" s="6" t="s">
        <v>7</v>
      </c>
      <c r="AA310" s="6" t="s">
        <v>674</v>
      </c>
      <c r="AB310" s="6" t="s">
        <v>8</v>
      </c>
      <c r="AC310" s="6" t="s">
        <v>9</v>
      </c>
      <c r="AD310" s="6" t="s">
        <v>10</v>
      </c>
      <c r="AE310" s="6" t="s">
        <v>11</v>
      </c>
      <c r="AF310" s="6" t="s">
        <v>673</v>
      </c>
      <c r="AG310" s="6" t="s">
        <v>672</v>
      </c>
      <c r="AH310" s="6" t="s">
        <v>12</v>
      </c>
      <c r="AI310" s="8" t="s">
        <v>14</v>
      </c>
      <c r="AJ310" s="11" t="s">
        <v>13</v>
      </c>
    </row>
    <row r="311" spans="1:36" x14ac:dyDescent="0.35">
      <c r="A311" s="19" t="s">
        <v>29</v>
      </c>
      <c r="B311" s="5">
        <v>1</v>
      </c>
      <c r="C311" s="4">
        <v>154</v>
      </c>
      <c r="D311" s="4">
        <v>1</v>
      </c>
      <c r="E311" s="4">
        <v>40</v>
      </c>
      <c r="F311" s="4">
        <v>57</v>
      </c>
      <c r="G311" s="4">
        <v>16</v>
      </c>
      <c r="H311" s="4">
        <v>0</v>
      </c>
      <c r="I311" s="4">
        <v>3</v>
      </c>
      <c r="J311" s="4">
        <v>32</v>
      </c>
      <c r="K311" s="4">
        <v>2</v>
      </c>
      <c r="L311" s="4">
        <v>4</v>
      </c>
      <c r="M311" s="4">
        <v>5</v>
      </c>
      <c r="N311" s="4">
        <v>68</v>
      </c>
      <c r="O311" s="4">
        <v>3</v>
      </c>
      <c r="P311" s="4">
        <v>10</v>
      </c>
      <c r="Q311" s="4">
        <v>2</v>
      </c>
      <c r="R311" s="4">
        <v>11</v>
      </c>
      <c r="S311" s="4">
        <v>0</v>
      </c>
      <c r="T311" s="4">
        <v>0</v>
      </c>
      <c r="U311" s="4">
        <v>2</v>
      </c>
      <c r="V311" s="4">
        <v>27</v>
      </c>
      <c r="W311" s="4">
        <v>1</v>
      </c>
      <c r="X311" s="4">
        <v>2</v>
      </c>
      <c r="Y311" s="4">
        <v>0</v>
      </c>
      <c r="Z311" s="4">
        <v>1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f>Table2121418198598104[[#This Row],[QB PY]]+Table2121418198598104[[#This Row],[QB RY]]</f>
        <v>194</v>
      </c>
      <c r="AJ311" s="4">
        <f>Table2121418198598104[[#This Row],[RB1 RY]]+Table2121418198598104[[#This Row],[RB2+ RY]]+Table2121418198598104[[#This Row],[RB1 RecY]]+Table2121418198598104[[#This Row],[RB2 RecY]]</f>
        <v>109</v>
      </c>
    </row>
    <row r="312" spans="1:36" x14ac:dyDescent="0.35">
      <c r="A312" s="19" t="s">
        <v>31</v>
      </c>
      <c r="B312" s="1">
        <v>2</v>
      </c>
      <c r="C312" s="2">
        <v>317</v>
      </c>
      <c r="D312" s="2">
        <v>3</v>
      </c>
      <c r="E312" s="2">
        <v>1</v>
      </c>
      <c r="F312" s="2">
        <v>47</v>
      </c>
      <c r="G312" s="2">
        <v>0</v>
      </c>
      <c r="H312" s="2">
        <v>0</v>
      </c>
      <c r="I312" s="2">
        <v>2</v>
      </c>
      <c r="J312" s="2">
        <v>18</v>
      </c>
      <c r="K312" s="2">
        <v>0</v>
      </c>
      <c r="L312" s="2">
        <v>0</v>
      </c>
      <c r="M312" s="2">
        <v>14</v>
      </c>
      <c r="N312" s="2">
        <v>165</v>
      </c>
      <c r="O312" s="2">
        <v>3</v>
      </c>
      <c r="P312" s="2">
        <v>56</v>
      </c>
      <c r="Q312" s="2">
        <v>1</v>
      </c>
      <c r="R312" s="2">
        <v>12</v>
      </c>
      <c r="S312" s="2">
        <v>1</v>
      </c>
      <c r="T312" s="2">
        <v>13</v>
      </c>
      <c r="U312" s="2">
        <v>3</v>
      </c>
      <c r="V312" s="2">
        <v>28</v>
      </c>
      <c r="W312" s="2">
        <v>4</v>
      </c>
      <c r="X312" s="2">
        <v>25</v>
      </c>
      <c r="Y312" s="2">
        <v>1</v>
      </c>
      <c r="Z312" s="2">
        <v>0</v>
      </c>
      <c r="AA312" s="2">
        <v>0</v>
      </c>
      <c r="AB312" s="2">
        <v>1</v>
      </c>
      <c r="AC312" s="2">
        <v>1</v>
      </c>
      <c r="AD312" s="2">
        <v>0</v>
      </c>
      <c r="AE312" s="2">
        <v>1</v>
      </c>
      <c r="AF312" s="2">
        <v>0</v>
      </c>
      <c r="AG312" s="2">
        <v>0</v>
      </c>
      <c r="AH312" s="2">
        <v>0</v>
      </c>
      <c r="AI312" s="4">
        <f>Table2121418198598104[[#This Row],[QB PY]]+Table2121418198598104[[#This Row],[QB RY]]</f>
        <v>318</v>
      </c>
      <c r="AJ312" s="4">
        <f>Table2121418198598104[[#This Row],[RB1 RY]]+Table2121418198598104[[#This Row],[RB2+ RY]]+Table2121418198598104[[#This Row],[RB1 RecY]]+Table2121418198598104[[#This Row],[RB2 RecY]]</f>
        <v>65</v>
      </c>
    </row>
    <row r="313" spans="1:36" x14ac:dyDescent="0.35">
      <c r="A313" s="19" t="s">
        <v>37</v>
      </c>
      <c r="B313" s="1">
        <v>3</v>
      </c>
      <c r="C313" s="2">
        <v>204</v>
      </c>
      <c r="D313" s="2">
        <v>1</v>
      </c>
      <c r="E313" s="2">
        <v>22</v>
      </c>
      <c r="F313" s="2">
        <v>38</v>
      </c>
      <c r="G313" s="2">
        <v>27</v>
      </c>
      <c r="H313" s="2">
        <v>0</v>
      </c>
      <c r="I313" s="2">
        <v>3</v>
      </c>
      <c r="J313" s="2">
        <v>2</v>
      </c>
      <c r="K313" s="2">
        <v>1</v>
      </c>
      <c r="L313" s="2">
        <v>9</v>
      </c>
      <c r="M313" s="2">
        <v>8</v>
      </c>
      <c r="N313" s="2">
        <v>104</v>
      </c>
      <c r="O313" s="2">
        <v>3</v>
      </c>
      <c r="P313" s="2">
        <v>25</v>
      </c>
      <c r="Q313" s="2">
        <v>3</v>
      </c>
      <c r="R313" s="2">
        <v>16</v>
      </c>
      <c r="S313" s="2">
        <v>2</v>
      </c>
      <c r="T313" s="2">
        <v>9</v>
      </c>
      <c r="U313" s="2">
        <v>5</v>
      </c>
      <c r="V313" s="2">
        <v>39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4">
        <f>Table2121418198598104[[#This Row],[QB PY]]+Table2121418198598104[[#This Row],[QB RY]]</f>
        <v>226</v>
      </c>
      <c r="AJ313" s="4">
        <f>Table2121418198598104[[#This Row],[RB1 RY]]+Table2121418198598104[[#This Row],[RB2+ RY]]+Table2121418198598104[[#This Row],[RB1 RecY]]+Table2121418198598104[[#This Row],[RB2 RecY]]</f>
        <v>76</v>
      </c>
    </row>
    <row r="314" spans="1:36" x14ac:dyDescent="0.35">
      <c r="A314" s="19" t="s">
        <v>53</v>
      </c>
      <c r="B314" s="1">
        <v>4</v>
      </c>
      <c r="C314" s="2">
        <v>309</v>
      </c>
      <c r="D314" s="2">
        <v>2</v>
      </c>
      <c r="E314" s="2">
        <v>13</v>
      </c>
      <c r="F314" s="2">
        <v>49</v>
      </c>
      <c r="G314" s="2">
        <v>21</v>
      </c>
      <c r="H314" s="2">
        <v>0</v>
      </c>
      <c r="I314" s="2">
        <v>6</v>
      </c>
      <c r="J314" s="2">
        <v>92</v>
      </c>
      <c r="K314" s="2">
        <v>3</v>
      </c>
      <c r="L314" s="2">
        <v>32</v>
      </c>
      <c r="M314" s="2">
        <v>2</v>
      </c>
      <c r="N314" s="2">
        <v>24</v>
      </c>
      <c r="O314" s="2">
        <v>4</v>
      </c>
      <c r="P314" s="2">
        <v>46</v>
      </c>
      <c r="Q314" s="2">
        <v>1</v>
      </c>
      <c r="R314" s="2">
        <v>17</v>
      </c>
      <c r="S314" s="2">
        <v>1</v>
      </c>
      <c r="T314" s="2">
        <v>20</v>
      </c>
      <c r="U314" s="2">
        <v>3</v>
      </c>
      <c r="V314" s="2">
        <v>58</v>
      </c>
      <c r="W314" s="2">
        <v>2</v>
      </c>
      <c r="X314" s="2">
        <v>20</v>
      </c>
      <c r="Y314" s="2">
        <v>0</v>
      </c>
      <c r="Z314" s="2">
        <v>1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</v>
      </c>
      <c r="AG314" s="2">
        <v>0</v>
      </c>
      <c r="AH314" s="2">
        <v>0</v>
      </c>
      <c r="AI314" s="4">
        <f>Table2121418198598104[[#This Row],[QB PY]]+Table2121418198598104[[#This Row],[QB RY]]</f>
        <v>322</v>
      </c>
      <c r="AJ314" s="4">
        <f>Table2121418198598104[[#This Row],[RB1 RY]]+Table2121418198598104[[#This Row],[RB2+ RY]]+Table2121418198598104[[#This Row],[RB1 RecY]]+Table2121418198598104[[#This Row],[RB2 RecY]]</f>
        <v>194</v>
      </c>
    </row>
    <row r="315" spans="1:36" x14ac:dyDescent="0.35">
      <c r="A315" s="19" t="s">
        <v>40</v>
      </c>
      <c r="B315" s="1">
        <v>5</v>
      </c>
      <c r="C315" s="2">
        <v>318</v>
      </c>
      <c r="D315" s="2">
        <v>1</v>
      </c>
      <c r="E315" s="2">
        <v>60</v>
      </c>
      <c r="F315" s="2">
        <v>36</v>
      </c>
      <c r="G315" s="2">
        <v>53</v>
      </c>
      <c r="H315" s="2">
        <v>9</v>
      </c>
      <c r="I315" s="2">
        <v>3</v>
      </c>
      <c r="J315" s="2">
        <v>20</v>
      </c>
      <c r="K315" s="2">
        <v>4</v>
      </c>
      <c r="L315" s="2">
        <v>40</v>
      </c>
      <c r="M315" s="2">
        <v>6</v>
      </c>
      <c r="N315" s="2">
        <v>42</v>
      </c>
      <c r="O315" s="2">
        <v>4</v>
      </c>
      <c r="P315" s="2">
        <v>48</v>
      </c>
      <c r="Q315" s="2">
        <v>2</v>
      </c>
      <c r="R315" s="2">
        <v>17</v>
      </c>
      <c r="S315" s="2">
        <v>3</v>
      </c>
      <c r="T315" s="2">
        <v>90</v>
      </c>
      <c r="U315" s="2">
        <v>7</v>
      </c>
      <c r="V315" s="2">
        <v>61</v>
      </c>
      <c r="W315" s="2">
        <v>0</v>
      </c>
      <c r="X315" s="2">
        <v>0</v>
      </c>
      <c r="Y315" s="2">
        <v>1</v>
      </c>
      <c r="Z315" s="2">
        <v>2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</v>
      </c>
      <c r="AG315" s="2">
        <v>0</v>
      </c>
      <c r="AH315" s="2">
        <v>0</v>
      </c>
      <c r="AI315" s="4">
        <f>Table2121418198598104[[#This Row],[QB PY]]+Table2121418198598104[[#This Row],[QB RY]]</f>
        <v>378</v>
      </c>
      <c r="AJ315" s="4">
        <f>Table2121418198598104[[#This Row],[RB1 RY]]+Table2121418198598104[[#This Row],[RB2+ RY]]+Table2121418198598104[[#This Row],[RB1 RecY]]+Table2121418198598104[[#This Row],[RB2 RecY]]</f>
        <v>149</v>
      </c>
    </row>
    <row r="316" spans="1:36" x14ac:dyDescent="0.35">
      <c r="A316" s="19" t="s">
        <v>52</v>
      </c>
      <c r="B316" s="1">
        <v>6</v>
      </c>
      <c r="C316" s="2">
        <v>295</v>
      </c>
      <c r="D316" s="2">
        <v>2</v>
      </c>
      <c r="E316" s="2">
        <v>2</v>
      </c>
      <c r="F316" s="2">
        <v>34</v>
      </c>
      <c r="G316" s="2">
        <v>24</v>
      </c>
      <c r="H316" s="2">
        <v>0</v>
      </c>
      <c r="I316" s="2">
        <v>1</v>
      </c>
      <c r="J316" s="2">
        <v>3</v>
      </c>
      <c r="K316" s="2">
        <v>1</v>
      </c>
      <c r="L316" s="2">
        <v>13</v>
      </c>
      <c r="M316" s="2">
        <v>8</v>
      </c>
      <c r="N316" s="2">
        <v>162</v>
      </c>
      <c r="O316" s="2">
        <v>2</v>
      </c>
      <c r="P316" s="2">
        <v>40</v>
      </c>
      <c r="Q316" s="2">
        <v>0</v>
      </c>
      <c r="R316" s="2">
        <v>0</v>
      </c>
      <c r="S316" s="2">
        <v>0</v>
      </c>
      <c r="T316" s="2">
        <v>0</v>
      </c>
      <c r="U316" s="2">
        <v>3</v>
      </c>
      <c r="V316" s="2">
        <v>71</v>
      </c>
      <c r="W316" s="2">
        <v>1</v>
      </c>
      <c r="X316" s="2">
        <v>6</v>
      </c>
      <c r="Y316" s="2">
        <v>0</v>
      </c>
      <c r="Z316" s="2">
        <v>0</v>
      </c>
      <c r="AA316" s="2">
        <v>0</v>
      </c>
      <c r="AB316" s="2">
        <v>1</v>
      </c>
      <c r="AC316" s="2">
        <v>1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4">
        <f>Table2121418198598104[[#This Row],[QB PY]]+Table2121418198598104[[#This Row],[QB RY]]</f>
        <v>297</v>
      </c>
      <c r="AJ316" s="4">
        <f>Table2121418198598104[[#This Row],[RB1 RY]]+Table2121418198598104[[#This Row],[RB2+ RY]]+Table2121418198598104[[#This Row],[RB1 RecY]]+Table2121418198598104[[#This Row],[RB2 RecY]]</f>
        <v>74</v>
      </c>
    </row>
    <row r="317" spans="1:36" x14ac:dyDescent="0.35">
      <c r="A317" s="19" t="s">
        <v>42</v>
      </c>
      <c r="B317" s="1">
        <v>7</v>
      </c>
      <c r="C317" s="2">
        <v>182</v>
      </c>
      <c r="D317" s="2">
        <v>5</v>
      </c>
      <c r="E317" s="2">
        <v>-2</v>
      </c>
      <c r="F317" s="2">
        <v>54</v>
      </c>
      <c r="G317" s="2">
        <v>37</v>
      </c>
      <c r="H317" s="2">
        <v>0</v>
      </c>
      <c r="I317" s="2">
        <v>2</v>
      </c>
      <c r="J317" s="2">
        <v>11</v>
      </c>
      <c r="K317" s="2">
        <v>1</v>
      </c>
      <c r="L317" s="2">
        <v>6</v>
      </c>
      <c r="M317" s="2">
        <v>5</v>
      </c>
      <c r="N317" s="2">
        <v>35</v>
      </c>
      <c r="O317" s="2">
        <v>2</v>
      </c>
      <c r="P317" s="2">
        <v>9</v>
      </c>
      <c r="Q317" s="2">
        <v>2</v>
      </c>
      <c r="R317" s="2">
        <v>15</v>
      </c>
      <c r="S317" s="2">
        <v>1</v>
      </c>
      <c r="T317" s="2">
        <v>5</v>
      </c>
      <c r="U317" s="2">
        <v>3</v>
      </c>
      <c r="V317" s="2">
        <v>47</v>
      </c>
      <c r="W317" s="2">
        <v>5</v>
      </c>
      <c r="X317" s="2">
        <v>54</v>
      </c>
      <c r="Y317" s="2">
        <v>0</v>
      </c>
      <c r="Z317" s="2">
        <v>0</v>
      </c>
      <c r="AA317" s="2">
        <v>3</v>
      </c>
      <c r="AB317" s="2">
        <v>0</v>
      </c>
      <c r="AC317" s="2">
        <v>0</v>
      </c>
      <c r="AD317" s="2">
        <v>0</v>
      </c>
      <c r="AE317" s="2">
        <v>1</v>
      </c>
      <c r="AF317" s="2">
        <v>0</v>
      </c>
      <c r="AG317" s="2">
        <v>1</v>
      </c>
      <c r="AH317" s="2">
        <v>0</v>
      </c>
      <c r="AI317" s="4">
        <f>Table2121418198598104[[#This Row],[QB PY]]+Table2121418198598104[[#This Row],[QB RY]]</f>
        <v>180</v>
      </c>
      <c r="AJ317" s="4">
        <f>Table2121418198598104[[#This Row],[RB1 RY]]+Table2121418198598104[[#This Row],[RB2+ RY]]+Table2121418198598104[[#This Row],[RB1 RecY]]+Table2121418198598104[[#This Row],[RB2 RecY]]</f>
        <v>108</v>
      </c>
    </row>
    <row r="318" spans="1:36" x14ac:dyDescent="0.35">
      <c r="A318" s="19" t="s">
        <v>650</v>
      </c>
      <c r="B318" s="1">
        <v>8</v>
      </c>
      <c r="C318" s="2" t="s">
        <v>697</v>
      </c>
      <c r="D318" s="2" t="s">
        <v>697</v>
      </c>
      <c r="E318" s="2" t="s">
        <v>697</v>
      </c>
      <c r="F318" s="2" t="s">
        <v>697</v>
      </c>
      <c r="G318" s="2" t="s">
        <v>697</v>
      </c>
      <c r="H318" s="2" t="s">
        <v>697</v>
      </c>
      <c r="I318" s="2" t="s">
        <v>697</v>
      </c>
      <c r="J318" s="2" t="s">
        <v>697</v>
      </c>
      <c r="K318" s="2" t="s">
        <v>697</v>
      </c>
      <c r="L318" s="2" t="s">
        <v>697</v>
      </c>
      <c r="M318" s="2" t="s">
        <v>697</v>
      </c>
      <c r="N318" s="2" t="s">
        <v>697</v>
      </c>
      <c r="O318" s="2" t="s">
        <v>697</v>
      </c>
      <c r="P318" s="2" t="s">
        <v>697</v>
      </c>
      <c r="Q318" s="2" t="s">
        <v>697</v>
      </c>
      <c r="R318" s="2" t="s">
        <v>697</v>
      </c>
      <c r="S318" s="2" t="s">
        <v>697</v>
      </c>
      <c r="T318" s="2" t="s">
        <v>697</v>
      </c>
      <c r="U318" s="2" t="s">
        <v>697</v>
      </c>
      <c r="V318" s="2" t="s">
        <v>697</v>
      </c>
      <c r="W318" s="2" t="s">
        <v>697</v>
      </c>
      <c r="X318" s="2" t="s">
        <v>697</v>
      </c>
      <c r="Y318" s="2" t="s">
        <v>697</v>
      </c>
      <c r="Z318" s="2" t="s">
        <v>697</v>
      </c>
      <c r="AA318" s="2" t="s">
        <v>697</v>
      </c>
      <c r="AB318" s="2" t="s">
        <v>697</v>
      </c>
      <c r="AC318" s="2" t="s">
        <v>697</v>
      </c>
      <c r="AD318" s="2" t="s">
        <v>697</v>
      </c>
      <c r="AE318" s="2" t="s">
        <v>697</v>
      </c>
      <c r="AF318" s="2" t="s">
        <v>697</v>
      </c>
      <c r="AG318" s="2" t="s">
        <v>697</v>
      </c>
      <c r="AH318" s="2" t="s">
        <v>697</v>
      </c>
      <c r="AI318" s="4" t="s">
        <v>697</v>
      </c>
      <c r="AJ318" s="4" t="s">
        <v>697</v>
      </c>
    </row>
    <row r="319" spans="1:36" x14ac:dyDescent="0.35">
      <c r="A319" s="19" t="s">
        <v>43</v>
      </c>
      <c r="B319" s="1">
        <v>9</v>
      </c>
      <c r="C319" s="2">
        <v>284</v>
      </c>
      <c r="D319" s="2">
        <v>4</v>
      </c>
      <c r="E319" s="2">
        <v>9</v>
      </c>
      <c r="F319" s="2">
        <v>42</v>
      </c>
      <c r="G319" s="2">
        <v>0</v>
      </c>
      <c r="H319" s="2">
        <v>6</v>
      </c>
      <c r="I319" s="2">
        <v>5</v>
      </c>
      <c r="J319" s="2">
        <v>47</v>
      </c>
      <c r="K319" s="2">
        <v>1</v>
      </c>
      <c r="L319" s="2">
        <v>14</v>
      </c>
      <c r="M319" s="2">
        <v>4</v>
      </c>
      <c r="N319" s="2">
        <v>23</v>
      </c>
      <c r="O319" s="2">
        <v>3</v>
      </c>
      <c r="P319" s="2">
        <v>38</v>
      </c>
      <c r="Q319" s="2">
        <v>0</v>
      </c>
      <c r="R319" s="2">
        <v>0</v>
      </c>
      <c r="S319" s="2">
        <v>0</v>
      </c>
      <c r="T319" s="2">
        <v>0</v>
      </c>
      <c r="U319" s="2">
        <v>12</v>
      </c>
      <c r="V319" s="2">
        <v>127</v>
      </c>
      <c r="W319" s="2">
        <v>4</v>
      </c>
      <c r="X319" s="2">
        <v>35</v>
      </c>
      <c r="Y319" s="2">
        <v>0</v>
      </c>
      <c r="Z319" s="2">
        <v>1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3</v>
      </c>
      <c r="AG319" s="2">
        <v>0</v>
      </c>
      <c r="AH319" s="2">
        <v>0</v>
      </c>
      <c r="AI319" s="4">
        <f>Table2121418198598104[[#This Row],[QB PY]]+Table2121418198598104[[#This Row],[QB RY]]</f>
        <v>293</v>
      </c>
      <c r="AJ319" s="4">
        <f>Table2121418198598104[[#This Row],[RB1 RY]]+Table2121418198598104[[#This Row],[RB2+ RY]]+Table2121418198598104[[#This Row],[RB1 RecY]]+Table2121418198598104[[#This Row],[RB2 RecY]]</f>
        <v>103</v>
      </c>
    </row>
    <row r="320" spans="1:36" x14ac:dyDescent="0.35">
      <c r="A320" s="19" t="s">
        <v>37</v>
      </c>
      <c r="B320" s="1">
        <v>10</v>
      </c>
      <c r="C320" s="2">
        <v>292</v>
      </c>
      <c r="D320" s="2">
        <v>2</v>
      </c>
      <c r="E320" s="2">
        <v>20</v>
      </c>
      <c r="F320" s="2">
        <v>63</v>
      </c>
      <c r="G320" s="2">
        <v>47</v>
      </c>
      <c r="H320" s="2">
        <v>0</v>
      </c>
      <c r="I320" s="2">
        <v>2</v>
      </c>
      <c r="J320" s="2">
        <v>18</v>
      </c>
      <c r="K320" s="2">
        <v>1</v>
      </c>
      <c r="L320" s="2">
        <v>5</v>
      </c>
      <c r="M320" s="2">
        <v>7</v>
      </c>
      <c r="N320" s="2">
        <v>136</v>
      </c>
      <c r="O320" s="2">
        <v>5</v>
      </c>
      <c r="P320" s="2">
        <v>42</v>
      </c>
      <c r="Q320" s="2">
        <v>1</v>
      </c>
      <c r="R320" s="2">
        <v>3</v>
      </c>
      <c r="S320" s="2">
        <v>4</v>
      </c>
      <c r="T320" s="2">
        <v>35</v>
      </c>
      <c r="U320" s="2">
        <v>7</v>
      </c>
      <c r="V320" s="2">
        <v>53</v>
      </c>
      <c r="W320" s="2">
        <v>0</v>
      </c>
      <c r="X320" s="2">
        <v>0</v>
      </c>
      <c r="Y320" s="2">
        <v>1</v>
      </c>
      <c r="Z320" s="2">
        <v>1</v>
      </c>
      <c r="AA320" s="2">
        <v>0</v>
      </c>
      <c r="AB320" s="2">
        <v>0</v>
      </c>
      <c r="AC320" s="2">
        <v>1</v>
      </c>
      <c r="AD320" s="2">
        <v>0</v>
      </c>
      <c r="AE320" s="2">
        <v>0</v>
      </c>
      <c r="AF320" s="2">
        <v>1</v>
      </c>
      <c r="AG320" s="2">
        <v>0</v>
      </c>
      <c r="AH320" s="2">
        <v>1</v>
      </c>
      <c r="AI320" s="4">
        <f>Table2121418198598104[[#This Row],[QB PY]]+Table2121418198598104[[#This Row],[QB RY]]</f>
        <v>312</v>
      </c>
      <c r="AJ320" s="4">
        <f>Table2121418198598104[[#This Row],[RB1 RY]]+Table2121418198598104[[#This Row],[RB2+ RY]]+Table2121418198598104[[#This Row],[RB1 RecY]]+Table2121418198598104[[#This Row],[RB2 RecY]]</f>
        <v>133</v>
      </c>
    </row>
    <row r="321" spans="1:36" x14ac:dyDescent="0.35">
      <c r="A321" s="19" t="s">
        <v>41</v>
      </c>
      <c r="B321" s="1">
        <v>11</v>
      </c>
      <c r="C321" s="2">
        <v>118</v>
      </c>
      <c r="D321" s="2">
        <v>0</v>
      </c>
      <c r="E321" s="2">
        <v>22</v>
      </c>
      <c r="F321" s="2">
        <v>13</v>
      </c>
      <c r="G321" s="2">
        <v>7</v>
      </c>
      <c r="H321" s="2">
        <v>0</v>
      </c>
      <c r="I321" s="2">
        <v>2</v>
      </c>
      <c r="J321" s="2">
        <v>-1</v>
      </c>
      <c r="K321" s="2">
        <v>1</v>
      </c>
      <c r="L321" s="2">
        <v>0</v>
      </c>
      <c r="M321" s="2">
        <v>3</v>
      </c>
      <c r="N321" s="2">
        <v>13</v>
      </c>
      <c r="O321" s="2">
        <v>0</v>
      </c>
      <c r="P321" s="2">
        <v>0</v>
      </c>
      <c r="Q321" s="2">
        <v>4</v>
      </c>
      <c r="R321" s="2">
        <v>53</v>
      </c>
      <c r="S321" s="2">
        <v>1</v>
      </c>
      <c r="T321" s="2">
        <v>12</v>
      </c>
      <c r="U321" s="2">
        <v>2</v>
      </c>
      <c r="V321" s="2">
        <v>41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4">
        <f>Table2121418198598104[[#This Row],[QB PY]]+Table2121418198598104[[#This Row],[QB RY]]</f>
        <v>140</v>
      </c>
      <c r="AJ321" s="4">
        <f>Table2121418198598104[[#This Row],[RB1 RY]]+Table2121418198598104[[#This Row],[RB2+ RY]]+Table2121418198598104[[#This Row],[RB1 RecY]]+Table2121418198598104[[#This Row],[RB2 RecY]]</f>
        <v>19</v>
      </c>
    </row>
    <row r="322" spans="1:36" x14ac:dyDescent="0.35">
      <c r="A322" s="19" t="s">
        <v>0</v>
      </c>
      <c r="B322" s="1">
        <v>12</v>
      </c>
      <c r="C322" s="2">
        <v>315</v>
      </c>
      <c r="D322" s="2">
        <v>1</v>
      </c>
      <c r="E322" s="2">
        <v>20</v>
      </c>
      <c r="F322" s="2">
        <v>28</v>
      </c>
      <c r="G322" s="2">
        <v>12</v>
      </c>
      <c r="H322" s="2">
        <v>-5</v>
      </c>
      <c r="I322" s="2">
        <v>4</v>
      </c>
      <c r="J322" s="2">
        <v>20</v>
      </c>
      <c r="K322" s="2">
        <v>3</v>
      </c>
      <c r="L322" s="2">
        <v>30</v>
      </c>
      <c r="M322" s="2">
        <v>10</v>
      </c>
      <c r="N322" s="2">
        <v>118</v>
      </c>
      <c r="O322" s="2">
        <v>6</v>
      </c>
      <c r="P322" s="2">
        <v>53</v>
      </c>
      <c r="Q322" s="2">
        <v>1</v>
      </c>
      <c r="R322" s="2">
        <v>9</v>
      </c>
      <c r="S322" s="2">
        <v>0</v>
      </c>
      <c r="T322" s="2">
        <v>0</v>
      </c>
      <c r="U322" s="2">
        <v>9</v>
      </c>
      <c r="V322" s="2">
        <v>79</v>
      </c>
      <c r="W322" s="2">
        <v>1</v>
      </c>
      <c r="X322" s="2">
        <v>6</v>
      </c>
      <c r="Y322" s="2">
        <v>0</v>
      </c>
      <c r="Z322" s="2">
        <v>1</v>
      </c>
      <c r="AA322" s="2">
        <v>0</v>
      </c>
      <c r="AB322" s="2">
        <v>0</v>
      </c>
      <c r="AC322" s="2">
        <v>1</v>
      </c>
      <c r="AD322" s="2">
        <v>0</v>
      </c>
      <c r="AE322" s="2">
        <v>0</v>
      </c>
      <c r="AF322" s="2">
        <v>0</v>
      </c>
      <c r="AG322" s="2">
        <v>0</v>
      </c>
      <c r="AH322" s="2">
        <v>1</v>
      </c>
      <c r="AI322" s="4">
        <f>Table2121418198598104[[#This Row],[QB PY]]+Table2121418198598104[[#This Row],[QB RY]]</f>
        <v>335</v>
      </c>
      <c r="AJ322" s="4">
        <f>Table2121418198598104[[#This Row],[RB1 RY]]+Table2121418198598104[[#This Row],[RB2+ RY]]+Table2121418198598104[[#This Row],[RB1 RecY]]+Table2121418198598104[[#This Row],[RB2 RecY]]</f>
        <v>90</v>
      </c>
    </row>
    <row r="323" spans="1:36" x14ac:dyDescent="0.35">
      <c r="A323" s="19" t="s">
        <v>55</v>
      </c>
      <c r="B323" s="1">
        <v>13</v>
      </c>
      <c r="C323" s="2">
        <v>141</v>
      </c>
      <c r="D323" s="2">
        <v>0</v>
      </c>
      <c r="E323" s="2">
        <v>7</v>
      </c>
      <c r="F323" s="2">
        <v>60</v>
      </c>
      <c r="G323" s="2">
        <v>-1</v>
      </c>
      <c r="H323" s="2">
        <v>1</v>
      </c>
      <c r="I323" s="2">
        <v>1</v>
      </c>
      <c r="J323" s="2">
        <v>3</v>
      </c>
      <c r="K323" s="2">
        <v>6</v>
      </c>
      <c r="L323" s="2">
        <v>25</v>
      </c>
      <c r="M323" s="2">
        <v>1</v>
      </c>
      <c r="N323" s="2">
        <v>5</v>
      </c>
      <c r="O323" s="2">
        <v>1</v>
      </c>
      <c r="P323" s="2">
        <v>8</v>
      </c>
      <c r="Q323" s="2">
        <v>3</v>
      </c>
      <c r="R323" s="2">
        <v>20</v>
      </c>
      <c r="S323" s="2">
        <v>2</v>
      </c>
      <c r="T323" s="2">
        <v>28</v>
      </c>
      <c r="U323" s="2">
        <v>4</v>
      </c>
      <c r="V323" s="2">
        <v>29</v>
      </c>
      <c r="W323" s="2">
        <v>6</v>
      </c>
      <c r="X323" s="2">
        <v>23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4">
        <f>Table2121418198598104[[#This Row],[QB PY]]+Table2121418198598104[[#This Row],[QB RY]]</f>
        <v>148</v>
      </c>
      <c r="AJ323" s="4">
        <f>Table2121418198598104[[#This Row],[RB1 RY]]+Table2121418198598104[[#This Row],[RB2+ RY]]+Table2121418198598104[[#This Row],[RB1 RecY]]+Table2121418198598104[[#This Row],[RB2 RecY]]</f>
        <v>87</v>
      </c>
    </row>
    <row r="324" spans="1:36" x14ac:dyDescent="0.35">
      <c r="A324" s="19" t="s">
        <v>38</v>
      </c>
      <c r="B324" s="1">
        <v>14</v>
      </c>
      <c r="C324" s="2">
        <v>205</v>
      </c>
      <c r="D324" s="2">
        <v>0</v>
      </c>
      <c r="E324" s="2">
        <v>9</v>
      </c>
      <c r="F324" s="2">
        <v>74</v>
      </c>
      <c r="G324" s="2">
        <v>4</v>
      </c>
      <c r="H324" s="2">
        <v>2</v>
      </c>
      <c r="I324" s="2">
        <v>0</v>
      </c>
      <c r="J324" s="2">
        <v>0</v>
      </c>
      <c r="K324" s="2">
        <v>2</v>
      </c>
      <c r="L324" s="2">
        <v>5</v>
      </c>
      <c r="M324" s="2">
        <v>9</v>
      </c>
      <c r="N324" s="2">
        <v>79</v>
      </c>
      <c r="O324" s="2">
        <v>5</v>
      </c>
      <c r="P324" s="2">
        <v>80</v>
      </c>
      <c r="Q324" s="2">
        <v>4</v>
      </c>
      <c r="R324" s="2">
        <v>23</v>
      </c>
      <c r="S324" s="2">
        <v>1</v>
      </c>
      <c r="T324" s="2">
        <v>3</v>
      </c>
      <c r="U324" s="2">
        <v>2</v>
      </c>
      <c r="V324" s="2">
        <v>15</v>
      </c>
      <c r="W324" s="2">
        <v>0</v>
      </c>
      <c r="X324" s="2">
        <v>0</v>
      </c>
      <c r="Y324" s="2">
        <v>1</v>
      </c>
      <c r="Z324" s="2">
        <v>1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4">
        <f>Table2121418198598104[[#This Row],[QB PY]]+Table2121418198598104[[#This Row],[QB RY]]</f>
        <v>214</v>
      </c>
      <c r="AJ324" s="4">
        <f>Table2121418198598104[[#This Row],[RB1 RY]]+Table2121418198598104[[#This Row],[RB2+ RY]]+Table2121418198598104[[#This Row],[RB1 RecY]]+Table2121418198598104[[#This Row],[RB2 RecY]]</f>
        <v>83</v>
      </c>
    </row>
    <row r="325" spans="1:36" x14ac:dyDescent="0.35">
      <c r="A325" s="19" t="s">
        <v>49</v>
      </c>
      <c r="B325" s="1">
        <v>15</v>
      </c>
      <c r="C325" s="2">
        <v>176</v>
      </c>
      <c r="D325" s="2">
        <v>1</v>
      </c>
      <c r="E325" s="2">
        <v>39</v>
      </c>
      <c r="F325" s="2">
        <v>23</v>
      </c>
      <c r="G325" s="2">
        <v>68</v>
      </c>
      <c r="H325" s="2">
        <v>0</v>
      </c>
      <c r="I325" s="2">
        <v>2</v>
      </c>
      <c r="J325" s="2">
        <v>14</v>
      </c>
      <c r="K325" s="2">
        <v>1</v>
      </c>
      <c r="L325" s="2">
        <v>7</v>
      </c>
      <c r="M325" s="2">
        <v>4</v>
      </c>
      <c r="N325" s="2">
        <v>25</v>
      </c>
      <c r="O325" s="2">
        <v>6</v>
      </c>
      <c r="P325" s="2">
        <v>58</v>
      </c>
      <c r="Q325" s="2">
        <v>6</v>
      </c>
      <c r="R325" s="2">
        <v>53</v>
      </c>
      <c r="S325" s="2">
        <v>1</v>
      </c>
      <c r="T325" s="2">
        <v>6</v>
      </c>
      <c r="U325" s="2">
        <v>2</v>
      </c>
      <c r="V325" s="2">
        <v>13</v>
      </c>
      <c r="W325" s="2">
        <v>0</v>
      </c>
      <c r="X325" s="2">
        <v>0</v>
      </c>
      <c r="Y325" s="2">
        <v>0</v>
      </c>
      <c r="Z325" s="2">
        <v>0</v>
      </c>
      <c r="AA325" s="2">
        <v>1</v>
      </c>
      <c r="AB325" s="2">
        <v>0</v>
      </c>
      <c r="AC325" s="2">
        <v>1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4">
        <f>Table2121418198598104[[#This Row],[QB PY]]+Table2121418198598104[[#This Row],[QB RY]]</f>
        <v>215</v>
      </c>
      <c r="AJ325" s="4">
        <f>Table2121418198598104[[#This Row],[RB1 RY]]+Table2121418198598104[[#This Row],[RB2+ RY]]+Table2121418198598104[[#This Row],[RB1 RecY]]+Table2121418198598104[[#This Row],[RB2 RecY]]</f>
        <v>112</v>
      </c>
    </row>
    <row r="326" spans="1:36" x14ac:dyDescent="0.35">
      <c r="A326" s="19" t="s">
        <v>34</v>
      </c>
      <c r="B326" s="1">
        <v>16</v>
      </c>
      <c r="C326" s="2">
        <v>352</v>
      </c>
      <c r="D326" s="2">
        <v>1</v>
      </c>
      <c r="E326" s="2">
        <v>11</v>
      </c>
      <c r="F326" s="2">
        <v>50</v>
      </c>
      <c r="G326" s="2">
        <v>37</v>
      </c>
      <c r="H326" s="2">
        <v>3</v>
      </c>
      <c r="I326" s="2">
        <v>4</v>
      </c>
      <c r="J326" s="2">
        <v>71</v>
      </c>
      <c r="K326" s="2">
        <v>1</v>
      </c>
      <c r="L326" s="2">
        <v>2</v>
      </c>
      <c r="M326" s="2">
        <v>6</v>
      </c>
      <c r="N326" s="2">
        <v>86</v>
      </c>
      <c r="O326" s="2">
        <v>4</v>
      </c>
      <c r="P326" s="2">
        <v>66</v>
      </c>
      <c r="Q326" s="2">
        <v>5</v>
      </c>
      <c r="R326" s="2">
        <v>42</v>
      </c>
      <c r="S326" s="2">
        <v>4</v>
      </c>
      <c r="T326" s="2">
        <v>35</v>
      </c>
      <c r="U326" s="2">
        <v>2</v>
      </c>
      <c r="V326" s="2">
        <v>36</v>
      </c>
      <c r="W326" s="2">
        <v>2</v>
      </c>
      <c r="X326" s="2">
        <v>14</v>
      </c>
      <c r="Y326" s="2">
        <v>0</v>
      </c>
      <c r="Z326" s="2">
        <v>1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4">
        <f>Table2121418198598104[[#This Row],[QB PY]]+Table2121418198598104[[#This Row],[QB RY]]</f>
        <v>363</v>
      </c>
      <c r="AJ326" s="4">
        <f>Table2121418198598104[[#This Row],[RB1 RY]]+Table2121418198598104[[#This Row],[RB2+ RY]]+Table2121418198598104[[#This Row],[RB1 RecY]]+Table2121418198598104[[#This Row],[RB2 RecY]]</f>
        <v>160</v>
      </c>
    </row>
    <row r="327" spans="1:36" x14ac:dyDescent="0.35">
      <c r="A327" s="19" t="s">
        <v>38</v>
      </c>
      <c r="B327" s="1">
        <v>17</v>
      </c>
      <c r="C327" s="2">
        <v>147</v>
      </c>
      <c r="D327" s="2">
        <v>1</v>
      </c>
      <c r="E327" s="2">
        <v>-1</v>
      </c>
      <c r="F327" s="2">
        <v>70</v>
      </c>
      <c r="G327" s="2">
        <v>0</v>
      </c>
      <c r="H327" s="2">
        <v>0</v>
      </c>
      <c r="I327" s="2">
        <v>3</v>
      </c>
      <c r="J327" s="2">
        <v>14</v>
      </c>
      <c r="K327" s="2">
        <v>1</v>
      </c>
      <c r="L327" s="2">
        <v>4</v>
      </c>
      <c r="M327" s="2">
        <v>2</v>
      </c>
      <c r="N327" s="2">
        <v>16</v>
      </c>
      <c r="O327" s="2">
        <v>0</v>
      </c>
      <c r="P327" s="2">
        <v>0</v>
      </c>
      <c r="Q327" s="2">
        <v>2</v>
      </c>
      <c r="R327" s="2">
        <v>34</v>
      </c>
      <c r="S327" s="2">
        <v>0</v>
      </c>
      <c r="T327" s="2">
        <v>0</v>
      </c>
      <c r="U327" s="2">
        <v>5</v>
      </c>
      <c r="V327" s="2">
        <v>43</v>
      </c>
      <c r="W327" s="2">
        <v>4</v>
      </c>
      <c r="X327" s="2">
        <v>36</v>
      </c>
      <c r="Y327" s="2">
        <v>0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1</v>
      </c>
      <c r="AH327" s="2">
        <v>0</v>
      </c>
      <c r="AI327" s="4">
        <f>Table2121418198598104[[#This Row],[QB PY]]+Table2121418198598104[[#This Row],[QB RY]]</f>
        <v>146</v>
      </c>
      <c r="AJ327" s="4">
        <f>Table2121418198598104[[#This Row],[RB1 RY]]+Table2121418198598104[[#This Row],[RB2+ RY]]+Table2121418198598104[[#This Row],[RB1 RecY]]+Table2121418198598104[[#This Row],[RB2 RecY]]</f>
        <v>88</v>
      </c>
    </row>
    <row r="328" spans="1:36" x14ac:dyDescent="0.35">
      <c r="A328" s="19" t="s">
        <v>55</v>
      </c>
      <c r="B328" s="1">
        <v>18</v>
      </c>
      <c r="C328" s="2">
        <v>124</v>
      </c>
      <c r="D328" s="2">
        <v>0</v>
      </c>
      <c r="E328" s="2">
        <v>11</v>
      </c>
      <c r="F328" s="2">
        <v>48</v>
      </c>
      <c r="G328" s="2">
        <v>18</v>
      </c>
      <c r="H328" s="2">
        <v>0</v>
      </c>
      <c r="I328" s="2">
        <v>3</v>
      </c>
      <c r="J328" s="2">
        <v>17</v>
      </c>
      <c r="K328" s="2">
        <v>7</v>
      </c>
      <c r="L328" s="2">
        <v>9</v>
      </c>
      <c r="M328" s="2">
        <v>3</v>
      </c>
      <c r="N328" s="2">
        <v>50</v>
      </c>
      <c r="O328" s="2">
        <v>3</v>
      </c>
      <c r="P328" s="2">
        <v>27</v>
      </c>
      <c r="Q328" s="2">
        <v>1</v>
      </c>
      <c r="R328" s="2">
        <v>5</v>
      </c>
      <c r="S328" s="2">
        <v>0</v>
      </c>
      <c r="T328" s="2">
        <v>0</v>
      </c>
      <c r="U328" s="2">
        <v>2</v>
      </c>
      <c r="V328" s="2">
        <v>2</v>
      </c>
      <c r="W328" s="2">
        <v>1</v>
      </c>
      <c r="X328" s="2">
        <v>14</v>
      </c>
      <c r="Y328" s="2">
        <v>1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4">
        <f>Table2121418198598104[[#This Row],[QB PY]]+Table2121418198598104[[#This Row],[QB RY]]</f>
        <v>135</v>
      </c>
      <c r="AJ328" s="4">
        <f>Table2121418198598104[[#This Row],[RB1 RY]]+Table2121418198598104[[#This Row],[RB2+ RY]]+Table2121418198598104[[#This Row],[RB1 RecY]]+Table2121418198598104[[#This Row],[RB2 RecY]]</f>
        <v>92</v>
      </c>
    </row>
    <row r="329" spans="1:36" x14ac:dyDescent="0.35">
      <c r="B329" s="1" t="s">
        <v>57</v>
      </c>
      <c r="C329" s="3">
        <f>AVERAGE(Table2121418198598104[QB PY])</f>
        <v>231.35294117647058</v>
      </c>
      <c r="D329" s="3">
        <f>AVERAGE(Table2121418198598104[P TD])</f>
        <v>1.4705882352941178</v>
      </c>
      <c r="E329" s="3">
        <f>AVERAGE(Table2121418198598104[QB RY])</f>
        <v>16.647058823529413</v>
      </c>
      <c r="F329" s="3">
        <f>AVERAGE(Table2121418198598104[RB1 RY])</f>
        <v>46.235294117647058</v>
      </c>
      <c r="G329" s="3">
        <f>AVERAGE(Table2121418198598104[RB2+ RY])</f>
        <v>21.764705882352942</v>
      </c>
      <c r="H329" s="3">
        <f>AVERAGE(Table2121418198598104[WR RY])</f>
        <v>0.94117647058823528</v>
      </c>
      <c r="I329" s="3">
        <f>AVERAGE(Table2121418198598104[RB1 Recep])</f>
        <v>2.7058823529411766</v>
      </c>
      <c r="J329" s="3">
        <f>AVERAGE(Table2121418198598104[RB1 RecY])</f>
        <v>22.411764705882351</v>
      </c>
      <c r="K329" s="3">
        <f>AVERAGE(Table2121418198598104[RB2 Recep])</f>
        <v>2.1176470588235294</v>
      </c>
      <c r="L329" s="3">
        <f>AVERAGE(Table2121418198598104[RB2 RecY])</f>
        <v>12.058823529411764</v>
      </c>
      <c r="M329" s="3">
        <f>AVERAGE(Table2121418198598104[WR1 Recep])</f>
        <v>5.7058823529411766</v>
      </c>
      <c r="N329" s="3">
        <f>AVERAGE(Table2121418198598104[WR1 RecY])</f>
        <v>67.705882352941174</v>
      </c>
      <c r="O329" s="3">
        <f>AVERAGE(Table2121418198598104[WR2 Recep])</f>
        <v>3.1764705882352939</v>
      </c>
      <c r="P329" s="3">
        <f>AVERAGE(Table2121418198598104[WR2 RecY])</f>
        <v>35.647058823529413</v>
      </c>
      <c r="Q329" s="3">
        <f>AVERAGE(Table2121418198598104[WR3 Recep])</f>
        <v>2.2352941176470589</v>
      </c>
      <c r="R329" s="3">
        <f>AVERAGE(Table2121418198598104[WR3 RecY])</f>
        <v>19.411764705882351</v>
      </c>
      <c r="S329" s="3">
        <f>AVERAGE(Table2121418198598104[WR4+ Recep])</f>
        <v>1.2352941176470589</v>
      </c>
      <c r="T329" s="3">
        <f>AVERAGE(Table2121418198598104[WR4+ RecY])</f>
        <v>15.058823529411764</v>
      </c>
      <c r="U329" s="3">
        <f>AVERAGE(Table2121418198598104[TE1 Recep])</f>
        <v>4.2941176470588234</v>
      </c>
      <c r="V329" s="3">
        <f>AVERAGE(Table2121418198598104[TE1 RecY])</f>
        <v>45.235294117647058</v>
      </c>
      <c r="W329" s="3">
        <f>AVERAGE(Table2121418198598104[TE2 Recep])</f>
        <v>1.8235294117647058</v>
      </c>
      <c r="X329" s="3">
        <f>AVERAGE(Table2121418198598104[TE2 RecY])</f>
        <v>13.823529411764707</v>
      </c>
      <c r="Y329" s="3">
        <f>AVERAGE(Table2121418198598104[QB TD])</f>
        <v>0.29411764705882354</v>
      </c>
      <c r="Z329" s="3">
        <f>AVERAGE(Table2121418198598104[RB1 TD])</f>
        <v>0.58823529411764708</v>
      </c>
      <c r="AA329" s="3">
        <f>AVERAGE(Table2121418198598104[RB2 TD])</f>
        <v>0.23529411764705882</v>
      </c>
      <c r="AB329" s="3">
        <f>AVERAGE(Table2121418198598104[WR1 TD])</f>
        <v>0.23529411764705882</v>
      </c>
      <c r="AC329" s="3">
        <f>AVERAGE(Table2121418198598104[WR2 TD])</f>
        <v>0.29411764705882354</v>
      </c>
      <c r="AD329" s="3">
        <f>AVERAGE(Table2121418198598104[WR3 TD])</f>
        <v>0</v>
      </c>
      <c r="AE329" s="3">
        <f>AVERAGE(Table2121418198598104[WR4+ TD])</f>
        <v>0.11764705882352941</v>
      </c>
      <c r="AF329" s="3">
        <f>AVERAGE(Table2121418198598104[TE1 TD])</f>
        <v>0.35294117647058826</v>
      </c>
      <c r="AG329" s="3">
        <f>AVERAGE(Table2121418198598104[TE2 TD])</f>
        <v>0.11764705882352941</v>
      </c>
      <c r="AH329" s="3">
        <f>AVERAGE(Table2121418198598104[D/ST TD])</f>
        <v>0.11764705882352941</v>
      </c>
      <c r="AI329" s="3">
        <f>AVERAGE(Table2121418198598104[QB P+R])</f>
        <v>248</v>
      </c>
      <c r="AJ329" s="3">
        <f>AVERAGE(Table2121418198598104[RB R+R])</f>
        <v>102.47058823529412</v>
      </c>
    </row>
    <row r="331" spans="1:36" x14ac:dyDescent="0.35">
      <c r="A331" s="230" t="s">
        <v>40</v>
      </c>
      <c r="B331" s="230"/>
      <c r="C331" s="230"/>
      <c r="D331" s="230"/>
      <c r="E331" s="230"/>
      <c r="F331" s="230"/>
      <c r="G331" s="23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  <c r="AF331" s="230"/>
      <c r="AG331" s="230"/>
      <c r="AH331" s="230"/>
      <c r="AI331" s="230"/>
      <c r="AJ331" s="230"/>
    </row>
    <row r="332" spans="1:36" x14ac:dyDescent="0.35">
      <c r="A332" s="20" t="s">
        <v>63</v>
      </c>
      <c r="B332" s="6" t="s">
        <v>1</v>
      </c>
      <c r="C332" s="7" t="s">
        <v>18</v>
      </c>
      <c r="D332" s="8" t="s">
        <v>19</v>
      </c>
      <c r="E332" s="9" t="s">
        <v>20</v>
      </c>
      <c r="F332" s="10" t="s">
        <v>21</v>
      </c>
      <c r="G332" s="11" t="s">
        <v>22</v>
      </c>
      <c r="H332" s="12" t="s">
        <v>23</v>
      </c>
      <c r="I332" s="13" t="s">
        <v>667</v>
      </c>
      <c r="J332" s="13" t="s">
        <v>668</v>
      </c>
      <c r="K332" s="13" t="s">
        <v>665</v>
      </c>
      <c r="L332" s="13" t="s">
        <v>666</v>
      </c>
      <c r="M332" s="14" t="s">
        <v>2</v>
      </c>
      <c r="N332" s="14" t="s">
        <v>24</v>
      </c>
      <c r="O332" s="15" t="s">
        <v>3</v>
      </c>
      <c r="P332" s="15" t="s">
        <v>25</v>
      </c>
      <c r="Q332" s="16" t="s">
        <v>4</v>
      </c>
      <c r="R332" s="16" t="s">
        <v>26</v>
      </c>
      <c r="S332" s="17" t="s">
        <v>5</v>
      </c>
      <c r="T332" s="17" t="s">
        <v>27</v>
      </c>
      <c r="U332" s="18" t="s">
        <v>669</v>
      </c>
      <c r="V332" s="18" t="s">
        <v>670</v>
      </c>
      <c r="W332" s="18" t="s">
        <v>675</v>
      </c>
      <c r="X332" s="18" t="s">
        <v>671</v>
      </c>
      <c r="Y332" s="6" t="s">
        <v>6</v>
      </c>
      <c r="Z332" s="6" t="s">
        <v>7</v>
      </c>
      <c r="AA332" s="6" t="s">
        <v>674</v>
      </c>
      <c r="AB332" s="6" t="s">
        <v>8</v>
      </c>
      <c r="AC332" s="6" t="s">
        <v>9</v>
      </c>
      <c r="AD332" s="6" t="s">
        <v>10</v>
      </c>
      <c r="AE332" s="6" t="s">
        <v>11</v>
      </c>
      <c r="AF332" s="6" t="s">
        <v>673</v>
      </c>
      <c r="AG332" s="6" t="s">
        <v>672</v>
      </c>
      <c r="AH332" s="6" t="s">
        <v>12</v>
      </c>
      <c r="AI332" s="8" t="s">
        <v>14</v>
      </c>
      <c r="AJ332" s="11" t="s">
        <v>13</v>
      </c>
    </row>
    <row r="333" spans="1:36" x14ac:dyDescent="0.35">
      <c r="A333" s="19" t="s">
        <v>41</v>
      </c>
      <c r="B333" s="5">
        <v>1</v>
      </c>
      <c r="C333" s="4">
        <v>318</v>
      </c>
      <c r="D333" s="4">
        <v>3</v>
      </c>
      <c r="E333" s="4">
        <v>32</v>
      </c>
      <c r="F333" s="4">
        <v>48</v>
      </c>
      <c r="G333" s="4">
        <v>5</v>
      </c>
      <c r="H333" s="4">
        <v>5</v>
      </c>
      <c r="I333" s="4">
        <v>2</v>
      </c>
      <c r="J333" s="4">
        <v>13</v>
      </c>
      <c r="K333" s="4">
        <v>1</v>
      </c>
      <c r="L333" s="4">
        <v>5</v>
      </c>
      <c r="M333" s="4">
        <v>6</v>
      </c>
      <c r="N333" s="4">
        <v>74</v>
      </c>
      <c r="O333" s="4">
        <v>5</v>
      </c>
      <c r="P333" s="4">
        <v>79</v>
      </c>
      <c r="Q333" s="4">
        <v>7</v>
      </c>
      <c r="R333" s="4">
        <v>68</v>
      </c>
      <c r="S333" s="4">
        <v>1</v>
      </c>
      <c r="T333" s="4">
        <v>11</v>
      </c>
      <c r="U333" s="4">
        <v>1</v>
      </c>
      <c r="V333" s="4">
        <v>18</v>
      </c>
      <c r="W333" s="4">
        <v>2</v>
      </c>
      <c r="X333" s="4">
        <v>50</v>
      </c>
      <c r="Y333" s="4">
        <v>0</v>
      </c>
      <c r="Z333" s="4">
        <v>0</v>
      </c>
      <c r="AA333" s="4">
        <v>0</v>
      </c>
      <c r="AB333" s="4">
        <v>0</v>
      </c>
      <c r="AC333" s="4">
        <v>2</v>
      </c>
      <c r="AD333" s="4">
        <v>1</v>
      </c>
      <c r="AE333" s="4">
        <v>0</v>
      </c>
      <c r="AF333" s="4">
        <v>0</v>
      </c>
      <c r="AG333" s="4">
        <v>0</v>
      </c>
      <c r="AH333" s="4">
        <v>0</v>
      </c>
      <c r="AI333" s="4">
        <f>Table2121418198598105[[#This Row],[QB PY]]+Table2121418198598105[[#This Row],[QB RY]]</f>
        <v>350</v>
      </c>
      <c r="AJ333" s="4">
        <f>Table2121418198598105[[#This Row],[RB1 RY]]+Table2121418198598105[[#This Row],[RB2+ RY]]+Table2121418198598105[[#This Row],[RB1 RecY]]+Table2121418198598105[[#This Row],[RB2 RecY]]</f>
        <v>71</v>
      </c>
    </row>
    <row r="334" spans="1:36" x14ac:dyDescent="0.35">
      <c r="A334" s="19" t="s">
        <v>50</v>
      </c>
      <c r="B334" s="1">
        <v>2</v>
      </c>
      <c r="C334" s="2">
        <v>101</v>
      </c>
      <c r="D334" s="2">
        <v>0</v>
      </c>
      <c r="E334" s="2">
        <v>15</v>
      </c>
      <c r="F334" s="2">
        <v>88</v>
      </c>
      <c r="G334" s="2">
        <v>19</v>
      </c>
      <c r="H334" s="2">
        <v>0</v>
      </c>
      <c r="I334" s="2">
        <v>2</v>
      </c>
      <c r="J334" s="2">
        <v>6</v>
      </c>
      <c r="K334" s="2">
        <v>0</v>
      </c>
      <c r="L334" s="2">
        <v>0</v>
      </c>
      <c r="M334" s="2">
        <v>5</v>
      </c>
      <c r="N334" s="2">
        <v>27</v>
      </c>
      <c r="O334" s="2">
        <v>4</v>
      </c>
      <c r="P334" s="2">
        <v>53</v>
      </c>
      <c r="Q334" s="2">
        <v>1</v>
      </c>
      <c r="R334" s="2">
        <v>4</v>
      </c>
      <c r="S334" s="2">
        <v>0</v>
      </c>
      <c r="T334" s="2">
        <v>0</v>
      </c>
      <c r="U334" s="2">
        <v>1</v>
      </c>
      <c r="V334" s="2">
        <v>6</v>
      </c>
      <c r="W334" s="2">
        <v>1</v>
      </c>
      <c r="X334" s="2">
        <v>5</v>
      </c>
      <c r="Y334" s="2">
        <v>1</v>
      </c>
      <c r="Z334" s="2">
        <v>1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4">
        <f>Table2121418198598105[[#This Row],[QB PY]]+Table2121418198598105[[#This Row],[QB RY]]</f>
        <v>116</v>
      </c>
      <c r="AJ334" s="4">
        <f>Table2121418198598105[[#This Row],[RB1 RY]]+Table2121418198598105[[#This Row],[RB2+ RY]]+Table2121418198598105[[#This Row],[RB1 RecY]]+Table2121418198598105[[#This Row],[RB2 RecY]]</f>
        <v>113</v>
      </c>
    </row>
    <row r="335" spans="1:36" x14ac:dyDescent="0.35">
      <c r="A335" s="19" t="s">
        <v>48</v>
      </c>
      <c r="B335" s="1">
        <v>3</v>
      </c>
      <c r="C335" s="2">
        <v>160</v>
      </c>
      <c r="D335" s="2">
        <v>0</v>
      </c>
      <c r="E335" s="2">
        <v>30</v>
      </c>
      <c r="F335" s="2">
        <v>60</v>
      </c>
      <c r="G335" s="2">
        <v>40</v>
      </c>
      <c r="H335" s="2">
        <v>0</v>
      </c>
      <c r="I335" s="2">
        <v>6</v>
      </c>
      <c r="J335" s="2">
        <v>61</v>
      </c>
      <c r="K335" s="2">
        <v>2</v>
      </c>
      <c r="L335" s="2">
        <v>7</v>
      </c>
      <c r="M335" s="2">
        <v>2</v>
      </c>
      <c r="N335" s="2">
        <v>13</v>
      </c>
      <c r="O335" s="2">
        <v>1</v>
      </c>
      <c r="P335" s="2">
        <v>26</v>
      </c>
      <c r="Q335" s="2">
        <v>4</v>
      </c>
      <c r="R335" s="2">
        <v>30</v>
      </c>
      <c r="S335" s="2">
        <v>0</v>
      </c>
      <c r="T335" s="2">
        <v>0</v>
      </c>
      <c r="U335" s="2">
        <v>1</v>
      </c>
      <c r="V335" s="2">
        <v>10</v>
      </c>
      <c r="W335" s="2">
        <v>2</v>
      </c>
      <c r="X335" s="2">
        <v>13</v>
      </c>
      <c r="Y335" s="2">
        <v>0</v>
      </c>
      <c r="Z335" s="2">
        <v>1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4">
        <f>Table2121418198598105[[#This Row],[QB PY]]+Table2121418198598105[[#This Row],[QB RY]]</f>
        <v>190</v>
      </c>
      <c r="AJ335" s="4">
        <f>Table2121418198598105[[#This Row],[RB1 RY]]+Table2121418198598105[[#This Row],[RB2+ RY]]+Table2121418198598105[[#This Row],[RB1 RecY]]+Table2121418198598105[[#This Row],[RB2 RecY]]</f>
        <v>168</v>
      </c>
    </row>
    <row r="336" spans="1:36" x14ac:dyDescent="0.35">
      <c r="A336" s="19" t="s">
        <v>16</v>
      </c>
      <c r="B336" s="1">
        <v>4</v>
      </c>
      <c r="C336" s="2">
        <v>199</v>
      </c>
      <c r="D336" s="2">
        <v>1</v>
      </c>
      <c r="E336" s="2">
        <v>48</v>
      </c>
      <c r="F336" s="2">
        <v>42</v>
      </c>
      <c r="G336" s="2">
        <v>76</v>
      </c>
      <c r="H336" s="2">
        <v>0</v>
      </c>
      <c r="I336" s="2">
        <v>2</v>
      </c>
      <c r="J336" s="2">
        <v>16</v>
      </c>
      <c r="K336" s="2">
        <v>5</v>
      </c>
      <c r="L336" s="2">
        <v>41</v>
      </c>
      <c r="M336" s="2">
        <v>7</v>
      </c>
      <c r="N336" s="2">
        <v>74</v>
      </c>
      <c r="O336" s="2">
        <v>1</v>
      </c>
      <c r="P336" s="2">
        <v>24</v>
      </c>
      <c r="Q336" s="2">
        <v>0</v>
      </c>
      <c r="R336" s="2">
        <v>0</v>
      </c>
      <c r="S336" s="2">
        <v>1</v>
      </c>
      <c r="T336" s="2">
        <v>14</v>
      </c>
      <c r="U336" s="2">
        <v>7</v>
      </c>
      <c r="V336" s="2">
        <v>30</v>
      </c>
      <c r="W336" s="2">
        <v>0</v>
      </c>
      <c r="X336" s="2">
        <v>0</v>
      </c>
      <c r="Y336" s="2">
        <v>0</v>
      </c>
      <c r="Z336" s="2">
        <v>0</v>
      </c>
      <c r="AA336" s="2">
        <v>2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4">
        <f>Table2121418198598105[[#This Row],[QB PY]]+Table2121418198598105[[#This Row],[QB RY]]</f>
        <v>247</v>
      </c>
      <c r="AJ336" s="4">
        <f>Table2121418198598105[[#This Row],[RB1 RY]]+Table2121418198598105[[#This Row],[RB2+ RY]]+Table2121418198598105[[#This Row],[RB1 RecY]]+Table2121418198598105[[#This Row],[RB2 RecY]]</f>
        <v>175</v>
      </c>
    </row>
    <row r="337" spans="1:36" x14ac:dyDescent="0.35">
      <c r="A337" s="19" t="s">
        <v>39</v>
      </c>
      <c r="B337" s="1">
        <v>5</v>
      </c>
      <c r="C337" s="2">
        <v>221</v>
      </c>
      <c r="D337" s="2">
        <v>1</v>
      </c>
      <c r="E337" s="2">
        <v>54</v>
      </c>
      <c r="F337" s="2">
        <v>49</v>
      </c>
      <c r="G337" s="2">
        <v>6</v>
      </c>
      <c r="H337" s="2">
        <v>0</v>
      </c>
      <c r="I337" s="2">
        <v>3</v>
      </c>
      <c r="J337" s="2">
        <v>9</v>
      </c>
      <c r="K337" s="2">
        <v>1</v>
      </c>
      <c r="L337" s="2">
        <v>5</v>
      </c>
      <c r="M337" s="2">
        <v>4</v>
      </c>
      <c r="N337" s="2">
        <v>80</v>
      </c>
      <c r="O337" s="2">
        <v>3</v>
      </c>
      <c r="P337" s="2">
        <v>64</v>
      </c>
      <c r="Q337" s="2">
        <v>2</v>
      </c>
      <c r="R337" s="2">
        <v>15</v>
      </c>
      <c r="S337" s="2">
        <v>2</v>
      </c>
      <c r="T337" s="2">
        <v>16</v>
      </c>
      <c r="U337" s="2">
        <v>1</v>
      </c>
      <c r="V337" s="2">
        <v>22</v>
      </c>
      <c r="W337" s="2">
        <v>2</v>
      </c>
      <c r="X337" s="2">
        <v>10</v>
      </c>
      <c r="Y337" s="2">
        <v>2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1</v>
      </c>
      <c r="AF337" s="2">
        <v>0</v>
      </c>
      <c r="AG337" s="2">
        <v>0</v>
      </c>
      <c r="AH337" s="2">
        <v>1</v>
      </c>
      <c r="AI337" s="4">
        <f>Table2121418198598105[[#This Row],[QB PY]]+Table2121418198598105[[#This Row],[QB RY]]</f>
        <v>275</v>
      </c>
      <c r="AJ337" s="4">
        <f>Table2121418198598105[[#This Row],[RB1 RY]]+Table2121418198598105[[#This Row],[RB2+ RY]]+Table2121418198598105[[#This Row],[RB1 RecY]]+Table2121418198598105[[#This Row],[RB2 RecY]]</f>
        <v>69</v>
      </c>
    </row>
    <row r="338" spans="1:36" x14ac:dyDescent="0.35">
      <c r="A338" s="19" t="s">
        <v>35</v>
      </c>
      <c r="B338" s="1">
        <v>6</v>
      </c>
      <c r="C338" s="2">
        <v>203</v>
      </c>
      <c r="D338" s="2">
        <v>2</v>
      </c>
      <c r="E338" s="2">
        <v>7</v>
      </c>
      <c r="F338" s="2">
        <v>65</v>
      </c>
      <c r="G338" s="2">
        <v>24</v>
      </c>
      <c r="H338" s="2">
        <v>2</v>
      </c>
      <c r="I338" s="2">
        <v>1</v>
      </c>
      <c r="J338" s="2">
        <v>0</v>
      </c>
      <c r="K338" s="2">
        <v>2</v>
      </c>
      <c r="L338" s="2">
        <v>37</v>
      </c>
      <c r="M338" s="2">
        <v>9</v>
      </c>
      <c r="N338" s="2">
        <v>45</v>
      </c>
      <c r="O338" s="2">
        <v>6</v>
      </c>
      <c r="P338" s="2">
        <v>66</v>
      </c>
      <c r="Q338" s="2">
        <v>0</v>
      </c>
      <c r="R338" s="2">
        <v>0</v>
      </c>
      <c r="S338" s="2">
        <v>0</v>
      </c>
      <c r="T338" s="2">
        <v>0</v>
      </c>
      <c r="U338" s="2">
        <v>5</v>
      </c>
      <c r="V338" s="2">
        <v>55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</v>
      </c>
      <c r="AD338" s="2">
        <v>0</v>
      </c>
      <c r="AE338" s="2">
        <v>0</v>
      </c>
      <c r="AF338" s="2">
        <v>1</v>
      </c>
      <c r="AG338" s="2">
        <v>0</v>
      </c>
      <c r="AH338" s="2">
        <v>0</v>
      </c>
      <c r="AI338" s="4">
        <f>Table2121418198598105[[#This Row],[QB PY]]+Table2121418198598105[[#This Row],[QB RY]]</f>
        <v>210</v>
      </c>
      <c r="AJ338" s="4">
        <f>Table2121418198598105[[#This Row],[RB1 RY]]+Table2121418198598105[[#This Row],[RB2+ RY]]+Table2121418198598105[[#This Row],[RB1 RecY]]+Table2121418198598105[[#This Row],[RB2 RecY]]</f>
        <v>126</v>
      </c>
    </row>
    <row r="339" spans="1:36" x14ac:dyDescent="0.35">
      <c r="A339" s="19" t="s">
        <v>43</v>
      </c>
      <c r="B339" s="1">
        <v>7</v>
      </c>
      <c r="C339" s="2">
        <v>75</v>
      </c>
      <c r="D339" s="2">
        <v>0</v>
      </c>
      <c r="E339" s="2">
        <v>1</v>
      </c>
      <c r="F339" s="2">
        <v>21</v>
      </c>
      <c r="G339" s="2">
        <v>3</v>
      </c>
      <c r="H339" s="2">
        <v>0</v>
      </c>
      <c r="I339" s="2">
        <v>1</v>
      </c>
      <c r="J339" s="2">
        <v>13</v>
      </c>
      <c r="K339" s="2">
        <v>2</v>
      </c>
      <c r="L339" s="2">
        <v>3</v>
      </c>
      <c r="M339" s="2">
        <v>5</v>
      </c>
      <c r="N339" s="2">
        <v>33</v>
      </c>
      <c r="O339" s="2">
        <v>2</v>
      </c>
      <c r="P339" s="2">
        <v>13</v>
      </c>
      <c r="Q339" s="2">
        <v>0</v>
      </c>
      <c r="R339" s="2">
        <v>0</v>
      </c>
      <c r="S339" s="2">
        <v>0</v>
      </c>
      <c r="T339" s="2">
        <v>0</v>
      </c>
      <c r="U339" s="2">
        <v>1</v>
      </c>
      <c r="V339" s="2">
        <v>10</v>
      </c>
      <c r="W339" s="2">
        <v>1</v>
      </c>
      <c r="X339" s="2">
        <v>3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4">
        <f>Table2121418198598105[[#This Row],[QB PY]]+Table2121418198598105[[#This Row],[QB RY]]</f>
        <v>76</v>
      </c>
      <c r="AJ339" s="4">
        <f>Table2121418198598105[[#This Row],[RB1 RY]]+Table2121418198598105[[#This Row],[RB2+ RY]]+Table2121418198598105[[#This Row],[RB1 RecY]]+Table2121418198598105[[#This Row],[RB2 RecY]]</f>
        <v>40</v>
      </c>
    </row>
    <row r="340" spans="1:36" x14ac:dyDescent="0.35">
      <c r="A340" s="19" t="s">
        <v>56</v>
      </c>
      <c r="B340" s="1">
        <v>8</v>
      </c>
      <c r="C340" s="2">
        <v>213</v>
      </c>
      <c r="D340" s="2">
        <v>1</v>
      </c>
      <c r="E340" s="2">
        <v>28</v>
      </c>
      <c r="F340" s="2">
        <v>25</v>
      </c>
      <c r="G340" s="2">
        <v>6</v>
      </c>
      <c r="H340" s="2">
        <v>1</v>
      </c>
      <c r="I340" s="2">
        <v>5</v>
      </c>
      <c r="J340" s="2">
        <v>64</v>
      </c>
      <c r="K340" s="2">
        <v>0</v>
      </c>
      <c r="L340" s="2">
        <v>0</v>
      </c>
      <c r="M340" s="2">
        <v>3</v>
      </c>
      <c r="N340" s="2">
        <v>54</v>
      </c>
      <c r="O340" s="2">
        <v>3</v>
      </c>
      <c r="P340" s="2">
        <v>11</v>
      </c>
      <c r="Q340" s="2">
        <v>3</v>
      </c>
      <c r="R340" s="2">
        <v>24</v>
      </c>
      <c r="S340" s="2">
        <v>1</v>
      </c>
      <c r="T340" s="2">
        <v>0</v>
      </c>
      <c r="U340" s="2">
        <v>4</v>
      </c>
      <c r="V340" s="2">
        <v>16</v>
      </c>
      <c r="W340" s="2">
        <v>2</v>
      </c>
      <c r="X340" s="2">
        <v>44</v>
      </c>
      <c r="Y340" s="2">
        <v>0</v>
      </c>
      <c r="Z340" s="2">
        <v>0</v>
      </c>
      <c r="AA340" s="2">
        <v>0</v>
      </c>
      <c r="AB340" s="2">
        <v>1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4">
        <f>Table2121418198598105[[#This Row],[QB PY]]+Table2121418198598105[[#This Row],[QB RY]]</f>
        <v>241</v>
      </c>
      <c r="AJ340" s="4">
        <f>Table2121418198598105[[#This Row],[RB1 RY]]+Table2121418198598105[[#This Row],[RB2+ RY]]+Table2121418198598105[[#This Row],[RB1 RecY]]+Table2121418198598105[[#This Row],[RB2 RecY]]</f>
        <v>95</v>
      </c>
    </row>
    <row r="341" spans="1:36" x14ac:dyDescent="0.35">
      <c r="A341" s="19" t="s">
        <v>17</v>
      </c>
      <c r="B341" s="1">
        <v>9</v>
      </c>
      <c r="C341" s="2">
        <v>273</v>
      </c>
      <c r="D341" s="2">
        <v>1</v>
      </c>
      <c r="E341" s="2">
        <v>19</v>
      </c>
      <c r="F341" s="2">
        <v>114</v>
      </c>
      <c r="G341" s="2">
        <v>8</v>
      </c>
      <c r="H341" s="2">
        <v>0</v>
      </c>
      <c r="I341" s="2">
        <v>1</v>
      </c>
      <c r="J341" s="2">
        <v>11</v>
      </c>
      <c r="K341" s="2">
        <v>2</v>
      </c>
      <c r="L341" s="2">
        <v>12</v>
      </c>
      <c r="M341" s="2">
        <v>2</v>
      </c>
      <c r="N341" s="2">
        <v>17</v>
      </c>
      <c r="O341" s="2">
        <v>7</v>
      </c>
      <c r="P341" s="2">
        <v>43</v>
      </c>
      <c r="Q341" s="2">
        <v>1</v>
      </c>
      <c r="R341" s="2">
        <v>7</v>
      </c>
      <c r="S341" s="2">
        <v>2</v>
      </c>
      <c r="T341" s="2">
        <v>34</v>
      </c>
      <c r="U341" s="2">
        <v>6</v>
      </c>
      <c r="V341" s="2">
        <v>101</v>
      </c>
      <c r="W341" s="2">
        <v>2</v>
      </c>
      <c r="X341" s="2">
        <v>48</v>
      </c>
      <c r="Y341" s="2">
        <v>2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1</v>
      </c>
      <c r="AG341" s="2">
        <v>0</v>
      </c>
      <c r="AH341" s="2">
        <v>0</v>
      </c>
      <c r="AI341" s="4">
        <f>Table2121418198598105[[#This Row],[QB PY]]+Table2121418198598105[[#This Row],[QB RY]]</f>
        <v>292</v>
      </c>
      <c r="AJ341" s="4">
        <f>Table2121418198598105[[#This Row],[RB1 RY]]+Table2121418198598105[[#This Row],[RB2+ RY]]+Table2121418198598105[[#This Row],[RB1 RecY]]+Table2121418198598105[[#This Row],[RB2 RecY]]</f>
        <v>145</v>
      </c>
    </row>
    <row r="342" spans="1:36" x14ac:dyDescent="0.35">
      <c r="A342" s="19" t="s">
        <v>650</v>
      </c>
      <c r="B342" s="1">
        <v>10</v>
      </c>
      <c r="C342" s="2" t="s">
        <v>697</v>
      </c>
      <c r="D342" s="2" t="s">
        <v>697</v>
      </c>
      <c r="E342" s="2" t="s">
        <v>697</v>
      </c>
      <c r="F342" s="2" t="s">
        <v>697</v>
      </c>
      <c r="G342" s="2" t="s">
        <v>697</v>
      </c>
      <c r="H342" s="2" t="s">
        <v>697</v>
      </c>
      <c r="I342" s="2" t="s">
        <v>697</v>
      </c>
      <c r="J342" s="2" t="s">
        <v>697</v>
      </c>
      <c r="K342" s="2" t="s">
        <v>697</v>
      </c>
      <c r="L342" s="2" t="s">
        <v>697</v>
      </c>
      <c r="M342" s="2" t="s">
        <v>697</v>
      </c>
      <c r="N342" s="2" t="s">
        <v>697</v>
      </c>
      <c r="O342" s="2" t="s">
        <v>697</v>
      </c>
      <c r="P342" s="2" t="s">
        <v>697</v>
      </c>
      <c r="Q342" s="2" t="s">
        <v>697</v>
      </c>
      <c r="R342" s="2" t="s">
        <v>697</v>
      </c>
      <c r="S342" s="2" t="s">
        <v>697</v>
      </c>
      <c r="T342" s="2" t="s">
        <v>697</v>
      </c>
      <c r="U342" s="2" t="s">
        <v>697</v>
      </c>
      <c r="V342" s="2" t="s">
        <v>697</v>
      </c>
      <c r="W342" s="2" t="s">
        <v>697</v>
      </c>
      <c r="X342" s="2" t="s">
        <v>697</v>
      </c>
      <c r="Y342" s="2" t="s">
        <v>697</v>
      </c>
      <c r="Z342" s="2" t="s">
        <v>697</v>
      </c>
      <c r="AA342" s="2" t="s">
        <v>697</v>
      </c>
      <c r="AB342" s="2" t="s">
        <v>697</v>
      </c>
      <c r="AC342" s="2" t="s">
        <v>697</v>
      </c>
      <c r="AD342" s="2" t="s">
        <v>697</v>
      </c>
      <c r="AE342" s="2" t="s">
        <v>697</v>
      </c>
      <c r="AF342" s="2" t="s">
        <v>697</v>
      </c>
      <c r="AG342" s="2" t="s">
        <v>697</v>
      </c>
      <c r="AH342" s="2" t="s">
        <v>697</v>
      </c>
      <c r="AI342" s="4" t="s">
        <v>697</v>
      </c>
      <c r="AJ342" s="4" t="s">
        <v>697</v>
      </c>
    </row>
    <row r="343" spans="1:36" x14ac:dyDescent="0.35">
      <c r="A343" s="69" t="s">
        <v>34</v>
      </c>
      <c r="B343" s="1">
        <v>11</v>
      </c>
      <c r="C343" s="2">
        <v>295</v>
      </c>
      <c r="D343" s="2">
        <v>0</v>
      </c>
      <c r="E343" s="2">
        <v>8</v>
      </c>
      <c r="F343" s="2">
        <v>30</v>
      </c>
      <c r="G343" s="2">
        <v>19</v>
      </c>
      <c r="H343" s="2">
        <v>2</v>
      </c>
      <c r="I343" s="2">
        <v>3</v>
      </c>
      <c r="J343" s="2">
        <v>20</v>
      </c>
      <c r="K343" s="2">
        <v>3</v>
      </c>
      <c r="L343" s="2">
        <v>9</v>
      </c>
      <c r="M343" s="2">
        <v>4</v>
      </c>
      <c r="N343" s="2">
        <v>59</v>
      </c>
      <c r="O343" s="2">
        <v>4</v>
      </c>
      <c r="P343" s="2">
        <v>84</v>
      </c>
      <c r="Q343" s="2">
        <v>5</v>
      </c>
      <c r="R343" s="2">
        <v>82</v>
      </c>
      <c r="S343" s="2">
        <v>0</v>
      </c>
      <c r="T343" s="2">
        <v>0</v>
      </c>
      <c r="U343" s="2">
        <v>4</v>
      </c>
      <c r="V343" s="2">
        <v>33</v>
      </c>
      <c r="W343" s="2">
        <v>1</v>
      </c>
      <c r="X343" s="2">
        <v>8</v>
      </c>
      <c r="Y343" s="2">
        <v>0</v>
      </c>
      <c r="Z343" s="2">
        <v>0</v>
      </c>
      <c r="AA343" s="2">
        <v>1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4">
        <f>Table2121418198598105[[#This Row],[QB PY]]+Table2121418198598105[[#This Row],[QB RY]]</f>
        <v>303</v>
      </c>
      <c r="AJ343" s="4">
        <f>Table2121418198598105[[#This Row],[RB1 RY]]+Table2121418198598105[[#This Row],[RB2+ RY]]+Table2121418198598105[[#This Row],[RB1 RecY]]+Table2121418198598105[[#This Row],[RB2 RecY]]</f>
        <v>78</v>
      </c>
    </row>
    <row r="344" spans="1:36" x14ac:dyDescent="0.35">
      <c r="A344" s="19" t="s">
        <v>38</v>
      </c>
      <c r="B344" s="1">
        <v>12</v>
      </c>
      <c r="C344" s="2">
        <v>181</v>
      </c>
      <c r="D344" s="2">
        <v>2</v>
      </c>
      <c r="E344" s="2">
        <v>16</v>
      </c>
      <c r="F344" s="2">
        <v>58</v>
      </c>
      <c r="G344" s="2">
        <v>0</v>
      </c>
      <c r="H344" s="2">
        <v>0</v>
      </c>
      <c r="I344" s="2">
        <v>2</v>
      </c>
      <c r="J344" s="2">
        <v>8</v>
      </c>
      <c r="K344" s="2">
        <v>0</v>
      </c>
      <c r="L344" s="2">
        <v>0</v>
      </c>
      <c r="M344" s="2">
        <v>5</v>
      </c>
      <c r="N344" s="2">
        <v>27</v>
      </c>
      <c r="O344" s="2">
        <v>1</v>
      </c>
      <c r="P344" s="2">
        <v>26</v>
      </c>
      <c r="Q344" s="2">
        <v>2</v>
      </c>
      <c r="R344" s="2">
        <v>10</v>
      </c>
      <c r="S344" s="2">
        <v>1</v>
      </c>
      <c r="T344" s="2">
        <v>48</v>
      </c>
      <c r="U344" s="2">
        <v>5</v>
      </c>
      <c r="V344" s="2">
        <v>45</v>
      </c>
      <c r="W344" s="2">
        <v>3</v>
      </c>
      <c r="X344" s="2">
        <v>17</v>
      </c>
      <c r="Y344" s="2">
        <v>0</v>
      </c>
      <c r="Z344" s="2">
        <v>0</v>
      </c>
      <c r="AA344" s="2">
        <v>0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  <c r="AH344" s="2">
        <v>0</v>
      </c>
      <c r="AI344" s="4">
        <f>Table2121418198598105[[#This Row],[QB PY]]+Table2121418198598105[[#This Row],[QB RY]]</f>
        <v>197</v>
      </c>
      <c r="AJ344" s="4">
        <f>Table2121418198598105[[#This Row],[RB1 RY]]+Table2121418198598105[[#This Row],[RB2+ RY]]+Table2121418198598105[[#This Row],[RB1 RecY]]+Table2121418198598105[[#This Row],[RB2 RecY]]</f>
        <v>66</v>
      </c>
    </row>
    <row r="345" spans="1:36" x14ac:dyDescent="0.35">
      <c r="A345" s="19" t="s">
        <v>33</v>
      </c>
      <c r="B345" s="1">
        <v>13</v>
      </c>
      <c r="C345" s="2">
        <v>320</v>
      </c>
      <c r="D345" s="2">
        <v>2</v>
      </c>
      <c r="E345" s="2">
        <v>-2</v>
      </c>
      <c r="F345" s="2">
        <v>59</v>
      </c>
      <c r="G345" s="2">
        <v>47</v>
      </c>
      <c r="H345" s="2">
        <v>33</v>
      </c>
      <c r="I345" s="2">
        <v>3</v>
      </c>
      <c r="J345" s="2">
        <v>21</v>
      </c>
      <c r="K345" s="2">
        <v>0</v>
      </c>
      <c r="L345" s="2">
        <v>0</v>
      </c>
      <c r="M345" s="2">
        <v>7</v>
      </c>
      <c r="N345" s="2">
        <v>112</v>
      </c>
      <c r="O345" s="2">
        <v>6</v>
      </c>
      <c r="P345" s="2">
        <v>88</v>
      </c>
      <c r="Q345" s="2">
        <v>3</v>
      </c>
      <c r="R345" s="2">
        <v>34</v>
      </c>
      <c r="S345" s="2">
        <v>2</v>
      </c>
      <c r="T345" s="2">
        <v>28</v>
      </c>
      <c r="U345" s="2">
        <v>5</v>
      </c>
      <c r="V345" s="2">
        <v>36</v>
      </c>
      <c r="W345" s="2">
        <v>1</v>
      </c>
      <c r="X345" s="2">
        <v>1</v>
      </c>
      <c r="Y345" s="2">
        <v>0</v>
      </c>
      <c r="Z345" s="2">
        <v>1</v>
      </c>
      <c r="AA345" s="2">
        <v>1</v>
      </c>
      <c r="AB345" s="2">
        <v>1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4">
        <f>Table2121418198598105[[#This Row],[QB PY]]+Table2121418198598105[[#This Row],[QB RY]]</f>
        <v>318</v>
      </c>
      <c r="AJ345" s="4">
        <f>Table2121418198598105[[#This Row],[RB1 RY]]+Table2121418198598105[[#This Row],[RB2+ RY]]+Table2121418198598105[[#This Row],[RB1 RecY]]+Table2121418198598105[[#This Row],[RB2 RecY]]</f>
        <v>127</v>
      </c>
    </row>
    <row r="346" spans="1:36" x14ac:dyDescent="0.35">
      <c r="A346" s="19" t="s">
        <v>37</v>
      </c>
      <c r="B346" s="1">
        <v>14</v>
      </c>
      <c r="C346" s="2">
        <v>203</v>
      </c>
      <c r="D346" s="2">
        <v>1</v>
      </c>
      <c r="E346" s="2">
        <v>5</v>
      </c>
      <c r="F346" s="2">
        <v>68</v>
      </c>
      <c r="G346" s="2">
        <v>8</v>
      </c>
      <c r="H346" s="2">
        <v>1</v>
      </c>
      <c r="I346" s="2">
        <v>2</v>
      </c>
      <c r="J346" s="2">
        <v>8</v>
      </c>
      <c r="K346" s="2">
        <v>0</v>
      </c>
      <c r="L346" s="2">
        <v>0</v>
      </c>
      <c r="M346" s="2">
        <v>4</v>
      </c>
      <c r="N346" s="2">
        <v>121</v>
      </c>
      <c r="O346" s="2">
        <v>3</v>
      </c>
      <c r="P346" s="2">
        <v>34</v>
      </c>
      <c r="Q346" s="2">
        <v>2</v>
      </c>
      <c r="R346" s="2">
        <v>12</v>
      </c>
      <c r="S346" s="2">
        <v>1</v>
      </c>
      <c r="T346" s="2">
        <v>6</v>
      </c>
      <c r="U346" s="2">
        <v>3</v>
      </c>
      <c r="V346" s="2">
        <v>22</v>
      </c>
      <c r="W346" s="2">
        <v>0</v>
      </c>
      <c r="X346" s="2">
        <v>0</v>
      </c>
      <c r="Y346" s="2">
        <v>0</v>
      </c>
      <c r="Z346" s="2">
        <v>1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4">
        <f>Table2121418198598105[[#This Row],[QB PY]]+Table2121418198598105[[#This Row],[QB RY]]</f>
        <v>208</v>
      </c>
      <c r="AJ346" s="4">
        <f>Table2121418198598105[[#This Row],[RB1 RY]]+Table2121418198598105[[#This Row],[RB2+ RY]]+Table2121418198598105[[#This Row],[RB1 RecY]]+Table2121418198598105[[#This Row],[RB2 RecY]]</f>
        <v>84</v>
      </c>
    </row>
    <row r="347" spans="1:36" x14ac:dyDescent="0.35">
      <c r="A347" s="19" t="s">
        <v>41</v>
      </c>
      <c r="B347" s="1">
        <v>15</v>
      </c>
      <c r="C347" s="2">
        <v>210</v>
      </c>
      <c r="D347" s="2">
        <v>1</v>
      </c>
      <c r="E347" s="2">
        <v>0</v>
      </c>
      <c r="F347" s="2">
        <v>61</v>
      </c>
      <c r="G347" s="2">
        <v>33</v>
      </c>
      <c r="H347" s="2">
        <v>0</v>
      </c>
      <c r="I347" s="2">
        <v>1</v>
      </c>
      <c r="J347" s="2">
        <v>4</v>
      </c>
      <c r="K347" s="2">
        <v>3</v>
      </c>
      <c r="L347" s="2">
        <v>24</v>
      </c>
      <c r="M347" s="2">
        <v>2</v>
      </c>
      <c r="N347" s="2">
        <v>20</v>
      </c>
      <c r="O347" s="2">
        <v>5</v>
      </c>
      <c r="P347" s="2">
        <v>36</v>
      </c>
      <c r="Q347" s="2">
        <v>3</v>
      </c>
      <c r="R347" s="2">
        <v>49</v>
      </c>
      <c r="S347" s="2">
        <v>1</v>
      </c>
      <c r="T347" s="2">
        <v>16</v>
      </c>
      <c r="U347" s="2">
        <v>4</v>
      </c>
      <c r="V347" s="2">
        <v>61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1</v>
      </c>
      <c r="AF347" s="2">
        <v>0</v>
      </c>
      <c r="AG347" s="2">
        <v>0</v>
      </c>
      <c r="AH347" s="2">
        <v>0</v>
      </c>
      <c r="AI347" s="4">
        <f>Table2121418198598105[[#This Row],[QB PY]]+Table2121418198598105[[#This Row],[QB RY]]</f>
        <v>210</v>
      </c>
      <c r="AJ347" s="4">
        <f>Table2121418198598105[[#This Row],[RB1 RY]]+Table2121418198598105[[#This Row],[RB2+ RY]]+Table2121418198598105[[#This Row],[RB1 RecY]]+Table2121418198598105[[#This Row],[RB2 RecY]]</f>
        <v>122</v>
      </c>
    </row>
    <row r="348" spans="1:36" x14ac:dyDescent="0.35">
      <c r="A348" s="19" t="s">
        <v>55</v>
      </c>
      <c r="B348" s="1">
        <v>16</v>
      </c>
      <c r="C348" s="2">
        <v>228</v>
      </c>
      <c r="D348" s="2">
        <v>2</v>
      </c>
      <c r="E348" s="2">
        <v>9</v>
      </c>
      <c r="F348" s="2">
        <v>102</v>
      </c>
      <c r="G348" s="2">
        <v>53</v>
      </c>
      <c r="H348" s="2">
        <v>0</v>
      </c>
      <c r="I348" s="2">
        <v>5</v>
      </c>
      <c r="J348" s="2">
        <v>53</v>
      </c>
      <c r="K348" s="2">
        <v>0</v>
      </c>
      <c r="L348" s="2">
        <v>0</v>
      </c>
      <c r="M348" s="2">
        <v>3</v>
      </c>
      <c r="N348" s="2">
        <v>58</v>
      </c>
      <c r="O348" s="2">
        <v>3</v>
      </c>
      <c r="P348" s="2">
        <v>40</v>
      </c>
      <c r="Q348" s="2">
        <v>2</v>
      </c>
      <c r="R348" s="2">
        <v>24</v>
      </c>
      <c r="S348" s="2">
        <v>0</v>
      </c>
      <c r="T348" s="2">
        <v>0</v>
      </c>
      <c r="U348" s="2">
        <v>6</v>
      </c>
      <c r="V348" s="2">
        <v>44</v>
      </c>
      <c r="W348" s="2">
        <v>2</v>
      </c>
      <c r="X348" s="2">
        <v>9</v>
      </c>
      <c r="Y348" s="2">
        <v>0</v>
      </c>
      <c r="Z348" s="2">
        <v>0</v>
      </c>
      <c r="AA348" s="2">
        <v>1</v>
      </c>
      <c r="AB348" s="2">
        <v>0</v>
      </c>
      <c r="AC348" s="2">
        <v>1</v>
      </c>
      <c r="AD348" s="2">
        <v>0</v>
      </c>
      <c r="AE348" s="2">
        <v>0</v>
      </c>
      <c r="AF348" s="2">
        <v>1</v>
      </c>
      <c r="AG348" s="2">
        <v>0</v>
      </c>
      <c r="AH348" s="2">
        <v>0</v>
      </c>
      <c r="AI348" s="4">
        <f>Table2121418198598105[[#This Row],[QB PY]]+Table2121418198598105[[#This Row],[QB RY]]</f>
        <v>237</v>
      </c>
      <c r="AJ348" s="4">
        <f>Table2121418198598105[[#This Row],[RB1 RY]]+Table2121418198598105[[#This Row],[RB2+ RY]]+Table2121418198598105[[#This Row],[RB1 RecY]]+Table2121418198598105[[#This Row],[RB2 RecY]]</f>
        <v>208</v>
      </c>
    </row>
    <row r="349" spans="1:36" x14ac:dyDescent="0.35">
      <c r="A349" s="19" t="s">
        <v>34</v>
      </c>
      <c r="B349" s="1">
        <v>17</v>
      </c>
      <c r="C349" s="2">
        <v>182</v>
      </c>
      <c r="D349" s="2">
        <v>1</v>
      </c>
      <c r="E349" s="2">
        <v>42</v>
      </c>
      <c r="F349" s="2">
        <v>43</v>
      </c>
      <c r="G349" s="2">
        <v>43</v>
      </c>
      <c r="H349" s="2">
        <v>0</v>
      </c>
      <c r="I349" s="2">
        <v>5</v>
      </c>
      <c r="J349" s="2">
        <v>33</v>
      </c>
      <c r="K349" s="2">
        <v>0</v>
      </c>
      <c r="L349" s="2">
        <v>0</v>
      </c>
      <c r="M349" s="2">
        <v>4</v>
      </c>
      <c r="N349" s="2">
        <v>40</v>
      </c>
      <c r="O349" s="2">
        <v>4</v>
      </c>
      <c r="P349" s="2">
        <v>17</v>
      </c>
      <c r="Q349" s="2">
        <v>3</v>
      </c>
      <c r="R349" s="2">
        <v>10</v>
      </c>
      <c r="S349" s="2">
        <v>4</v>
      </c>
      <c r="T349" s="2">
        <v>37</v>
      </c>
      <c r="U349" s="2">
        <v>4</v>
      </c>
      <c r="V349" s="2">
        <v>21</v>
      </c>
      <c r="W349" s="2">
        <v>2</v>
      </c>
      <c r="X349" s="2">
        <v>24</v>
      </c>
      <c r="Y349" s="2">
        <v>1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4">
        <f>Table2121418198598105[[#This Row],[QB PY]]+Table2121418198598105[[#This Row],[QB RY]]</f>
        <v>224</v>
      </c>
      <c r="AJ349" s="4">
        <f>Table2121418198598105[[#This Row],[RB1 RY]]+Table2121418198598105[[#This Row],[RB2+ RY]]+Table2121418198598105[[#This Row],[RB1 RecY]]+Table2121418198598105[[#This Row],[RB2 RecY]]</f>
        <v>119</v>
      </c>
    </row>
    <row r="350" spans="1:36" x14ac:dyDescent="0.35">
      <c r="A350" s="19" t="s">
        <v>43</v>
      </c>
      <c r="B350" s="1">
        <v>18</v>
      </c>
      <c r="C350" s="2">
        <v>105</v>
      </c>
      <c r="D350" s="2">
        <v>0</v>
      </c>
      <c r="E350" s="2">
        <v>16</v>
      </c>
      <c r="F350" s="2">
        <v>87</v>
      </c>
      <c r="G350" s="2">
        <v>5</v>
      </c>
      <c r="H350" s="2">
        <v>10</v>
      </c>
      <c r="I350" s="2">
        <v>3</v>
      </c>
      <c r="J350" s="2">
        <v>7</v>
      </c>
      <c r="K350" s="2">
        <v>1</v>
      </c>
      <c r="L350" s="2">
        <v>5</v>
      </c>
      <c r="M350" s="2">
        <v>2</v>
      </c>
      <c r="N350" s="2">
        <v>30</v>
      </c>
      <c r="O350" s="2">
        <v>1</v>
      </c>
      <c r="P350" s="2">
        <v>5</v>
      </c>
      <c r="Q350" s="2">
        <v>0</v>
      </c>
      <c r="R350" s="2">
        <v>0</v>
      </c>
      <c r="S350" s="2">
        <v>1</v>
      </c>
      <c r="T350" s="2">
        <v>11</v>
      </c>
      <c r="U350" s="2">
        <v>3</v>
      </c>
      <c r="V350" s="2">
        <v>47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4">
        <f>Table2121418198598105[[#This Row],[QB PY]]+Table2121418198598105[[#This Row],[QB RY]]</f>
        <v>121</v>
      </c>
      <c r="AJ350" s="4">
        <f>Table2121418198598105[[#This Row],[RB1 RY]]+Table2121418198598105[[#This Row],[RB2+ RY]]+Table2121418198598105[[#This Row],[RB1 RecY]]+Table2121418198598105[[#This Row],[RB2 RecY]]</f>
        <v>104</v>
      </c>
    </row>
    <row r="351" spans="1:36" x14ac:dyDescent="0.35">
      <c r="B351" s="1" t="s">
        <v>57</v>
      </c>
      <c r="C351" s="3">
        <f>AVERAGE(Table2121418198598105[QB PY])</f>
        <v>205.11764705882354</v>
      </c>
      <c r="D351" s="3">
        <f>AVERAGE(Table2121418198598105[P TD])</f>
        <v>1.0588235294117647</v>
      </c>
      <c r="E351" s="3">
        <f>AVERAGE(Table2121418198598105[QB RY])</f>
        <v>19.294117647058822</v>
      </c>
      <c r="F351" s="3">
        <f>AVERAGE(Table2121418198598105[RB1 RY])</f>
        <v>60</v>
      </c>
      <c r="G351" s="3">
        <f>AVERAGE(Table2121418198598105[RB2+ RY])</f>
        <v>23.235294117647058</v>
      </c>
      <c r="H351" s="3">
        <f>AVERAGE(Table2121418198598105[WR RY])</f>
        <v>3.1764705882352939</v>
      </c>
      <c r="I351" s="3">
        <f>AVERAGE(Table2121418198598105[RB1 Recep])</f>
        <v>2.7647058823529411</v>
      </c>
      <c r="J351" s="3">
        <f>AVERAGE(Table2121418198598105[RB1 RecY])</f>
        <v>20.411764705882351</v>
      </c>
      <c r="K351" s="3">
        <f>AVERAGE(Table2121418198598105[RB2 Recep])</f>
        <v>1.2941176470588236</v>
      </c>
      <c r="L351" s="3">
        <f>AVERAGE(Table2121418198598105[RB2 RecY])</f>
        <v>8.7058823529411757</v>
      </c>
      <c r="M351" s="3">
        <f>AVERAGE(Table2121418198598105[WR1 Recep])</f>
        <v>4.3529411764705879</v>
      </c>
      <c r="N351" s="3">
        <f>AVERAGE(Table2121418198598105[WR1 RecY])</f>
        <v>52</v>
      </c>
      <c r="O351" s="3">
        <f>AVERAGE(Table2121418198598105[WR2 Recep])</f>
        <v>3.4705882352941178</v>
      </c>
      <c r="P351" s="3">
        <f>AVERAGE(Table2121418198598105[WR2 RecY])</f>
        <v>41.705882352941174</v>
      </c>
      <c r="Q351" s="3">
        <f>AVERAGE(Table2121418198598105[WR3 Recep])</f>
        <v>2.2352941176470589</v>
      </c>
      <c r="R351" s="3">
        <f>AVERAGE(Table2121418198598105[WR3 RecY])</f>
        <v>21.705882352941178</v>
      </c>
      <c r="S351" s="3">
        <f>AVERAGE(Table2121418198598105[WR4+ Recep])</f>
        <v>1</v>
      </c>
      <c r="T351" s="3">
        <f>AVERAGE(Table2121418198598105[WR4+ RecY])</f>
        <v>13</v>
      </c>
      <c r="U351" s="3">
        <f>AVERAGE(Table2121418198598105[TE1 Recep])</f>
        <v>3.5882352941176472</v>
      </c>
      <c r="V351" s="3">
        <f>AVERAGE(Table2121418198598105[TE1 RecY])</f>
        <v>33.941176470588232</v>
      </c>
      <c r="W351" s="3">
        <f>AVERAGE(Table2121418198598105[TE2 Recep])</f>
        <v>1.2352941176470589</v>
      </c>
      <c r="X351" s="3">
        <f>AVERAGE(Table2121418198598105[TE2 RecY])</f>
        <v>13.647058823529411</v>
      </c>
      <c r="Y351" s="3">
        <f>AVERAGE(Table2121418198598105[QB TD])</f>
        <v>0.35294117647058826</v>
      </c>
      <c r="Z351" s="3">
        <f>AVERAGE(Table2121418198598105[RB1 TD])</f>
        <v>0.29411764705882354</v>
      </c>
      <c r="AA351" s="3">
        <f>AVERAGE(Table2121418198598105[RB2 TD])</f>
        <v>0.41176470588235292</v>
      </c>
      <c r="AB351" s="3">
        <f>AVERAGE(Table2121418198598105[WR1 TD])</f>
        <v>0.17647058823529413</v>
      </c>
      <c r="AC351" s="3">
        <f>AVERAGE(Table2121418198598105[WR2 TD])</f>
        <v>0.23529411764705882</v>
      </c>
      <c r="AD351" s="3">
        <f>AVERAGE(Table2121418198598105[WR3 TD])</f>
        <v>5.8823529411764705E-2</v>
      </c>
      <c r="AE351" s="3">
        <f>AVERAGE(Table2121418198598105[WR4+ TD])</f>
        <v>0.11764705882352941</v>
      </c>
      <c r="AF351" s="3">
        <f>AVERAGE(Table2121418198598105[TE1 TD])</f>
        <v>0.17647058823529413</v>
      </c>
      <c r="AG351" s="3">
        <f>AVERAGE(Table2121418198598105[TE2 TD])</f>
        <v>5.8823529411764705E-2</v>
      </c>
      <c r="AH351" s="3">
        <f>AVERAGE(Table2121418198598105[D/ST TD])</f>
        <v>5.8823529411764705E-2</v>
      </c>
      <c r="AI351" s="3">
        <f>AVERAGE(Table2121418198598105[QB P+R])</f>
        <v>224.41176470588235</v>
      </c>
      <c r="AJ351" s="3">
        <f>AVERAGE(Table2121418198598105[RB R+R])</f>
        <v>112.35294117647059</v>
      </c>
    </row>
    <row r="353" spans="1:36" x14ac:dyDescent="0.35">
      <c r="A353" s="230" t="s">
        <v>41</v>
      </c>
      <c r="B353" s="230"/>
      <c r="C353" s="230"/>
      <c r="D353" s="230"/>
      <c r="E353" s="230"/>
      <c r="F353" s="230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  <c r="AJ353" s="230"/>
    </row>
    <row r="354" spans="1:36" x14ac:dyDescent="0.35">
      <c r="A354" s="20" t="s">
        <v>63</v>
      </c>
      <c r="B354" s="6" t="s">
        <v>1</v>
      </c>
      <c r="C354" s="7" t="s">
        <v>18</v>
      </c>
      <c r="D354" s="8" t="s">
        <v>19</v>
      </c>
      <c r="E354" s="9" t="s">
        <v>20</v>
      </c>
      <c r="F354" s="10" t="s">
        <v>21</v>
      </c>
      <c r="G354" s="11" t="s">
        <v>22</v>
      </c>
      <c r="H354" s="12" t="s">
        <v>23</v>
      </c>
      <c r="I354" s="13" t="s">
        <v>667</v>
      </c>
      <c r="J354" s="13" t="s">
        <v>668</v>
      </c>
      <c r="K354" s="13" t="s">
        <v>665</v>
      </c>
      <c r="L354" s="13" t="s">
        <v>666</v>
      </c>
      <c r="M354" s="14" t="s">
        <v>2</v>
      </c>
      <c r="N354" s="14" t="s">
        <v>24</v>
      </c>
      <c r="O354" s="15" t="s">
        <v>3</v>
      </c>
      <c r="P354" s="15" t="s">
        <v>25</v>
      </c>
      <c r="Q354" s="16" t="s">
        <v>4</v>
      </c>
      <c r="R354" s="16" t="s">
        <v>26</v>
      </c>
      <c r="S354" s="17" t="s">
        <v>5</v>
      </c>
      <c r="T354" s="17" t="s">
        <v>27</v>
      </c>
      <c r="U354" s="18" t="s">
        <v>669</v>
      </c>
      <c r="V354" s="18" t="s">
        <v>670</v>
      </c>
      <c r="W354" s="18" t="s">
        <v>675</v>
      </c>
      <c r="X354" s="18" t="s">
        <v>671</v>
      </c>
      <c r="Y354" s="6" t="s">
        <v>6</v>
      </c>
      <c r="Z354" s="6" t="s">
        <v>7</v>
      </c>
      <c r="AA354" s="6" t="s">
        <v>674</v>
      </c>
      <c r="AB354" s="6" t="s">
        <v>8</v>
      </c>
      <c r="AC354" s="6" t="s">
        <v>9</v>
      </c>
      <c r="AD354" s="6" t="s">
        <v>10</v>
      </c>
      <c r="AE354" s="6" t="s">
        <v>11</v>
      </c>
      <c r="AF354" s="6" t="s">
        <v>673</v>
      </c>
      <c r="AG354" s="6" t="s">
        <v>672</v>
      </c>
      <c r="AH354" s="6" t="s">
        <v>12</v>
      </c>
      <c r="AI354" s="8" t="s">
        <v>14</v>
      </c>
      <c r="AJ354" s="11" t="s">
        <v>13</v>
      </c>
    </row>
    <row r="355" spans="1:36" x14ac:dyDescent="0.35">
      <c r="A355" s="19" t="s">
        <v>40</v>
      </c>
      <c r="B355" s="5">
        <v>1</v>
      </c>
      <c r="C355" s="4">
        <v>258</v>
      </c>
      <c r="D355" s="4">
        <v>1</v>
      </c>
      <c r="E355" s="4">
        <v>57</v>
      </c>
      <c r="F355" s="4">
        <v>25</v>
      </c>
      <c r="G355" s="4">
        <v>16</v>
      </c>
      <c r="H355" s="4">
        <v>0</v>
      </c>
      <c r="I355" s="4">
        <v>2</v>
      </c>
      <c r="J355" s="4">
        <v>3</v>
      </c>
      <c r="K355" s="4">
        <v>2</v>
      </c>
      <c r="L355" s="4">
        <v>10</v>
      </c>
      <c r="M355" s="4">
        <v>10</v>
      </c>
      <c r="N355" s="4">
        <v>99</v>
      </c>
      <c r="O355" s="4">
        <v>5</v>
      </c>
      <c r="P355" s="4">
        <v>55</v>
      </c>
      <c r="Q355" s="4">
        <v>2</v>
      </c>
      <c r="R355" s="4">
        <v>41</v>
      </c>
      <c r="S355" s="4">
        <v>0</v>
      </c>
      <c r="T355" s="4">
        <v>0</v>
      </c>
      <c r="U355" s="4">
        <v>2</v>
      </c>
      <c r="V355" s="4">
        <v>47</v>
      </c>
      <c r="W355" s="4">
        <v>1</v>
      </c>
      <c r="X355" s="4">
        <v>3</v>
      </c>
      <c r="Y355" s="4">
        <v>1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</v>
      </c>
      <c r="AG355" s="4">
        <v>0</v>
      </c>
      <c r="AH355" s="4">
        <v>0</v>
      </c>
      <c r="AI355" s="4">
        <f>Table2121418198598106[[#This Row],[QB PY]]+Table2121418198598106[[#This Row],[QB RY]]</f>
        <v>315</v>
      </c>
      <c r="AJ355" s="4">
        <f>Table2121418198598106[[#This Row],[RB1 RY]]+Table2121418198598106[[#This Row],[RB2+ RY]]+Table2121418198598106[[#This Row],[RB1 RecY]]+Table2121418198598106[[#This Row],[RB2 RecY]]</f>
        <v>54</v>
      </c>
    </row>
    <row r="356" spans="1:36" x14ac:dyDescent="0.35">
      <c r="A356" s="19" t="s">
        <v>43</v>
      </c>
      <c r="B356" s="1">
        <v>2</v>
      </c>
      <c r="C356" s="2">
        <v>180</v>
      </c>
      <c r="D356" s="2">
        <v>0</v>
      </c>
      <c r="E356" s="2">
        <v>20</v>
      </c>
      <c r="F356" s="2">
        <v>43</v>
      </c>
      <c r="G356" s="2">
        <v>-2</v>
      </c>
      <c r="H356" s="2">
        <v>7</v>
      </c>
      <c r="I356" s="2">
        <v>3</v>
      </c>
      <c r="J356" s="2">
        <v>1</v>
      </c>
      <c r="K356" s="2">
        <v>4</v>
      </c>
      <c r="L356" s="2">
        <v>32</v>
      </c>
      <c r="M356" s="2">
        <v>6</v>
      </c>
      <c r="N356" s="2">
        <v>68</v>
      </c>
      <c r="O356" s="2">
        <v>3</v>
      </c>
      <c r="P356" s="2">
        <v>12</v>
      </c>
      <c r="Q356" s="2">
        <v>1</v>
      </c>
      <c r="R356" s="2">
        <v>20</v>
      </c>
      <c r="S356" s="2">
        <v>0</v>
      </c>
      <c r="T356" s="2">
        <v>0</v>
      </c>
      <c r="U356" s="2">
        <v>5</v>
      </c>
      <c r="V356" s="2">
        <v>38</v>
      </c>
      <c r="W356" s="2">
        <v>2</v>
      </c>
      <c r="X356" s="2">
        <v>9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4">
        <f>Table2121418198598106[[#This Row],[QB PY]]+Table2121418198598106[[#This Row],[QB RY]]</f>
        <v>200</v>
      </c>
      <c r="AJ356" s="4">
        <f>Table2121418198598106[[#This Row],[RB1 RY]]+Table2121418198598106[[#This Row],[RB2+ RY]]+Table2121418198598106[[#This Row],[RB1 RecY]]+Table2121418198598106[[#This Row],[RB2 RecY]]</f>
        <v>74</v>
      </c>
    </row>
    <row r="357" spans="1:36" x14ac:dyDescent="0.35">
      <c r="A357" s="19" t="s">
        <v>34</v>
      </c>
      <c r="B357" s="1">
        <v>3</v>
      </c>
      <c r="C357" s="2">
        <v>153</v>
      </c>
      <c r="D357" s="2">
        <v>1</v>
      </c>
      <c r="E357" s="2">
        <v>33</v>
      </c>
      <c r="F357" s="2">
        <v>83</v>
      </c>
      <c r="G357" s="2">
        <v>2</v>
      </c>
      <c r="H357" s="2">
        <v>0</v>
      </c>
      <c r="I357" s="2">
        <v>1</v>
      </c>
      <c r="J357" s="2">
        <v>0</v>
      </c>
      <c r="K357" s="2">
        <v>3</v>
      </c>
      <c r="L357" s="2">
        <v>14</v>
      </c>
      <c r="M357" s="2">
        <v>6</v>
      </c>
      <c r="N357" s="2">
        <v>118</v>
      </c>
      <c r="O357" s="2">
        <v>2</v>
      </c>
      <c r="P357" s="2">
        <v>8</v>
      </c>
      <c r="Q357" s="2">
        <v>1</v>
      </c>
      <c r="R357" s="2">
        <v>4</v>
      </c>
      <c r="S357" s="2">
        <v>0</v>
      </c>
      <c r="T357" s="2">
        <v>0</v>
      </c>
      <c r="U357" s="2">
        <v>1</v>
      </c>
      <c r="V357" s="2">
        <v>9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1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4">
        <f>Table2121418198598106[[#This Row],[QB PY]]+Table2121418198598106[[#This Row],[QB RY]]</f>
        <v>186</v>
      </c>
      <c r="AJ357" s="4">
        <f>Table2121418198598106[[#This Row],[RB1 RY]]+Table2121418198598106[[#This Row],[RB2+ RY]]+Table2121418198598106[[#This Row],[RB1 RecY]]+Table2121418198598106[[#This Row],[RB2 RecY]]</f>
        <v>99</v>
      </c>
    </row>
    <row r="358" spans="1:36" x14ac:dyDescent="0.35">
      <c r="A358" s="19" t="s">
        <v>48</v>
      </c>
      <c r="B358" s="1">
        <v>4</v>
      </c>
      <c r="C358" s="2">
        <v>119</v>
      </c>
      <c r="D358" s="2">
        <v>1</v>
      </c>
      <c r="E358" s="2">
        <v>54</v>
      </c>
      <c r="F358" s="2">
        <v>79</v>
      </c>
      <c r="G358" s="2">
        <v>28</v>
      </c>
      <c r="H358" s="2">
        <v>0</v>
      </c>
      <c r="I358" s="2">
        <v>2</v>
      </c>
      <c r="J358" s="2">
        <v>11</v>
      </c>
      <c r="K358" s="2">
        <v>0</v>
      </c>
      <c r="L358" s="2">
        <v>0</v>
      </c>
      <c r="M358" s="2">
        <v>2</v>
      </c>
      <c r="N358" s="2">
        <v>20</v>
      </c>
      <c r="O358" s="2">
        <v>3</v>
      </c>
      <c r="P358" s="2">
        <v>14</v>
      </c>
      <c r="Q358" s="2">
        <v>3</v>
      </c>
      <c r="R358" s="2">
        <v>44</v>
      </c>
      <c r="S358" s="2">
        <v>0</v>
      </c>
      <c r="T358" s="2">
        <v>0</v>
      </c>
      <c r="U358" s="2">
        <v>3</v>
      </c>
      <c r="V358" s="2">
        <v>17</v>
      </c>
      <c r="W358" s="2">
        <v>1</v>
      </c>
      <c r="X358" s="2">
        <v>13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</v>
      </c>
      <c r="AG358" s="2">
        <v>0</v>
      </c>
      <c r="AH358" s="2">
        <v>0</v>
      </c>
      <c r="AI358" s="4">
        <f>Table2121418198598106[[#This Row],[QB PY]]+Table2121418198598106[[#This Row],[QB RY]]</f>
        <v>173</v>
      </c>
      <c r="AJ358" s="4">
        <f>Table2121418198598106[[#This Row],[RB1 RY]]+Table2121418198598106[[#This Row],[RB2+ RY]]+Table2121418198598106[[#This Row],[RB1 RecY]]+Table2121418198598106[[#This Row],[RB2 RecY]]</f>
        <v>118</v>
      </c>
    </row>
    <row r="359" spans="1:36" x14ac:dyDescent="0.35">
      <c r="A359" s="19" t="s">
        <v>56</v>
      </c>
      <c r="B359" s="1">
        <v>5</v>
      </c>
      <c r="C359" s="2">
        <v>231</v>
      </c>
      <c r="D359" s="2">
        <v>1</v>
      </c>
      <c r="E359" s="2">
        <v>39</v>
      </c>
      <c r="F359" s="2">
        <v>111</v>
      </c>
      <c r="G359" s="2">
        <v>13</v>
      </c>
      <c r="H359" s="2">
        <v>0</v>
      </c>
      <c r="I359" s="2">
        <v>2</v>
      </c>
      <c r="J359" s="2">
        <v>39</v>
      </c>
      <c r="K359" s="2">
        <v>1</v>
      </c>
      <c r="L359" s="2">
        <v>12</v>
      </c>
      <c r="M359" s="2">
        <v>8</v>
      </c>
      <c r="N359" s="2">
        <v>96</v>
      </c>
      <c r="O359" s="2">
        <v>1</v>
      </c>
      <c r="P359" s="2">
        <v>50</v>
      </c>
      <c r="Q359" s="2">
        <v>1</v>
      </c>
      <c r="R359" s="2">
        <v>16</v>
      </c>
      <c r="S359" s="2">
        <v>1</v>
      </c>
      <c r="T359" s="2">
        <v>9</v>
      </c>
      <c r="U359" s="2">
        <v>0</v>
      </c>
      <c r="V359" s="2">
        <v>0</v>
      </c>
      <c r="W359" s="2">
        <v>1</v>
      </c>
      <c r="X359" s="2">
        <v>9</v>
      </c>
      <c r="Y359" s="2">
        <v>0</v>
      </c>
      <c r="Z359" s="2">
        <v>2</v>
      </c>
      <c r="AA359" s="2">
        <v>0</v>
      </c>
      <c r="AB359" s="2">
        <v>1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4">
        <f>Table2121418198598106[[#This Row],[QB PY]]+Table2121418198598106[[#This Row],[QB RY]]</f>
        <v>270</v>
      </c>
      <c r="AJ359" s="4">
        <f>Table2121418198598106[[#This Row],[RB1 RY]]+Table2121418198598106[[#This Row],[RB2+ RY]]+Table2121418198598106[[#This Row],[RB1 RecY]]+Table2121418198598106[[#This Row],[RB2 RecY]]</f>
        <v>175</v>
      </c>
    </row>
    <row r="360" spans="1:36" x14ac:dyDescent="0.35">
      <c r="A360" s="19" t="s">
        <v>44</v>
      </c>
      <c r="B360" s="1">
        <v>6</v>
      </c>
      <c r="C360" s="2">
        <v>213</v>
      </c>
      <c r="D360" s="2">
        <v>1</v>
      </c>
      <c r="E360" s="2">
        <v>4</v>
      </c>
      <c r="F360" s="2">
        <v>128</v>
      </c>
      <c r="G360" s="2">
        <v>4</v>
      </c>
      <c r="H360" s="2">
        <v>1</v>
      </c>
      <c r="I360" s="2">
        <v>4</v>
      </c>
      <c r="J360" s="2">
        <v>22</v>
      </c>
      <c r="K360" s="2">
        <v>2</v>
      </c>
      <c r="L360" s="2">
        <v>23</v>
      </c>
      <c r="M360" s="2">
        <v>6</v>
      </c>
      <c r="N360" s="2">
        <v>95</v>
      </c>
      <c r="O360" s="2">
        <v>4</v>
      </c>
      <c r="P360" s="2">
        <v>22</v>
      </c>
      <c r="Q360" s="2">
        <v>0</v>
      </c>
      <c r="R360" s="2">
        <v>0</v>
      </c>
      <c r="S360" s="2">
        <v>0</v>
      </c>
      <c r="T360" s="2">
        <v>0</v>
      </c>
      <c r="U360" s="2">
        <v>2</v>
      </c>
      <c r="V360" s="2">
        <v>12</v>
      </c>
      <c r="W360" s="2">
        <v>4</v>
      </c>
      <c r="X360" s="2">
        <v>39</v>
      </c>
      <c r="Y360" s="2">
        <v>0</v>
      </c>
      <c r="Z360" s="2">
        <v>2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</v>
      </c>
      <c r="AG360" s="2">
        <v>0</v>
      </c>
      <c r="AH360" s="2">
        <v>0</v>
      </c>
      <c r="AI360" s="4">
        <f>Table2121418198598106[[#This Row],[QB PY]]+Table2121418198598106[[#This Row],[QB RY]]</f>
        <v>217</v>
      </c>
      <c r="AJ360" s="4">
        <f>Table2121418198598106[[#This Row],[RB1 RY]]+Table2121418198598106[[#This Row],[RB2+ RY]]+Table2121418198598106[[#This Row],[RB1 RecY]]+Table2121418198598106[[#This Row],[RB2 RecY]]</f>
        <v>177</v>
      </c>
    </row>
    <row r="361" spans="1:36" x14ac:dyDescent="0.35">
      <c r="A361" s="19" t="s">
        <v>38</v>
      </c>
      <c r="B361" s="1">
        <v>7</v>
      </c>
      <c r="C361" s="2">
        <v>288</v>
      </c>
      <c r="D361" s="2">
        <v>2</v>
      </c>
      <c r="E361" s="2">
        <v>7</v>
      </c>
      <c r="F361" s="2">
        <v>94</v>
      </c>
      <c r="G361" s="2">
        <v>19</v>
      </c>
      <c r="H361" s="2">
        <v>0</v>
      </c>
      <c r="I361" s="2">
        <v>3</v>
      </c>
      <c r="J361" s="2">
        <v>38</v>
      </c>
      <c r="K361" s="2">
        <v>1</v>
      </c>
      <c r="L361" s="2">
        <v>8</v>
      </c>
      <c r="M361" s="2">
        <v>7</v>
      </c>
      <c r="N361" s="2">
        <v>58</v>
      </c>
      <c r="O361" s="2">
        <v>5</v>
      </c>
      <c r="P361" s="2">
        <v>98</v>
      </c>
      <c r="Q361" s="2">
        <v>1</v>
      </c>
      <c r="R361" s="2">
        <v>8</v>
      </c>
      <c r="S361" s="2">
        <v>1</v>
      </c>
      <c r="T361" s="2">
        <v>3</v>
      </c>
      <c r="U361" s="2">
        <v>4</v>
      </c>
      <c r="V361" s="2">
        <v>69</v>
      </c>
      <c r="W361" s="2">
        <v>1</v>
      </c>
      <c r="X361" s="2">
        <v>6</v>
      </c>
      <c r="Y361" s="2">
        <v>0</v>
      </c>
      <c r="Z361" s="2">
        <v>3</v>
      </c>
      <c r="AA361" s="2">
        <v>0</v>
      </c>
      <c r="AB361" s="2">
        <v>1</v>
      </c>
      <c r="AC361" s="2">
        <v>0</v>
      </c>
      <c r="AD361" s="2">
        <v>0</v>
      </c>
      <c r="AE361" s="2">
        <v>0</v>
      </c>
      <c r="AF361" s="2">
        <v>1</v>
      </c>
      <c r="AG361" s="2">
        <v>0</v>
      </c>
      <c r="AH361" s="2">
        <v>0</v>
      </c>
      <c r="AI361" s="4">
        <f>Table2121418198598106[[#This Row],[QB PY]]+Table2121418198598106[[#This Row],[QB RY]]</f>
        <v>295</v>
      </c>
      <c r="AJ361" s="4">
        <f>Table2121418198598106[[#This Row],[RB1 RY]]+Table2121418198598106[[#This Row],[RB2+ RY]]+Table2121418198598106[[#This Row],[RB1 RecY]]+Table2121418198598106[[#This Row],[RB2 RecY]]</f>
        <v>159</v>
      </c>
    </row>
    <row r="362" spans="1:36" x14ac:dyDescent="0.35">
      <c r="A362" s="19" t="s">
        <v>45</v>
      </c>
      <c r="B362" s="1">
        <v>8</v>
      </c>
      <c r="C362" s="2">
        <v>157</v>
      </c>
      <c r="D362" s="2">
        <v>1</v>
      </c>
      <c r="E362" s="2">
        <v>0</v>
      </c>
      <c r="F362" s="2">
        <v>15</v>
      </c>
      <c r="G362" s="2">
        <v>19</v>
      </c>
      <c r="H362" s="2">
        <v>0</v>
      </c>
      <c r="I362" s="2">
        <v>2</v>
      </c>
      <c r="J362" s="2">
        <v>15</v>
      </c>
      <c r="K362" s="2">
        <v>3</v>
      </c>
      <c r="L362" s="2">
        <v>11</v>
      </c>
      <c r="M362" s="2">
        <v>7</v>
      </c>
      <c r="N362" s="2">
        <v>74</v>
      </c>
      <c r="O362" s="2">
        <v>3</v>
      </c>
      <c r="P362" s="2">
        <v>26</v>
      </c>
      <c r="Q362" s="2">
        <v>0</v>
      </c>
      <c r="R362" s="2">
        <v>0</v>
      </c>
      <c r="S362" s="2">
        <v>0</v>
      </c>
      <c r="T362" s="2">
        <v>0</v>
      </c>
      <c r="U362" s="2">
        <v>2</v>
      </c>
      <c r="V362" s="2">
        <v>26</v>
      </c>
      <c r="W362" s="2">
        <v>1</v>
      </c>
      <c r="X362" s="2">
        <v>5</v>
      </c>
      <c r="Y362" s="2">
        <v>0</v>
      </c>
      <c r="Z362" s="2">
        <v>0</v>
      </c>
      <c r="AA362" s="2">
        <v>0</v>
      </c>
      <c r="AB362" s="2">
        <v>0</v>
      </c>
      <c r="AC362" s="2">
        <v>1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4">
        <f>Table2121418198598106[[#This Row],[QB PY]]+Table2121418198598106[[#This Row],[QB RY]]</f>
        <v>157</v>
      </c>
      <c r="AJ362" s="4">
        <f>Table2121418198598106[[#This Row],[RB1 RY]]+Table2121418198598106[[#This Row],[RB2+ RY]]+Table2121418198598106[[#This Row],[RB1 RecY]]+Table2121418198598106[[#This Row],[RB2 RecY]]</f>
        <v>60</v>
      </c>
    </row>
    <row r="363" spans="1:36" x14ac:dyDescent="0.35">
      <c r="A363" s="19" t="s">
        <v>55</v>
      </c>
      <c r="B363" s="1">
        <v>9</v>
      </c>
      <c r="C363" s="2">
        <v>145</v>
      </c>
      <c r="D363" s="2">
        <v>0</v>
      </c>
      <c r="E363" s="2">
        <v>6</v>
      </c>
      <c r="F363" s="2">
        <v>56</v>
      </c>
      <c r="G363" s="2">
        <v>26</v>
      </c>
      <c r="H363" s="2">
        <v>0</v>
      </c>
      <c r="I363" s="2">
        <v>1</v>
      </c>
      <c r="J363" s="2">
        <v>12</v>
      </c>
      <c r="K363" s="2">
        <v>3</v>
      </c>
      <c r="L363" s="2">
        <v>36</v>
      </c>
      <c r="M363" s="2">
        <v>3</v>
      </c>
      <c r="N363" s="2">
        <v>46</v>
      </c>
      <c r="O363" s="2">
        <v>1</v>
      </c>
      <c r="P363" s="2">
        <v>5</v>
      </c>
      <c r="Q363" s="2">
        <v>1</v>
      </c>
      <c r="R363" s="2">
        <v>21</v>
      </c>
      <c r="S363" s="2">
        <v>0</v>
      </c>
      <c r="T363" s="2">
        <v>0</v>
      </c>
      <c r="U363" s="2">
        <v>2</v>
      </c>
      <c r="V363" s="2">
        <v>10</v>
      </c>
      <c r="W363" s="2">
        <v>1</v>
      </c>
      <c r="X363" s="2">
        <v>15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2</v>
      </c>
      <c r="AI363" s="4">
        <f>Table2121418198598106[[#This Row],[QB PY]]+Table2121418198598106[[#This Row],[QB RY]]</f>
        <v>151</v>
      </c>
      <c r="AJ363" s="4">
        <f>Table2121418198598106[[#This Row],[RB1 RY]]+Table2121418198598106[[#This Row],[RB2+ RY]]+Table2121418198598106[[#This Row],[RB1 RecY]]+Table2121418198598106[[#This Row],[RB2 RecY]]</f>
        <v>130</v>
      </c>
    </row>
    <row r="364" spans="1:36" x14ac:dyDescent="0.35">
      <c r="A364" s="19" t="s">
        <v>51</v>
      </c>
      <c r="B364" s="1">
        <v>10</v>
      </c>
      <c r="C364" s="2">
        <v>161</v>
      </c>
      <c r="D364" s="2">
        <v>1</v>
      </c>
      <c r="E364" s="2">
        <v>0</v>
      </c>
      <c r="F364" s="2">
        <v>70</v>
      </c>
      <c r="G364" s="2">
        <v>3</v>
      </c>
      <c r="H364" s="2">
        <v>0</v>
      </c>
      <c r="I364" s="2">
        <v>2</v>
      </c>
      <c r="J364" s="2">
        <v>21</v>
      </c>
      <c r="K364" s="2">
        <v>2</v>
      </c>
      <c r="L364" s="2">
        <v>4</v>
      </c>
      <c r="M364" s="2">
        <v>3</v>
      </c>
      <c r="N364" s="2">
        <v>35</v>
      </c>
      <c r="O364" s="2">
        <v>2</v>
      </c>
      <c r="P364" s="2">
        <v>14</v>
      </c>
      <c r="Q364" s="2">
        <v>2</v>
      </c>
      <c r="R364" s="2">
        <v>35</v>
      </c>
      <c r="S364" s="2">
        <v>0</v>
      </c>
      <c r="T364" s="2">
        <v>0</v>
      </c>
      <c r="U364" s="2">
        <v>3</v>
      </c>
      <c r="V364" s="2">
        <v>33</v>
      </c>
      <c r="W364" s="2">
        <v>2</v>
      </c>
      <c r="X364" s="2">
        <v>19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1</v>
      </c>
      <c r="AE364" s="2">
        <v>0</v>
      </c>
      <c r="AF364" s="2">
        <v>0</v>
      </c>
      <c r="AG364" s="2">
        <v>0</v>
      </c>
      <c r="AH364" s="2">
        <v>0</v>
      </c>
      <c r="AI364" s="4">
        <f>Table2121418198598106[[#This Row],[QB PY]]+Table2121418198598106[[#This Row],[QB RY]]</f>
        <v>161</v>
      </c>
      <c r="AJ364" s="4">
        <f>Table2121418198598106[[#This Row],[RB1 RY]]+Table2121418198598106[[#This Row],[RB2+ RY]]+Table2121418198598106[[#This Row],[RB1 RecY]]+Table2121418198598106[[#This Row],[RB2 RecY]]</f>
        <v>98</v>
      </c>
    </row>
    <row r="365" spans="1:36" x14ac:dyDescent="0.35">
      <c r="A365" s="19" t="s">
        <v>39</v>
      </c>
      <c r="B365" s="1">
        <v>11</v>
      </c>
      <c r="C365" s="2">
        <v>153</v>
      </c>
      <c r="D365" s="2">
        <v>1</v>
      </c>
      <c r="E365" s="2">
        <v>9</v>
      </c>
      <c r="F365" s="2">
        <v>73</v>
      </c>
      <c r="G365" s="2">
        <v>110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5</v>
      </c>
      <c r="N365" s="2">
        <v>64</v>
      </c>
      <c r="O365" s="2">
        <v>2</v>
      </c>
      <c r="P365" s="2">
        <v>20</v>
      </c>
      <c r="Q365" s="2">
        <v>3</v>
      </c>
      <c r="R365" s="2">
        <v>20</v>
      </c>
      <c r="S365" s="2">
        <v>1</v>
      </c>
      <c r="T365" s="2">
        <v>13</v>
      </c>
      <c r="U365" s="2">
        <v>2</v>
      </c>
      <c r="V365" s="2">
        <v>25</v>
      </c>
      <c r="W365" s="2">
        <v>1</v>
      </c>
      <c r="X365" s="2">
        <v>11</v>
      </c>
      <c r="Y365" s="2">
        <v>1</v>
      </c>
      <c r="Z365" s="2">
        <v>2</v>
      </c>
      <c r="AA365" s="2">
        <v>1</v>
      </c>
      <c r="AB365" s="2">
        <v>0</v>
      </c>
      <c r="AC365" s="2">
        <v>0</v>
      </c>
      <c r="AD365" s="2">
        <v>1</v>
      </c>
      <c r="AE365" s="2">
        <v>0</v>
      </c>
      <c r="AF365" s="2">
        <v>0</v>
      </c>
      <c r="AG365" s="2">
        <v>0</v>
      </c>
      <c r="AH365" s="2">
        <v>0</v>
      </c>
      <c r="AI365" s="4">
        <f>Table2121418198598106[[#This Row],[QB PY]]+Table2121418198598106[[#This Row],[QB RY]]</f>
        <v>162</v>
      </c>
      <c r="AJ365" s="4">
        <f>Table2121418198598106[[#This Row],[RB1 RY]]+Table2121418198598106[[#This Row],[RB2+ RY]]+Table2121418198598106[[#This Row],[RB1 RecY]]+Table2121418198598106[[#This Row],[RB2 RecY]]</f>
        <v>183</v>
      </c>
    </row>
    <row r="366" spans="1:36" x14ac:dyDescent="0.35">
      <c r="A366" s="19" t="s">
        <v>650</v>
      </c>
      <c r="B366" s="1">
        <v>12</v>
      </c>
      <c r="C366" s="2" t="s">
        <v>697</v>
      </c>
      <c r="D366" s="2" t="s">
        <v>697</v>
      </c>
      <c r="E366" s="2" t="s">
        <v>697</v>
      </c>
      <c r="F366" s="2" t="s">
        <v>697</v>
      </c>
      <c r="G366" s="2" t="s">
        <v>697</v>
      </c>
      <c r="H366" s="2" t="s">
        <v>697</v>
      </c>
      <c r="I366" s="2" t="s">
        <v>697</v>
      </c>
      <c r="J366" s="2" t="s">
        <v>697</v>
      </c>
      <c r="K366" s="2" t="s">
        <v>697</v>
      </c>
      <c r="L366" s="2" t="s">
        <v>697</v>
      </c>
      <c r="M366" s="2" t="s">
        <v>697</v>
      </c>
      <c r="N366" s="2" t="s">
        <v>697</v>
      </c>
      <c r="O366" s="2" t="s">
        <v>697</v>
      </c>
      <c r="P366" s="2" t="s">
        <v>697</v>
      </c>
      <c r="Q366" s="2" t="s">
        <v>697</v>
      </c>
      <c r="R366" s="2" t="s">
        <v>697</v>
      </c>
      <c r="S366" s="2" t="s">
        <v>697</v>
      </c>
      <c r="T366" s="2" t="s">
        <v>697</v>
      </c>
      <c r="U366" s="2" t="s">
        <v>697</v>
      </c>
      <c r="V366" s="2" t="s">
        <v>697</v>
      </c>
      <c r="W366" s="2" t="s">
        <v>697</v>
      </c>
      <c r="X366" s="2" t="s">
        <v>697</v>
      </c>
      <c r="Y366" s="2" t="s">
        <v>697</v>
      </c>
      <c r="Z366" s="2" t="s">
        <v>697</v>
      </c>
      <c r="AA366" s="2" t="s">
        <v>697</v>
      </c>
      <c r="AB366" s="2" t="s">
        <v>697</v>
      </c>
      <c r="AC366" s="2" t="s">
        <v>697</v>
      </c>
      <c r="AD366" s="2" t="s">
        <v>697</v>
      </c>
      <c r="AE366" s="2" t="s">
        <v>697</v>
      </c>
      <c r="AF366" s="2" t="s">
        <v>697</v>
      </c>
      <c r="AG366" s="2" t="s">
        <v>697</v>
      </c>
      <c r="AH366" s="2" t="s">
        <v>697</v>
      </c>
      <c r="AI366" s="4" t="s">
        <v>697</v>
      </c>
      <c r="AJ366" s="4" t="s">
        <v>697</v>
      </c>
    </row>
    <row r="367" spans="1:36" x14ac:dyDescent="0.35">
      <c r="A367" s="19" t="s">
        <v>43</v>
      </c>
      <c r="B367" s="1">
        <v>13</v>
      </c>
      <c r="C367" s="2">
        <v>165</v>
      </c>
      <c r="D367" s="2">
        <v>2</v>
      </c>
      <c r="E367" s="2">
        <v>-6</v>
      </c>
      <c r="F367" s="2">
        <v>31</v>
      </c>
      <c r="G367" s="2">
        <v>6</v>
      </c>
      <c r="H367" s="2">
        <v>0</v>
      </c>
      <c r="I367" s="2">
        <v>6</v>
      </c>
      <c r="J367" s="2">
        <v>30</v>
      </c>
      <c r="K367" s="2">
        <v>0</v>
      </c>
      <c r="L367" s="2">
        <v>0</v>
      </c>
      <c r="M367" s="2">
        <v>3</v>
      </c>
      <c r="N367" s="2">
        <v>20</v>
      </c>
      <c r="O367" s="2">
        <v>1</v>
      </c>
      <c r="P367" s="2">
        <v>11</v>
      </c>
      <c r="Q367" s="2">
        <v>1</v>
      </c>
      <c r="R367" s="2">
        <v>11</v>
      </c>
      <c r="S367" s="2">
        <v>2</v>
      </c>
      <c r="T367" s="2">
        <v>22</v>
      </c>
      <c r="U367" s="2">
        <v>4</v>
      </c>
      <c r="V367" s="2">
        <v>63</v>
      </c>
      <c r="W367" s="2">
        <v>1</v>
      </c>
      <c r="X367" s="2">
        <v>8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2</v>
      </c>
      <c r="AG367" s="2">
        <v>0</v>
      </c>
      <c r="AH367" s="2">
        <v>0</v>
      </c>
      <c r="AI367" s="4">
        <f>Table2121418198598106[[#This Row],[QB PY]]+Table2121418198598106[[#This Row],[QB RY]]</f>
        <v>159</v>
      </c>
      <c r="AJ367" s="4">
        <f>Table2121418198598106[[#This Row],[RB1 RY]]+Table2121418198598106[[#This Row],[RB2+ RY]]+Table2121418198598106[[#This Row],[RB1 RecY]]+Table2121418198598106[[#This Row],[RB2 RecY]]</f>
        <v>67</v>
      </c>
    </row>
    <row r="368" spans="1:36" x14ac:dyDescent="0.35">
      <c r="A368" s="19" t="s">
        <v>50</v>
      </c>
      <c r="B368" s="1">
        <v>14</v>
      </c>
      <c r="C368" s="2">
        <v>240</v>
      </c>
      <c r="D368" s="2">
        <v>0</v>
      </c>
      <c r="E368" s="2">
        <v>8</v>
      </c>
      <c r="F368" s="2">
        <v>122</v>
      </c>
      <c r="G368" s="2">
        <v>4</v>
      </c>
      <c r="H368" s="2">
        <v>0</v>
      </c>
      <c r="I368" s="2">
        <v>0</v>
      </c>
      <c r="J368" s="2">
        <v>0</v>
      </c>
      <c r="K368" s="2">
        <v>1</v>
      </c>
      <c r="L368" s="2">
        <v>3</v>
      </c>
      <c r="M368" s="2">
        <v>6</v>
      </c>
      <c r="N368" s="2">
        <v>100</v>
      </c>
      <c r="O368" s="2">
        <v>4</v>
      </c>
      <c r="P368" s="2">
        <v>37</v>
      </c>
      <c r="Q368" s="2">
        <v>1</v>
      </c>
      <c r="R368" s="2">
        <v>3</v>
      </c>
      <c r="S368" s="2">
        <v>1</v>
      </c>
      <c r="T368" s="2">
        <v>19</v>
      </c>
      <c r="U368" s="2">
        <v>8</v>
      </c>
      <c r="V368" s="2">
        <v>78</v>
      </c>
      <c r="W368" s="2">
        <v>0</v>
      </c>
      <c r="X368" s="2">
        <v>0</v>
      </c>
      <c r="Y368" s="2">
        <v>0</v>
      </c>
      <c r="Z368" s="2">
        <v>1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4">
        <f>Table2121418198598106[[#This Row],[QB PY]]+Table2121418198598106[[#This Row],[QB RY]]</f>
        <v>248</v>
      </c>
      <c r="AJ368" s="4">
        <f>Table2121418198598106[[#This Row],[RB1 RY]]+Table2121418198598106[[#This Row],[RB2+ RY]]+Table2121418198598106[[#This Row],[RB1 RecY]]+Table2121418198598106[[#This Row],[RB2 RecY]]</f>
        <v>129</v>
      </c>
    </row>
    <row r="369" spans="1:36" x14ac:dyDescent="0.35">
      <c r="A369" s="19" t="s">
        <v>40</v>
      </c>
      <c r="B369" s="1">
        <v>15</v>
      </c>
      <c r="C369" s="2">
        <v>211</v>
      </c>
      <c r="D369" s="2">
        <v>0</v>
      </c>
      <c r="E369" s="2">
        <v>15</v>
      </c>
      <c r="F369" s="2">
        <v>21</v>
      </c>
      <c r="G369" s="2">
        <v>13</v>
      </c>
      <c r="H369" s="2">
        <v>0</v>
      </c>
      <c r="I369" s="2">
        <v>1</v>
      </c>
      <c r="J369" s="2">
        <v>8</v>
      </c>
      <c r="K369" s="2">
        <v>0</v>
      </c>
      <c r="L369" s="2">
        <v>0</v>
      </c>
      <c r="M369" s="2">
        <v>7</v>
      </c>
      <c r="N369" s="2">
        <v>51</v>
      </c>
      <c r="O369" s="2">
        <v>2</v>
      </c>
      <c r="P369" s="2">
        <v>35</v>
      </c>
      <c r="Q369" s="2">
        <v>0</v>
      </c>
      <c r="R369" s="2">
        <v>0</v>
      </c>
      <c r="S369" s="2">
        <v>2</v>
      </c>
      <c r="T369" s="2">
        <v>47</v>
      </c>
      <c r="U369" s="2">
        <v>7</v>
      </c>
      <c r="V369" s="2">
        <v>70</v>
      </c>
      <c r="W369" s="2">
        <v>0</v>
      </c>
      <c r="X369" s="2">
        <v>0</v>
      </c>
      <c r="Y369" s="2">
        <v>1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4">
        <f>Table2121418198598106[[#This Row],[QB PY]]+Table2121418198598106[[#This Row],[QB RY]]</f>
        <v>226</v>
      </c>
      <c r="AJ369" s="4">
        <f>Table2121418198598106[[#This Row],[RB1 RY]]+Table2121418198598106[[#This Row],[RB2+ RY]]+Table2121418198598106[[#This Row],[RB1 RecY]]+Table2121418198598106[[#This Row],[RB2 RecY]]</f>
        <v>42</v>
      </c>
    </row>
    <row r="370" spans="1:36" x14ac:dyDescent="0.35">
      <c r="A370" s="19" t="s">
        <v>33</v>
      </c>
      <c r="B370" s="1">
        <v>16</v>
      </c>
      <c r="C370" s="2">
        <v>255</v>
      </c>
      <c r="D370" s="2">
        <v>2</v>
      </c>
      <c r="E370" s="2">
        <v>21</v>
      </c>
      <c r="F370" s="2">
        <v>34</v>
      </c>
      <c r="G370" s="2">
        <v>23</v>
      </c>
      <c r="H370" s="2">
        <v>13</v>
      </c>
      <c r="I370" s="2">
        <v>2</v>
      </c>
      <c r="J370" s="2">
        <v>9</v>
      </c>
      <c r="K370" s="2">
        <v>1</v>
      </c>
      <c r="L370" s="2">
        <v>14</v>
      </c>
      <c r="M370" s="2">
        <v>6</v>
      </c>
      <c r="N370" s="2">
        <v>51</v>
      </c>
      <c r="O370" s="2">
        <v>7</v>
      </c>
      <c r="P370" s="2">
        <v>130</v>
      </c>
      <c r="Q370" s="2">
        <v>2</v>
      </c>
      <c r="R370" s="2">
        <v>18</v>
      </c>
      <c r="S370" s="2">
        <v>2</v>
      </c>
      <c r="T370" s="2">
        <v>14</v>
      </c>
      <c r="U370" s="2">
        <v>3</v>
      </c>
      <c r="V370" s="2">
        <v>19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1</v>
      </c>
      <c r="AD370" s="2">
        <v>1</v>
      </c>
      <c r="AE370" s="2">
        <v>0</v>
      </c>
      <c r="AF370" s="2">
        <v>0</v>
      </c>
      <c r="AG370" s="2">
        <v>0</v>
      </c>
      <c r="AH370" s="2">
        <v>0</v>
      </c>
      <c r="AI370" s="4">
        <f>Table2121418198598106[[#This Row],[QB PY]]+Table2121418198598106[[#This Row],[QB RY]]</f>
        <v>276</v>
      </c>
      <c r="AJ370" s="4">
        <f>Table2121418198598106[[#This Row],[RB1 RY]]+Table2121418198598106[[#This Row],[RB2+ RY]]+Table2121418198598106[[#This Row],[RB1 RecY]]+Table2121418198598106[[#This Row],[RB2 RecY]]</f>
        <v>80</v>
      </c>
    </row>
    <row r="371" spans="1:36" x14ac:dyDescent="0.35">
      <c r="A371" s="19" t="s">
        <v>37</v>
      </c>
      <c r="B371" s="1">
        <v>17</v>
      </c>
      <c r="C371" s="2">
        <v>244</v>
      </c>
      <c r="D371" s="2">
        <v>2</v>
      </c>
      <c r="E371" s="2">
        <v>0</v>
      </c>
      <c r="F371" s="2">
        <v>71</v>
      </c>
      <c r="G371" s="2">
        <v>37</v>
      </c>
      <c r="H371" s="2">
        <v>10</v>
      </c>
      <c r="I371" s="2">
        <v>1</v>
      </c>
      <c r="J371" s="2">
        <v>4</v>
      </c>
      <c r="K371" s="2">
        <v>0</v>
      </c>
      <c r="L371" s="2">
        <v>0</v>
      </c>
      <c r="M371" s="2">
        <v>3</v>
      </c>
      <c r="N371" s="2">
        <v>57</v>
      </c>
      <c r="O371" s="2">
        <v>2</v>
      </c>
      <c r="P371" s="2">
        <v>88</v>
      </c>
      <c r="Q371" s="2">
        <v>2</v>
      </c>
      <c r="R371" s="2">
        <v>1</v>
      </c>
      <c r="S371" s="2">
        <v>5</v>
      </c>
      <c r="T371" s="2">
        <v>75</v>
      </c>
      <c r="U371" s="2">
        <v>3</v>
      </c>
      <c r="V371" s="2">
        <v>19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1</v>
      </c>
      <c r="AD371" s="2">
        <v>0</v>
      </c>
      <c r="AE371" s="2">
        <v>1</v>
      </c>
      <c r="AF371" s="2">
        <v>0</v>
      </c>
      <c r="AG371" s="2">
        <v>0</v>
      </c>
      <c r="AH371" s="2">
        <v>0</v>
      </c>
      <c r="AI371" s="4">
        <f>Table2121418198598106[[#This Row],[QB PY]]+Table2121418198598106[[#This Row],[QB RY]]</f>
        <v>244</v>
      </c>
      <c r="AJ371" s="4">
        <f>Table2121418198598106[[#This Row],[RB1 RY]]+Table2121418198598106[[#This Row],[RB2+ RY]]+Table2121418198598106[[#This Row],[RB1 RecY]]+Table2121418198598106[[#This Row],[RB2 RecY]]</f>
        <v>112</v>
      </c>
    </row>
    <row r="372" spans="1:36" x14ac:dyDescent="0.35">
      <c r="A372" s="19" t="s">
        <v>34</v>
      </c>
      <c r="B372" s="1">
        <v>18</v>
      </c>
      <c r="C372" s="2">
        <v>141</v>
      </c>
      <c r="D372" s="2">
        <v>0</v>
      </c>
      <c r="E372" s="2">
        <v>49</v>
      </c>
      <c r="F372" s="2">
        <v>28</v>
      </c>
      <c r="G372" s="2">
        <v>39</v>
      </c>
      <c r="H372" s="2">
        <v>0</v>
      </c>
      <c r="I372" s="2">
        <v>1</v>
      </c>
      <c r="J372" s="2">
        <v>5</v>
      </c>
      <c r="K372" s="2">
        <v>3</v>
      </c>
      <c r="L372" s="2">
        <v>45</v>
      </c>
      <c r="M372" s="2">
        <v>1</v>
      </c>
      <c r="N372" s="2">
        <v>5</v>
      </c>
      <c r="O372" s="2">
        <v>0</v>
      </c>
      <c r="P372" s="2">
        <v>0</v>
      </c>
      <c r="Q372" s="2">
        <v>4</v>
      </c>
      <c r="R372" s="2">
        <v>31</v>
      </c>
      <c r="S372" s="2">
        <v>2</v>
      </c>
      <c r="T372" s="2">
        <v>10</v>
      </c>
      <c r="U372" s="2">
        <v>3</v>
      </c>
      <c r="V372" s="2">
        <v>45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1</v>
      </c>
      <c r="AI372" s="4">
        <f>Table2121418198598106[[#This Row],[QB PY]]+Table2121418198598106[[#This Row],[QB RY]]</f>
        <v>190</v>
      </c>
      <c r="AJ372" s="4">
        <f>Table2121418198598106[[#This Row],[RB1 RY]]+Table2121418198598106[[#This Row],[RB2+ RY]]+Table2121418198598106[[#This Row],[RB1 RecY]]+Table2121418198598106[[#This Row],[RB2 RecY]]</f>
        <v>117</v>
      </c>
    </row>
    <row r="373" spans="1:36" x14ac:dyDescent="0.35">
      <c r="B373" s="1" t="s">
        <v>57</v>
      </c>
      <c r="C373" s="3">
        <f>AVERAGE(Table2121418198598106[QB PY])</f>
        <v>194.94117647058823</v>
      </c>
      <c r="D373" s="3">
        <f>AVERAGE(Table2121418198598106[P TD])</f>
        <v>0.94117647058823528</v>
      </c>
      <c r="E373" s="3">
        <f>AVERAGE(Table2121418198598106[QB RY])</f>
        <v>18.588235294117649</v>
      </c>
      <c r="F373" s="3">
        <f>AVERAGE(Table2121418198598106[RB1 RY])</f>
        <v>63.764705882352942</v>
      </c>
      <c r="G373" s="3">
        <f>AVERAGE(Table2121418198598106[RB2+ RY])</f>
        <v>21.176470588235293</v>
      </c>
      <c r="H373" s="3">
        <f>AVERAGE(Table2121418198598106[WR RY])</f>
        <v>1.8235294117647058</v>
      </c>
      <c r="I373" s="3">
        <f>AVERAGE(Table2121418198598106[RB1 Recep])</f>
        <v>1.9411764705882353</v>
      </c>
      <c r="J373" s="3">
        <f>AVERAGE(Table2121418198598106[RB1 RecY])</f>
        <v>12.823529411764707</v>
      </c>
      <c r="K373" s="3">
        <f>AVERAGE(Table2121418198598106[RB2 Recep])</f>
        <v>1.5294117647058822</v>
      </c>
      <c r="L373" s="3">
        <f>AVERAGE(Table2121418198598106[RB2 RecY])</f>
        <v>12.470588235294118</v>
      </c>
      <c r="M373" s="3">
        <f>AVERAGE(Table2121418198598106[WR1 Recep])</f>
        <v>5.2352941176470589</v>
      </c>
      <c r="N373" s="3">
        <f>AVERAGE(Table2121418198598106[WR1 RecY])</f>
        <v>62.176470588235297</v>
      </c>
      <c r="O373" s="3">
        <f>AVERAGE(Table2121418198598106[WR2 Recep])</f>
        <v>2.7647058823529411</v>
      </c>
      <c r="P373" s="3">
        <f>AVERAGE(Table2121418198598106[WR2 RecY])</f>
        <v>36.764705882352942</v>
      </c>
      <c r="Q373" s="3">
        <f>AVERAGE(Table2121418198598106[WR3 Recep])</f>
        <v>1.4705882352941178</v>
      </c>
      <c r="R373" s="3">
        <f>AVERAGE(Table2121418198598106[WR3 RecY])</f>
        <v>16.058823529411764</v>
      </c>
      <c r="S373" s="3">
        <f>AVERAGE(Table2121418198598106[WR4+ Recep])</f>
        <v>1</v>
      </c>
      <c r="T373" s="3">
        <f>AVERAGE(Table2121418198598106[WR4+ RecY])</f>
        <v>12.470588235294118</v>
      </c>
      <c r="U373" s="3">
        <f>AVERAGE(Table2121418198598106[TE1 Recep])</f>
        <v>3.1764705882352939</v>
      </c>
      <c r="V373" s="3">
        <f>AVERAGE(Table2121418198598106[TE1 RecY])</f>
        <v>34.117647058823529</v>
      </c>
      <c r="W373" s="3">
        <f>AVERAGE(Table2121418198598106[TE2 Recep])</f>
        <v>0.94117647058823528</v>
      </c>
      <c r="X373" s="3">
        <f>AVERAGE(Table2121418198598106[TE2 RecY])</f>
        <v>8.0588235294117645</v>
      </c>
      <c r="Y373" s="3">
        <f>AVERAGE(Table2121418198598106[QB TD])</f>
        <v>0.23529411764705882</v>
      </c>
      <c r="Z373" s="3">
        <f>AVERAGE(Table2121418198598106[RB1 TD])</f>
        <v>0.6470588235294118</v>
      </c>
      <c r="AA373" s="3">
        <f>AVERAGE(Table2121418198598106[RB2 TD])</f>
        <v>5.8823529411764705E-2</v>
      </c>
      <c r="AB373" s="3">
        <f>AVERAGE(Table2121418198598106[WR1 TD])</f>
        <v>0.17647058823529413</v>
      </c>
      <c r="AC373" s="3">
        <f>AVERAGE(Table2121418198598106[WR2 TD])</f>
        <v>0.17647058823529413</v>
      </c>
      <c r="AD373" s="3">
        <f>AVERAGE(Table2121418198598106[WR3 TD])</f>
        <v>0.17647058823529413</v>
      </c>
      <c r="AE373" s="3">
        <f>AVERAGE(Table2121418198598106[WR4+ TD])</f>
        <v>5.8823529411764705E-2</v>
      </c>
      <c r="AF373" s="3">
        <f>AVERAGE(Table2121418198598106[TE1 TD])</f>
        <v>0.35294117647058826</v>
      </c>
      <c r="AG373" s="3">
        <f>AVERAGE(Table2121418198598106[TE2 TD])</f>
        <v>0</v>
      </c>
      <c r="AH373" s="3">
        <f>AVERAGE(Table2121418198598106[D/ST TD])</f>
        <v>0.17647058823529413</v>
      </c>
      <c r="AI373" s="3">
        <f>AVERAGE(Table2121418198598106[QB P+R])</f>
        <v>213.52941176470588</v>
      </c>
      <c r="AJ373" s="3">
        <f>AVERAGE(Table2121418198598106[RB R+R])</f>
        <v>110.23529411764706</v>
      </c>
    </row>
    <row r="375" spans="1:36" x14ac:dyDescent="0.35">
      <c r="A375" s="230" t="s">
        <v>42</v>
      </c>
      <c r="B375" s="230"/>
      <c r="C375" s="230"/>
      <c r="D375" s="230"/>
      <c r="E375" s="230"/>
      <c r="F375" s="230"/>
      <c r="G375" s="23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  <c r="AF375" s="230"/>
      <c r="AG375" s="230"/>
      <c r="AH375" s="230"/>
      <c r="AI375" s="230"/>
      <c r="AJ375" s="230"/>
    </row>
    <row r="376" spans="1:36" x14ac:dyDescent="0.35">
      <c r="A376" s="20" t="s">
        <v>63</v>
      </c>
      <c r="B376" s="6" t="s">
        <v>1</v>
      </c>
      <c r="C376" s="7" t="s">
        <v>18</v>
      </c>
      <c r="D376" s="8" t="s">
        <v>19</v>
      </c>
      <c r="E376" s="9" t="s">
        <v>20</v>
      </c>
      <c r="F376" s="10" t="s">
        <v>21</v>
      </c>
      <c r="G376" s="11" t="s">
        <v>22</v>
      </c>
      <c r="H376" s="12" t="s">
        <v>23</v>
      </c>
      <c r="I376" s="13" t="s">
        <v>667</v>
      </c>
      <c r="J376" s="13" t="s">
        <v>668</v>
      </c>
      <c r="K376" s="13" t="s">
        <v>665</v>
      </c>
      <c r="L376" s="13" t="s">
        <v>666</v>
      </c>
      <c r="M376" s="14" t="s">
        <v>2</v>
      </c>
      <c r="N376" s="14" t="s">
        <v>24</v>
      </c>
      <c r="O376" s="15" t="s">
        <v>3</v>
      </c>
      <c r="P376" s="15" t="s">
        <v>25</v>
      </c>
      <c r="Q376" s="16" t="s">
        <v>4</v>
      </c>
      <c r="R376" s="16" t="s">
        <v>26</v>
      </c>
      <c r="S376" s="17" t="s">
        <v>5</v>
      </c>
      <c r="T376" s="17" t="s">
        <v>27</v>
      </c>
      <c r="U376" s="18" t="s">
        <v>669</v>
      </c>
      <c r="V376" s="18" t="s">
        <v>670</v>
      </c>
      <c r="W376" s="18" t="s">
        <v>675</v>
      </c>
      <c r="X376" s="18" t="s">
        <v>671</v>
      </c>
      <c r="Y376" s="6" t="s">
        <v>6</v>
      </c>
      <c r="Z376" s="6" t="s">
        <v>7</v>
      </c>
      <c r="AA376" s="6" t="s">
        <v>674</v>
      </c>
      <c r="AB376" s="6" t="s">
        <v>8</v>
      </c>
      <c r="AC376" s="6" t="s">
        <v>9</v>
      </c>
      <c r="AD376" s="6" t="s">
        <v>10</v>
      </c>
      <c r="AE376" s="6" t="s">
        <v>11</v>
      </c>
      <c r="AF376" s="6" t="s">
        <v>673</v>
      </c>
      <c r="AG376" s="6" t="s">
        <v>672</v>
      </c>
      <c r="AH376" s="6" t="s">
        <v>12</v>
      </c>
      <c r="AI376" s="8" t="s">
        <v>14</v>
      </c>
      <c r="AJ376" s="11" t="s">
        <v>13</v>
      </c>
    </row>
    <row r="377" spans="1:36" x14ac:dyDescent="0.35">
      <c r="A377" s="19" t="s">
        <v>37</v>
      </c>
      <c r="B377" s="5">
        <v>1</v>
      </c>
      <c r="C377" s="4">
        <v>188</v>
      </c>
      <c r="D377" s="4">
        <v>0</v>
      </c>
      <c r="E377" s="4">
        <v>32</v>
      </c>
      <c r="F377" s="4">
        <v>60</v>
      </c>
      <c r="G377" s="4">
        <v>17</v>
      </c>
      <c r="H377" s="4">
        <v>5</v>
      </c>
      <c r="I377" s="4">
        <v>2</v>
      </c>
      <c r="J377" s="4">
        <v>17</v>
      </c>
      <c r="K377" s="4">
        <v>0</v>
      </c>
      <c r="L377" s="4">
        <v>0</v>
      </c>
      <c r="M377" s="4">
        <v>3</v>
      </c>
      <c r="N377" s="4">
        <v>25</v>
      </c>
      <c r="O377" s="4">
        <v>2</v>
      </c>
      <c r="P377" s="4">
        <v>32</v>
      </c>
      <c r="Q377" s="4">
        <v>1</v>
      </c>
      <c r="R377" s="4">
        <v>7</v>
      </c>
      <c r="S377" s="4">
        <v>4</v>
      </c>
      <c r="T377" s="4">
        <v>57</v>
      </c>
      <c r="U377" s="4">
        <v>3</v>
      </c>
      <c r="V377" s="4">
        <v>28</v>
      </c>
      <c r="W377" s="4">
        <v>4</v>
      </c>
      <c r="X377" s="4">
        <v>22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f>Table2121418198598107[[#This Row],[QB PY]]+Table2121418198598107[[#This Row],[QB RY]]</f>
        <v>220</v>
      </c>
      <c r="AJ377" s="4">
        <f>Table2121418198598107[[#This Row],[RB1 RY]]+Table2121418198598107[[#This Row],[RB2+ RY]]+Table2121418198598107[[#This Row],[RB1 RecY]]+Table2121418198598107[[#This Row],[RB2 RecY]]</f>
        <v>94</v>
      </c>
    </row>
    <row r="378" spans="1:36" x14ac:dyDescent="0.35">
      <c r="A378" s="19" t="s">
        <v>55</v>
      </c>
      <c r="B378" s="1">
        <v>2</v>
      </c>
      <c r="C378" s="2">
        <v>175</v>
      </c>
      <c r="D378" s="2">
        <v>1</v>
      </c>
      <c r="E378" s="2">
        <v>8</v>
      </c>
      <c r="F378" s="2">
        <v>92</v>
      </c>
      <c r="G378" s="2">
        <v>0</v>
      </c>
      <c r="H378" s="2">
        <v>9</v>
      </c>
      <c r="I378" s="2">
        <v>0</v>
      </c>
      <c r="J378" s="2">
        <v>0</v>
      </c>
      <c r="K378" s="2">
        <v>0</v>
      </c>
      <c r="L378" s="2">
        <v>0</v>
      </c>
      <c r="M378" s="2">
        <v>3</v>
      </c>
      <c r="N378" s="2">
        <v>57</v>
      </c>
      <c r="O378" s="2">
        <v>4</v>
      </c>
      <c r="P378" s="2">
        <v>56</v>
      </c>
      <c r="Q378" s="2">
        <v>2</v>
      </c>
      <c r="R378" s="2">
        <v>9</v>
      </c>
      <c r="S378" s="2">
        <v>4</v>
      </c>
      <c r="T378" s="2">
        <v>9</v>
      </c>
      <c r="U378" s="2">
        <v>4</v>
      </c>
      <c r="V378" s="2">
        <v>35</v>
      </c>
      <c r="W378" s="2">
        <v>2</v>
      </c>
      <c r="X378" s="2">
        <v>9</v>
      </c>
      <c r="Y378" s="2">
        <v>0</v>
      </c>
      <c r="Z378" s="2">
        <v>0</v>
      </c>
      <c r="AA378" s="2">
        <v>0</v>
      </c>
      <c r="AB378" s="2">
        <v>0</v>
      </c>
      <c r="AC378" s="2">
        <v>1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4">
        <f>Table2121418198598107[[#This Row],[QB PY]]+Table2121418198598107[[#This Row],[QB RY]]</f>
        <v>183</v>
      </c>
      <c r="AJ378" s="4">
        <f>Table2121418198598107[[#This Row],[RB1 RY]]+Table2121418198598107[[#This Row],[RB2+ RY]]+Table2121418198598107[[#This Row],[RB1 RecY]]+Table2121418198598107[[#This Row],[RB2 RecY]]</f>
        <v>92</v>
      </c>
    </row>
    <row r="379" spans="1:36" x14ac:dyDescent="0.35">
      <c r="A379" s="19" t="s">
        <v>50</v>
      </c>
      <c r="B379" s="1">
        <v>3</v>
      </c>
      <c r="C379" s="2">
        <v>226</v>
      </c>
      <c r="D379" s="2">
        <v>3</v>
      </c>
      <c r="E379" s="2">
        <v>40</v>
      </c>
      <c r="F379" s="2">
        <v>46</v>
      </c>
      <c r="G379" s="2">
        <v>0</v>
      </c>
      <c r="H379" s="2">
        <v>0</v>
      </c>
      <c r="I379" s="2">
        <v>4</v>
      </c>
      <c r="J379" s="2">
        <v>9</v>
      </c>
      <c r="K379" s="2">
        <v>0</v>
      </c>
      <c r="L379" s="2">
        <v>0</v>
      </c>
      <c r="M379" s="2">
        <v>6</v>
      </c>
      <c r="N379" s="2">
        <v>109</v>
      </c>
      <c r="O379" s="2">
        <v>8</v>
      </c>
      <c r="P379" s="2">
        <v>60</v>
      </c>
      <c r="Q379" s="2">
        <v>1</v>
      </c>
      <c r="R379" s="2">
        <v>7</v>
      </c>
      <c r="S379" s="2">
        <v>1</v>
      </c>
      <c r="T379" s="2">
        <v>8</v>
      </c>
      <c r="U379" s="2">
        <v>1</v>
      </c>
      <c r="V379" s="2">
        <v>33</v>
      </c>
      <c r="W379" s="2">
        <v>0</v>
      </c>
      <c r="X379" s="2">
        <v>0</v>
      </c>
      <c r="Y379" s="2">
        <v>1</v>
      </c>
      <c r="Z379" s="2">
        <v>0</v>
      </c>
      <c r="AA379" s="2">
        <v>0</v>
      </c>
      <c r="AB379" s="2">
        <v>1</v>
      </c>
      <c r="AC379" s="2">
        <v>1</v>
      </c>
      <c r="AD379" s="2">
        <v>0</v>
      </c>
      <c r="AE379" s="2">
        <v>0</v>
      </c>
      <c r="AF379" s="2">
        <v>1</v>
      </c>
      <c r="AG379" s="2">
        <v>0</v>
      </c>
      <c r="AH379" s="2">
        <v>1</v>
      </c>
      <c r="AI379" s="4">
        <f>Table2121418198598107[[#This Row],[QB PY]]+Table2121418198598107[[#This Row],[QB RY]]</f>
        <v>266</v>
      </c>
      <c r="AJ379" s="4">
        <f>Table2121418198598107[[#This Row],[RB1 RY]]+Table2121418198598107[[#This Row],[RB2+ RY]]+Table2121418198598107[[#This Row],[RB1 RecY]]+Table2121418198598107[[#This Row],[RB2 RecY]]</f>
        <v>55</v>
      </c>
    </row>
    <row r="380" spans="1:36" x14ac:dyDescent="0.35">
      <c r="A380" s="19" t="s">
        <v>38</v>
      </c>
      <c r="B380" s="1">
        <v>4</v>
      </c>
      <c r="C380" s="2">
        <v>262</v>
      </c>
      <c r="D380" s="2">
        <v>1</v>
      </c>
      <c r="E380" s="2">
        <v>-1</v>
      </c>
      <c r="F380" s="2">
        <v>76</v>
      </c>
      <c r="G380" s="2">
        <v>0</v>
      </c>
      <c r="H380" s="2">
        <v>10</v>
      </c>
      <c r="I380" s="2">
        <v>5</v>
      </c>
      <c r="J380" s="2">
        <v>20</v>
      </c>
      <c r="K380" s="2">
        <v>1</v>
      </c>
      <c r="L380" s="2">
        <v>0</v>
      </c>
      <c r="M380" s="2">
        <v>5</v>
      </c>
      <c r="N380" s="2">
        <v>41</v>
      </c>
      <c r="O380" s="2">
        <v>4</v>
      </c>
      <c r="P380" s="2">
        <v>24</v>
      </c>
      <c r="Q380" s="2">
        <v>3</v>
      </c>
      <c r="R380" s="2">
        <v>96</v>
      </c>
      <c r="S380" s="2">
        <v>1</v>
      </c>
      <c r="T380" s="2">
        <v>11</v>
      </c>
      <c r="U380" s="2">
        <v>5</v>
      </c>
      <c r="V380" s="2">
        <v>70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1</v>
      </c>
      <c r="AC380" s="2">
        <v>0</v>
      </c>
      <c r="AD380" s="2">
        <v>0</v>
      </c>
      <c r="AE380" s="2">
        <v>0</v>
      </c>
      <c r="AF380" s="2">
        <v>1</v>
      </c>
      <c r="AG380" s="2">
        <v>0</v>
      </c>
      <c r="AH380" s="2">
        <v>0</v>
      </c>
      <c r="AI380" s="4">
        <f>Table2121418198598107[[#This Row],[QB PY]]+Table2121418198598107[[#This Row],[QB RY]]</f>
        <v>261</v>
      </c>
      <c r="AJ380" s="4">
        <f>Table2121418198598107[[#This Row],[RB1 RY]]+Table2121418198598107[[#This Row],[RB2+ RY]]+Table2121418198598107[[#This Row],[RB1 RecY]]+Table2121418198598107[[#This Row],[RB2 RecY]]</f>
        <v>96</v>
      </c>
    </row>
    <row r="381" spans="1:36" x14ac:dyDescent="0.35">
      <c r="A381" s="19" t="s">
        <v>53</v>
      </c>
      <c r="B381" s="1">
        <v>5</v>
      </c>
      <c r="C381" s="2">
        <v>342</v>
      </c>
      <c r="D381" s="2">
        <v>2</v>
      </c>
      <c r="E381" s="2">
        <v>5</v>
      </c>
      <c r="F381" s="2">
        <v>57</v>
      </c>
      <c r="G381" s="2">
        <v>11</v>
      </c>
      <c r="H381" s="2">
        <v>1</v>
      </c>
      <c r="I381" s="2">
        <v>8</v>
      </c>
      <c r="J381" s="2">
        <v>82</v>
      </c>
      <c r="K381" s="2">
        <v>3</v>
      </c>
      <c r="L381" s="2">
        <v>21</v>
      </c>
      <c r="M381" s="2">
        <v>10</v>
      </c>
      <c r="N381" s="2">
        <v>142</v>
      </c>
      <c r="O381" s="2">
        <v>3</v>
      </c>
      <c r="P381" s="2">
        <v>39</v>
      </c>
      <c r="Q381" s="2">
        <v>1</v>
      </c>
      <c r="R381" s="2">
        <v>9</v>
      </c>
      <c r="S381" s="2">
        <v>0</v>
      </c>
      <c r="T381" s="2">
        <v>0</v>
      </c>
      <c r="U381" s="2">
        <v>7</v>
      </c>
      <c r="V381" s="2">
        <v>41</v>
      </c>
      <c r="W381" s="2">
        <v>1</v>
      </c>
      <c r="X381" s="2">
        <v>8</v>
      </c>
      <c r="Y381" s="2">
        <v>0</v>
      </c>
      <c r="Z381" s="2">
        <v>1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</v>
      </c>
      <c r="AG381" s="2">
        <v>0</v>
      </c>
      <c r="AH381" s="2">
        <v>0</v>
      </c>
      <c r="AI381" s="4">
        <f>Table2121418198598107[[#This Row],[QB PY]]+Table2121418198598107[[#This Row],[QB RY]]</f>
        <v>347</v>
      </c>
      <c r="AJ381" s="4">
        <f>Table2121418198598107[[#This Row],[RB1 RY]]+Table2121418198598107[[#This Row],[RB2+ RY]]+Table2121418198598107[[#This Row],[RB1 RecY]]+Table2121418198598107[[#This Row],[RB2 RecY]]</f>
        <v>171</v>
      </c>
    </row>
    <row r="382" spans="1:36" x14ac:dyDescent="0.35">
      <c r="A382" s="19" t="s">
        <v>16</v>
      </c>
      <c r="B382" s="1">
        <v>6</v>
      </c>
      <c r="C382" s="2">
        <v>140</v>
      </c>
      <c r="D382" s="2">
        <v>0</v>
      </c>
      <c r="E382" s="2">
        <v>39</v>
      </c>
      <c r="F382" s="2">
        <v>122</v>
      </c>
      <c r="G382" s="2">
        <v>16</v>
      </c>
      <c r="H382" s="2">
        <v>2</v>
      </c>
      <c r="I382" s="2">
        <v>1</v>
      </c>
      <c r="J382" s="2">
        <v>8</v>
      </c>
      <c r="K382" s="2">
        <v>5</v>
      </c>
      <c r="L382" s="2">
        <v>28</v>
      </c>
      <c r="M382" s="2">
        <v>6</v>
      </c>
      <c r="N382" s="2">
        <v>46</v>
      </c>
      <c r="O382" s="2">
        <v>1</v>
      </c>
      <c r="P382" s="2">
        <v>8</v>
      </c>
      <c r="Q382" s="2">
        <v>2</v>
      </c>
      <c r="R382" s="2">
        <v>20</v>
      </c>
      <c r="S382" s="2">
        <v>0</v>
      </c>
      <c r="T382" s="2">
        <v>0</v>
      </c>
      <c r="U382" s="2">
        <v>4</v>
      </c>
      <c r="V382" s="2">
        <v>24</v>
      </c>
      <c r="W382" s="2">
        <v>2</v>
      </c>
      <c r="X382" s="2">
        <v>6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4">
        <f>Table2121418198598107[[#This Row],[QB PY]]+Table2121418198598107[[#This Row],[QB RY]]</f>
        <v>179</v>
      </c>
      <c r="AJ382" s="4">
        <f>Table2121418198598107[[#This Row],[RB1 RY]]+Table2121418198598107[[#This Row],[RB2+ RY]]+Table2121418198598107[[#This Row],[RB1 RecY]]+Table2121418198598107[[#This Row],[RB2 RecY]]</f>
        <v>174</v>
      </c>
    </row>
    <row r="383" spans="1:36" x14ac:dyDescent="0.35">
      <c r="A383" s="19" t="s">
        <v>39</v>
      </c>
      <c r="B383" s="1">
        <v>7</v>
      </c>
      <c r="C383" s="2">
        <v>296</v>
      </c>
      <c r="D383" s="2">
        <v>1</v>
      </c>
      <c r="E383" s="2">
        <v>18</v>
      </c>
      <c r="F383" s="2">
        <v>44</v>
      </c>
      <c r="G383" s="2">
        <v>22</v>
      </c>
      <c r="H383" s="2">
        <v>10</v>
      </c>
      <c r="I383" s="2">
        <v>1</v>
      </c>
      <c r="J383" s="2">
        <v>11</v>
      </c>
      <c r="K383" s="2">
        <v>1</v>
      </c>
      <c r="L383" s="2">
        <v>4</v>
      </c>
      <c r="M383" s="2">
        <v>3</v>
      </c>
      <c r="N383" s="2">
        <v>31</v>
      </c>
      <c r="O383" s="2">
        <v>8</v>
      </c>
      <c r="P383" s="2">
        <v>101</v>
      </c>
      <c r="Q383" s="2">
        <v>2</v>
      </c>
      <c r="R383" s="2">
        <v>50</v>
      </c>
      <c r="S383" s="2">
        <v>5</v>
      </c>
      <c r="T383" s="2">
        <v>74</v>
      </c>
      <c r="U383" s="2">
        <v>2</v>
      </c>
      <c r="V383" s="2">
        <v>16</v>
      </c>
      <c r="W383" s="2">
        <v>1</v>
      </c>
      <c r="X383" s="2">
        <v>9</v>
      </c>
      <c r="Y383" s="2">
        <v>0</v>
      </c>
      <c r="Z383" s="2">
        <v>0</v>
      </c>
      <c r="AA383" s="2">
        <v>1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4">
        <f>Table2121418198598107[[#This Row],[QB PY]]+Table2121418198598107[[#This Row],[QB RY]]</f>
        <v>314</v>
      </c>
      <c r="AJ383" s="4">
        <f>Table2121418198598107[[#This Row],[RB1 RY]]+Table2121418198598107[[#This Row],[RB2+ RY]]+Table2121418198598107[[#This Row],[RB1 RecY]]+Table2121418198598107[[#This Row],[RB2 RecY]]</f>
        <v>81</v>
      </c>
    </row>
    <row r="384" spans="1:36" x14ac:dyDescent="0.35">
      <c r="A384" s="19" t="s">
        <v>650</v>
      </c>
      <c r="B384" s="1">
        <v>8</v>
      </c>
      <c r="C384" s="2" t="s">
        <v>697</v>
      </c>
      <c r="D384" s="2" t="s">
        <v>697</v>
      </c>
      <c r="E384" s="2" t="s">
        <v>697</v>
      </c>
      <c r="F384" s="2" t="s">
        <v>697</v>
      </c>
      <c r="G384" s="2" t="s">
        <v>697</v>
      </c>
      <c r="H384" s="2" t="s">
        <v>697</v>
      </c>
      <c r="I384" s="2" t="s">
        <v>697</v>
      </c>
      <c r="J384" s="2" t="s">
        <v>697</v>
      </c>
      <c r="K384" s="2" t="s">
        <v>697</v>
      </c>
      <c r="L384" s="2" t="s">
        <v>697</v>
      </c>
      <c r="M384" s="2" t="s">
        <v>697</v>
      </c>
      <c r="N384" s="2" t="s">
        <v>697</v>
      </c>
      <c r="O384" s="2" t="s">
        <v>697</v>
      </c>
      <c r="P384" s="2" t="s">
        <v>697</v>
      </c>
      <c r="Q384" s="2" t="s">
        <v>697</v>
      </c>
      <c r="R384" s="2" t="s">
        <v>697</v>
      </c>
      <c r="S384" s="2" t="s">
        <v>697</v>
      </c>
      <c r="T384" s="2" t="s">
        <v>697</v>
      </c>
      <c r="U384" s="2" t="s">
        <v>697</v>
      </c>
      <c r="V384" s="2" t="s">
        <v>697</v>
      </c>
      <c r="W384" s="2" t="s">
        <v>697</v>
      </c>
      <c r="X384" s="2" t="s">
        <v>697</v>
      </c>
      <c r="Y384" s="2" t="s">
        <v>697</v>
      </c>
      <c r="Z384" s="2" t="s">
        <v>697</v>
      </c>
      <c r="AA384" s="2" t="s">
        <v>697</v>
      </c>
      <c r="AB384" s="2" t="s">
        <v>697</v>
      </c>
      <c r="AC384" s="2" t="s">
        <v>697</v>
      </c>
      <c r="AD384" s="2" t="s">
        <v>697</v>
      </c>
      <c r="AE384" s="2" t="s">
        <v>697</v>
      </c>
      <c r="AF384" s="2" t="s">
        <v>697</v>
      </c>
      <c r="AG384" s="2" t="s">
        <v>697</v>
      </c>
      <c r="AH384" s="2" t="s">
        <v>697</v>
      </c>
      <c r="AI384" s="4" t="s">
        <v>697</v>
      </c>
      <c r="AJ384" s="4" t="s">
        <v>697</v>
      </c>
    </row>
    <row r="385" spans="1:36" x14ac:dyDescent="0.35">
      <c r="A385" s="19" t="s">
        <v>47</v>
      </c>
      <c r="B385" s="1">
        <v>9</v>
      </c>
      <c r="C385" s="2">
        <v>176</v>
      </c>
      <c r="D385" s="2">
        <v>1</v>
      </c>
      <c r="E385" s="2">
        <v>32</v>
      </c>
      <c r="F385" s="2">
        <v>14</v>
      </c>
      <c r="G385" s="2">
        <v>11</v>
      </c>
      <c r="H385" s="2">
        <v>0</v>
      </c>
      <c r="I385" s="2">
        <v>1</v>
      </c>
      <c r="J385" s="2">
        <v>3</v>
      </c>
      <c r="K385" s="2">
        <v>1</v>
      </c>
      <c r="L385" s="2">
        <v>1</v>
      </c>
      <c r="M385" s="2">
        <v>3</v>
      </c>
      <c r="N385" s="2">
        <v>57</v>
      </c>
      <c r="O385" s="2">
        <v>5</v>
      </c>
      <c r="P385" s="2">
        <v>68</v>
      </c>
      <c r="Q385" s="2">
        <v>2</v>
      </c>
      <c r="R385" s="2">
        <v>16</v>
      </c>
      <c r="S385" s="2">
        <v>0</v>
      </c>
      <c r="T385" s="2">
        <v>0</v>
      </c>
      <c r="U385" s="2">
        <v>3</v>
      </c>
      <c r="V385" s="2">
        <v>31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</v>
      </c>
      <c r="AG385" s="2">
        <v>0</v>
      </c>
      <c r="AH385" s="2">
        <v>0</v>
      </c>
      <c r="AI385" s="4">
        <f>Table2121418198598107[[#This Row],[QB PY]]+Table2121418198598107[[#This Row],[QB RY]]</f>
        <v>208</v>
      </c>
      <c r="AJ385" s="4">
        <f>Table2121418198598107[[#This Row],[RB1 RY]]+Table2121418198598107[[#This Row],[RB2+ RY]]+Table2121418198598107[[#This Row],[RB1 RecY]]+Table2121418198598107[[#This Row],[RB2 RecY]]</f>
        <v>29</v>
      </c>
    </row>
    <row r="386" spans="1:36" x14ac:dyDescent="0.35">
      <c r="A386" s="19" t="s">
        <v>53</v>
      </c>
      <c r="B386" s="1">
        <v>10</v>
      </c>
      <c r="C386" s="2">
        <v>319</v>
      </c>
      <c r="D386" s="2">
        <v>3</v>
      </c>
      <c r="E386" s="2">
        <v>3</v>
      </c>
      <c r="F386" s="2">
        <v>30</v>
      </c>
      <c r="G386" s="2">
        <v>41</v>
      </c>
      <c r="H386" s="2">
        <v>0</v>
      </c>
      <c r="I386" s="2">
        <v>8</v>
      </c>
      <c r="J386" s="2">
        <v>66</v>
      </c>
      <c r="K386" s="2">
        <v>3</v>
      </c>
      <c r="L386" s="2">
        <v>12</v>
      </c>
      <c r="M386" s="2">
        <v>6</v>
      </c>
      <c r="N386" s="2">
        <v>71</v>
      </c>
      <c r="O386" s="2">
        <v>1</v>
      </c>
      <c r="P386" s="2">
        <v>19</v>
      </c>
      <c r="Q386" s="2">
        <v>3</v>
      </c>
      <c r="R386" s="2">
        <v>34</v>
      </c>
      <c r="S386" s="2">
        <v>1</v>
      </c>
      <c r="T386" s="2">
        <v>18</v>
      </c>
      <c r="U386" s="2">
        <v>9</v>
      </c>
      <c r="V386" s="2">
        <v>84</v>
      </c>
      <c r="W386" s="2">
        <v>2</v>
      </c>
      <c r="X386" s="2">
        <v>15</v>
      </c>
      <c r="Y386" s="2">
        <v>0</v>
      </c>
      <c r="Z386" s="2">
        <v>0</v>
      </c>
      <c r="AA386" s="2">
        <v>1</v>
      </c>
      <c r="AB386" s="2">
        <v>1</v>
      </c>
      <c r="AC386" s="2">
        <v>0</v>
      </c>
      <c r="AD386" s="2">
        <v>0</v>
      </c>
      <c r="AE386" s="2">
        <v>0</v>
      </c>
      <c r="AF386" s="2">
        <v>1</v>
      </c>
      <c r="AG386" s="2">
        <v>1</v>
      </c>
      <c r="AH386" s="2">
        <v>0</v>
      </c>
      <c r="AI386" s="4">
        <f>Table2121418198598107[[#This Row],[QB PY]]+Table2121418198598107[[#This Row],[QB RY]]</f>
        <v>322</v>
      </c>
      <c r="AJ386" s="4">
        <f>Table2121418198598107[[#This Row],[RB1 RY]]+Table2121418198598107[[#This Row],[RB2+ RY]]+Table2121418198598107[[#This Row],[RB1 RecY]]+Table2121418198598107[[#This Row],[RB2 RecY]]</f>
        <v>149</v>
      </c>
    </row>
    <row r="387" spans="1:36" x14ac:dyDescent="0.35">
      <c r="A387" s="69" t="s">
        <v>52</v>
      </c>
      <c r="B387" s="1">
        <v>11</v>
      </c>
      <c r="C387" s="2">
        <v>279</v>
      </c>
      <c r="D387" s="2">
        <v>0</v>
      </c>
      <c r="E387" s="2">
        <v>11</v>
      </c>
      <c r="F387" s="2">
        <v>67</v>
      </c>
      <c r="G387" s="2">
        <v>43</v>
      </c>
      <c r="H387" s="2">
        <v>14</v>
      </c>
      <c r="I387" s="2">
        <v>3</v>
      </c>
      <c r="J387" s="2">
        <v>44</v>
      </c>
      <c r="K387" s="2">
        <v>2</v>
      </c>
      <c r="L387" s="2">
        <v>10</v>
      </c>
      <c r="M387" s="2">
        <v>9</v>
      </c>
      <c r="N387" s="2">
        <v>105</v>
      </c>
      <c r="O387" s="2">
        <v>3</v>
      </c>
      <c r="P387" s="2">
        <v>23</v>
      </c>
      <c r="Q387" s="2">
        <v>2</v>
      </c>
      <c r="R387" s="2">
        <v>27</v>
      </c>
      <c r="S387" s="2">
        <v>0</v>
      </c>
      <c r="T387" s="2">
        <v>0</v>
      </c>
      <c r="U387" s="2">
        <v>10</v>
      </c>
      <c r="V387" s="2">
        <v>70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4">
        <f>Table2121418198598107[[#This Row],[QB PY]]+Table2121418198598107[[#This Row],[QB RY]]</f>
        <v>290</v>
      </c>
      <c r="AJ387" s="4">
        <f>Table2121418198598107[[#This Row],[RB1 RY]]+Table2121418198598107[[#This Row],[RB2+ RY]]+Table2121418198598107[[#This Row],[RB1 RecY]]+Table2121418198598107[[#This Row],[RB2 RecY]]</f>
        <v>164</v>
      </c>
    </row>
    <row r="388" spans="1:36" x14ac:dyDescent="0.35">
      <c r="A388" s="19" t="s">
        <v>54</v>
      </c>
      <c r="B388" s="1">
        <v>12</v>
      </c>
      <c r="C388" s="2">
        <v>103</v>
      </c>
      <c r="D388" s="2">
        <v>1</v>
      </c>
      <c r="E388" s="2">
        <v>25</v>
      </c>
      <c r="F388" s="2">
        <v>42</v>
      </c>
      <c r="G388" s="2">
        <v>44</v>
      </c>
      <c r="H388" s="2">
        <v>12</v>
      </c>
      <c r="I388" s="2">
        <v>1</v>
      </c>
      <c r="J388" s="2">
        <v>4</v>
      </c>
      <c r="K388" s="2">
        <v>1</v>
      </c>
      <c r="L388" s="2">
        <v>4</v>
      </c>
      <c r="M388" s="2">
        <v>3</v>
      </c>
      <c r="N388" s="2">
        <v>32</v>
      </c>
      <c r="O388" s="2">
        <v>2</v>
      </c>
      <c r="P388" s="2">
        <v>9</v>
      </c>
      <c r="Q388" s="2">
        <v>3</v>
      </c>
      <c r="R388" s="2">
        <v>21</v>
      </c>
      <c r="S388" s="2">
        <v>3</v>
      </c>
      <c r="T388" s="2">
        <v>12</v>
      </c>
      <c r="U388" s="2">
        <v>4</v>
      </c>
      <c r="V388" s="2">
        <v>21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0</v>
      </c>
      <c r="AG388" s="2">
        <v>0</v>
      </c>
      <c r="AH388" s="2">
        <v>0</v>
      </c>
      <c r="AI388" s="4">
        <f>Table2121418198598107[[#This Row],[QB PY]]+Table2121418198598107[[#This Row],[QB RY]]</f>
        <v>128</v>
      </c>
      <c r="AJ388" s="4">
        <f>Table2121418198598107[[#This Row],[RB1 RY]]+Table2121418198598107[[#This Row],[RB2+ RY]]+Table2121418198598107[[#This Row],[RB1 RecY]]+Table2121418198598107[[#This Row],[RB2 RecY]]</f>
        <v>94</v>
      </c>
    </row>
    <row r="389" spans="1:36" x14ac:dyDescent="0.35">
      <c r="A389" s="19" t="s">
        <v>29</v>
      </c>
      <c r="B389" s="1">
        <v>13</v>
      </c>
      <c r="C389" s="2">
        <v>206</v>
      </c>
      <c r="D389" s="2">
        <v>3</v>
      </c>
      <c r="E389" s="2">
        <v>23</v>
      </c>
      <c r="F389" s="2">
        <v>58</v>
      </c>
      <c r="G389" s="2">
        <v>83</v>
      </c>
      <c r="H389" s="2">
        <v>0</v>
      </c>
      <c r="I389" s="2">
        <v>2</v>
      </c>
      <c r="J389" s="2">
        <v>21</v>
      </c>
      <c r="K389" s="2">
        <v>3</v>
      </c>
      <c r="L389" s="2">
        <v>45</v>
      </c>
      <c r="M389" s="2">
        <v>1</v>
      </c>
      <c r="N389" s="2">
        <v>43</v>
      </c>
      <c r="O389" s="2">
        <v>1</v>
      </c>
      <c r="P389" s="2">
        <v>1</v>
      </c>
      <c r="Q389" s="2">
        <v>4</v>
      </c>
      <c r="R389" s="2">
        <v>74</v>
      </c>
      <c r="S389" s="2">
        <v>0</v>
      </c>
      <c r="T389" s="2">
        <v>0</v>
      </c>
      <c r="U389" s="2">
        <v>1</v>
      </c>
      <c r="V389" s="2">
        <v>2</v>
      </c>
      <c r="W389" s="2">
        <v>3</v>
      </c>
      <c r="X389" s="2">
        <v>20</v>
      </c>
      <c r="Y389" s="2">
        <v>0</v>
      </c>
      <c r="Z389" s="2">
        <v>0</v>
      </c>
      <c r="AA389" s="2">
        <v>1</v>
      </c>
      <c r="AB389" s="2">
        <v>1</v>
      </c>
      <c r="AC389" s="2">
        <v>0</v>
      </c>
      <c r="AD389" s="2">
        <v>1</v>
      </c>
      <c r="AE389" s="2">
        <v>0</v>
      </c>
      <c r="AF389" s="2">
        <v>0</v>
      </c>
      <c r="AG389" s="2">
        <v>0</v>
      </c>
      <c r="AH389" s="2">
        <v>1</v>
      </c>
      <c r="AI389" s="4">
        <f>Table2121418198598107[[#This Row],[QB PY]]+Table2121418198598107[[#This Row],[QB RY]]</f>
        <v>229</v>
      </c>
      <c r="AJ389" s="4">
        <f>Table2121418198598107[[#This Row],[RB1 RY]]+Table2121418198598107[[#This Row],[RB2+ RY]]+Table2121418198598107[[#This Row],[RB1 RecY]]+Table2121418198598107[[#This Row],[RB2 RecY]]</f>
        <v>207</v>
      </c>
    </row>
    <row r="390" spans="1:36" x14ac:dyDescent="0.35">
      <c r="A390" s="19" t="s">
        <v>0</v>
      </c>
      <c r="B390" s="1">
        <v>14</v>
      </c>
      <c r="C390" s="2">
        <v>271</v>
      </c>
      <c r="D390" s="2">
        <v>2</v>
      </c>
      <c r="E390" s="2">
        <v>22</v>
      </c>
      <c r="F390" s="2">
        <v>16</v>
      </c>
      <c r="G390" s="2">
        <v>13</v>
      </c>
      <c r="H390" s="2">
        <v>0</v>
      </c>
      <c r="I390" s="2">
        <v>3</v>
      </c>
      <c r="J390" s="2">
        <v>18</v>
      </c>
      <c r="K390" s="2">
        <v>2</v>
      </c>
      <c r="L390" s="2">
        <v>18</v>
      </c>
      <c r="M390" s="2">
        <v>11</v>
      </c>
      <c r="N390" s="2">
        <v>142</v>
      </c>
      <c r="O390" s="2">
        <v>1</v>
      </c>
      <c r="P390" s="2">
        <v>3</v>
      </c>
      <c r="Q390" s="2">
        <v>0</v>
      </c>
      <c r="R390" s="2">
        <v>0</v>
      </c>
      <c r="S390" s="2">
        <v>2</v>
      </c>
      <c r="T390" s="2">
        <v>32</v>
      </c>
      <c r="U390" s="2">
        <v>5</v>
      </c>
      <c r="V390" s="2">
        <v>58</v>
      </c>
      <c r="W390" s="2">
        <v>1</v>
      </c>
      <c r="X390" s="2">
        <v>0</v>
      </c>
      <c r="Y390" s="2">
        <v>0</v>
      </c>
      <c r="Z390" s="2">
        <v>0</v>
      </c>
      <c r="AA390" s="2">
        <v>0</v>
      </c>
      <c r="AB390" s="2">
        <v>2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4">
        <f>Table2121418198598107[[#This Row],[QB PY]]+Table2121418198598107[[#This Row],[QB RY]]</f>
        <v>293</v>
      </c>
      <c r="AJ390" s="4">
        <f>Table2121418198598107[[#This Row],[RB1 RY]]+Table2121418198598107[[#This Row],[RB2+ RY]]+Table2121418198598107[[#This Row],[RB1 RecY]]+Table2121418198598107[[#This Row],[RB2 RecY]]</f>
        <v>65</v>
      </c>
    </row>
    <row r="391" spans="1:36" x14ac:dyDescent="0.35">
      <c r="A391" s="19" t="s">
        <v>35</v>
      </c>
      <c r="B391" s="1">
        <v>15</v>
      </c>
      <c r="C391" s="2">
        <v>338</v>
      </c>
      <c r="D391" s="2">
        <v>3</v>
      </c>
      <c r="E391" s="2">
        <v>0</v>
      </c>
      <c r="F391" s="2">
        <v>38</v>
      </c>
      <c r="G391" s="2">
        <v>32</v>
      </c>
      <c r="H391" s="2">
        <v>0</v>
      </c>
      <c r="I391" s="2">
        <v>4</v>
      </c>
      <c r="J391" s="2">
        <v>20</v>
      </c>
      <c r="K391" s="2">
        <v>0</v>
      </c>
      <c r="L391" s="2">
        <v>0</v>
      </c>
      <c r="M391" s="2">
        <v>13</v>
      </c>
      <c r="N391" s="2">
        <v>164</v>
      </c>
      <c r="O391" s="2">
        <v>7</v>
      </c>
      <c r="P391" s="2">
        <v>134</v>
      </c>
      <c r="Q391" s="2">
        <v>0</v>
      </c>
      <c r="R391" s="2">
        <v>0</v>
      </c>
      <c r="S391" s="2">
        <v>1</v>
      </c>
      <c r="T391" s="2">
        <v>20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1</v>
      </c>
      <c r="AB391" s="2">
        <v>2</v>
      </c>
      <c r="AC391" s="2">
        <v>1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4">
        <f>Table2121418198598107[[#This Row],[QB PY]]+Table2121418198598107[[#This Row],[QB RY]]</f>
        <v>338</v>
      </c>
      <c r="AJ391" s="4">
        <f>Table2121418198598107[[#This Row],[RB1 RY]]+Table2121418198598107[[#This Row],[RB2+ RY]]+Table2121418198598107[[#This Row],[RB1 RecY]]+Table2121418198598107[[#This Row],[RB2 RecY]]</f>
        <v>90</v>
      </c>
    </row>
    <row r="392" spans="1:36" x14ac:dyDescent="0.35">
      <c r="A392" s="19" t="s">
        <v>52</v>
      </c>
      <c r="B392" s="1">
        <v>16</v>
      </c>
      <c r="C392" s="2">
        <v>270</v>
      </c>
      <c r="D392" s="2">
        <v>2</v>
      </c>
      <c r="E392" s="2">
        <v>7</v>
      </c>
      <c r="F392" s="2">
        <v>100</v>
      </c>
      <c r="G392" s="2">
        <v>32</v>
      </c>
      <c r="H392" s="2">
        <v>32</v>
      </c>
      <c r="I392" s="2">
        <v>3</v>
      </c>
      <c r="J392" s="2">
        <v>64</v>
      </c>
      <c r="K392" s="2">
        <v>4</v>
      </c>
      <c r="L392" s="2">
        <v>22</v>
      </c>
      <c r="M392" s="2">
        <v>8</v>
      </c>
      <c r="N392" s="2">
        <v>96</v>
      </c>
      <c r="O392" s="2">
        <v>3</v>
      </c>
      <c r="P392" s="2">
        <v>39</v>
      </c>
      <c r="Q392" s="2">
        <v>0</v>
      </c>
      <c r="R392" s="2">
        <v>0</v>
      </c>
      <c r="S392" s="2">
        <v>0</v>
      </c>
      <c r="T392" s="2">
        <v>0</v>
      </c>
      <c r="U392" s="2">
        <v>4</v>
      </c>
      <c r="V392" s="2">
        <v>49</v>
      </c>
      <c r="W392" s="2">
        <v>0</v>
      </c>
      <c r="X392" s="2">
        <v>0</v>
      </c>
      <c r="Y392" s="2">
        <v>0</v>
      </c>
      <c r="Z392" s="2">
        <v>1</v>
      </c>
      <c r="AA392" s="2">
        <v>1</v>
      </c>
      <c r="AB392" s="2">
        <v>1</v>
      </c>
      <c r="AC392" s="2">
        <v>0</v>
      </c>
      <c r="AD392" s="2">
        <v>0</v>
      </c>
      <c r="AE392" s="2">
        <v>0</v>
      </c>
      <c r="AF392" s="2">
        <v>1</v>
      </c>
      <c r="AG392" s="2">
        <v>0</v>
      </c>
      <c r="AH392" s="2">
        <v>1</v>
      </c>
      <c r="AI392" s="4">
        <f>Table2121418198598107[[#This Row],[QB PY]]+Table2121418198598107[[#This Row],[QB RY]]</f>
        <v>277</v>
      </c>
      <c r="AJ392" s="4">
        <f>Table2121418198598107[[#This Row],[RB1 RY]]+Table2121418198598107[[#This Row],[RB2+ RY]]+Table2121418198598107[[#This Row],[RB1 RecY]]+Table2121418198598107[[#This Row],[RB2 RecY]]</f>
        <v>218</v>
      </c>
    </row>
    <row r="393" spans="1:36" x14ac:dyDescent="0.35">
      <c r="A393" s="19" t="s">
        <v>15</v>
      </c>
      <c r="B393" s="1">
        <v>17</v>
      </c>
      <c r="C393" s="2">
        <v>126</v>
      </c>
      <c r="D393" s="2">
        <v>1</v>
      </c>
      <c r="E393" s="2">
        <v>1</v>
      </c>
      <c r="F393" s="2">
        <v>195</v>
      </c>
      <c r="G393" s="2">
        <v>23</v>
      </c>
      <c r="H393" s="2">
        <v>0</v>
      </c>
      <c r="I393" s="2">
        <v>5</v>
      </c>
      <c r="J393" s="2">
        <v>34</v>
      </c>
      <c r="K393" s="2">
        <v>0</v>
      </c>
      <c r="L393" s="2">
        <v>0</v>
      </c>
      <c r="M393" s="2">
        <v>1</v>
      </c>
      <c r="N393" s="2">
        <v>4</v>
      </c>
      <c r="O393" s="2">
        <v>2</v>
      </c>
      <c r="P393" s="2">
        <v>35</v>
      </c>
      <c r="Q393" s="2">
        <v>3</v>
      </c>
      <c r="R393" s="2">
        <v>37</v>
      </c>
      <c r="S393" s="2">
        <v>0</v>
      </c>
      <c r="T393" s="2">
        <v>0</v>
      </c>
      <c r="U393" s="2">
        <v>2</v>
      </c>
      <c r="V393" s="2">
        <v>16</v>
      </c>
      <c r="W393" s="2">
        <v>0</v>
      </c>
      <c r="X393" s="2">
        <v>0</v>
      </c>
      <c r="Y393" s="2">
        <v>0</v>
      </c>
      <c r="Z393" s="2">
        <v>2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1</v>
      </c>
      <c r="AI393" s="4">
        <f>Table2121418198598107[[#This Row],[QB PY]]+Table2121418198598107[[#This Row],[QB RY]]</f>
        <v>127</v>
      </c>
      <c r="AJ393" s="4">
        <f>Table2121418198598107[[#This Row],[RB1 RY]]+Table2121418198598107[[#This Row],[RB2+ RY]]+Table2121418198598107[[#This Row],[RB1 RecY]]+Table2121418198598107[[#This Row],[RB2 RecY]]</f>
        <v>252</v>
      </c>
    </row>
    <row r="394" spans="1:36" x14ac:dyDescent="0.35">
      <c r="A394" s="19" t="s">
        <v>0</v>
      </c>
      <c r="B394" s="1">
        <v>18</v>
      </c>
      <c r="C394" s="2">
        <v>271</v>
      </c>
      <c r="D394" s="2">
        <v>2</v>
      </c>
      <c r="E394" s="2">
        <v>19</v>
      </c>
      <c r="F394" s="2">
        <v>29</v>
      </c>
      <c r="G394" s="2">
        <v>31</v>
      </c>
      <c r="H394" s="2">
        <v>0</v>
      </c>
      <c r="I394" s="2">
        <v>1</v>
      </c>
      <c r="J394" s="2">
        <v>28</v>
      </c>
      <c r="K394" s="2">
        <v>5</v>
      </c>
      <c r="L394" s="2">
        <v>36</v>
      </c>
      <c r="M394" s="2">
        <v>5</v>
      </c>
      <c r="N394" s="2">
        <v>99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7</v>
      </c>
      <c r="V394" s="2">
        <v>65</v>
      </c>
      <c r="W394" s="2">
        <v>5</v>
      </c>
      <c r="X394" s="2">
        <v>43</v>
      </c>
      <c r="Y394" s="2">
        <v>0</v>
      </c>
      <c r="Z394" s="2">
        <v>0</v>
      </c>
      <c r="AA394" s="2">
        <v>0</v>
      </c>
      <c r="AB394" s="2">
        <v>1</v>
      </c>
      <c r="AC394" s="2">
        <v>0</v>
      </c>
      <c r="AD394" s="2">
        <v>0</v>
      </c>
      <c r="AE394" s="2">
        <v>0</v>
      </c>
      <c r="AF394" s="2">
        <v>0</v>
      </c>
      <c r="AG394" s="2">
        <v>1</v>
      </c>
      <c r="AH394" s="2">
        <v>0</v>
      </c>
      <c r="AI394" s="4">
        <f>Table2121418198598107[[#This Row],[QB PY]]+Table2121418198598107[[#This Row],[QB RY]]</f>
        <v>290</v>
      </c>
      <c r="AJ394" s="4">
        <f>Table2121418198598107[[#This Row],[RB1 RY]]+Table2121418198598107[[#This Row],[RB2+ RY]]+Table2121418198598107[[#This Row],[RB1 RecY]]+Table2121418198598107[[#This Row],[RB2 RecY]]</f>
        <v>124</v>
      </c>
    </row>
    <row r="395" spans="1:36" x14ac:dyDescent="0.35">
      <c r="B395" s="1" t="s">
        <v>57</v>
      </c>
      <c r="C395" s="3">
        <f>AVERAGE(Table2121418198598107[QB PY])</f>
        <v>234.58823529411765</v>
      </c>
      <c r="D395" s="3">
        <f>AVERAGE(Table2121418198598107[P TD])</f>
        <v>1.5294117647058822</v>
      </c>
      <c r="E395" s="3">
        <f>AVERAGE(Table2121418198598107[QB RY])</f>
        <v>16.705882352941178</v>
      </c>
      <c r="F395" s="3">
        <f>AVERAGE(Table2121418198598107[RB1 RY])</f>
        <v>63.882352941176471</v>
      </c>
      <c r="G395" s="3">
        <f>AVERAGE(Table2121418198598107[RB2+ RY])</f>
        <v>24.647058823529413</v>
      </c>
      <c r="H395" s="3">
        <f>AVERAGE(Table2121418198598107[WR RY])</f>
        <v>5.5882352941176467</v>
      </c>
      <c r="I395" s="3">
        <f>AVERAGE(Table2121418198598107[RB1 Recep])</f>
        <v>3.0588235294117645</v>
      </c>
      <c r="J395" s="3">
        <f>AVERAGE(Table2121418198598107[RB1 RecY])</f>
        <v>26.411764705882351</v>
      </c>
      <c r="K395" s="3">
        <f>AVERAGE(Table2121418198598107[RB2 Recep])</f>
        <v>1.8235294117647058</v>
      </c>
      <c r="L395" s="3">
        <f>AVERAGE(Table2121418198598107[RB2 RecY])</f>
        <v>11.823529411764707</v>
      </c>
      <c r="M395" s="3">
        <f>AVERAGE(Table2121418198598107[WR1 Recep])</f>
        <v>5.6470588235294121</v>
      </c>
      <c r="N395" s="3">
        <f>AVERAGE(Table2121418198598107[WR1 RecY])</f>
        <v>74.352941176470594</v>
      </c>
      <c r="O395" s="3">
        <f>AVERAGE(Table2121418198598107[WR2 Recep])</f>
        <v>3.2352941176470589</v>
      </c>
      <c r="P395" s="3">
        <f>AVERAGE(Table2121418198598107[WR2 RecY])</f>
        <v>38.294117647058826</v>
      </c>
      <c r="Q395" s="3">
        <f>AVERAGE(Table2121418198598107[WR3 Recep])</f>
        <v>1.7058823529411764</v>
      </c>
      <c r="R395" s="3">
        <f>AVERAGE(Table2121418198598107[WR3 RecY])</f>
        <v>23.941176470588236</v>
      </c>
      <c r="S395" s="3">
        <f>AVERAGE(Table2121418198598107[WR4+ Recep])</f>
        <v>1.2941176470588236</v>
      </c>
      <c r="T395" s="3">
        <f>AVERAGE(Table2121418198598107[WR4+ RecY])</f>
        <v>14.176470588235293</v>
      </c>
      <c r="U395" s="3">
        <f>AVERAGE(Table2121418198598107[TE1 Recep])</f>
        <v>4.1764705882352944</v>
      </c>
      <c r="V395" s="3">
        <f>AVERAGE(Table2121418198598107[TE1 RecY])</f>
        <v>37.823529411764703</v>
      </c>
      <c r="W395" s="3">
        <f>AVERAGE(Table2121418198598107[TE2 Recep])</f>
        <v>1.2352941176470589</v>
      </c>
      <c r="X395" s="3">
        <f>AVERAGE(Table2121418198598107[TE2 RecY])</f>
        <v>7.7647058823529411</v>
      </c>
      <c r="Y395" s="3">
        <f>AVERAGE(Table2121418198598107[QB TD])</f>
        <v>5.8823529411764705E-2</v>
      </c>
      <c r="Z395" s="3">
        <f>AVERAGE(Table2121418198598107[RB1 TD])</f>
        <v>0.29411764705882354</v>
      </c>
      <c r="AA395" s="3">
        <f>AVERAGE(Table2121418198598107[RB2 TD])</f>
        <v>0.29411764705882354</v>
      </c>
      <c r="AB395" s="3">
        <f>AVERAGE(Table2121418198598107[WR1 TD])</f>
        <v>0.58823529411764708</v>
      </c>
      <c r="AC395" s="3">
        <f>AVERAGE(Table2121418198598107[WR2 TD])</f>
        <v>0.17647058823529413</v>
      </c>
      <c r="AD395" s="3">
        <f>AVERAGE(Table2121418198598107[WR3 TD])</f>
        <v>0.11764705882352941</v>
      </c>
      <c r="AE395" s="3">
        <f>AVERAGE(Table2121418198598107[WR4+ TD])</f>
        <v>0</v>
      </c>
      <c r="AF395" s="3">
        <f>AVERAGE(Table2121418198598107[TE1 TD])</f>
        <v>0.35294117647058826</v>
      </c>
      <c r="AG395" s="3">
        <f>AVERAGE(Table2121418198598107[TE2 TD])</f>
        <v>0.11764705882352941</v>
      </c>
      <c r="AH395" s="3">
        <f>AVERAGE(Table2121418198598107[D/ST TD])</f>
        <v>0.23529411764705882</v>
      </c>
      <c r="AI395" s="3">
        <f>AVERAGE(Table2121418198598107[QB P+R])</f>
        <v>251.29411764705881</v>
      </c>
      <c r="AJ395" s="3">
        <f>AVERAGE(Table2121418198598107[RB R+R])</f>
        <v>126.76470588235294</v>
      </c>
    </row>
    <row r="397" spans="1:36" x14ac:dyDescent="0.35">
      <c r="A397" s="230" t="s">
        <v>43</v>
      </c>
      <c r="B397" s="230"/>
      <c r="C397" s="230"/>
      <c r="D397" s="230"/>
      <c r="E397" s="230"/>
      <c r="F397" s="230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  <c r="AF397" s="230"/>
      <c r="AG397" s="230"/>
      <c r="AH397" s="230"/>
      <c r="AI397" s="230"/>
      <c r="AJ397" s="230"/>
    </row>
    <row r="398" spans="1:36" x14ac:dyDescent="0.35">
      <c r="A398" s="20" t="s">
        <v>63</v>
      </c>
      <c r="B398" s="6" t="s">
        <v>1</v>
      </c>
      <c r="C398" s="7" t="s">
        <v>18</v>
      </c>
      <c r="D398" s="8" t="s">
        <v>19</v>
      </c>
      <c r="E398" s="9" t="s">
        <v>20</v>
      </c>
      <c r="F398" s="10" t="s">
        <v>21</v>
      </c>
      <c r="G398" s="11" t="s">
        <v>22</v>
      </c>
      <c r="H398" s="12" t="s">
        <v>23</v>
      </c>
      <c r="I398" s="13" t="s">
        <v>667</v>
      </c>
      <c r="J398" s="13" t="s">
        <v>668</v>
      </c>
      <c r="K398" s="13" t="s">
        <v>665</v>
      </c>
      <c r="L398" s="13" t="s">
        <v>666</v>
      </c>
      <c r="M398" s="14" t="s">
        <v>2</v>
      </c>
      <c r="N398" s="14" t="s">
        <v>24</v>
      </c>
      <c r="O398" s="15" t="s">
        <v>3</v>
      </c>
      <c r="P398" s="15" t="s">
        <v>25</v>
      </c>
      <c r="Q398" s="16" t="s">
        <v>4</v>
      </c>
      <c r="R398" s="16" t="s">
        <v>26</v>
      </c>
      <c r="S398" s="17" t="s">
        <v>5</v>
      </c>
      <c r="T398" s="17" t="s">
        <v>27</v>
      </c>
      <c r="U398" s="18" t="s">
        <v>669</v>
      </c>
      <c r="V398" s="18" t="s">
        <v>670</v>
      </c>
      <c r="W398" s="18" t="s">
        <v>675</v>
      </c>
      <c r="X398" s="18" t="s">
        <v>671</v>
      </c>
      <c r="Y398" s="6" t="s">
        <v>6</v>
      </c>
      <c r="Z398" s="6" t="s">
        <v>7</v>
      </c>
      <c r="AA398" s="6" t="s">
        <v>674</v>
      </c>
      <c r="AB398" s="6" t="s">
        <v>8</v>
      </c>
      <c r="AC398" s="6" t="s">
        <v>9</v>
      </c>
      <c r="AD398" s="6" t="s">
        <v>10</v>
      </c>
      <c r="AE398" s="6" t="s">
        <v>11</v>
      </c>
      <c r="AF398" s="6" t="s">
        <v>673</v>
      </c>
      <c r="AG398" s="6" t="s">
        <v>672</v>
      </c>
      <c r="AH398" s="6" t="s">
        <v>12</v>
      </c>
      <c r="AI398" s="8" t="s">
        <v>14</v>
      </c>
      <c r="AJ398" s="11" t="s">
        <v>13</v>
      </c>
    </row>
    <row r="399" spans="1:36" x14ac:dyDescent="0.35">
      <c r="A399" s="19" t="s">
        <v>46</v>
      </c>
      <c r="B399" s="5">
        <v>1</v>
      </c>
      <c r="C399" s="4">
        <v>287</v>
      </c>
      <c r="D399" s="4">
        <v>1</v>
      </c>
      <c r="E399" s="4">
        <v>11</v>
      </c>
      <c r="F399" s="4">
        <v>15</v>
      </c>
      <c r="G399" s="4">
        <v>30</v>
      </c>
      <c r="H399" s="4">
        <v>4</v>
      </c>
      <c r="I399" s="4">
        <v>2</v>
      </c>
      <c r="J399" s="4">
        <v>12</v>
      </c>
      <c r="K399" s="4">
        <v>6</v>
      </c>
      <c r="L399" s="4">
        <v>24</v>
      </c>
      <c r="M399" s="4">
        <v>6</v>
      </c>
      <c r="N399" s="4">
        <v>57</v>
      </c>
      <c r="O399" s="4">
        <v>2</v>
      </c>
      <c r="P399" s="4">
        <v>0</v>
      </c>
      <c r="Q399" s="4">
        <v>6</v>
      </c>
      <c r="R399" s="4">
        <v>103</v>
      </c>
      <c r="S399" s="4">
        <v>2</v>
      </c>
      <c r="T399" s="4">
        <v>15</v>
      </c>
      <c r="U399" s="4">
        <v>4</v>
      </c>
      <c r="V399" s="4">
        <v>66</v>
      </c>
      <c r="W399" s="4">
        <v>1</v>
      </c>
      <c r="X399" s="4">
        <v>10</v>
      </c>
      <c r="Y399" s="4">
        <v>0</v>
      </c>
      <c r="Z399" s="4">
        <v>0</v>
      </c>
      <c r="AA399" s="4">
        <v>0</v>
      </c>
      <c r="AB399" s="4">
        <v>0</v>
      </c>
      <c r="AC399" s="4">
        <v>1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f>Table2121418198598108[[#This Row],[QB PY]]+Table2121418198598108[[#This Row],[QB RY]]</f>
        <v>298</v>
      </c>
      <c r="AJ399" s="4">
        <f>Table2121418198598108[[#This Row],[RB1 RY]]+Table2121418198598108[[#This Row],[RB2+ RY]]+Table2121418198598108[[#This Row],[RB1 RecY]]+Table2121418198598108[[#This Row],[RB2 RecY]]</f>
        <v>81</v>
      </c>
    </row>
    <row r="400" spans="1:36" x14ac:dyDescent="0.35">
      <c r="A400" s="19" t="s">
        <v>41</v>
      </c>
      <c r="B400" s="1">
        <v>2</v>
      </c>
      <c r="C400" s="2">
        <v>242</v>
      </c>
      <c r="D400" s="2">
        <v>2</v>
      </c>
      <c r="E400" s="2">
        <v>31</v>
      </c>
      <c r="F400" s="2">
        <v>28</v>
      </c>
      <c r="G400" s="2">
        <v>24</v>
      </c>
      <c r="H400" s="2">
        <v>-2</v>
      </c>
      <c r="I400" s="2">
        <v>2</v>
      </c>
      <c r="J400" s="2">
        <v>20</v>
      </c>
      <c r="K400" s="2">
        <v>1</v>
      </c>
      <c r="L400" s="2">
        <v>1</v>
      </c>
      <c r="M400" s="2">
        <v>5</v>
      </c>
      <c r="N400" s="2">
        <v>48</v>
      </c>
      <c r="O400" s="2">
        <v>3</v>
      </c>
      <c r="P400" s="2">
        <v>71</v>
      </c>
      <c r="Q400" s="2">
        <v>5</v>
      </c>
      <c r="R400" s="2">
        <v>61</v>
      </c>
      <c r="S400" s="2">
        <v>2</v>
      </c>
      <c r="T400" s="2">
        <v>34</v>
      </c>
      <c r="U400" s="2">
        <v>1</v>
      </c>
      <c r="V400" s="2">
        <v>7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1</v>
      </c>
      <c r="AD400" s="2">
        <v>1</v>
      </c>
      <c r="AE400" s="2">
        <v>0</v>
      </c>
      <c r="AF400" s="2">
        <v>0</v>
      </c>
      <c r="AG400" s="2">
        <v>0</v>
      </c>
      <c r="AH400" s="2">
        <v>0</v>
      </c>
      <c r="AI400" s="4">
        <f>Table2121418198598108[[#This Row],[QB PY]]+Table2121418198598108[[#This Row],[QB RY]]</f>
        <v>273</v>
      </c>
      <c r="AJ400" s="4">
        <f>Table2121418198598108[[#This Row],[RB1 RY]]+Table2121418198598108[[#This Row],[RB2+ RY]]+Table2121418198598108[[#This Row],[RB1 RecY]]+Table2121418198598108[[#This Row],[RB2 RecY]]</f>
        <v>73</v>
      </c>
    </row>
    <row r="401" spans="1:36" x14ac:dyDescent="0.35">
      <c r="A401" s="19" t="s">
        <v>56</v>
      </c>
      <c r="B401" s="1">
        <v>3</v>
      </c>
      <c r="C401" s="2">
        <v>207</v>
      </c>
      <c r="D401" s="2">
        <v>1</v>
      </c>
      <c r="E401" s="2">
        <v>40</v>
      </c>
      <c r="F401" s="2">
        <v>26</v>
      </c>
      <c r="G401" s="2">
        <v>117</v>
      </c>
      <c r="H401" s="2">
        <v>18</v>
      </c>
      <c r="I401" s="2">
        <v>1</v>
      </c>
      <c r="J401" s="2">
        <v>5</v>
      </c>
      <c r="K401" s="2">
        <v>0</v>
      </c>
      <c r="L401" s="2">
        <v>0</v>
      </c>
      <c r="M401" s="2">
        <v>3</v>
      </c>
      <c r="N401" s="2">
        <v>74</v>
      </c>
      <c r="O401" s="2">
        <v>2</v>
      </c>
      <c r="P401" s="2">
        <v>11</v>
      </c>
      <c r="Q401" s="2">
        <v>3</v>
      </c>
      <c r="R401" s="2">
        <v>56</v>
      </c>
      <c r="S401" s="2">
        <v>3</v>
      </c>
      <c r="T401" s="2">
        <v>23</v>
      </c>
      <c r="U401" s="2">
        <v>3</v>
      </c>
      <c r="V401" s="2">
        <v>38</v>
      </c>
      <c r="W401" s="2">
        <v>0</v>
      </c>
      <c r="X401" s="2">
        <v>0</v>
      </c>
      <c r="Y401" s="2">
        <v>1</v>
      </c>
      <c r="Z401" s="2">
        <v>1</v>
      </c>
      <c r="AA401" s="2">
        <v>1</v>
      </c>
      <c r="AB401" s="2">
        <v>0</v>
      </c>
      <c r="AC401" s="2">
        <v>0</v>
      </c>
      <c r="AD401" s="2">
        <v>1</v>
      </c>
      <c r="AE401" s="2">
        <v>0</v>
      </c>
      <c r="AF401" s="2">
        <v>0</v>
      </c>
      <c r="AG401" s="2">
        <v>0</v>
      </c>
      <c r="AH401" s="2">
        <v>1</v>
      </c>
      <c r="AI401" s="4">
        <f>Table2121418198598108[[#This Row],[QB PY]]+Table2121418198598108[[#This Row],[QB RY]]</f>
        <v>247</v>
      </c>
      <c r="AJ401" s="4">
        <f>Table2121418198598108[[#This Row],[RB1 RY]]+Table2121418198598108[[#This Row],[RB2+ RY]]+Table2121418198598108[[#This Row],[RB1 RecY]]+Table2121418198598108[[#This Row],[RB2 RecY]]</f>
        <v>148</v>
      </c>
    </row>
    <row r="402" spans="1:36" x14ac:dyDescent="0.35">
      <c r="A402" s="19" t="s">
        <v>30</v>
      </c>
      <c r="B402" s="1">
        <v>4</v>
      </c>
      <c r="C402" s="2">
        <v>212</v>
      </c>
      <c r="D402" s="2">
        <v>1</v>
      </c>
      <c r="E402" s="2">
        <v>13</v>
      </c>
      <c r="F402" s="2">
        <v>38</v>
      </c>
      <c r="G402" s="2">
        <v>18</v>
      </c>
      <c r="H402" s="2">
        <v>0</v>
      </c>
      <c r="I402" s="2">
        <v>4</v>
      </c>
      <c r="J402" s="2">
        <v>22</v>
      </c>
      <c r="K402" s="2">
        <v>0</v>
      </c>
      <c r="L402" s="2">
        <v>0</v>
      </c>
      <c r="M402" s="2">
        <v>4</v>
      </c>
      <c r="N402" s="2">
        <v>38</v>
      </c>
      <c r="O402" s="2">
        <v>4</v>
      </c>
      <c r="P402" s="2">
        <v>69</v>
      </c>
      <c r="Q402" s="2">
        <v>5</v>
      </c>
      <c r="R402" s="2">
        <v>41</v>
      </c>
      <c r="S402" s="2">
        <v>2</v>
      </c>
      <c r="T402" s="2">
        <v>-4</v>
      </c>
      <c r="U402" s="2">
        <v>3</v>
      </c>
      <c r="V402" s="2">
        <v>46</v>
      </c>
      <c r="W402" s="2">
        <v>0</v>
      </c>
      <c r="X402" s="2">
        <v>0</v>
      </c>
      <c r="Y402" s="2">
        <v>0</v>
      </c>
      <c r="Z402" s="2">
        <v>1</v>
      </c>
      <c r="AA402" s="2">
        <v>0</v>
      </c>
      <c r="AB402" s="2">
        <v>0</v>
      </c>
      <c r="AC402" s="2">
        <v>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4">
        <f>Table2121418198598108[[#This Row],[QB PY]]+Table2121418198598108[[#This Row],[QB RY]]</f>
        <v>225</v>
      </c>
      <c r="AJ402" s="4">
        <f>Table2121418198598108[[#This Row],[RB1 RY]]+Table2121418198598108[[#This Row],[RB2+ RY]]+Table2121418198598108[[#This Row],[RB1 RecY]]+Table2121418198598108[[#This Row],[RB2 RecY]]</f>
        <v>78</v>
      </c>
    </row>
    <row r="403" spans="1:36" x14ac:dyDescent="0.35">
      <c r="A403" s="19" t="s">
        <v>38</v>
      </c>
      <c r="B403" s="1">
        <v>5</v>
      </c>
      <c r="C403" s="2">
        <v>221</v>
      </c>
      <c r="D403" s="2">
        <v>2</v>
      </c>
      <c r="E403" s="2">
        <v>2</v>
      </c>
      <c r="F403" s="2">
        <v>66</v>
      </c>
      <c r="G403" s="2">
        <v>28</v>
      </c>
      <c r="H403" s="2">
        <v>0</v>
      </c>
      <c r="I403" s="2">
        <v>3</v>
      </c>
      <c r="J403" s="2">
        <v>20</v>
      </c>
      <c r="K403" s="2">
        <v>0</v>
      </c>
      <c r="L403" s="2">
        <v>0</v>
      </c>
      <c r="M403" s="2">
        <v>5</v>
      </c>
      <c r="N403" s="2">
        <v>39</v>
      </c>
      <c r="O403" s="2">
        <v>6</v>
      </c>
      <c r="P403" s="2">
        <v>54</v>
      </c>
      <c r="Q403" s="2">
        <v>2</v>
      </c>
      <c r="R403" s="2">
        <v>55</v>
      </c>
      <c r="S403" s="2">
        <v>0</v>
      </c>
      <c r="T403" s="2">
        <v>0</v>
      </c>
      <c r="U403" s="2">
        <v>4</v>
      </c>
      <c r="V403" s="2">
        <v>44</v>
      </c>
      <c r="W403" s="2">
        <v>1</v>
      </c>
      <c r="X403" s="2">
        <v>9</v>
      </c>
      <c r="Y403" s="2">
        <v>0</v>
      </c>
      <c r="Z403" s="2">
        <v>3</v>
      </c>
      <c r="AA403" s="2">
        <v>1</v>
      </c>
      <c r="AB403" s="2">
        <v>1</v>
      </c>
      <c r="AC403" s="2">
        <v>0</v>
      </c>
      <c r="AD403" s="2">
        <v>0</v>
      </c>
      <c r="AE403" s="2">
        <v>0</v>
      </c>
      <c r="AF403" s="2">
        <v>1</v>
      </c>
      <c r="AG403" s="2">
        <v>0</v>
      </c>
      <c r="AH403" s="2">
        <v>0</v>
      </c>
      <c r="AI403" s="4">
        <f>Table2121418198598108[[#This Row],[QB PY]]+Table2121418198598108[[#This Row],[QB RY]]</f>
        <v>223</v>
      </c>
      <c r="AJ403" s="4">
        <f>Table2121418198598108[[#This Row],[RB1 RY]]+Table2121418198598108[[#This Row],[RB2+ RY]]+Table2121418198598108[[#This Row],[RB1 RecY]]+Table2121418198598108[[#This Row],[RB2 RecY]]</f>
        <v>114</v>
      </c>
    </row>
    <row r="404" spans="1:36" x14ac:dyDescent="0.35">
      <c r="A404" s="19" t="s">
        <v>55</v>
      </c>
      <c r="B404" s="1">
        <v>6</v>
      </c>
      <c r="C404" s="2">
        <v>222</v>
      </c>
      <c r="D404" s="2">
        <v>1</v>
      </c>
      <c r="E404" s="2">
        <v>0</v>
      </c>
      <c r="F404" s="2">
        <v>34</v>
      </c>
      <c r="G404" s="2">
        <v>31</v>
      </c>
      <c r="H404" s="2">
        <v>0</v>
      </c>
      <c r="I404" s="2">
        <v>2</v>
      </c>
      <c r="J404" s="2">
        <v>13</v>
      </c>
      <c r="K404" s="2">
        <v>4</v>
      </c>
      <c r="L404" s="2">
        <v>19</v>
      </c>
      <c r="M404" s="2">
        <v>1</v>
      </c>
      <c r="N404" s="2">
        <v>18</v>
      </c>
      <c r="O404" s="2">
        <v>3</v>
      </c>
      <c r="P404" s="2">
        <v>27</v>
      </c>
      <c r="Q404" s="2">
        <v>4</v>
      </c>
      <c r="R404" s="2">
        <v>75</v>
      </c>
      <c r="S404" s="2">
        <v>3</v>
      </c>
      <c r="T404" s="2">
        <v>8</v>
      </c>
      <c r="U404" s="2">
        <v>6</v>
      </c>
      <c r="V404" s="2">
        <v>46</v>
      </c>
      <c r="W404" s="2">
        <v>3</v>
      </c>
      <c r="X404" s="2">
        <v>16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1</v>
      </c>
      <c r="AH404" s="2">
        <v>0</v>
      </c>
      <c r="AI404" s="4">
        <f>Table2121418198598108[[#This Row],[QB PY]]+Table2121418198598108[[#This Row],[QB RY]]</f>
        <v>222</v>
      </c>
      <c r="AJ404" s="4">
        <f>Table2121418198598108[[#This Row],[RB1 RY]]+Table2121418198598108[[#This Row],[RB2+ RY]]+Table2121418198598108[[#This Row],[RB1 RecY]]+Table2121418198598108[[#This Row],[RB2 RecY]]</f>
        <v>97</v>
      </c>
    </row>
    <row r="405" spans="1:36" x14ac:dyDescent="0.35">
      <c r="A405" s="19" t="s">
        <v>40</v>
      </c>
      <c r="B405" s="1">
        <v>7</v>
      </c>
      <c r="C405" s="2">
        <v>286</v>
      </c>
      <c r="D405" s="2">
        <v>3</v>
      </c>
      <c r="E405" s="2">
        <v>25</v>
      </c>
      <c r="F405" s="2">
        <v>57</v>
      </c>
      <c r="G405" s="2">
        <v>57</v>
      </c>
      <c r="H405" s="2">
        <v>13</v>
      </c>
      <c r="I405" s="2">
        <v>5</v>
      </c>
      <c r="J405" s="2">
        <v>42</v>
      </c>
      <c r="K405" s="2">
        <v>1</v>
      </c>
      <c r="L405" s="2">
        <v>-3</v>
      </c>
      <c r="M405" s="2">
        <v>7</v>
      </c>
      <c r="N405" s="2">
        <v>42</v>
      </c>
      <c r="O405" s="2">
        <v>3</v>
      </c>
      <c r="P405" s="2">
        <v>35</v>
      </c>
      <c r="Q405" s="2">
        <v>2</v>
      </c>
      <c r="R405" s="2">
        <v>14</v>
      </c>
      <c r="S405" s="2">
        <v>4</v>
      </c>
      <c r="T405" s="2">
        <v>74</v>
      </c>
      <c r="U405" s="2">
        <v>3</v>
      </c>
      <c r="V405" s="2">
        <v>54</v>
      </c>
      <c r="W405" s="2">
        <v>1</v>
      </c>
      <c r="X405" s="2">
        <v>28</v>
      </c>
      <c r="Y405" s="2">
        <v>0</v>
      </c>
      <c r="Z405" s="2">
        <v>1</v>
      </c>
      <c r="AA405" s="2">
        <v>0</v>
      </c>
      <c r="AB405" s="2">
        <v>2</v>
      </c>
      <c r="AC405" s="2">
        <v>0</v>
      </c>
      <c r="AD405" s="2">
        <v>1</v>
      </c>
      <c r="AE405" s="2">
        <v>0</v>
      </c>
      <c r="AF405" s="2">
        <v>0</v>
      </c>
      <c r="AG405" s="2">
        <v>0</v>
      </c>
      <c r="AH405" s="2">
        <v>0</v>
      </c>
      <c r="AI405" s="4">
        <f>Table2121418198598108[[#This Row],[QB PY]]+Table2121418198598108[[#This Row],[QB RY]]</f>
        <v>311</v>
      </c>
      <c r="AJ405" s="4">
        <f>Table2121418198598108[[#This Row],[RB1 RY]]+Table2121418198598108[[#This Row],[RB2+ RY]]+Table2121418198598108[[#This Row],[RB1 RecY]]+Table2121418198598108[[#This Row],[RB2 RecY]]</f>
        <v>153</v>
      </c>
    </row>
    <row r="406" spans="1:36" x14ac:dyDescent="0.35">
      <c r="A406" s="19" t="s">
        <v>650</v>
      </c>
      <c r="B406" s="1">
        <v>8</v>
      </c>
      <c r="C406" s="2" t="s">
        <v>697</v>
      </c>
      <c r="D406" s="2" t="s">
        <v>697</v>
      </c>
      <c r="E406" s="2" t="s">
        <v>697</v>
      </c>
      <c r="F406" s="2" t="s">
        <v>697</v>
      </c>
      <c r="G406" s="2" t="s">
        <v>697</v>
      </c>
      <c r="H406" s="2" t="s">
        <v>697</v>
      </c>
      <c r="I406" s="2" t="s">
        <v>697</v>
      </c>
      <c r="J406" s="2" t="s">
        <v>697</v>
      </c>
      <c r="K406" s="2" t="s">
        <v>697</v>
      </c>
      <c r="L406" s="2" t="s">
        <v>697</v>
      </c>
      <c r="M406" s="2" t="s">
        <v>697</v>
      </c>
      <c r="N406" s="2" t="s">
        <v>697</v>
      </c>
      <c r="O406" s="2" t="s">
        <v>697</v>
      </c>
      <c r="P406" s="2" t="s">
        <v>697</v>
      </c>
      <c r="Q406" s="2" t="s">
        <v>697</v>
      </c>
      <c r="R406" s="2" t="s">
        <v>697</v>
      </c>
      <c r="S406" s="2" t="s">
        <v>697</v>
      </c>
      <c r="T406" s="2" t="s">
        <v>697</v>
      </c>
      <c r="U406" s="2" t="s">
        <v>697</v>
      </c>
      <c r="V406" s="2" t="s">
        <v>697</v>
      </c>
      <c r="W406" s="2" t="s">
        <v>697</v>
      </c>
      <c r="X406" s="2" t="s">
        <v>697</v>
      </c>
      <c r="Y406" s="2" t="s">
        <v>697</v>
      </c>
      <c r="Z406" s="2" t="s">
        <v>697</v>
      </c>
      <c r="AA406" s="2" t="s">
        <v>697</v>
      </c>
      <c r="AB406" s="2" t="s">
        <v>697</v>
      </c>
      <c r="AC406" s="2" t="s">
        <v>697</v>
      </c>
      <c r="AD406" s="2" t="s">
        <v>697</v>
      </c>
      <c r="AE406" s="2" t="s">
        <v>697</v>
      </c>
      <c r="AF406" s="2" t="s">
        <v>697</v>
      </c>
      <c r="AG406" s="2" t="s">
        <v>697</v>
      </c>
      <c r="AH406" s="2" t="s">
        <v>697</v>
      </c>
      <c r="AI406" s="4" t="s">
        <v>697</v>
      </c>
      <c r="AJ406" s="4" t="s">
        <v>697</v>
      </c>
    </row>
    <row r="407" spans="1:36" x14ac:dyDescent="0.35">
      <c r="A407" s="19" t="s">
        <v>39</v>
      </c>
      <c r="B407" s="1">
        <v>9</v>
      </c>
      <c r="C407" s="2">
        <v>220</v>
      </c>
      <c r="D407" s="2">
        <v>0</v>
      </c>
      <c r="E407" s="2">
        <v>24</v>
      </c>
      <c r="F407" s="2">
        <v>84</v>
      </c>
      <c r="G407" s="2">
        <v>39</v>
      </c>
      <c r="H407" s="2">
        <v>4</v>
      </c>
      <c r="I407" s="2">
        <v>5</v>
      </c>
      <c r="J407" s="2">
        <v>31</v>
      </c>
      <c r="K407" s="2">
        <v>2</v>
      </c>
      <c r="L407" s="2">
        <v>-2</v>
      </c>
      <c r="M407" s="2">
        <v>3</v>
      </c>
      <c r="N407" s="2">
        <v>55</v>
      </c>
      <c r="O407" s="2">
        <v>3</v>
      </c>
      <c r="P407" s="2">
        <v>25</v>
      </c>
      <c r="Q407" s="2">
        <v>8</v>
      </c>
      <c r="R407" s="2">
        <v>90</v>
      </c>
      <c r="S407" s="2">
        <v>1</v>
      </c>
      <c r="T407" s="2">
        <v>15</v>
      </c>
      <c r="U407" s="2">
        <v>1</v>
      </c>
      <c r="V407" s="2">
        <v>6</v>
      </c>
      <c r="W407" s="2">
        <v>0</v>
      </c>
      <c r="X407" s="2">
        <v>0</v>
      </c>
      <c r="Y407" s="2">
        <v>2</v>
      </c>
      <c r="Z407" s="2">
        <v>0</v>
      </c>
      <c r="AA407" s="2">
        <v>1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4">
        <f>Table2121418198598108[[#This Row],[QB PY]]+Table2121418198598108[[#This Row],[QB RY]]</f>
        <v>244</v>
      </c>
      <c r="AJ407" s="4">
        <f>Table2121418198598108[[#This Row],[RB1 RY]]+Table2121418198598108[[#This Row],[RB2+ RY]]+Table2121418198598108[[#This Row],[RB1 RecY]]+Table2121418198598108[[#This Row],[RB2 RecY]]</f>
        <v>152</v>
      </c>
    </row>
    <row r="408" spans="1:36" x14ac:dyDescent="0.35">
      <c r="A408" s="19" t="s">
        <v>34</v>
      </c>
      <c r="B408" s="1">
        <v>10</v>
      </c>
      <c r="C408" s="2">
        <v>150</v>
      </c>
      <c r="D408" s="2">
        <v>1</v>
      </c>
      <c r="E408" s="2">
        <v>-2</v>
      </c>
      <c r="F408" s="2">
        <v>77</v>
      </c>
      <c r="G408" s="2">
        <v>9</v>
      </c>
      <c r="H408" s="2">
        <v>0</v>
      </c>
      <c r="I408" s="2">
        <v>1</v>
      </c>
      <c r="J408" s="2">
        <v>7</v>
      </c>
      <c r="K408" s="2">
        <v>3</v>
      </c>
      <c r="L408" s="2">
        <v>22</v>
      </c>
      <c r="M408" s="2">
        <v>3</v>
      </c>
      <c r="N408" s="2">
        <v>24</v>
      </c>
      <c r="O408" s="2">
        <v>5</v>
      </c>
      <c r="P408" s="2">
        <v>40</v>
      </c>
      <c r="Q408" s="2">
        <v>1</v>
      </c>
      <c r="R408" s="2">
        <v>43</v>
      </c>
      <c r="S408" s="2">
        <v>0</v>
      </c>
      <c r="T408" s="2">
        <v>0</v>
      </c>
      <c r="U408" s="2">
        <v>2</v>
      </c>
      <c r="V408" s="2">
        <v>12</v>
      </c>
      <c r="W408" s="2">
        <v>1</v>
      </c>
      <c r="X408" s="2">
        <v>2</v>
      </c>
      <c r="Y408" s="2">
        <v>0</v>
      </c>
      <c r="Z408" s="2">
        <v>0</v>
      </c>
      <c r="AA408" s="2">
        <v>0</v>
      </c>
      <c r="AB408" s="2">
        <v>0</v>
      </c>
      <c r="AC408" s="2">
        <v>1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4">
        <f>Table2121418198598108[[#This Row],[QB PY]]+Table2121418198598108[[#This Row],[QB RY]]</f>
        <v>148</v>
      </c>
      <c r="AJ408" s="4">
        <f>Table2121418198598108[[#This Row],[RB1 RY]]+Table2121418198598108[[#This Row],[RB2+ RY]]+Table2121418198598108[[#This Row],[RB1 RecY]]+Table2121418198598108[[#This Row],[RB2 RecY]]</f>
        <v>115</v>
      </c>
    </row>
    <row r="409" spans="1:36" x14ac:dyDescent="0.35">
      <c r="A409" s="19" t="s">
        <v>33</v>
      </c>
      <c r="B409" s="1">
        <v>11</v>
      </c>
      <c r="C409" s="2">
        <v>268</v>
      </c>
      <c r="D409" s="2">
        <v>4</v>
      </c>
      <c r="E409" s="2">
        <v>-4</v>
      </c>
      <c r="F409" s="2">
        <v>93</v>
      </c>
      <c r="G409" s="2">
        <v>25</v>
      </c>
      <c r="H409" s="2">
        <v>0</v>
      </c>
      <c r="I409" s="2">
        <v>1</v>
      </c>
      <c r="J409" s="2">
        <v>0</v>
      </c>
      <c r="K409" s="2">
        <v>3</v>
      </c>
      <c r="L409" s="2">
        <v>36</v>
      </c>
      <c r="M409" s="2">
        <v>5</v>
      </c>
      <c r="N409" s="2">
        <v>66</v>
      </c>
      <c r="O409" s="2">
        <v>9</v>
      </c>
      <c r="P409" s="2">
        <v>144</v>
      </c>
      <c r="Q409" s="2">
        <v>1</v>
      </c>
      <c r="R409" s="2">
        <v>2</v>
      </c>
      <c r="S409" s="2">
        <v>1</v>
      </c>
      <c r="T409" s="2">
        <v>0</v>
      </c>
      <c r="U409" s="2">
        <v>4</v>
      </c>
      <c r="V409" s="2">
        <v>16</v>
      </c>
      <c r="W409" s="2">
        <v>1</v>
      </c>
      <c r="X409" s="2">
        <v>4</v>
      </c>
      <c r="Y409" s="2">
        <v>0</v>
      </c>
      <c r="Z409" s="2">
        <v>0</v>
      </c>
      <c r="AA409" s="2">
        <v>0</v>
      </c>
      <c r="AB409" s="2">
        <v>1</v>
      </c>
      <c r="AC409" s="2">
        <v>1</v>
      </c>
      <c r="AD409" s="2">
        <v>1</v>
      </c>
      <c r="AE409" s="2">
        <v>0</v>
      </c>
      <c r="AF409" s="2">
        <v>1</v>
      </c>
      <c r="AG409" s="2">
        <v>0</v>
      </c>
      <c r="AH409" s="2">
        <v>0</v>
      </c>
      <c r="AI409" s="4">
        <f>Table2121418198598108[[#This Row],[QB PY]]+Table2121418198598108[[#This Row],[QB RY]]</f>
        <v>264</v>
      </c>
      <c r="AJ409" s="4">
        <f>Table2121418198598108[[#This Row],[RB1 RY]]+Table2121418198598108[[#This Row],[RB2+ RY]]+Table2121418198598108[[#This Row],[RB1 RecY]]+Table2121418198598108[[#This Row],[RB2 RecY]]</f>
        <v>154</v>
      </c>
    </row>
    <row r="410" spans="1:36" x14ac:dyDescent="0.35">
      <c r="A410" s="19" t="s">
        <v>32</v>
      </c>
      <c r="B410" s="1">
        <v>12</v>
      </c>
      <c r="C410" s="2">
        <v>209</v>
      </c>
      <c r="D410" s="2">
        <v>1</v>
      </c>
      <c r="E410" s="2">
        <v>-1</v>
      </c>
      <c r="F410" s="2">
        <v>47</v>
      </c>
      <c r="G410" s="2">
        <v>20</v>
      </c>
      <c r="H410" s="2">
        <v>-2</v>
      </c>
      <c r="I410" s="2">
        <v>2</v>
      </c>
      <c r="J410" s="2">
        <v>59</v>
      </c>
      <c r="K410" s="2">
        <v>0</v>
      </c>
      <c r="L410" s="2">
        <v>0</v>
      </c>
      <c r="M410" s="2">
        <v>1</v>
      </c>
      <c r="N410" s="2">
        <v>39</v>
      </c>
      <c r="O410" s="2">
        <v>1</v>
      </c>
      <c r="P410" s="2">
        <v>5</v>
      </c>
      <c r="Q410" s="2">
        <v>2</v>
      </c>
      <c r="R410" s="2">
        <v>58</v>
      </c>
      <c r="S410" s="2">
        <v>1</v>
      </c>
      <c r="T410" s="2">
        <v>8</v>
      </c>
      <c r="U410" s="2">
        <v>4</v>
      </c>
      <c r="V410" s="2">
        <v>40</v>
      </c>
      <c r="W410" s="2">
        <v>0</v>
      </c>
      <c r="X410" s="2">
        <v>0</v>
      </c>
      <c r="Y410" s="2">
        <v>0</v>
      </c>
      <c r="Z410" s="2">
        <v>2</v>
      </c>
      <c r="AA410" s="2">
        <v>1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4">
        <f>Table2121418198598108[[#This Row],[QB PY]]+Table2121418198598108[[#This Row],[QB RY]]</f>
        <v>208</v>
      </c>
      <c r="AJ410" s="4">
        <f>Table2121418198598108[[#This Row],[RB1 RY]]+Table2121418198598108[[#This Row],[RB2+ RY]]+Table2121418198598108[[#This Row],[RB1 RecY]]+Table2121418198598108[[#This Row],[RB2 RecY]]</f>
        <v>126</v>
      </c>
    </row>
    <row r="411" spans="1:36" x14ac:dyDescent="0.35">
      <c r="A411" s="19" t="s">
        <v>41</v>
      </c>
      <c r="B411" s="1">
        <v>13</v>
      </c>
      <c r="C411" s="2">
        <v>160</v>
      </c>
      <c r="D411" s="2">
        <v>2</v>
      </c>
      <c r="E411" s="2">
        <v>12</v>
      </c>
      <c r="F411" s="2">
        <v>126</v>
      </c>
      <c r="G411" s="2">
        <v>54</v>
      </c>
      <c r="H411" s="2">
        <v>0</v>
      </c>
      <c r="I411" s="2">
        <v>1</v>
      </c>
      <c r="J411" s="2">
        <v>11</v>
      </c>
      <c r="K411" s="2">
        <v>0</v>
      </c>
      <c r="L411" s="2">
        <v>0</v>
      </c>
      <c r="M411" s="2">
        <v>4</v>
      </c>
      <c r="N411" s="2">
        <v>39</v>
      </c>
      <c r="O411" s="2">
        <v>3</v>
      </c>
      <c r="P411" s="2">
        <v>23</v>
      </c>
      <c r="Q411" s="2">
        <v>4</v>
      </c>
      <c r="R411" s="2">
        <v>30</v>
      </c>
      <c r="S411" s="2">
        <v>3</v>
      </c>
      <c r="T411" s="2">
        <v>30</v>
      </c>
      <c r="U411" s="2">
        <v>1</v>
      </c>
      <c r="V411" s="2">
        <v>27</v>
      </c>
      <c r="W411" s="2">
        <v>0</v>
      </c>
      <c r="X411" s="2">
        <v>0</v>
      </c>
      <c r="Y411" s="2">
        <v>0</v>
      </c>
      <c r="Z411" s="2">
        <v>1</v>
      </c>
      <c r="AA411" s="2">
        <v>1</v>
      </c>
      <c r="AB411" s="2">
        <v>1</v>
      </c>
      <c r="AC411" s="2">
        <v>1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4">
        <f>Table2121418198598108[[#This Row],[QB PY]]+Table2121418198598108[[#This Row],[QB RY]]</f>
        <v>172</v>
      </c>
      <c r="AJ411" s="4">
        <f>Table2121418198598108[[#This Row],[RB1 RY]]+Table2121418198598108[[#This Row],[RB2+ RY]]+Table2121418198598108[[#This Row],[RB1 RecY]]+Table2121418198598108[[#This Row],[RB2 RecY]]</f>
        <v>191</v>
      </c>
    </row>
    <row r="412" spans="1:36" x14ac:dyDescent="0.35">
      <c r="A412" s="19" t="s">
        <v>34</v>
      </c>
      <c r="B412" s="1">
        <v>14</v>
      </c>
      <c r="C412" s="2">
        <v>212</v>
      </c>
      <c r="D412" s="2">
        <v>0</v>
      </c>
      <c r="E412" s="2">
        <v>15</v>
      </c>
      <c r="F412" s="2">
        <v>75</v>
      </c>
      <c r="G412" s="2">
        <v>60</v>
      </c>
      <c r="H412" s="2">
        <v>2</v>
      </c>
      <c r="I412" s="2">
        <v>6</v>
      </c>
      <c r="J412" s="2">
        <v>25</v>
      </c>
      <c r="K412" s="2">
        <v>4</v>
      </c>
      <c r="L412" s="2">
        <v>25</v>
      </c>
      <c r="M412" s="2">
        <v>6</v>
      </c>
      <c r="N412" s="2">
        <v>62</v>
      </c>
      <c r="O412" s="2">
        <v>3</v>
      </c>
      <c r="P412" s="2">
        <v>11</v>
      </c>
      <c r="Q412" s="2">
        <v>4</v>
      </c>
      <c r="R412" s="2">
        <v>32</v>
      </c>
      <c r="S412" s="2">
        <v>4</v>
      </c>
      <c r="T412" s="2">
        <v>32</v>
      </c>
      <c r="U412" s="2">
        <v>2</v>
      </c>
      <c r="V412" s="2">
        <v>8</v>
      </c>
      <c r="W412" s="2">
        <v>2</v>
      </c>
      <c r="X412" s="2">
        <v>17</v>
      </c>
      <c r="Y412" s="2">
        <v>1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1</v>
      </c>
      <c r="AI412" s="4">
        <f>Table2121418198598108[[#This Row],[QB PY]]+Table2121418198598108[[#This Row],[QB RY]]</f>
        <v>227</v>
      </c>
      <c r="AJ412" s="4">
        <f>Table2121418198598108[[#This Row],[RB1 RY]]+Table2121418198598108[[#This Row],[RB2+ RY]]+Table2121418198598108[[#This Row],[RB1 RecY]]+Table2121418198598108[[#This Row],[RB2 RecY]]</f>
        <v>185</v>
      </c>
    </row>
    <row r="413" spans="1:36" x14ac:dyDescent="0.35">
      <c r="A413" s="19" t="s">
        <v>50</v>
      </c>
      <c r="B413" s="1">
        <v>15</v>
      </c>
      <c r="C413" s="2">
        <v>208</v>
      </c>
      <c r="D413" s="2">
        <v>3</v>
      </c>
      <c r="E413" s="2">
        <v>48</v>
      </c>
      <c r="F413" s="2">
        <v>78</v>
      </c>
      <c r="G413" s="2">
        <v>57</v>
      </c>
      <c r="H413" s="2">
        <v>0</v>
      </c>
      <c r="I413" s="2">
        <v>2</v>
      </c>
      <c r="J413" s="2">
        <v>14</v>
      </c>
      <c r="K413" s="2">
        <v>0</v>
      </c>
      <c r="L413" s="2">
        <v>0</v>
      </c>
      <c r="M413" s="2">
        <v>2</v>
      </c>
      <c r="N413" s="2">
        <v>41</v>
      </c>
      <c r="O413" s="2">
        <v>2</v>
      </c>
      <c r="P413" s="2">
        <v>50</v>
      </c>
      <c r="Q413" s="2">
        <v>0</v>
      </c>
      <c r="R413" s="2">
        <v>0</v>
      </c>
      <c r="S413" s="2">
        <v>2</v>
      </c>
      <c r="T413" s="2">
        <v>29</v>
      </c>
      <c r="U413" s="2">
        <v>6</v>
      </c>
      <c r="V413" s="2">
        <v>70</v>
      </c>
      <c r="W413" s="2">
        <v>1</v>
      </c>
      <c r="X413" s="2">
        <v>4</v>
      </c>
      <c r="Y413" s="2">
        <v>0</v>
      </c>
      <c r="Z413" s="2">
        <v>1</v>
      </c>
      <c r="AA413" s="2">
        <v>0</v>
      </c>
      <c r="AB413" s="2">
        <v>1</v>
      </c>
      <c r="AC413" s="2">
        <v>0</v>
      </c>
      <c r="AD413" s="2">
        <v>0</v>
      </c>
      <c r="AE413" s="2">
        <v>0</v>
      </c>
      <c r="AF413" s="2">
        <v>2</v>
      </c>
      <c r="AG413" s="2">
        <v>0</v>
      </c>
      <c r="AH413" s="2">
        <v>0</v>
      </c>
      <c r="AI413" s="4">
        <f>Table2121418198598108[[#This Row],[QB PY]]+Table2121418198598108[[#This Row],[QB RY]]</f>
        <v>256</v>
      </c>
      <c r="AJ413" s="4">
        <f>Table2121418198598108[[#This Row],[RB1 RY]]+Table2121418198598108[[#This Row],[RB2+ RY]]+Table2121418198598108[[#This Row],[RB1 RecY]]+Table2121418198598108[[#This Row],[RB2 RecY]]</f>
        <v>149</v>
      </c>
    </row>
    <row r="414" spans="1:36" x14ac:dyDescent="0.35">
      <c r="A414" s="19" t="s">
        <v>37</v>
      </c>
      <c r="B414" s="1">
        <v>16</v>
      </c>
      <c r="C414" s="2">
        <v>187</v>
      </c>
      <c r="D414" s="2">
        <v>1</v>
      </c>
      <c r="E414" s="2">
        <v>0</v>
      </c>
      <c r="F414" s="2">
        <v>53</v>
      </c>
      <c r="G414" s="2">
        <v>30</v>
      </c>
      <c r="H414" s="2">
        <v>0</v>
      </c>
      <c r="I414" s="2">
        <v>5</v>
      </c>
      <c r="J414" s="2">
        <v>17</v>
      </c>
      <c r="K414" s="2">
        <v>2</v>
      </c>
      <c r="L414" s="2">
        <v>11</v>
      </c>
      <c r="M414" s="2">
        <v>4</v>
      </c>
      <c r="N414" s="2">
        <v>59</v>
      </c>
      <c r="O414" s="2">
        <v>1</v>
      </c>
      <c r="P414" s="2">
        <v>17</v>
      </c>
      <c r="Q414" s="2">
        <v>3</v>
      </c>
      <c r="R414" s="2">
        <v>37</v>
      </c>
      <c r="S414" s="2">
        <v>1</v>
      </c>
      <c r="T414" s="2">
        <v>4</v>
      </c>
      <c r="U414" s="2">
        <v>5</v>
      </c>
      <c r="V414" s="2">
        <v>35</v>
      </c>
      <c r="W414" s="2">
        <v>2</v>
      </c>
      <c r="X414" s="2">
        <v>7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</v>
      </c>
      <c r="AG414" s="2">
        <v>0</v>
      </c>
      <c r="AH414" s="2">
        <v>1</v>
      </c>
      <c r="AI414" s="4">
        <f>Table2121418198598108[[#This Row],[QB PY]]+Table2121418198598108[[#This Row],[QB RY]]</f>
        <v>187</v>
      </c>
      <c r="AJ414" s="4">
        <f>Table2121418198598108[[#This Row],[RB1 RY]]+Table2121418198598108[[#This Row],[RB2+ RY]]+Table2121418198598108[[#This Row],[RB1 RecY]]+Table2121418198598108[[#This Row],[RB2 RecY]]</f>
        <v>111</v>
      </c>
    </row>
    <row r="415" spans="1:36" x14ac:dyDescent="0.35">
      <c r="A415" s="19" t="s">
        <v>48</v>
      </c>
      <c r="B415" s="1">
        <v>17</v>
      </c>
      <c r="C415" s="2">
        <v>207</v>
      </c>
      <c r="D415" s="2">
        <v>0</v>
      </c>
      <c r="E415" s="2">
        <v>48</v>
      </c>
      <c r="F415" s="2">
        <v>62</v>
      </c>
      <c r="G415" s="2">
        <v>45</v>
      </c>
      <c r="H415" s="2">
        <v>0</v>
      </c>
      <c r="I415" s="2">
        <v>1</v>
      </c>
      <c r="J415" s="2">
        <v>-5</v>
      </c>
      <c r="K415" s="2">
        <v>4</v>
      </c>
      <c r="L415" s="2">
        <v>25</v>
      </c>
      <c r="M415" s="2">
        <v>11</v>
      </c>
      <c r="N415" s="2">
        <v>113</v>
      </c>
      <c r="O415" s="2">
        <v>2</v>
      </c>
      <c r="P415" s="2">
        <v>36</v>
      </c>
      <c r="Q415" s="2">
        <v>1</v>
      </c>
      <c r="R415" s="2">
        <v>8</v>
      </c>
      <c r="S415" s="2">
        <v>1</v>
      </c>
      <c r="T415" s="2">
        <v>19</v>
      </c>
      <c r="U415" s="2">
        <v>2</v>
      </c>
      <c r="V415" s="2">
        <v>11</v>
      </c>
      <c r="W415" s="2">
        <v>0</v>
      </c>
      <c r="X415" s="2">
        <v>0</v>
      </c>
      <c r="Y415" s="2">
        <v>2</v>
      </c>
      <c r="Z415" s="2">
        <v>0</v>
      </c>
      <c r="AA415" s="2">
        <v>1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2</v>
      </c>
      <c r="AI415" s="4">
        <f>Table2121418198598108[[#This Row],[QB PY]]+Table2121418198598108[[#This Row],[QB RY]]</f>
        <v>255</v>
      </c>
      <c r="AJ415" s="4">
        <f>Table2121418198598108[[#This Row],[RB1 RY]]+Table2121418198598108[[#This Row],[RB2+ RY]]+Table2121418198598108[[#This Row],[RB1 RecY]]+Table2121418198598108[[#This Row],[RB2 RecY]]</f>
        <v>127</v>
      </c>
    </row>
    <row r="416" spans="1:36" x14ac:dyDescent="0.35">
      <c r="A416" s="19" t="s">
        <v>40</v>
      </c>
      <c r="B416" s="1">
        <v>18</v>
      </c>
      <c r="C416" s="2">
        <v>146</v>
      </c>
      <c r="D416" s="2">
        <v>0</v>
      </c>
      <c r="E416" s="2">
        <v>4</v>
      </c>
      <c r="F416" s="2">
        <v>56</v>
      </c>
      <c r="G416" s="2">
        <v>24</v>
      </c>
      <c r="H416" s="2">
        <v>0</v>
      </c>
      <c r="I416" s="2">
        <v>2</v>
      </c>
      <c r="J416" s="2">
        <v>2</v>
      </c>
      <c r="K416" s="2">
        <v>3</v>
      </c>
      <c r="L416" s="2">
        <v>21</v>
      </c>
      <c r="M416" s="2">
        <v>3</v>
      </c>
      <c r="N416" s="2">
        <v>64</v>
      </c>
      <c r="O416" s="2">
        <v>2</v>
      </c>
      <c r="P416" s="2">
        <v>13</v>
      </c>
      <c r="Q416" s="2">
        <v>2</v>
      </c>
      <c r="R416" s="2">
        <v>4</v>
      </c>
      <c r="S416" s="2">
        <v>0</v>
      </c>
      <c r="T416" s="2">
        <v>0</v>
      </c>
      <c r="U416" s="2">
        <v>3</v>
      </c>
      <c r="V416" s="2">
        <v>12</v>
      </c>
      <c r="W416" s="2">
        <v>3</v>
      </c>
      <c r="X416" s="2">
        <v>30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4">
        <f>Table2121418198598108[[#This Row],[QB PY]]+Table2121418198598108[[#This Row],[QB RY]]</f>
        <v>150</v>
      </c>
      <c r="AJ416" s="4">
        <f>Table2121418198598108[[#This Row],[RB1 RY]]+Table2121418198598108[[#This Row],[RB2+ RY]]+Table2121418198598108[[#This Row],[RB1 RecY]]+Table2121418198598108[[#This Row],[RB2 RecY]]</f>
        <v>103</v>
      </c>
    </row>
    <row r="417" spans="1:36" x14ac:dyDescent="0.35">
      <c r="B417" s="1" t="s">
        <v>57</v>
      </c>
      <c r="C417" s="3">
        <f>AVERAGE(Table2121418198598108[QB PY])</f>
        <v>214.35294117647058</v>
      </c>
      <c r="D417" s="3">
        <f>AVERAGE(Table2121418198598108[P TD])</f>
        <v>1.3529411764705883</v>
      </c>
      <c r="E417" s="3">
        <f>AVERAGE(Table2121418198598108[QB RY])</f>
        <v>15.647058823529411</v>
      </c>
      <c r="F417" s="3">
        <f>AVERAGE(Table2121418198598108[RB1 RY])</f>
        <v>59.705882352941174</v>
      </c>
      <c r="G417" s="3">
        <f>AVERAGE(Table2121418198598108[RB2+ RY])</f>
        <v>39.294117647058826</v>
      </c>
      <c r="H417" s="3">
        <f>AVERAGE(Table2121418198598108[WR RY])</f>
        <v>2.1764705882352939</v>
      </c>
      <c r="I417" s="3">
        <f>AVERAGE(Table2121418198598108[RB1 Recep])</f>
        <v>2.6470588235294117</v>
      </c>
      <c r="J417" s="3">
        <f>AVERAGE(Table2121418198598108[RB1 RecY])</f>
        <v>17.352941176470587</v>
      </c>
      <c r="K417" s="3">
        <f>AVERAGE(Table2121418198598108[RB2 Recep])</f>
        <v>1.9411764705882353</v>
      </c>
      <c r="L417" s="3">
        <f>AVERAGE(Table2121418198598108[RB2 RecY])</f>
        <v>10.529411764705882</v>
      </c>
      <c r="M417" s="3">
        <f>AVERAGE(Table2121418198598108[WR1 Recep])</f>
        <v>4.2941176470588234</v>
      </c>
      <c r="N417" s="3">
        <f>AVERAGE(Table2121418198598108[WR1 RecY])</f>
        <v>51.647058823529413</v>
      </c>
      <c r="O417" s="3">
        <f>AVERAGE(Table2121418198598108[WR2 Recep])</f>
        <v>3.1764705882352939</v>
      </c>
      <c r="P417" s="3">
        <f>AVERAGE(Table2121418198598108[WR2 RecY])</f>
        <v>37.117647058823529</v>
      </c>
      <c r="Q417" s="3">
        <f>AVERAGE(Table2121418198598108[WR3 Recep])</f>
        <v>3.1176470588235294</v>
      </c>
      <c r="R417" s="3">
        <f>AVERAGE(Table2121418198598108[WR3 RecY])</f>
        <v>41.705882352941174</v>
      </c>
      <c r="S417" s="3">
        <f>AVERAGE(Table2121418198598108[WR4+ Recep])</f>
        <v>1.7647058823529411</v>
      </c>
      <c r="T417" s="3">
        <f>AVERAGE(Table2121418198598108[WR4+ RecY])</f>
        <v>16.882352941176471</v>
      </c>
      <c r="U417" s="3">
        <f>AVERAGE(Table2121418198598108[TE1 Recep])</f>
        <v>3.1764705882352939</v>
      </c>
      <c r="V417" s="3">
        <f>AVERAGE(Table2121418198598108[TE1 RecY])</f>
        <v>31.647058823529413</v>
      </c>
      <c r="W417" s="3">
        <f>AVERAGE(Table2121418198598108[TE2 Recep])</f>
        <v>0.94117647058823528</v>
      </c>
      <c r="X417" s="3">
        <f>AVERAGE(Table2121418198598108[TE2 RecY])</f>
        <v>7.4705882352941178</v>
      </c>
      <c r="Y417" s="3">
        <f>AVERAGE(Table2121418198598108[QB TD])</f>
        <v>0.35294117647058826</v>
      </c>
      <c r="Z417" s="3">
        <f>AVERAGE(Table2121418198598108[RB1 TD])</f>
        <v>0.6470588235294118</v>
      </c>
      <c r="AA417" s="3">
        <f>AVERAGE(Table2121418198598108[RB2 TD])</f>
        <v>0.35294117647058826</v>
      </c>
      <c r="AB417" s="3">
        <f>AVERAGE(Table2121418198598108[WR1 TD])</f>
        <v>0.35294117647058826</v>
      </c>
      <c r="AC417" s="3">
        <f>AVERAGE(Table2121418198598108[WR2 TD])</f>
        <v>0.35294117647058826</v>
      </c>
      <c r="AD417" s="3">
        <f>AVERAGE(Table2121418198598108[WR3 TD])</f>
        <v>0.23529411764705882</v>
      </c>
      <c r="AE417" s="3">
        <f>AVERAGE(Table2121418198598108[WR4+ TD])</f>
        <v>0</v>
      </c>
      <c r="AF417" s="3">
        <f>AVERAGE(Table2121418198598108[TE1 TD])</f>
        <v>0.29411764705882354</v>
      </c>
      <c r="AG417" s="3">
        <f>AVERAGE(Table2121418198598108[TE2 TD])</f>
        <v>5.8823529411764705E-2</v>
      </c>
      <c r="AH417" s="3">
        <f>AVERAGE(Table2121418198598108[D/ST TD])</f>
        <v>0.29411764705882354</v>
      </c>
      <c r="AI417" s="3">
        <f>AVERAGE(Table2121418198598108[QB P+R])</f>
        <v>230</v>
      </c>
      <c r="AJ417" s="3">
        <f>AVERAGE(Table2121418198598108[RB R+R])</f>
        <v>126.88235294117646</v>
      </c>
    </row>
    <row r="419" spans="1:36" x14ac:dyDescent="0.35">
      <c r="A419" s="230" t="s">
        <v>44</v>
      </c>
      <c r="B419" s="230"/>
      <c r="C419" s="230"/>
      <c r="D419" s="230"/>
      <c r="E419" s="230"/>
      <c r="F419" s="230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  <c r="AF419" s="230"/>
      <c r="AG419" s="230"/>
      <c r="AH419" s="230"/>
      <c r="AI419" s="230"/>
      <c r="AJ419" s="230"/>
    </row>
    <row r="420" spans="1:36" x14ac:dyDescent="0.35">
      <c r="A420" s="20" t="s">
        <v>63</v>
      </c>
      <c r="B420" s="6" t="s">
        <v>1</v>
      </c>
      <c r="C420" s="7" t="s">
        <v>18</v>
      </c>
      <c r="D420" s="8" t="s">
        <v>19</v>
      </c>
      <c r="E420" s="9" t="s">
        <v>20</v>
      </c>
      <c r="F420" s="10" t="s">
        <v>21</v>
      </c>
      <c r="G420" s="11" t="s">
        <v>22</v>
      </c>
      <c r="H420" s="12" t="s">
        <v>23</v>
      </c>
      <c r="I420" s="13" t="s">
        <v>667</v>
      </c>
      <c r="J420" s="13" t="s">
        <v>668</v>
      </c>
      <c r="K420" s="13" t="s">
        <v>665</v>
      </c>
      <c r="L420" s="13" t="s">
        <v>666</v>
      </c>
      <c r="M420" s="14" t="s">
        <v>2</v>
      </c>
      <c r="N420" s="14" t="s">
        <v>24</v>
      </c>
      <c r="O420" s="15" t="s">
        <v>3</v>
      </c>
      <c r="P420" s="15" t="s">
        <v>25</v>
      </c>
      <c r="Q420" s="16" t="s">
        <v>4</v>
      </c>
      <c r="R420" s="16" t="s">
        <v>26</v>
      </c>
      <c r="S420" s="17" t="s">
        <v>5</v>
      </c>
      <c r="T420" s="17" t="s">
        <v>27</v>
      </c>
      <c r="U420" s="18" t="s">
        <v>669</v>
      </c>
      <c r="V420" s="18" t="s">
        <v>670</v>
      </c>
      <c r="W420" s="18" t="s">
        <v>675</v>
      </c>
      <c r="X420" s="18" t="s">
        <v>671</v>
      </c>
      <c r="Y420" s="6" t="s">
        <v>6</v>
      </c>
      <c r="Z420" s="6" t="s">
        <v>7</v>
      </c>
      <c r="AA420" s="6" t="s">
        <v>674</v>
      </c>
      <c r="AB420" s="6" t="s">
        <v>8</v>
      </c>
      <c r="AC420" s="6" t="s">
        <v>9</v>
      </c>
      <c r="AD420" s="6" t="s">
        <v>10</v>
      </c>
      <c r="AE420" s="6" t="s">
        <v>11</v>
      </c>
      <c r="AF420" s="6" t="s">
        <v>673</v>
      </c>
      <c r="AG420" s="6" t="s">
        <v>672</v>
      </c>
      <c r="AH420" s="6" t="s">
        <v>12</v>
      </c>
      <c r="AI420" s="8" t="s">
        <v>14</v>
      </c>
      <c r="AJ420" s="11" t="s">
        <v>13</v>
      </c>
    </row>
    <row r="421" spans="1:36" x14ac:dyDescent="0.35">
      <c r="A421" s="19" t="s">
        <v>38</v>
      </c>
      <c r="B421" s="5">
        <v>1</v>
      </c>
      <c r="C421" s="4">
        <v>272</v>
      </c>
      <c r="D421" s="4">
        <v>1</v>
      </c>
      <c r="E421" s="4">
        <v>26</v>
      </c>
      <c r="F421" s="4">
        <v>71</v>
      </c>
      <c r="G421" s="4">
        <v>41</v>
      </c>
      <c r="H421" s="4">
        <v>18</v>
      </c>
      <c r="I421" s="4">
        <v>3</v>
      </c>
      <c r="J421" s="4">
        <v>27</v>
      </c>
      <c r="K421" s="4">
        <v>0</v>
      </c>
      <c r="L421" s="4">
        <v>0</v>
      </c>
      <c r="M421" s="4">
        <v>6</v>
      </c>
      <c r="N421" s="4">
        <v>80</v>
      </c>
      <c r="O421" s="4">
        <v>2</v>
      </c>
      <c r="P421" s="4">
        <v>12</v>
      </c>
      <c r="Q421" s="4">
        <v>1</v>
      </c>
      <c r="R421" s="4">
        <v>36</v>
      </c>
      <c r="S421" s="4">
        <v>2</v>
      </c>
      <c r="T421" s="4">
        <v>21</v>
      </c>
      <c r="U421" s="4">
        <v>7</v>
      </c>
      <c r="V421" s="4">
        <v>76</v>
      </c>
      <c r="W421" s="4">
        <v>1</v>
      </c>
      <c r="X421" s="4">
        <v>20</v>
      </c>
      <c r="Y421" s="4">
        <v>2</v>
      </c>
      <c r="Z421" s="4">
        <v>0</v>
      </c>
      <c r="AA421" s="4">
        <v>0</v>
      </c>
      <c r="AB421" s="4">
        <v>1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f>Table2121418198598109[[#This Row],[QB PY]]+Table2121418198598109[[#This Row],[QB RY]]</f>
        <v>298</v>
      </c>
      <c r="AJ421" s="4">
        <f>Table2121418198598109[[#This Row],[RB1 RY]]+Table2121418198598109[[#This Row],[RB2+ RY]]+Table2121418198598109[[#This Row],[RB1 RecY]]+Table2121418198598109[[#This Row],[RB2 RecY]]</f>
        <v>139</v>
      </c>
    </row>
    <row r="422" spans="1:36" x14ac:dyDescent="0.35">
      <c r="A422" s="19" t="s">
        <v>46</v>
      </c>
      <c r="B422" s="1">
        <v>2</v>
      </c>
      <c r="C422" s="2">
        <v>230</v>
      </c>
      <c r="D422" s="2">
        <v>2</v>
      </c>
      <c r="E422" s="2">
        <v>31</v>
      </c>
      <c r="F422" s="2">
        <v>54</v>
      </c>
      <c r="G422" s="2">
        <v>37</v>
      </c>
      <c r="H422" s="2">
        <v>0</v>
      </c>
      <c r="I422" s="2">
        <v>5</v>
      </c>
      <c r="J422" s="2">
        <v>88</v>
      </c>
      <c r="K422" s="2">
        <v>3</v>
      </c>
      <c r="L422" s="2">
        <v>31</v>
      </c>
      <c r="M422" s="2">
        <v>4</v>
      </c>
      <c r="N422" s="2">
        <v>32</v>
      </c>
      <c r="O422" s="2">
        <v>1</v>
      </c>
      <c r="P422" s="2">
        <v>16</v>
      </c>
      <c r="Q422" s="2">
        <v>1</v>
      </c>
      <c r="R422" s="2">
        <v>8</v>
      </c>
      <c r="S422" s="2">
        <v>1</v>
      </c>
      <c r="T422" s="2">
        <v>8</v>
      </c>
      <c r="U422" s="2">
        <v>1</v>
      </c>
      <c r="V422" s="2">
        <v>9</v>
      </c>
      <c r="W422" s="2">
        <v>3</v>
      </c>
      <c r="X422" s="2">
        <v>38</v>
      </c>
      <c r="Y422" s="2">
        <v>1</v>
      </c>
      <c r="Z422" s="2">
        <v>0</v>
      </c>
      <c r="AA422" s="2">
        <v>0</v>
      </c>
      <c r="AB422" s="2">
        <v>0</v>
      </c>
      <c r="AC422" s="2">
        <v>1</v>
      </c>
      <c r="AD422" s="2">
        <v>1</v>
      </c>
      <c r="AE422" s="2">
        <v>0</v>
      </c>
      <c r="AF422" s="2">
        <v>0</v>
      </c>
      <c r="AG422" s="2">
        <v>0</v>
      </c>
      <c r="AH422" s="2">
        <v>1</v>
      </c>
      <c r="AI422" s="4">
        <f>Table2121418198598109[[#This Row],[QB PY]]+Table2121418198598109[[#This Row],[QB RY]]</f>
        <v>261</v>
      </c>
      <c r="AJ422" s="4">
        <f>Table2121418198598109[[#This Row],[RB1 RY]]+Table2121418198598109[[#This Row],[RB2+ RY]]+Table2121418198598109[[#This Row],[RB1 RecY]]+Table2121418198598109[[#This Row],[RB2 RecY]]</f>
        <v>210</v>
      </c>
    </row>
    <row r="423" spans="1:36" x14ac:dyDescent="0.35">
      <c r="A423" s="19" t="s">
        <v>17</v>
      </c>
      <c r="B423" s="1">
        <v>3</v>
      </c>
      <c r="C423" s="2">
        <v>213</v>
      </c>
      <c r="D423" s="2">
        <v>3</v>
      </c>
      <c r="E423" s="2">
        <v>25</v>
      </c>
      <c r="F423" s="2">
        <v>108</v>
      </c>
      <c r="G423" s="2">
        <v>13</v>
      </c>
      <c r="H423" s="2">
        <v>11</v>
      </c>
      <c r="I423" s="2">
        <v>3</v>
      </c>
      <c r="J423" s="2">
        <v>10</v>
      </c>
      <c r="K423" s="2">
        <v>1</v>
      </c>
      <c r="L423" s="2">
        <v>8</v>
      </c>
      <c r="M423" s="2">
        <v>3</v>
      </c>
      <c r="N423" s="2">
        <v>20</v>
      </c>
      <c r="O423" s="2">
        <v>4</v>
      </c>
      <c r="P423" s="2">
        <v>45</v>
      </c>
      <c r="Q423" s="2">
        <v>1</v>
      </c>
      <c r="R423" s="2">
        <v>5</v>
      </c>
      <c r="S423" s="2">
        <v>4</v>
      </c>
      <c r="T423" s="2">
        <v>54</v>
      </c>
      <c r="U423" s="2">
        <v>5</v>
      </c>
      <c r="V423" s="2">
        <v>66</v>
      </c>
      <c r="W423" s="2">
        <v>1</v>
      </c>
      <c r="X423" s="2">
        <v>5</v>
      </c>
      <c r="Y423" s="2">
        <v>0</v>
      </c>
      <c r="Z423" s="2">
        <v>1</v>
      </c>
      <c r="AA423" s="2">
        <v>0</v>
      </c>
      <c r="AB423" s="2">
        <v>0</v>
      </c>
      <c r="AC423" s="2">
        <v>1</v>
      </c>
      <c r="AD423" s="2">
        <v>0</v>
      </c>
      <c r="AE423" s="2">
        <v>0</v>
      </c>
      <c r="AF423" s="2">
        <v>1</v>
      </c>
      <c r="AG423" s="2">
        <v>1</v>
      </c>
      <c r="AH423" s="2">
        <v>0</v>
      </c>
      <c r="AI423" s="4">
        <f>Table2121418198598109[[#This Row],[QB PY]]+Table2121418198598109[[#This Row],[QB RY]]</f>
        <v>238</v>
      </c>
      <c r="AJ423" s="4">
        <f>Table2121418198598109[[#This Row],[RB1 RY]]+Table2121418198598109[[#This Row],[RB2+ RY]]+Table2121418198598109[[#This Row],[RB1 RecY]]+Table2121418198598109[[#This Row],[RB2 RecY]]</f>
        <v>139</v>
      </c>
    </row>
    <row r="424" spans="1:36" x14ac:dyDescent="0.35">
      <c r="A424" s="19" t="s">
        <v>49</v>
      </c>
      <c r="B424" s="1">
        <v>4</v>
      </c>
      <c r="C424" s="2">
        <v>226</v>
      </c>
      <c r="D424" s="2">
        <v>1</v>
      </c>
      <c r="E424" s="2">
        <v>81</v>
      </c>
      <c r="F424" s="2">
        <v>81</v>
      </c>
      <c r="G424" s="2">
        <v>35</v>
      </c>
      <c r="H424" s="2">
        <v>0</v>
      </c>
      <c r="I424" s="2">
        <v>5</v>
      </c>
      <c r="J424" s="2">
        <v>30</v>
      </c>
      <c r="K424" s="2">
        <v>2</v>
      </c>
      <c r="L424" s="2">
        <v>18</v>
      </c>
      <c r="M424" s="2">
        <v>6</v>
      </c>
      <c r="N424" s="2">
        <v>82</v>
      </c>
      <c r="O424" s="2">
        <v>0</v>
      </c>
      <c r="P424" s="2">
        <v>0</v>
      </c>
      <c r="Q424" s="2">
        <v>1</v>
      </c>
      <c r="R424" s="2">
        <v>8</v>
      </c>
      <c r="S424" s="2">
        <v>0</v>
      </c>
      <c r="T424" s="2">
        <v>0</v>
      </c>
      <c r="U424" s="2">
        <v>5</v>
      </c>
      <c r="V424" s="2">
        <v>65</v>
      </c>
      <c r="W424" s="2">
        <v>1</v>
      </c>
      <c r="X424" s="2">
        <v>23</v>
      </c>
      <c r="Y424" s="2">
        <v>1</v>
      </c>
      <c r="Z424" s="2">
        <v>0</v>
      </c>
      <c r="AA424" s="2">
        <v>0</v>
      </c>
      <c r="AB424" s="2">
        <v>1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4">
        <f>Table2121418198598109[[#This Row],[QB PY]]+Table2121418198598109[[#This Row],[QB RY]]</f>
        <v>307</v>
      </c>
      <c r="AJ424" s="4">
        <f>Table2121418198598109[[#This Row],[RB1 RY]]+Table2121418198598109[[#This Row],[RB2+ RY]]+Table2121418198598109[[#This Row],[RB1 RecY]]+Table2121418198598109[[#This Row],[RB2 RecY]]</f>
        <v>164</v>
      </c>
    </row>
    <row r="425" spans="1:36" x14ac:dyDescent="0.35">
      <c r="A425" s="19" t="s">
        <v>29</v>
      </c>
      <c r="B425" s="1">
        <v>5</v>
      </c>
      <c r="C425" s="2">
        <v>198</v>
      </c>
      <c r="D425" s="2">
        <v>2</v>
      </c>
      <c r="E425" s="2">
        <v>1</v>
      </c>
      <c r="F425" s="2">
        <v>206</v>
      </c>
      <c r="G425" s="2">
        <v>22</v>
      </c>
      <c r="H425" s="2">
        <v>10</v>
      </c>
      <c r="I425" s="2">
        <v>3</v>
      </c>
      <c r="J425" s="2">
        <v>28</v>
      </c>
      <c r="K425" s="2">
        <v>1</v>
      </c>
      <c r="L425" s="2">
        <v>7</v>
      </c>
      <c r="M425" s="2">
        <v>6</v>
      </c>
      <c r="N425" s="2">
        <v>73</v>
      </c>
      <c r="O425" s="2">
        <v>2</v>
      </c>
      <c r="P425" s="2">
        <v>31</v>
      </c>
      <c r="Q425" s="2">
        <v>1</v>
      </c>
      <c r="R425" s="2">
        <v>7</v>
      </c>
      <c r="S425" s="2">
        <v>3</v>
      </c>
      <c r="T425" s="2">
        <v>30</v>
      </c>
      <c r="U425" s="2">
        <v>1</v>
      </c>
      <c r="V425" s="2">
        <v>7</v>
      </c>
      <c r="W425" s="2">
        <v>2</v>
      </c>
      <c r="X425" s="2">
        <v>15</v>
      </c>
      <c r="Y425" s="2">
        <v>0</v>
      </c>
      <c r="Z425" s="2">
        <v>1</v>
      </c>
      <c r="AA425" s="2">
        <v>0</v>
      </c>
      <c r="AB425" s="2">
        <v>0</v>
      </c>
      <c r="AC425" s="2">
        <v>1</v>
      </c>
      <c r="AD425" s="2">
        <v>0</v>
      </c>
      <c r="AE425" s="2">
        <v>0</v>
      </c>
      <c r="AF425" s="2">
        <v>0</v>
      </c>
      <c r="AG425" s="2">
        <v>1</v>
      </c>
      <c r="AH425" s="2">
        <v>0</v>
      </c>
      <c r="AI425" s="4">
        <f>Table2121418198598109[[#This Row],[QB PY]]+Table2121418198598109[[#This Row],[QB RY]]</f>
        <v>199</v>
      </c>
      <c r="AJ425" s="4">
        <f>Table2121418198598109[[#This Row],[RB1 RY]]+Table2121418198598109[[#This Row],[RB2+ RY]]+Table2121418198598109[[#This Row],[RB1 RecY]]+Table2121418198598109[[#This Row],[RB2 RecY]]</f>
        <v>263</v>
      </c>
    </row>
    <row r="426" spans="1:36" x14ac:dyDescent="0.35">
      <c r="A426" s="19" t="s">
        <v>41</v>
      </c>
      <c r="B426" s="1">
        <v>6</v>
      </c>
      <c r="C426" s="2">
        <v>264</v>
      </c>
      <c r="D426" s="2">
        <v>2</v>
      </c>
      <c r="E426" s="2">
        <v>2</v>
      </c>
      <c r="F426" s="2">
        <v>124</v>
      </c>
      <c r="G426" s="2">
        <v>14</v>
      </c>
      <c r="H426" s="2">
        <v>0</v>
      </c>
      <c r="I426" s="2">
        <v>3</v>
      </c>
      <c r="J426" s="2">
        <v>14</v>
      </c>
      <c r="K426" s="2">
        <v>1</v>
      </c>
      <c r="L426" s="2">
        <v>9</v>
      </c>
      <c r="M426" s="2">
        <v>7</v>
      </c>
      <c r="N426" s="2">
        <v>100</v>
      </c>
      <c r="O426" s="2">
        <v>4</v>
      </c>
      <c r="P426" s="2">
        <v>27</v>
      </c>
      <c r="Q426" s="2">
        <v>4</v>
      </c>
      <c r="R426" s="2">
        <v>27</v>
      </c>
      <c r="S426" s="2">
        <v>1</v>
      </c>
      <c r="T426" s="2">
        <v>1</v>
      </c>
      <c r="U426" s="2">
        <v>7</v>
      </c>
      <c r="V426" s="2">
        <v>68</v>
      </c>
      <c r="W426" s="2">
        <v>2</v>
      </c>
      <c r="X426" s="2">
        <v>18</v>
      </c>
      <c r="Y426" s="2">
        <v>0</v>
      </c>
      <c r="Z426" s="2">
        <v>1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4">
        <f>Table2121418198598109[[#This Row],[QB PY]]+Table2121418198598109[[#This Row],[QB RY]]</f>
        <v>266</v>
      </c>
      <c r="AJ426" s="4">
        <f>Table2121418198598109[[#This Row],[RB1 RY]]+Table2121418198598109[[#This Row],[RB2+ RY]]+Table2121418198598109[[#This Row],[RB1 RecY]]+Table2121418198598109[[#This Row],[RB2 RecY]]</f>
        <v>161</v>
      </c>
    </row>
    <row r="427" spans="1:36" x14ac:dyDescent="0.35">
      <c r="A427" s="19" t="s">
        <v>32</v>
      </c>
      <c r="B427" s="1">
        <v>7</v>
      </c>
      <c r="C427" s="2">
        <v>116</v>
      </c>
      <c r="D427" s="2">
        <v>0</v>
      </c>
      <c r="E427" s="2">
        <v>12</v>
      </c>
      <c r="F427" s="2">
        <v>84</v>
      </c>
      <c r="G427" s="2">
        <v>8</v>
      </c>
      <c r="H427" s="2">
        <v>0</v>
      </c>
      <c r="I427" s="2">
        <v>2</v>
      </c>
      <c r="J427" s="2">
        <v>10</v>
      </c>
      <c r="K427" s="2">
        <v>1</v>
      </c>
      <c r="L427" s="2">
        <v>9</v>
      </c>
      <c r="M427" s="2">
        <v>2</v>
      </c>
      <c r="N427" s="2">
        <v>17</v>
      </c>
      <c r="O427" s="2">
        <v>1</v>
      </c>
      <c r="P427" s="2">
        <v>23</v>
      </c>
      <c r="Q427" s="2">
        <v>2</v>
      </c>
      <c r="R427" s="2">
        <v>17</v>
      </c>
      <c r="S427" s="2">
        <v>0</v>
      </c>
      <c r="T427" s="2">
        <v>0</v>
      </c>
      <c r="U427" s="2">
        <v>4</v>
      </c>
      <c r="V427" s="2">
        <v>36</v>
      </c>
      <c r="W427" s="2">
        <v>1</v>
      </c>
      <c r="X427" s="2">
        <v>4</v>
      </c>
      <c r="Y427" s="2">
        <v>0</v>
      </c>
      <c r="Z427" s="2">
        <v>3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1</v>
      </c>
      <c r="AI427" s="4">
        <f>Table2121418198598109[[#This Row],[QB PY]]+Table2121418198598109[[#This Row],[QB RY]]</f>
        <v>128</v>
      </c>
      <c r="AJ427" s="4">
        <f>Table2121418198598109[[#This Row],[RB1 RY]]+Table2121418198598109[[#This Row],[RB2+ RY]]+Table2121418198598109[[#This Row],[RB1 RecY]]+Table2121418198598109[[#This Row],[RB2 RecY]]</f>
        <v>111</v>
      </c>
    </row>
    <row r="428" spans="1:36" x14ac:dyDescent="0.35">
      <c r="A428" s="19" t="s">
        <v>15</v>
      </c>
      <c r="B428" s="1">
        <v>8</v>
      </c>
      <c r="C428" s="2">
        <v>173</v>
      </c>
      <c r="D428" s="2">
        <v>0</v>
      </c>
      <c r="E428" s="2">
        <v>2</v>
      </c>
      <c r="F428" s="2">
        <v>25</v>
      </c>
      <c r="G428" s="2">
        <v>18</v>
      </c>
      <c r="H428" s="2">
        <v>0</v>
      </c>
      <c r="I428" s="2">
        <v>3</v>
      </c>
      <c r="J428" s="2">
        <v>23</v>
      </c>
      <c r="K428" s="2">
        <v>2</v>
      </c>
      <c r="L428" s="2">
        <v>10</v>
      </c>
      <c r="M428" s="2">
        <v>1</v>
      </c>
      <c r="N428" s="2">
        <v>11</v>
      </c>
      <c r="O428" s="2">
        <v>3</v>
      </c>
      <c r="P428" s="2">
        <v>31</v>
      </c>
      <c r="Q428" s="2">
        <v>2</v>
      </c>
      <c r="R428" s="2">
        <v>14</v>
      </c>
      <c r="S428" s="2">
        <v>1</v>
      </c>
      <c r="T428" s="2">
        <v>25</v>
      </c>
      <c r="U428" s="2">
        <v>9</v>
      </c>
      <c r="V428" s="2">
        <v>59</v>
      </c>
      <c r="W428" s="2">
        <v>0</v>
      </c>
      <c r="X428" s="2">
        <v>0</v>
      </c>
      <c r="Y428" s="2">
        <v>0</v>
      </c>
      <c r="Z428" s="2">
        <v>0</v>
      </c>
      <c r="AA428" s="2">
        <v>1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4">
        <f>Table2121418198598109[[#This Row],[QB PY]]+Table2121418198598109[[#This Row],[QB RY]]</f>
        <v>175</v>
      </c>
      <c r="AJ428" s="4">
        <f>Table2121418198598109[[#This Row],[RB1 RY]]+Table2121418198598109[[#This Row],[RB2+ RY]]+Table2121418198598109[[#This Row],[RB1 RecY]]+Table2121418198598109[[#This Row],[RB2 RecY]]</f>
        <v>76</v>
      </c>
    </row>
    <row r="429" spans="1:36" x14ac:dyDescent="0.35">
      <c r="A429" s="19" t="s">
        <v>16</v>
      </c>
      <c r="B429" s="1">
        <v>9</v>
      </c>
      <c r="C429" s="2">
        <v>204</v>
      </c>
      <c r="D429" s="2">
        <v>4</v>
      </c>
      <c r="E429" s="2">
        <v>14</v>
      </c>
      <c r="F429" s="2">
        <v>119</v>
      </c>
      <c r="G429" s="2">
        <v>13</v>
      </c>
      <c r="H429" s="2">
        <v>4</v>
      </c>
      <c r="I429" s="2">
        <v>1</v>
      </c>
      <c r="J429" s="2">
        <v>2</v>
      </c>
      <c r="K429" s="2">
        <v>3</v>
      </c>
      <c r="L429" s="2">
        <v>20</v>
      </c>
      <c r="M429" s="2">
        <v>5</v>
      </c>
      <c r="N429" s="2">
        <v>64</v>
      </c>
      <c r="O429" s="2">
        <v>2</v>
      </c>
      <c r="P429" s="2">
        <v>13</v>
      </c>
      <c r="Q429" s="2">
        <v>0</v>
      </c>
      <c r="R429" s="2">
        <v>0</v>
      </c>
      <c r="S429" s="2">
        <v>0</v>
      </c>
      <c r="T429" s="2">
        <v>0</v>
      </c>
      <c r="U429" s="2">
        <v>2</v>
      </c>
      <c r="V429" s="2">
        <v>22</v>
      </c>
      <c r="W429" s="2">
        <v>5</v>
      </c>
      <c r="X429" s="2">
        <v>83</v>
      </c>
      <c r="Y429" s="2">
        <v>0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0</v>
      </c>
      <c r="AF429" s="2">
        <v>2</v>
      </c>
      <c r="AG429" s="2">
        <v>1</v>
      </c>
      <c r="AH429" s="2">
        <v>0</v>
      </c>
      <c r="AI429" s="4">
        <f>Table2121418198598109[[#This Row],[QB PY]]+Table2121418198598109[[#This Row],[QB RY]]</f>
        <v>218</v>
      </c>
      <c r="AJ429" s="4">
        <f>Table2121418198598109[[#This Row],[RB1 RY]]+Table2121418198598109[[#This Row],[RB2+ RY]]+Table2121418198598109[[#This Row],[RB1 RecY]]+Table2121418198598109[[#This Row],[RB2 RecY]]</f>
        <v>154</v>
      </c>
    </row>
    <row r="430" spans="1:36" x14ac:dyDescent="0.35">
      <c r="A430" s="19" t="s">
        <v>17</v>
      </c>
      <c r="B430" s="1">
        <v>10</v>
      </c>
      <c r="C430" s="2">
        <v>306</v>
      </c>
      <c r="D430" s="2">
        <v>2</v>
      </c>
      <c r="E430" s="2">
        <v>35</v>
      </c>
      <c r="F430" s="2">
        <v>53</v>
      </c>
      <c r="G430" s="2">
        <v>0</v>
      </c>
      <c r="H430" s="2">
        <v>-1</v>
      </c>
      <c r="I430" s="2">
        <v>5</v>
      </c>
      <c r="J430" s="2">
        <v>24</v>
      </c>
      <c r="K430" s="2">
        <v>3</v>
      </c>
      <c r="L430" s="2">
        <v>24</v>
      </c>
      <c r="M430" s="2">
        <v>7</v>
      </c>
      <c r="N430" s="2">
        <v>58</v>
      </c>
      <c r="O430" s="2">
        <v>3</v>
      </c>
      <c r="P430" s="2">
        <v>46</v>
      </c>
      <c r="Q430" s="2">
        <v>2</v>
      </c>
      <c r="R430" s="2">
        <v>9</v>
      </c>
      <c r="S430" s="2">
        <v>2</v>
      </c>
      <c r="T430" s="2">
        <v>45</v>
      </c>
      <c r="U430" s="2">
        <v>2</v>
      </c>
      <c r="V430" s="2">
        <v>37</v>
      </c>
      <c r="W430" s="2">
        <v>4</v>
      </c>
      <c r="X430" s="2">
        <v>63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0</v>
      </c>
      <c r="AF430" s="2">
        <v>0</v>
      </c>
      <c r="AG430" s="2">
        <v>1</v>
      </c>
      <c r="AH430" s="2">
        <v>0</v>
      </c>
      <c r="AI430" s="4">
        <f>Table2121418198598109[[#This Row],[QB PY]]+Table2121418198598109[[#This Row],[QB RY]]</f>
        <v>341</v>
      </c>
      <c r="AJ430" s="4">
        <f>Table2121418198598109[[#This Row],[RB1 RY]]+Table2121418198598109[[#This Row],[RB2+ RY]]+Table2121418198598109[[#This Row],[RB1 RecY]]+Table2121418198598109[[#This Row],[RB2 RecY]]</f>
        <v>101</v>
      </c>
    </row>
    <row r="431" spans="1:36" x14ac:dyDescent="0.35">
      <c r="A431" s="19" t="s">
        <v>56</v>
      </c>
      <c r="B431" s="1">
        <v>11</v>
      </c>
      <c r="C431" s="2">
        <v>213</v>
      </c>
      <c r="D431" s="2">
        <v>1</v>
      </c>
      <c r="E431" s="2">
        <v>49</v>
      </c>
      <c r="F431" s="2">
        <v>79</v>
      </c>
      <c r="G431" s="2">
        <v>41</v>
      </c>
      <c r="H431" s="2">
        <v>3</v>
      </c>
      <c r="I431" s="2">
        <v>1</v>
      </c>
      <c r="J431" s="2">
        <v>6</v>
      </c>
      <c r="K431" s="2">
        <v>3</v>
      </c>
      <c r="L431" s="2">
        <v>21</v>
      </c>
      <c r="M431" s="2">
        <v>7</v>
      </c>
      <c r="N431" s="2">
        <v>74</v>
      </c>
      <c r="O431" s="2">
        <v>1</v>
      </c>
      <c r="P431" s="2">
        <v>13</v>
      </c>
      <c r="Q431" s="2">
        <v>2</v>
      </c>
      <c r="R431" s="2">
        <v>28</v>
      </c>
      <c r="S431" s="2">
        <v>1</v>
      </c>
      <c r="T431" s="2">
        <v>25</v>
      </c>
      <c r="U431" s="2">
        <v>4</v>
      </c>
      <c r="V431" s="2">
        <v>42</v>
      </c>
      <c r="W431" s="2">
        <v>1</v>
      </c>
      <c r="X431" s="2">
        <v>4</v>
      </c>
      <c r="Y431" s="2">
        <v>0</v>
      </c>
      <c r="Z431" s="2">
        <v>0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4">
        <f>Table2121418198598109[[#This Row],[QB PY]]+Table2121418198598109[[#This Row],[QB RY]]</f>
        <v>262</v>
      </c>
      <c r="AJ431" s="4">
        <f>Table2121418198598109[[#This Row],[RB1 RY]]+Table2121418198598109[[#This Row],[RB2+ RY]]+Table2121418198598109[[#This Row],[RB1 RecY]]+Table2121418198598109[[#This Row],[RB2 RecY]]</f>
        <v>147</v>
      </c>
    </row>
    <row r="432" spans="1:36" x14ac:dyDescent="0.35">
      <c r="A432" s="19" t="s">
        <v>650</v>
      </c>
      <c r="B432" s="1">
        <v>12</v>
      </c>
      <c r="C432" s="2" t="s">
        <v>697</v>
      </c>
      <c r="D432" s="2" t="s">
        <v>697</v>
      </c>
      <c r="E432" s="2" t="s">
        <v>697</v>
      </c>
      <c r="F432" s="2" t="s">
        <v>697</v>
      </c>
      <c r="G432" s="2" t="s">
        <v>697</v>
      </c>
      <c r="H432" s="2" t="s">
        <v>697</v>
      </c>
      <c r="I432" s="2" t="s">
        <v>697</v>
      </c>
      <c r="J432" s="2" t="s">
        <v>697</v>
      </c>
      <c r="K432" s="2" t="s">
        <v>697</v>
      </c>
      <c r="L432" s="2" t="s">
        <v>697</v>
      </c>
      <c r="M432" s="2" t="s">
        <v>697</v>
      </c>
      <c r="N432" s="2" t="s">
        <v>697</v>
      </c>
      <c r="O432" s="2" t="s">
        <v>697</v>
      </c>
      <c r="P432" s="2" t="s">
        <v>697</v>
      </c>
      <c r="Q432" s="2" t="s">
        <v>697</v>
      </c>
      <c r="R432" s="2" t="s">
        <v>697</v>
      </c>
      <c r="S432" s="2" t="s">
        <v>697</v>
      </c>
      <c r="T432" s="2" t="s">
        <v>697</v>
      </c>
      <c r="U432" s="2" t="s">
        <v>697</v>
      </c>
      <c r="V432" s="2" t="s">
        <v>697</v>
      </c>
      <c r="W432" s="2" t="s">
        <v>697</v>
      </c>
      <c r="X432" s="2" t="s">
        <v>697</v>
      </c>
      <c r="Y432" s="2" t="s">
        <v>697</v>
      </c>
      <c r="Z432" s="2" t="s">
        <v>697</v>
      </c>
      <c r="AA432" s="2" t="s">
        <v>697</v>
      </c>
      <c r="AB432" s="2" t="s">
        <v>697</v>
      </c>
      <c r="AC432" s="2" t="s">
        <v>697</v>
      </c>
      <c r="AD432" s="2" t="s">
        <v>697</v>
      </c>
      <c r="AE432" s="2" t="s">
        <v>697</v>
      </c>
      <c r="AF432" s="2" t="s">
        <v>697</v>
      </c>
      <c r="AG432" s="2" t="s">
        <v>697</v>
      </c>
      <c r="AH432" s="2" t="s">
        <v>697</v>
      </c>
      <c r="AI432" s="4" t="s">
        <v>697</v>
      </c>
      <c r="AJ432" s="4" t="s">
        <v>697</v>
      </c>
    </row>
    <row r="433" spans="1:36" x14ac:dyDescent="0.35">
      <c r="A433" s="19" t="s">
        <v>47</v>
      </c>
      <c r="B433" s="1">
        <v>13</v>
      </c>
      <c r="C433" s="2">
        <v>239</v>
      </c>
      <c r="D433" s="2">
        <v>2</v>
      </c>
      <c r="E433" s="2">
        <v>20</v>
      </c>
      <c r="F433" s="2">
        <v>47</v>
      </c>
      <c r="G433" s="2">
        <v>15</v>
      </c>
      <c r="H433" s="2">
        <v>-1</v>
      </c>
      <c r="I433" s="2">
        <v>3</v>
      </c>
      <c r="J433" s="2">
        <v>22</v>
      </c>
      <c r="K433" s="2">
        <v>0</v>
      </c>
      <c r="L433" s="2">
        <v>0</v>
      </c>
      <c r="M433" s="2">
        <v>4</v>
      </c>
      <c r="N433" s="2">
        <v>47</v>
      </c>
      <c r="O433" s="2">
        <v>8</v>
      </c>
      <c r="P433" s="2">
        <v>93</v>
      </c>
      <c r="Q433" s="2">
        <v>3</v>
      </c>
      <c r="R433" s="2">
        <v>20</v>
      </c>
      <c r="S433" s="2">
        <v>0</v>
      </c>
      <c r="T433" s="2">
        <v>0</v>
      </c>
      <c r="U433" s="2">
        <v>5</v>
      </c>
      <c r="V433" s="2">
        <v>39</v>
      </c>
      <c r="W433" s="2">
        <v>3</v>
      </c>
      <c r="X433" s="2">
        <v>18</v>
      </c>
      <c r="Y433" s="2">
        <v>0</v>
      </c>
      <c r="Z433" s="2">
        <v>0</v>
      </c>
      <c r="AA433" s="2">
        <v>0</v>
      </c>
      <c r="AB433" s="2">
        <v>1</v>
      </c>
      <c r="AC433" s="2">
        <v>1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4">
        <f>Table2121418198598109[[#This Row],[QB PY]]+Table2121418198598109[[#This Row],[QB RY]]</f>
        <v>259</v>
      </c>
      <c r="AJ433" s="4">
        <f>Table2121418198598109[[#This Row],[RB1 RY]]+Table2121418198598109[[#This Row],[RB2+ RY]]+Table2121418198598109[[#This Row],[RB1 RecY]]+Table2121418198598109[[#This Row],[RB2 RecY]]</f>
        <v>84</v>
      </c>
    </row>
    <row r="434" spans="1:36" x14ac:dyDescent="0.35">
      <c r="A434" s="19" t="s">
        <v>49</v>
      </c>
      <c r="B434" s="1">
        <v>14</v>
      </c>
      <c r="C434" s="2">
        <v>169</v>
      </c>
      <c r="D434" s="2">
        <v>0</v>
      </c>
      <c r="E434" s="2">
        <v>0</v>
      </c>
      <c r="F434" s="2">
        <v>43</v>
      </c>
      <c r="G434" s="2">
        <v>22</v>
      </c>
      <c r="H434" s="2">
        <v>0</v>
      </c>
      <c r="I434" s="2">
        <v>0</v>
      </c>
      <c r="J434" s="2">
        <v>0</v>
      </c>
      <c r="K434" s="2">
        <v>1</v>
      </c>
      <c r="L434" s="2">
        <v>17</v>
      </c>
      <c r="M434" s="2">
        <v>4</v>
      </c>
      <c r="N434" s="2">
        <v>34</v>
      </c>
      <c r="O434" s="2">
        <v>1</v>
      </c>
      <c r="P434" s="2">
        <v>24</v>
      </c>
      <c r="Q434" s="2">
        <v>0</v>
      </c>
      <c r="R434" s="2">
        <v>0</v>
      </c>
      <c r="S434" s="2">
        <v>2</v>
      </c>
      <c r="T434" s="2">
        <v>24</v>
      </c>
      <c r="U434" s="2">
        <v>5</v>
      </c>
      <c r="V434" s="2">
        <v>51</v>
      </c>
      <c r="W434" s="2">
        <v>2</v>
      </c>
      <c r="X434" s="2">
        <v>19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1</v>
      </c>
      <c r="AI434" s="4">
        <f>Table2121418198598109[[#This Row],[QB PY]]+Table2121418198598109[[#This Row],[QB RY]]</f>
        <v>169</v>
      </c>
      <c r="AJ434" s="4">
        <f>Table2121418198598109[[#This Row],[RB1 RY]]+Table2121418198598109[[#This Row],[RB2+ RY]]+Table2121418198598109[[#This Row],[RB1 RecY]]+Table2121418198598109[[#This Row],[RB2 RecY]]</f>
        <v>82</v>
      </c>
    </row>
    <row r="435" spans="1:36" x14ac:dyDescent="0.35">
      <c r="A435" s="19" t="s">
        <v>51</v>
      </c>
      <c r="B435" s="1">
        <v>15</v>
      </c>
      <c r="C435" s="2">
        <v>224</v>
      </c>
      <c r="D435" s="2">
        <v>2</v>
      </c>
      <c r="E435" s="2">
        <v>0</v>
      </c>
      <c r="F435" s="2">
        <v>33</v>
      </c>
      <c r="G435" s="2">
        <v>84</v>
      </c>
      <c r="H435" s="2">
        <v>18</v>
      </c>
      <c r="I435" s="2">
        <v>3</v>
      </c>
      <c r="J435" s="2">
        <v>15</v>
      </c>
      <c r="K435" s="2">
        <v>7</v>
      </c>
      <c r="L435" s="2">
        <v>46</v>
      </c>
      <c r="M435" s="2">
        <v>3</v>
      </c>
      <c r="N435" s="2">
        <v>55</v>
      </c>
      <c r="O435" s="2">
        <v>0</v>
      </c>
      <c r="P435" s="2">
        <v>0</v>
      </c>
      <c r="Q435" s="2">
        <v>1</v>
      </c>
      <c r="R435" s="2">
        <v>7</v>
      </c>
      <c r="S435" s="2">
        <v>1</v>
      </c>
      <c r="T435" s="2">
        <v>19</v>
      </c>
      <c r="U435" s="2">
        <v>3</v>
      </c>
      <c r="V435" s="2">
        <v>25</v>
      </c>
      <c r="W435" s="2">
        <v>5</v>
      </c>
      <c r="X435" s="2">
        <v>57</v>
      </c>
      <c r="Y435" s="2">
        <v>0</v>
      </c>
      <c r="Z435" s="2">
        <v>0</v>
      </c>
      <c r="AA435" s="2">
        <v>0</v>
      </c>
      <c r="AB435" s="2">
        <v>1</v>
      </c>
      <c r="AC435" s="2">
        <v>0</v>
      </c>
      <c r="AD435" s="2">
        <v>0</v>
      </c>
      <c r="AE435" s="2">
        <v>1</v>
      </c>
      <c r="AF435" s="2">
        <v>0</v>
      </c>
      <c r="AG435" s="2">
        <v>2</v>
      </c>
      <c r="AH435" s="2">
        <v>0</v>
      </c>
      <c r="AI435" s="4">
        <f>Table2121418198598109[[#This Row],[QB PY]]+Table2121418198598109[[#This Row],[QB RY]]</f>
        <v>224</v>
      </c>
      <c r="AJ435" s="4">
        <f>Table2121418198598109[[#This Row],[RB1 RY]]+Table2121418198598109[[#This Row],[RB2+ RY]]+Table2121418198598109[[#This Row],[RB1 RecY]]+Table2121418198598109[[#This Row],[RB2 RecY]]</f>
        <v>178</v>
      </c>
    </row>
    <row r="436" spans="1:36" x14ac:dyDescent="0.35">
      <c r="A436" s="19" t="s">
        <v>31</v>
      </c>
      <c r="B436" s="1">
        <v>16</v>
      </c>
      <c r="C436" s="2">
        <v>313</v>
      </c>
      <c r="D436" s="2">
        <v>4</v>
      </c>
      <c r="E436" s="2">
        <v>6</v>
      </c>
      <c r="F436" s="2">
        <v>60</v>
      </c>
      <c r="G436" s="2">
        <v>32</v>
      </c>
      <c r="H436" s="2">
        <v>1</v>
      </c>
      <c r="I436" s="2">
        <v>4</v>
      </c>
      <c r="J436" s="2">
        <v>43</v>
      </c>
      <c r="K436" s="2">
        <v>2</v>
      </c>
      <c r="L436" s="2">
        <v>16</v>
      </c>
      <c r="M436" s="2">
        <v>9</v>
      </c>
      <c r="N436" s="2">
        <v>109</v>
      </c>
      <c r="O436" s="2">
        <v>3</v>
      </c>
      <c r="P436" s="2">
        <v>53</v>
      </c>
      <c r="Q436" s="2">
        <v>1</v>
      </c>
      <c r="R436" s="2">
        <v>21</v>
      </c>
      <c r="S436" s="2">
        <v>1</v>
      </c>
      <c r="T436" s="2">
        <v>1</v>
      </c>
      <c r="U436" s="2">
        <v>3</v>
      </c>
      <c r="V436" s="2">
        <v>35</v>
      </c>
      <c r="W436" s="2">
        <v>3</v>
      </c>
      <c r="X436" s="2">
        <v>35</v>
      </c>
      <c r="Y436" s="2">
        <v>0</v>
      </c>
      <c r="Z436" s="2">
        <v>3</v>
      </c>
      <c r="AA436" s="2">
        <v>1</v>
      </c>
      <c r="AB436" s="2">
        <v>0</v>
      </c>
      <c r="AC436" s="2">
        <v>1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4">
        <f>Table2121418198598109[[#This Row],[QB PY]]+Table2121418198598109[[#This Row],[QB RY]]</f>
        <v>319</v>
      </c>
      <c r="AJ436" s="4">
        <f>Table2121418198598109[[#This Row],[RB1 RY]]+Table2121418198598109[[#This Row],[RB2+ RY]]+Table2121418198598109[[#This Row],[RB1 RecY]]+Table2121418198598109[[#This Row],[RB2 RecY]]</f>
        <v>151</v>
      </c>
    </row>
    <row r="437" spans="1:36" x14ac:dyDescent="0.35">
      <c r="A437" s="19" t="s">
        <v>54</v>
      </c>
      <c r="B437" s="1">
        <v>17</v>
      </c>
      <c r="C437" s="2">
        <v>346</v>
      </c>
      <c r="D437" s="2">
        <v>2</v>
      </c>
      <c r="E437" s="2">
        <v>16</v>
      </c>
      <c r="F437" s="2">
        <v>19</v>
      </c>
      <c r="G437" s="2">
        <v>18</v>
      </c>
      <c r="H437" s="2">
        <v>0</v>
      </c>
      <c r="I437" s="2">
        <v>5</v>
      </c>
      <c r="J437" s="2">
        <v>14</v>
      </c>
      <c r="K437" s="2">
        <v>2</v>
      </c>
      <c r="L437" s="2">
        <v>7</v>
      </c>
      <c r="M437" s="2">
        <v>3</v>
      </c>
      <c r="N437" s="2">
        <v>31</v>
      </c>
      <c r="O437" s="2">
        <v>3</v>
      </c>
      <c r="P437" s="2">
        <v>20</v>
      </c>
      <c r="Q437" s="2">
        <v>7</v>
      </c>
      <c r="R437" s="2">
        <v>108</v>
      </c>
      <c r="S437" s="2">
        <v>9</v>
      </c>
      <c r="T437" s="2">
        <v>133</v>
      </c>
      <c r="U437" s="2">
        <v>4</v>
      </c>
      <c r="V437" s="2">
        <v>33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1</v>
      </c>
      <c r="AC437" s="2">
        <v>0</v>
      </c>
      <c r="AD437" s="2">
        <v>1</v>
      </c>
      <c r="AE437" s="2">
        <v>0</v>
      </c>
      <c r="AF437" s="2">
        <v>0</v>
      </c>
      <c r="AG437" s="2">
        <v>0</v>
      </c>
      <c r="AH437" s="2">
        <v>0</v>
      </c>
      <c r="AI437" s="4">
        <f>Table2121418198598109[[#This Row],[QB PY]]+Table2121418198598109[[#This Row],[QB RY]]</f>
        <v>362</v>
      </c>
      <c r="AJ437" s="4">
        <f>Table2121418198598109[[#This Row],[RB1 RY]]+Table2121418198598109[[#This Row],[RB2+ RY]]+Table2121418198598109[[#This Row],[RB1 RecY]]+Table2121418198598109[[#This Row],[RB2 RecY]]</f>
        <v>58</v>
      </c>
    </row>
    <row r="438" spans="1:36" x14ac:dyDescent="0.35">
      <c r="A438" s="19" t="s">
        <v>46</v>
      </c>
      <c r="B438" s="1">
        <v>18</v>
      </c>
      <c r="C438" s="2">
        <v>214</v>
      </c>
      <c r="D438" s="2">
        <v>1</v>
      </c>
      <c r="E438" s="2">
        <v>41</v>
      </c>
      <c r="F438" s="2">
        <v>131</v>
      </c>
      <c r="G438" s="2">
        <v>66</v>
      </c>
      <c r="H438" s="2">
        <v>5</v>
      </c>
      <c r="I438" s="2">
        <v>2</v>
      </c>
      <c r="J438" s="2">
        <v>22</v>
      </c>
      <c r="K438" s="2">
        <v>0</v>
      </c>
      <c r="L438" s="2">
        <v>0</v>
      </c>
      <c r="M438" s="2">
        <v>3</v>
      </c>
      <c r="N438" s="2">
        <v>43</v>
      </c>
      <c r="O438" s="2">
        <v>2</v>
      </c>
      <c r="P438" s="2">
        <v>24</v>
      </c>
      <c r="Q438" s="2">
        <v>2</v>
      </c>
      <c r="R438" s="2">
        <v>29</v>
      </c>
      <c r="S438" s="2">
        <v>1</v>
      </c>
      <c r="T438" s="2">
        <v>35</v>
      </c>
      <c r="U438" s="2">
        <v>5</v>
      </c>
      <c r="V438" s="2">
        <v>56</v>
      </c>
      <c r="W438" s="2">
        <v>2</v>
      </c>
      <c r="X438" s="2">
        <v>5</v>
      </c>
      <c r="Y438" s="2">
        <v>0</v>
      </c>
      <c r="Z438" s="2">
        <v>3</v>
      </c>
      <c r="AA438" s="2">
        <v>2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4">
        <f>Table2121418198598109[[#This Row],[QB PY]]+Table2121418198598109[[#This Row],[QB RY]]</f>
        <v>255</v>
      </c>
      <c r="AJ438" s="4">
        <f>Table2121418198598109[[#This Row],[RB1 RY]]+Table2121418198598109[[#This Row],[RB2+ RY]]+Table2121418198598109[[#This Row],[RB1 RecY]]+Table2121418198598109[[#This Row],[RB2 RecY]]</f>
        <v>219</v>
      </c>
    </row>
    <row r="439" spans="1:36" x14ac:dyDescent="0.35">
      <c r="B439" s="1" t="s">
        <v>57</v>
      </c>
      <c r="C439" s="3">
        <f>AVERAGE(Table2121418198598109[QB PY])</f>
        <v>230.58823529411765</v>
      </c>
      <c r="D439" s="3">
        <f>AVERAGE(Table2121418198598109[P TD])</f>
        <v>1.7058823529411764</v>
      </c>
      <c r="E439" s="3">
        <f>AVERAGE(Table2121418198598109[QB RY])</f>
        <v>21.235294117647058</v>
      </c>
      <c r="F439" s="3">
        <f>AVERAGE(Table2121418198598109[RB1 RY])</f>
        <v>78.647058823529406</v>
      </c>
      <c r="G439" s="3">
        <f>AVERAGE(Table2121418198598109[RB2+ RY])</f>
        <v>28.176470588235293</v>
      </c>
      <c r="H439" s="3">
        <f>AVERAGE(Table2121418198598109[WR RY])</f>
        <v>4</v>
      </c>
      <c r="I439" s="3">
        <f>AVERAGE(Table2121418198598109[RB1 Recep])</f>
        <v>3</v>
      </c>
      <c r="J439" s="3">
        <f>AVERAGE(Table2121418198598109[RB1 RecY])</f>
        <v>22.235294117647058</v>
      </c>
      <c r="K439" s="3">
        <f>AVERAGE(Table2121418198598109[RB2 Recep])</f>
        <v>1.8823529411764706</v>
      </c>
      <c r="L439" s="3">
        <f>AVERAGE(Table2121418198598109[RB2 RecY])</f>
        <v>14.294117647058824</v>
      </c>
      <c r="M439" s="3">
        <f>AVERAGE(Table2121418198598109[WR1 Recep])</f>
        <v>4.7058823529411766</v>
      </c>
      <c r="N439" s="3">
        <f>AVERAGE(Table2121418198598109[WR1 RecY])</f>
        <v>54.705882352941174</v>
      </c>
      <c r="O439" s="3">
        <f>AVERAGE(Table2121418198598109[WR2 Recep])</f>
        <v>2.3529411764705883</v>
      </c>
      <c r="P439" s="3">
        <f>AVERAGE(Table2121418198598109[WR2 RecY])</f>
        <v>27.705882352941178</v>
      </c>
      <c r="Q439" s="3">
        <f>AVERAGE(Table2121418198598109[WR3 Recep])</f>
        <v>1.8235294117647058</v>
      </c>
      <c r="R439" s="3">
        <f>AVERAGE(Table2121418198598109[WR3 RecY])</f>
        <v>20.235294117647058</v>
      </c>
      <c r="S439" s="3">
        <f>AVERAGE(Table2121418198598109[WR4+ Recep])</f>
        <v>1.7058823529411764</v>
      </c>
      <c r="T439" s="3">
        <f>AVERAGE(Table2121418198598109[WR4+ RecY])</f>
        <v>24.764705882352942</v>
      </c>
      <c r="U439" s="3">
        <f>AVERAGE(Table2121418198598109[TE1 Recep])</f>
        <v>4.2352941176470589</v>
      </c>
      <c r="V439" s="3">
        <f>AVERAGE(Table2121418198598109[TE1 RecY])</f>
        <v>42.705882352941174</v>
      </c>
      <c r="W439" s="3">
        <f>AVERAGE(Table2121418198598109[TE2 Recep])</f>
        <v>2.1176470588235294</v>
      </c>
      <c r="X439" s="3">
        <f>AVERAGE(Table2121418198598109[TE2 RecY])</f>
        <v>23.941176470588236</v>
      </c>
      <c r="Y439" s="3">
        <f>AVERAGE(Table2121418198598109[QB TD])</f>
        <v>0.23529411764705882</v>
      </c>
      <c r="Z439" s="3">
        <f>AVERAGE(Table2121418198598109[RB1 TD])</f>
        <v>0.70588235294117652</v>
      </c>
      <c r="AA439" s="3">
        <f>AVERAGE(Table2121418198598109[RB2 TD])</f>
        <v>0.23529411764705882</v>
      </c>
      <c r="AB439" s="3">
        <f>AVERAGE(Table2121418198598109[WR1 TD])</f>
        <v>0.41176470588235292</v>
      </c>
      <c r="AC439" s="3">
        <f>AVERAGE(Table2121418198598109[WR2 TD])</f>
        <v>0.41176470588235292</v>
      </c>
      <c r="AD439" s="3">
        <f>AVERAGE(Table2121418198598109[WR3 TD])</f>
        <v>0.11764705882352941</v>
      </c>
      <c r="AE439" s="3">
        <f>AVERAGE(Table2121418198598109[WR4+ TD])</f>
        <v>5.8823529411764705E-2</v>
      </c>
      <c r="AF439" s="3">
        <f>AVERAGE(Table2121418198598109[TE1 TD])</f>
        <v>0.23529411764705882</v>
      </c>
      <c r="AG439" s="3">
        <f>AVERAGE(Table2121418198598109[TE2 TD])</f>
        <v>0.35294117647058826</v>
      </c>
      <c r="AH439" s="3">
        <f>AVERAGE(Table2121418198598109[D/ST TD])</f>
        <v>0.17647058823529413</v>
      </c>
      <c r="AI439" s="3">
        <f>AVERAGE(Table2121418198598109[QB P+R])</f>
        <v>251.8235294117647</v>
      </c>
      <c r="AJ439" s="3">
        <f>AVERAGE(Table2121418198598109[RB R+R])</f>
        <v>143.35294117647058</v>
      </c>
    </row>
    <row r="441" spans="1:36" x14ac:dyDescent="0.35">
      <c r="A441" s="230" t="s">
        <v>45</v>
      </c>
      <c r="B441" s="230"/>
      <c r="C441" s="230"/>
      <c r="D441" s="230"/>
      <c r="E441" s="230"/>
      <c r="F441" s="230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  <c r="AF441" s="230"/>
      <c r="AG441" s="230"/>
      <c r="AH441" s="230"/>
      <c r="AI441" s="230"/>
      <c r="AJ441" s="230"/>
    </row>
    <row r="442" spans="1:36" x14ac:dyDescent="0.35">
      <c r="A442" s="20" t="s">
        <v>63</v>
      </c>
      <c r="B442" s="6" t="s">
        <v>1</v>
      </c>
      <c r="C442" s="7" t="s">
        <v>18</v>
      </c>
      <c r="D442" s="8" t="s">
        <v>19</v>
      </c>
      <c r="E442" s="9" t="s">
        <v>20</v>
      </c>
      <c r="F442" s="10" t="s">
        <v>21</v>
      </c>
      <c r="G442" s="11" t="s">
        <v>22</v>
      </c>
      <c r="H442" s="12" t="s">
        <v>23</v>
      </c>
      <c r="I442" s="13" t="s">
        <v>667</v>
      </c>
      <c r="J442" s="13" t="s">
        <v>668</v>
      </c>
      <c r="K442" s="13" t="s">
        <v>665</v>
      </c>
      <c r="L442" s="13" t="s">
        <v>666</v>
      </c>
      <c r="M442" s="14" t="s">
        <v>2</v>
      </c>
      <c r="N442" s="14" t="s">
        <v>24</v>
      </c>
      <c r="O442" s="15" t="s">
        <v>3</v>
      </c>
      <c r="P442" s="15" t="s">
        <v>25</v>
      </c>
      <c r="Q442" s="16" t="s">
        <v>4</v>
      </c>
      <c r="R442" s="16" t="s">
        <v>26</v>
      </c>
      <c r="S442" s="17" t="s">
        <v>5</v>
      </c>
      <c r="T442" s="17" t="s">
        <v>27</v>
      </c>
      <c r="U442" s="18" t="s">
        <v>669</v>
      </c>
      <c r="V442" s="18" t="s">
        <v>670</v>
      </c>
      <c r="W442" s="18" t="s">
        <v>675</v>
      </c>
      <c r="X442" s="18" t="s">
        <v>671</v>
      </c>
      <c r="Y442" s="6" t="s">
        <v>6</v>
      </c>
      <c r="Z442" s="6" t="s">
        <v>7</v>
      </c>
      <c r="AA442" s="6" t="s">
        <v>674</v>
      </c>
      <c r="AB442" s="6" t="s">
        <v>8</v>
      </c>
      <c r="AC442" s="6" t="s">
        <v>9</v>
      </c>
      <c r="AD442" s="6" t="s">
        <v>10</v>
      </c>
      <c r="AE442" s="6" t="s">
        <v>11</v>
      </c>
      <c r="AF442" s="6" t="s">
        <v>673</v>
      </c>
      <c r="AG442" s="6" t="s">
        <v>672</v>
      </c>
      <c r="AH442" s="6" t="s">
        <v>12</v>
      </c>
      <c r="AI442" s="8" t="s">
        <v>14</v>
      </c>
      <c r="AJ442" s="11" t="s">
        <v>13</v>
      </c>
    </row>
    <row r="443" spans="1:36" x14ac:dyDescent="0.35">
      <c r="A443" s="19" t="s">
        <v>30</v>
      </c>
      <c r="B443" s="5">
        <v>1</v>
      </c>
      <c r="C443" s="4">
        <v>210</v>
      </c>
      <c r="D443" s="4">
        <v>1</v>
      </c>
      <c r="E443" s="4">
        <v>58</v>
      </c>
      <c r="F443" s="4">
        <v>53</v>
      </c>
      <c r="G443" s="4">
        <v>0</v>
      </c>
      <c r="H443" s="4">
        <v>8</v>
      </c>
      <c r="I443" s="4">
        <v>3</v>
      </c>
      <c r="J443" s="4">
        <v>12</v>
      </c>
      <c r="K443" s="4">
        <v>1</v>
      </c>
      <c r="L443" s="4">
        <v>11</v>
      </c>
      <c r="M443" s="4">
        <v>3</v>
      </c>
      <c r="N443" s="4">
        <v>68</v>
      </c>
      <c r="O443" s="4">
        <v>6</v>
      </c>
      <c r="P443" s="4">
        <v>37</v>
      </c>
      <c r="Q443" s="4">
        <v>4</v>
      </c>
      <c r="R443" s="4">
        <v>42</v>
      </c>
      <c r="S443" s="4">
        <v>1</v>
      </c>
      <c r="T443" s="4">
        <v>-3</v>
      </c>
      <c r="U443" s="4">
        <v>1</v>
      </c>
      <c r="V443" s="4">
        <v>31</v>
      </c>
      <c r="W443" s="4">
        <v>2</v>
      </c>
      <c r="X443" s="4">
        <v>12</v>
      </c>
      <c r="Y443" s="4">
        <v>1</v>
      </c>
      <c r="Z443" s="4">
        <v>0</v>
      </c>
      <c r="AA443" s="4">
        <v>0</v>
      </c>
      <c r="AB443" s="4">
        <v>0</v>
      </c>
      <c r="AC443" s="4">
        <v>1</v>
      </c>
      <c r="AD443" s="4">
        <v>0</v>
      </c>
      <c r="AE443" s="4">
        <v>0</v>
      </c>
      <c r="AF443" s="4">
        <v>0</v>
      </c>
      <c r="AG443" s="4">
        <v>0</v>
      </c>
      <c r="AH443" s="4">
        <v>1</v>
      </c>
      <c r="AI443" s="4">
        <f>Table2121418198598110[[#This Row],[QB PY]]+Table2121418198598110[[#This Row],[QB RY]]</f>
        <v>268</v>
      </c>
      <c r="AJ443" s="4">
        <f>Table2121418198598110[[#This Row],[RB1 RY]]+Table2121418198598110[[#This Row],[RB2+ RY]]+Table2121418198598110[[#This Row],[RB1 RecY]]+Table2121418198598110[[#This Row],[RB2 RecY]]</f>
        <v>76</v>
      </c>
    </row>
    <row r="444" spans="1:36" x14ac:dyDescent="0.35">
      <c r="A444" s="19" t="s">
        <v>15</v>
      </c>
      <c r="B444" s="1">
        <v>2</v>
      </c>
      <c r="C444" s="2">
        <v>135</v>
      </c>
      <c r="D444" s="2">
        <v>0</v>
      </c>
      <c r="E444" s="2">
        <v>-1</v>
      </c>
      <c r="F444" s="2">
        <v>143</v>
      </c>
      <c r="G444" s="2">
        <v>76</v>
      </c>
      <c r="H444" s="2">
        <v>0</v>
      </c>
      <c r="I444" s="2">
        <v>3</v>
      </c>
      <c r="J444" s="2">
        <v>25</v>
      </c>
      <c r="K444" s="2">
        <v>1</v>
      </c>
      <c r="L444" s="2">
        <v>4</v>
      </c>
      <c r="M444" s="2">
        <v>3</v>
      </c>
      <c r="N444" s="2">
        <v>49</v>
      </c>
      <c r="O444" s="2">
        <v>2</v>
      </c>
      <c r="P444" s="2">
        <v>20</v>
      </c>
      <c r="Q444" s="2">
        <v>0</v>
      </c>
      <c r="R444" s="2">
        <v>0</v>
      </c>
      <c r="S444" s="2">
        <v>0</v>
      </c>
      <c r="T444" s="2">
        <v>0</v>
      </c>
      <c r="U444" s="2">
        <v>4</v>
      </c>
      <c r="V444" s="2">
        <v>37</v>
      </c>
      <c r="W444" s="2">
        <v>0</v>
      </c>
      <c r="X444" s="2">
        <v>0</v>
      </c>
      <c r="Y444" s="2">
        <v>0</v>
      </c>
      <c r="Z444" s="2">
        <v>0</v>
      </c>
      <c r="AA444" s="2">
        <v>1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4">
        <f>Table2121418198598110[[#This Row],[QB PY]]+Table2121418198598110[[#This Row],[QB RY]]</f>
        <v>134</v>
      </c>
      <c r="AJ444" s="4">
        <f>Table2121418198598110[[#This Row],[RB1 RY]]+Table2121418198598110[[#This Row],[RB2+ RY]]+Table2121418198598110[[#This Row],[RB1 RecY]]+Table2121418198598110[[#This Row],[RB2 RecY]]</f>
        <v>248</v>
      </c>
    </row>
    <row r="445" spans="1:36" x14ac:dyDescent="0.35">
      <c r="A445" s="19" t="s">
        <v>31</v>
      </c>
      <c r="B445" s="1">
        <v>3</v>
      </c>
      <c r="C445" s="2">
        <v>140</v>
      </c>
      <c r="D445" s="2">
        <v>1</v>
      </c>
      <c r="E445" s="2">
        <v>3</v>
      </c>
      <c r="F445" s="2">
        <v>3</v>
      </c>
      <c r="G445" s="2">
        <v>38</v>
      </c>
      <c r="H445" s="2">
        <v>9</v>
      </c>
      <c r="I445" s="2">
        <v>4</v>
      </c>
      <c r="J445" s="2">
        <v>17</v>
      </c>
      <c r="K445" s="2">
        <v>0</v>
      </c>
      <c r="L445" s="2">
        <v>0</v>
      </c>
      <c r="M445" s="2">
        <v>5</v>
      </c>
      <c r="N445" s="2">
        <v>50</v>
      </c>
      <c r="O445" s="2">
        <v>1</v>
      </c>
      <c r="P445" s="2">
        <v>15</v>
      </c>
      <c r="Q445" s="2">
        <v>0</v>
      </c>
      <c r="R445" s="2">
        <v>0</v>
      </c>
      <c r="S445" s="2">
        <v>0</v>
      </c>
      <c r="T445" s="2">
        <v>0</v>
      </c>
      <c r="U445" s="2">
        <v>5</v>
      </c>
      <c r="V445" s="2">
        <v>26</v>
      </c>
      <c r="W445" s="2">
        <v>4</v>
      </c>
      <c r="X445" s="2">
        <v>32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0</v>
      </c>
      <c r="AI445" s="4">
        <f>Table2121418198598110[[#This Row],[QB PY]]+Table2121418198598110[[#This Row],[QB RY]]</f>
        <v>143</v>
      </c>
      <c r="AJ445" s="4">
        <f>Table2121418198598110[[#This Row],[RB1 RY]]+Table2121418198598110[[#This Row],[RB2+ RY]]+Table2121418198598110[[#This Row],[RB1 RecY]]+Table2121418198598110[[#This Row],[RB2 RecY]]</f>
        <v>58</v>
      </c>
    </row>
    <row r="446" spans="1:36" x14ac:dyDescent="0.35">
      <c r="A446" s="19" t="s">
        <v>51</v>
      </c>
      <c r="B446" s="1">
        <v>4</v>
      </c>
      <c r="C446" s="2">
        <v>200</v>
      </c>
      <c r="D446" s="2">
        <v>1</v>
      </c>
      <c r="E446" s="2">
        <v>8</v>
      </c>
      <c r="F446" s="2">
        <v>99</v>
      </c>
      <c r="G446" s="2">
        <v>22</v>
      </c>
      <c r="H446" s="2">
        <v>2</v>
      </c>
      <c r="I446" s="2">
        <v>6</v>
      </c>
      <c r="J446" s="2">
        <v>35</v>
      </c>
      <c r="K446" s="2">
        <v>0</v>
      </c>
      <c r="L446" s="2">
        <v>0</v>
      </c>
      <c r="M446" s="2">
        <v>5</v>
      </c>
      <c r="N446" s="2">
        <v>126</v>
      </c>
      <c r="O446" s="2">
        <v>2</v>
      </c>
      <c r="P446" s="2">
        <v>13</v>
      </c>
      <c r="Q446" s="2">
        <v>0</v>
      </c>
      <c r="R446" s="2">
        <v>0</v>
      </c>
      <c r="S446" s="2">
        <v>0</v>
      </c>
      <c r="T446" s="2">
        <v>0</v>
      </c>
      <c r="U446" s="2">
        <v>2</v>
      </c>
      <c r="V446" s="2">
        <v>6</v>
      </c>
      <c r="W446" s="2">
        <v>3</v>
      </c>
      <c r="X446" s="2">
        <v>20</v>
      </c>
      <c r="Y446" s="2">
        <v>0</v>
      </c>
      <c r="Z446" s="2">
        <v>2</v>
      </c>
      <c r="AA446" s="2">
        <v>0</v>
      </c>
      <c r="AB446" s="2">
        <v>1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4">
        <f>Table2121418198598110[[#This Row],[QB PY]]+Table2121418198598110[[#This Row],[QB RY]]</f>
        <v>208</v>
      </c>
      <c r="AJ446" s="4">
        <f>Table2121418198598110[[#This Row],[RB1 RY]]+Table2121418198598110[[#This Row],[RB2+ RY]]+Table2121418198598110[[#This Row],[RB1 RecY]]+Table2121418198598110[[#This Row],[RB2 RecY]]</f>
        <v>156</v>
      </c>
    </row>
    <row r="447" spans="1:36" x14ac:dyDescent="0.35">
      <c r="A447" s="19" t="s">
        <v>32</v>
      </c>
      <c r="B447" s="1">
        <v>5</v>
      </c>
      <c r="C447" s="2">
        <v>190</v>
      </c>
      <c r="D447" s="2">
        <v>2</v>
      </c>
      <c r="E447" s="2">
        <v>5</v>
      </c>
      <c r="F447" s="2">
        <v>110</v>
      </c>
      <c r="G447" s="2">
        <v>14</v>
      </c>
      <c r="H447" s="2">
        <v>11</v>
      </c>
      <c r="I447" s="2">
        <v>1</v>
      </c>
      <c r="J447" s="2">
        <v>18</v>
      </c>
      <c r="K447" s="2">
        <v>3</v>
      </c>
      <c r="L447" s="2">
        <v>26</v>
      </c>
      <c r="M447" s="2">
        <v>2</v>
      </c>
      <c r="N447" s="2">
        <v>15</v>
      </c>
      <c r="O447" s="2">
        <v>2</v>
      </c>
      <c r="P447" s="2">
        <v>29</v>
      </c>
      <c r="Q447" s="2">
        <v>1</v>
      </c>
      <c r="R447" s="2">
        <v>22</v>
      </c>
      <c r="S447" s="2">
        <v>0</v>
      </c>
      <c r="T447" s="2">
        <v>0</v>
      </c>
      <c r="U447" s="2">
        <v>6</v>
      </c>
      <c r="V447" s="2">
        <v>67</v>
      </c>
      <c r="W447" s="2">
        <v>4</v>
      </c>
      <c r="X447" s="2">
        <v>13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</v>
      </c>
      <c r="AG447" s="2">
        <v>1</v>
      </c>
      <c r="AH447" s="2">
        <v>0</v>
      </c>
      <c r="AI447" s="4">
        <f>Table2121418198598110[[#This Row],[QB PY]]+Table2121418198598110[[#This Row],[QB RY]]</f>
        <v>195</v>
      </c>
      <c r="AJ447" s="4">
        <f>Table2121418198598110[[#This Row],[RB1 RY]]+Table2121418198598110[[#This Row],[RB2+ RY]]+Table2121418198598110[[#This Row],[RB1 RecY]]+Table2121418198598110[[#This Row],[RB2 RecY]]</f>
        <v>168</v>
      </c>
    </row>
    <row r="448" spans="1:36" x14ac:dyDescent="0.35">
      <c r="A448" s="19" t="s">
        <v>650</v>
      </c>
      <c r="B448" s="1">
        <v>6</v>
      </c>
      <c r="C448" s="2" t="s">
        <v>697</v>
      </c>
      <c r="D448" s="2" t="s">
        <v>697</v>
      </c>
      <c r="E448" s="2" t="s">
        <v>697</v>
      </c>
      <c r="F448" s="2" t="s">
        <v>697</v>
      </c>
      <c r="G448" s="2" t="s">
        <v>697</v>
      </c>
      <c r="H448" s="2" t="s">
        <v>697</v>
      </c>
      <c r="I448" s="2" t="s">
        <v>697</v>
      </c>
      <c r="J448" s="2" t="s">
        <v>697</v>
      </c>
      <c r="K448" s="2" t="s">
        <v>697</v>
      </c>
      <c r="L448" s="2" t="s">
        <v>697</v>
      </c>
      <c r="M448" s="2" t="s">
        <v>697</v>
      </c>
      <c r="N448" s="2" t="s">
        <v>697</v>
      </c>
      <c r="O448" s="2" t="s">
        <v>697</v>
      </c>
      <c r="P448" s="2" t="s">
        <v>697</v>
      </c>
      <c r="Q448" s="2" t="s">
        <v>697</v>
      </c>
      <c r="R448" s="2" t="s">
        <v>697</v>
      </c>
      <c r="S448" s="2" t="s">
        <v>697</v>
      </c>
      <c r="T448" s="2" t="s">
        <v>697</v>
      </c>
      <c r="U448" s="2" t="s">
        <v>697</v>
      </c>
      <c r="V448" s="2" t="s">
        <v>697</v>
      </c>
      <c r="W448" s="2" t="s">
        <v>697</v>
      </c>
      <c r="X448" s="2" t="s">
        <v>697</v>
      </c>
      <c r="Y448" s="2" t="s">
        <v>697</v>
      </c>
      <c r="Z448" s="2" t="s">
        <v>697</v>
      </c>
      <c r="AA448" s="2" t="s">
        <v>697</v>
      </c>
      <c r="AB448" s="2" t="s">
        <v>697</v>
      </c>
      <c r="AC448" s="2" t="s">
        <v>697</v>
      </c>
      <c r="AD448" s="2" t="s">
        <v>697</v>
      </c>
      <c r="AE448" s="2" t="s">
        <v>697</v>
      </c>
      <c r="AF448" s="2" t="s">
        <v>697</v>
      </c>
      <c r="AG448" s="2" t="s">
        <v>697</v>
      </c>
      <c r="AH448" s="2" t="s">
        <v>697</v>
      </c>
      <c r="AI448" s="4" t="s">
        <v>697</v>
      </c>
      <c r="AJ448" s="4" t="s">
        <v>697</v>
      </c>
    </row>
    <row r="449" spans="1:36" x14ac:dyDescent="0.35">
      <c r="A449" s="19" t="s">
        <v>50</v>
      </c>
      <c r="B449" s="1">
        <v>7</v>
      </c>
      <c r="C449" s="2">
        <v>326</v>
      </c>
      <c r="D449" s="2">
        <v>3</v>
      </c>
      <c r="E449" s="2">
        <v>-10</v>
      </c>
      <c r="F449" s="2">
        <v>44</v>
      </c>
      <c r="G449" s="2">
        <v>11</v>
      </c>
      <c r="H449" s="2">
        <v>0</v>
      </c>
      <c r="I449" s="2">
        <v>1</v>
      </c>
      <c r="J449" s="2">
        <v>-2</v>
      </c>
      <c r="K449" s="2">
        <v>2</v>
      </c>
      <c r="L449" s="2">
        <v>6</v>
      </c>
      <c r="M449" s="2">
        <v>4</v>
      </c>
      <c r="N449" s="2">
        <v>121</v>
      </c>
      <c r="O449" s="2">
        <v>9</v>
      </c>
      <c r="P449" s="2">
        <v>183</v>
      </c>
      <c r="Q449" s="2">
        <v>0</v>
      </c>
      <c r="R449" s="2">
        <v>0</v>
      </c>
      <c r="S449" s="2">
        <v>0</v>
      </c>
      <c r="T449" s="2">
        <v>0</v>
      </c>
      <c r="U449" s="2">
        <v>3</v>
      </c>
      <c r="V449" s="2">
        <v>18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2</v>
      </c>
      <c r="AC449" s="2">
        <v>1</v>
      </c>
      <c r="AD449" s="2">
        <v>0</v>
      </c>
      <c r="AE449" s="2">
        <v>0</v>
      </c>
      <c r="AF449" s="2">
        <v>0</v>
      </c>
      <c r="AG449" s="2">
        <v>0</v>
      </c>
      <c r="AH449" s="2">
        <v>1</v>
      </c>
      <c r="AI449" s="4">
        <f>Table2121418198598110[[#This Row],[QB PY]]+Table2121418198598110[[#This Row],[QB RY]]</f>
        <v>316</v>
      </c>
      <c r="AJ449" s="4">
        <f>Table2121418198598110[[#This Row],[RB1 RY]]+Table2121418198598110[[#This Row],[RB2+ RY]]+Table2121418198598110[[#This Row],[RB1 RecY]]+Table2121418198598110[[#This Row],[RB2 RecY]]</f>
        <v>59</v>
      </c>
    </row>
    <row r="450" spans="1:36" x14ac:dyDescent="0.35">
      <c r="A450" s="19" t="s">
        <v>41</v>
      </c>
      <c r="B450" s="1">
        <v>8</v>
      </c>
      <c r="C450" s="2">
        <v>227</v>
      </c>
      <c r="D450" s="2">
        <v>3</v>
      </c>
      <c r="E450" s="2">
        <v>62</v>
      </c>
      <c r="F450" s="2">
        <v>117</v>
      </c>
      <c r="G450" s="2">
        <v>28</v>
      </c>
      <c r="H450" s="2">
        <v>0</v>
      </c>
      <c r="I450" s="2">
        <v>1</v>
      </c>
      <c r="J450" s="2">
        <v>10</v>
      </c>
      <c r="K450" s="2">
        <v>0</v>
      </c>
      <c r="L450" s="2">
        <v>0</v>
      </c>
      <c r="M450" s="2">
        <v>6</v>
      </c>
      <c r="N450" s="2">
        <v>88</v>
      </c>
      <c r="O450" s="2">
        <v>4</v>
      </c>
      <c r="P450" s="2">
        <v>44</v>
      </c>
      <c r="Q450" s="2">
        <v>0</v>
      </c>
      <c r="R450" s="2">
        <v>0</v>
      </c>
      <c r="S450" s="2">
        <v>2</v>
      </c>
      <c r="T450" s="2">
        <v>8</v>
      </c>
      <c r="U450" s="2">
        <v>5</v>
      </c>
      <c r="V450" s="2">
        <v>77</v>
      </c>
      <c r="W450" s="2">
        <v>0</v>
      </c>
      <c r="X450" s="2">
        <v>0</v>
      </c>
      <c r="Y450" s="2">
        <v>0</v>
      </c>
      <c r="Z450" s="2">
        <v>1</v>
      </c>
      <c r="AA450" s="2">
        <v>0</v>
      </c>
      <c r="AB450" s="2">
        <v>1</v>
      </c>
      <c r="AC450" s="2">
        <v>0</v>
      </c>
      <c r="AD450" s="2">
        <v>0</v>
      </c>
      <c r="AE450" s="2">
        <v>1</v>
      </c>
      <c r="AF450" s="2">
        <v>1</v>
      </c>
      <c r="AG450" s="2">
        <v>0</v>
      </c>
      <c r="AH450" s="2">
        <v>0</v>
      </c>
      <c r="AI450" s="4">
        <f>Table2121418198598110[[#This Row],[QB PY]]+Table2121418198598110[[#This Row],[QB RY]]</f>
        <v>289</v>
      </c>
      <c r="AJ450" s="4">
        <f>Table2121418198598110[[#This Row],[RB1 RY]]+Table2121418198598110[[#This Row],[RB2+ RY]]+Table2121418198598110[[#This Row],[RB1 RecY]]+Table2121418198598110[[#This Row],[RB2 RecY]]</f>
        <v>155</v>
      </c>
    </row>
    <row r="451" spans="1:36" x14ac:dyDescent="0.35">
      <c r="A451" s="19" t="s">
        <v>35</v>
      </c>
      <c r="B451" s="1">
        <v>9</v>
      </c>
      <c r="C451" s="2">
        <v>284</v>
      </c>
      <c r="D451" s="2">
        <v>2</v>
      </c>
      <c r="E451" s="2">
        <v>0</v>
      </c>
      <c r="F451" s="2">
        <v>40</v>
      </c>
      <c r="G451" s="2">
        <v>25</v>
      </c>
      <c r="H451" s="2">
        <v>0</v>
      </c>
      <c r="I451" s="2">
        <v>3</v>
      </c>
      <c r="J451" s="2">
        <v>3</v>
      </c>
      <c r="K451" s="2">
        <v>2</v>
      </c>
      <c r="L451" s="2">
        <v>10</v>
      </c>
      <c r="M451" s="2">
        <v>9</v>
      </c>
      <c r="N451" s="2">
        <v>97</v>
      </c>
      <c r="O451" s="2">
        <v>4</v>
      </c>
      <c r="P451" s="2">
        <v>66</v>
      </c>
      <c r="Q451" s="2">
        <v>0</v>
      </c>
      <c r="R451" s="2">
        <v>0</v>
      </c>
      <c r="S451" s="2">
        <v>0</v>
      </c>
      <c r="T451" s="2">
        <v>0</v>
      </c>
      <c r="U451" s="2">
        <v>6</v>
      </c>
      <c r="V451" s="2">
        <v>97</v>
      </c>
      <c r="W451" s="2">
        <v>1</v>
      </c>
      <c r="X451" s="2">
        <v>11</v>
      </c>
      <c r="Y451" s="2">
        <v>0</v>
      </c>
      <c r="Z451" s="2">
        <v>0</v>
      </c>
      <c r="AA451" s="2">
        <v>1</v>
      </c>
      <c r="AB451" s="2">
        <v>0</v>
      </c>
      <c r="AC451" s="2">
        <v>1</v>
      </c>
      <c r="AD451" s="2">
        <v>0</v>
      </c>
      <c r="AE451" s="2">
        <v>0</v>
      </c>
      <c r="AF451" s="2">
        <v>1</v>
      </c>
      <c r="AG451" s="2">
        <v>0</v>
      </c>
      <c r="AH451" s="2">
        <v>0</v>
      </c>
      <c r="AI451" s="4">
        <f>Table2121418198598110[[#This Row],[QB PY]]+Table2121418198598110[[#This Row],[QB RY]]</f>
        <v>284</v>
      </c>
      <c r="AJ451" s="4">
        <f>Table2121418198598110[[#This Row],[RB1 RY]]+Table2121418198598110[[#This Row],[RB2+ RY]]+Table2121418198598110[[#This Row],[RB1 RecY]]+Table2121418198598110[[#This Row],[RB2 RecY]]</f>
        <v>78</v>
      </c>
    </row>
    <row r="452" spans="1:36" x14ac:dyDescent="0.35">
      <c r="A452" s="19" t="s">
        <v>16</v>
      </c>
      <c r="B452" s="1">
        <v>10</v>
      </c>
      <c r="C452" s="2">
        <v>176</v>
      </c>
      <c r="D452" s="2">
        <v>1</v>
      </c>
      <c r="E452" s="2">
        <v>36</v>
      </c>
      <c r="F452" s="2">
        <v>75</v>
      </c>
      <c r="G452" s="2">
        <v>35</v>
      </c>
      <c r="H452" s="2">
        <v>6</v>
      </c>
      <c r="I452" s="2">
        <v>3</v>
      </c>
      <c r="J452" s="2">
        <v>9</v>
      </c>
      <c r="K452" s="2">
        <v>1</v>
      </c>
      <c r="L452" s="2">
        <v>12</v>
      </c>
      <c r="M452" s="2">
        <v>4</v>
      </c>
      <c r="N452" s="2">
        <v>75</v>
      </c>
      <c r="O452" s="2">
        <v>1</v>
      </c>
      <c r="P452" s="2">
        <v>10</v>
      </c>
      <c r="Q452" s="2">
        <v>2</v>
      </c>
      <c r="R452" s="2">
        <v>16</v>
      </c>
      <c r="S452" s="2">
        <v>0</v>
      </c>
      <c r="T452" s="2">
        <v>0</v>
      </c>
      <c r="U452" s="2">
        <v>3</v>
      </c>
      <c r="V452" s="2">
        <v>14</v>
      </c>
      <c r="W452" s="2">
        <v>3</v>
      </c>
      <c r="X452" s="2">
        <v>40</v>
      </c>
      <c r="Y452" s="2">
        <v>0</v>
      </c>
      <c r="Z452" s="2">
        <v>0</v>
      </c>
      <c r="AA452" s="2">
        <v>1</v>
      </c>
      <c r="AB452" s="2">
        <v>0</v>
      </c>
      <c r="AC452" s="2">
        <v>0</v>
      </c>
      <c r="AD452" s="2">
        <v>0</v>
      </c>
      <c r="AE452" s="2">
        <v>0</v>
      </c>
      <c r="AF452" s="2">
        <v>1</v>
      </c>
      <c r="AG452" s="2">
        <v>0</v>
      </c>
      <c r="AH452" s="2">
        <v>0</v>
      </c>
      <c r="AI452" s="4">
        <f>Table2121418198598110[[#This Row],[QB PY]]+Table2121418198598110[[#This Row],[QB RY]]</f>
        <v>212</v>
      </c>
      <c r="AJ452" s="4">
        <f>Table2121418198598110[[#This Row],[RB1 RY]]+Table2121418198598110[[#This Row],[RB2+ RY]]+Table2121418198598110[[#This Row],[RB1 RecY]]+Table2121418198598110[[#This Row],[RB2 RecY]]</f>
        <v>131</v>
      </c>
    </row>
    <row r="453" spans="1:36" x14ac:dyDescent="0.35">
      <c r="A453" s="19" t="s">
        <v>30</v>
      </c>
      <c r="B453" s="1">
        <v>11</v>
      </c>
      <c r="C453" s="2">
        <v>193</v>
      </c>
      <c r="D453" s="2">
        <v>0</v>
      </c>
      <c r="E453" s="2">
        <v>26</v>
      </c>
      <c r="F453" s="2">
        <v>90</v>
      </c>
      <c r="G453" s="2">
        <v>21</v>
      </c>
      <c r="H453" s="2">
        <v>3</v>
      </c>
      <c r="I453" s="2">
        <v>0</v>
      </c>
      <c r="J453" s="2">
        <v>0</v>
      </c>
      <c r="K453" s="2">
        <v>1</v>
      </c>
      <c r="L453" s="2">
        <v>14</v>
      </c>
      <c r="M453" s="2">
        <v>1</v>
      </c>
      <c r="N453" s="2">
        <v>18</v>
      </c>
      <c r="O453" s="2">
        <v>2</v>
      </c>
      <c r="P453" s="2">
        <v>41</v>
      </c>
      <c r="Q453" s="2">
        <v>3</v>
      </c>
      <c r="R453" s="2">
        <v>27</v>
      </c>
      <c r="S453" s="2">
        <v>0</v>
      </c>
      <c r="T453" s="2">
        <v>0</v>
      </c>
      <c r="U453" s="2">
        <v>5</v>
      </c>
      <c r="V453" s="2">
        <v>45</v>
      </c>
      <c r="W453" s="2">
        <v>4</v>
      </c>
      <c r="X453" s="2">
        <v>48</v>
      </c>
      <c r="Y453" s="2">
        <v>0</v>
      </c>
      <c r="Z453" s="2">
        <v>0</v>
      </c>
      <c r="AA453" s="2">
        <v>1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4">
        <f>Table2121418198598110[[#This Row],[QB PY]]+Table2121418198598110[[#This Row],[QB RY]]</f>
        <v>219</v>
      </c>
      <c r="AJ453" s="4">
        <f>Table2121418198598110[[#This Row],[RB1 RY]]+Table2121418198598110[[#This Row],[RB2+ RY]]+Table2121418198598110[[#This Row],[RB1 RecY]]+Table2121418198598110[[#This Row],[RB2 RecY]]</f>
        <v>125</v>
      </c>
    </row>
    <row r="454" spans="1:36" x14ac:dyDescent="0.35">
      <c r="A454" s="19" t="s">
        <v>36</v>
      </c>
      <c r="B454" s="1">
        <v>12</v>
      </c>
      <c r="C454" s="2">
        <v>146</v>
      </c>
      <c r="D454" s="2">
        <v>0</v>
      </c>
      <c r="E454" s="2">
        <v>18</v>
      </c>
      <c r="F454" s="2">
        <v>107</v>
      </c>
      <c r="G454" s="2">
        <v>21</v>
      </c>
      <c r="H454" s="2">
        <v>0</v>
      </c>
      <c r="I454" s="2">
        <v>2</v>
      </c>
      <c r="J454" s="2">
        <v>18</v>
      </c>
      <c r="K454" s="2">
        <v>1</v>
      </c>
      <c r="L454" s="2">
        <v>5</v>
      </c>
      <c r="M454" s="2">
        <v>2</v>
      </c>
      <c r="N454" s="2">
        <v>23</v>
      </c>
      <c r="O454" s="2">
        <v>5</v>
      </c>
      <c r="P454" s="2">
        <v>49</v>
      </c>
      <c r="Q454" s="2">
        <v>2</v>
      </c>
      <c r="R454" s="2">
        <v>32</v>
      </c>
      <c r="S454" s="2">
        <v>0</v>
      </c>
      <c r="T454" s="2">
        <v>0</v>
      </c>
      <c r="U454" s="2">
        <v>1</v>
      </c>
      <c r="V454" s="2">
        <v>7</v>
      </c>
      <c r="W454" s="2">
        <v>2</v>
      </c>
      <c r="X454" s="2">
        <v>12</v>
      </c>
      <c r="Y454" s="2">
        <v>0</v>
      </c>
      <c r="Z454" s="2">
        <v>2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4">
        <f>Table2121418198598110[[#This Row],[QB PY]]+Table2121418198598110[[#This Row],[QB RY]]</f>
        <v>164</v>
      </c>
      <c r="AJ454" s="4">
        <f>Table2121418198598110[[#This Row],[RB1 RY]]+Table2121418198598110[[#This Row],[RB2+ RY]]+Table2121418198598110[[#This Row],[RB1 RecY]]+Table2121418198598110[[#This Row],[RB2 RecY]]</f>
        <v>151</v>
      </c>
    </row>
    <row r="455" spans="1:36" x14ac:dyDescent="0.35">
      <c r="A455" s="19" t="s">
        <v>52</v>
      </c>
      <c r="B455" s="1">
        <v>13</v>
      </c>
      <c r="C455" s="2">
        <v>128</v>
      </c>
      <c r="D455" s="2">
        <v>0</v>
      </c>
      <c r="E455" s="2">
        <v>0</v>
      </c>
      <c r="F455" s="2">
        <v>56</v>
      </c>
      <c r="G455" s="2">
        <v>58</v>
      </c>
      <c r="H455" s="2">
        <v>11</v>
      </c>
      <c r="I455" s="2">
        <v>3</v>
      </c>
      <c r="J455" s="2">
        <v>18</v>
      </c>
      <c r="K455" s="2">
        <v>0</v>
      </c>
      <c r="L455" s="2">
        <v>0</v>
      </c>
      <c r="M455" s="2">
        <v>2</v>
      </c>
      <c r="N455" s="2">
        <v>23</v>
      </c>
      <c r="O455" s="2">
        <v>3</v>
      </c>
      <c r="P455" s="2">
        <v>24</v>
      </c>
      <c r="Q455" s="2">
        <v>1</v>
      </c>
      <c r="R455" s="2">
        <v>7</v>
      </c>
      <c r="S455" s="2">
        <v>1</v>
      </c>
      <c r="T455" s="2">
        <v>21</v>
      </c>
      <c r="U455" s="2">
        <v>4</v>
      </c>
      <c r="V455" s="2">
        <v>35</v>
      </c>
      <c r="W455" s="2">
        <v>0</v>
      </c>
      <c r="X455" s="2">
        <v>0</v>
      </c>
      <c r="Y455" s="2">
        <v>0</v>
      </c>
      <c r="Z455" s="2">
        <v>0</v>
      </c>
      <c r="AA455" s="2">
        <v>1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1</v>
      </c>
      <c r="AI455" s="4">
        <f>Table2121418198598110[[#This Row],[QB PY]]+Table2121418198598110[[#This Row],[QB RY]]</f>
        <v>128</v>
      </c>
      <c r="AJ455" s="4">
        <f>Table2121418198598110[[#This Row],[RB1 RY]]+Table2121418198598110[[#This Row],[RB2+ RY]]+Table2121418198598110[[#This Row],[RB1 RecY]]+Table2121418198598110[[#This Row],[RB2 RecY]]</f>
        <v>132</v>
      </c>
    </row>
    <row r="456" spans="1:36" x14ac:dyDescent="0.35">
      <c r="A456" s="19" t="s">
        <v>56</v>
      </c>
      <c r="B456" s="1">
        <v>14</v>
      </c>
      <c r="C456" s="2">
        <v>108</v>
      </c>
      <c r="D456" s="2">
        <v>0</v>
      </c>
      <c r="E456" s="2">
        <v>23</v>
      </c>
      <c r="F456" s="2">
        <v>52</v>
      </c>
      <c r="G456" s="2">
        <v>32</v>
      </c>
      <c r="H456" s="2">
        <v>0</v>
      </c>
      <c r="I456" s="2">
        <v>1</v>
      </c>
      <c r="J456" s="2">
        <v>2</v>
      </c>
      <c r="K456" s="2">
        <v>0</v>
      </c>
      <c r="L456" s="2">
        <v>0</v>
      </c>
      <c r="M456" s="2">
        <v>3</v>
      </c>
      <c r="N456" s="2">
        <v>41</v>
      </c>
      <c r="O456" s="2">
        <v>4</v>
      </c>
      <c r="P456" s="2">
        <v>27</v>
      </c>
      <c r="Q456" s="2">
        <v>1</v>
      </c>
      <c r="R456" s="2">
        <v>19</v>
      </c>
      <c r="S456" s="2">
        <v>0</v>
      </c>
      <c r="T456" s="2">
        <v>0</v>
      </c>
      <c r="U456" s="2">
        <v>1</v>
      </c>
      <c r="V456" s="2">
        <v>11</v>
      </c>
      <c r="W456" s="2">
        <v>1</v>
      </c>
      <c r="X456" s="2">
        <v>8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4">
        <f>Table2121418198598110[[#This Row],[QB PY]]+Table2121418198598110[[#This Row],[QB RY]]</f>
        <v>131</v>
      </c>
      <c r="AJ456" s="4">
        <f>Table2121418198598110[[#This Row],[RB1 RY]]+Table2121418198598110[[#This Row],[RB2+ RY]]+Table2121418198598110[[#This Row],[RB1 RecY]]+Table2121418198598110[[#This Row],[RB2 RecY]]</f>
        <v>86</v>
      </c>
    </row>
    <row r="457" spans="1:36" x14ac:dyDescent="0.35">
      <c r="A457" s="19" t="s">
        <v>33</v>
      </c>
      <c r="B457" s="1">
        <v>15</v>
      </c>
      <c r="C457" s="2">
        <v>294</v>
      </c>
      <c r="D457" s="2">
        <v>0</v>
      </c>
      <c r="E457" s="2">
        <v>8</v>
      </c>
      <c r="F457" s="2">
        <v>91</v>
      </c>
      <c r="G457" s="2">
        <v>37</v>
      </c>
      <c r="H457" s="2">
        <v>2</v>
      </c>
      <c r="I457" s="2">
        <v>0</v>
      </c>
      <c r="J457" s="2">
        <v>0</v>
      </c>
      <c r="K457" s="2">
        <v>4</v>
      </c>
      <c r="L457" s="2">
        <v>30</v>
      </c>
      <c r="M457" s="2">
        <v>6</v>
      </c>
      <c r="N457" s="2">
        <v>111</v>
      </c>
      <c r="O457" s="2">
        <v>3</v>
      </c>
      <c r="P457" s="2">
        <v>33</v>
      </c>
      <c r="Q457" s="2">
        <v>4</v>
      </c>
      <c r="R457" s="2">
        <v>40</v>
      </c>
      <c r="S457" s="2">
        <v>3</v>
      </c>
      <c r="T457" s="2">
        <v>35</v>
      </c>
      <c r="U457" s="2">
        <v>2</v>
      </c>
      <c r="V457" s="2">
        <v>16</v>
      </c>
      <c r="W457" s="2">
        <v>1</v>
      </c>
      <c r="X457" s="2">
        <v>29</v>
      </c>
      <c r="Y457" s="2">
        <v>0</v>
      </c>
      <c r="Z457" s="2">
        <v>1</v>
      </c>
      <c r="AA457" s="2">
        <v>1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4">
        <f>Table2121418198598110[[#This Row],[QB PY]]+Table2121418198598110[[#This Row],[QB RY]]</f>
        <v>302</v>
      </c>
      <c r="AJ457" s="4">
        <f>Table2121418198598110[[#This Row],[RB1 RY]]+Table2121418198598110[[#This Row],[RB2+ RY]]+Table2121418198598110[[#This Row],[RB1 RecY]]+Table2121418198598110[[#This Row],[RB2 RecY]]</f>
        <v>158</v>
      </c>
    </row>
    <row r="458" spans="1:36" x14ac:dyDescent="0.35">
      <c r="A458" s="19" t="s">
        <v>48</v>
      </c>
      <c r="B458" s="1">
        <v>16</v>
      </c>
      <c r="C458" s="2">
        <v>33</v>
      </c>
      <c r="D458" s="2">
        <v>0</v>
      </c>
      <c r="E458" s="2">
        <v>7</v>
      </c>
      <c r="F458" s="2">
        <v>71</v>
      </c>
      <c r="G458" s="2">
        <v>47</v>
      </c>
      <c r="H458" s="2">
        <v>3</v>
      </c>
      <c r="I458" s="2">
        <v>2</v>
      </c>
      <c r="J458" s="2">
        <v>7</v>
      </c>
      <c r="K458" s="2">
        <v>1</v>
      </c>
      <c r="L458" s="2">
        <v>-1</v>
      </c>
      <c r="M458" s="2">
        <v>3</v>
      </c>
      <c r="N458" s="2">
        <v>19</v>
      </c>
      <c r="O458" s="2">
        <v>1</v>
      </c>
      <c r="P458" s="2">
        <v>8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1</v>
      </c>
      <c r="AI458" s="4">
        <f>Table2121418198598110[[#This Row],[QB PY]]+Table2121418198598110[[#This Row],[QB RY]]</f>
        <v>40</v>
      </c>
      <c r="AJ458" s="4">
        <f>Table2121418198598110[[#This Row],[RB1 RY]]+Table2121418198598110[[#This Row],[RB2+ RY]]+Table2121418198598110[[#This Row],[RB1 RecY]]+Table2121418198598110[[#This Row],[RB2 RecY]]</f>
        <v>124</v>
      </c>
    </row>
    <row r="459" spans="1:36" x14ac:dyDescent="0.35">
      <c r="A459" s="19" t="s">
        <v>35</v>
      </c>
      <c r="B459" s="1">
        <v>17</v>
      </c>
      <c r="C459" s="2">
        <v>197</v>
      </c>
      <c r="D459" s="2">
        <v>1</v>
      </c>
      <c r="E459" s="2">
        <v>2</v>
      </c>
      <c r="F459" s="2">
        <v>41</v>
      </c>
      <c r="G459" s="2">
        <v>25</v>
      </c>
      <c r="H459" s="2">
        <v>0</v>
      </c>
      <c r="I459" s="2">
        <v>2</v>
      </c>
      <c r="J459" s="2">
        <v>23</v>
      </c>
      <c r="K459" s="2">
        <v>2</v>
      </c>
      <c r="L459" s="2">
        <v>15</v>
      </c>
      <c r="M459" s="2">
        <v>8</v>
      </c>
      <c r="N459" s="2">
        <v>68</v>
      </c>
      <c r="O459" s="2">
        <v>2</v>
      </c>
      <c r="P459" s="2">
        <v>37</v>
      </c>
      <c r="Q459" s="2">
        <v>3</v>
      </c>
      <c r="R459" s="2">
        <v>49</v>
      </c>
      <c r="S459" s="2">
        <v>1</v>
      </c>
      <c r="T459" s="2">
        <v>5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1</v>
      </c>
      <c r="AE459" s="2">
        <v>0</v>
      </c>
      <c r="AF459" s="2">
        <v>0</v>
      </c>
      <c r="AG459" s="2">
        <v>0</v>
      </c>
      <c r="AH459" s="2">
        <v>0</v>
      </c>
      <c r="AI459" s="4">
        <f>Table2121418198598110[[#This Row],[QB PY]]+Table2121418198598110[[#This Row],[QB RY]]</f>
        <v>199</v>
      </c>
      <c r="AJ459" s="4">
        <f>Table2121418198598110[[#This Row],[RB1 RY]]+Table2121418198598110[[#This Row],[RB2+ RY]]+Table2121418198598110[[#This Row],[RB1 RecY]]+Table2121418198598110[[#This Row],[RB2 RecY]]</f>
        <v>104</v>
      </c>
    </row>
    <row r="460" spans="1:36" x14ac:dyDescent="0.35">
      <c r="A460" s="19" t="s">
        <v>36</v>
      </c>
      <c r="B460" s="1">
        <v>18</v>
      </c>
      <c r="C460" s="2">
        <v>34</v>
      </c>
      <c r="D460" s="2">
        <v>0</v>
      </c>
      <c r="E460" s="2">
        <v>23</v>
      </c>
      <c r="F460" s="2">
        <v>44</v>
      </c>
      <c r="G460" s="2">
        <v>61</v>
      </c>
      <c r="H460" s="2">
        <v>0</v>
      </c>
      <c r="I460" s="2">
        <v>1</v>
      </c>
      <c r="J460" s="2">
        <v>4</v>
      </c>
      <c r="K460" s="2">
        <v>0</v>
      </c>
      <c r="L460" s="2">
        <v>0</v>
      </c>
      <c r="M460" s="2">
        <v>1</v>
      </c>
      <c r="N460" s="2">
        <v>8</v>
      </c>
      <c r="O460" s="2">
        <v>2</v>
      </c>
      <c r="P460" s="2">
        <v>15</v>
      </c>
      <c r="Q460" s="2">
        <v>0</v>
      </c>
      <c r="R460" s="2">
        <v>0</v>
      </c>
      <c r="S460" s="2">
        <v>0</v>
      </c>
      <c r="T460" s="2">
        <v>0</v>
      </c>
      <c r="U460" s="2">
        <v>1</v>
      </c>
      <c r="V460" s="2">
        <v>4</v>
      </c>
      <c r="W460" s="2">
        <v>1</v>
      </c>
      <c r="X460" s="2">
        <v>3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4">
        <f>Table2121418198598110[[#This Row],[QB PY]]+Table2121418198598110[[#This Row],[QB RY]]</f>
        <v>57</v>
      </c>
      <c r="AJ460" s="4">
        <f>Table2121418198598110[[#This Row],[RB1 RY]]+Table2121418198598110[[#This Row],[RB2+ RY]]+Table2121418198598110[[#This Row],[RB1 RecY]]+Table2121418198598110[[#This Row],[RB2 RecY]]</f>
        <v>109</v>
      </c>
    </row>
    <row r="461" spans="1:36" x14ac:dyDescent="0.35">
      <c r="B461" s="1" t="s">
        <v>57</v>
      </c>
      <c r="C461" s="3">
        <f>AVERAGE(Table2121418198598110[QB PY])</f>
        <v>177.70588235294119</v>
      </c>
      <c r="D461" s="3">
        <f>AVERAGE(Table2121418198598110[P TD])</f>
        <v>0.88235294117647056</v>
      </c>
      <c r="E461" s="3">
        <f>AVERAGE(Table2121418198598110[QB RY])</f>
        <v>15.764705882352942</v>
      </c>
      <c r="F461" s="3">
        <f>AVERAGE(Table2121418198598110[RB1 RY])</f>
        <v>72.705882352941174</v>
      </c>
      <c r="G461" s="3">
        <f>AVERAGE(Table2121418198598110[RB2+ RY])</f>
        <v>32.411764705882355</v>
      </c>
      <c r="H461" s="3">
        <f>AVERAGE(Table2121418198598110[WR RY])</f>
        <v>3.2352941176470589</v>
      </c>
      <c r="I461" s="3">
        <f>AVERAGE(Table2121418198598110[RB1 Recep])</f>
        <v>2.1176470588235294</v>
      </c>
      <c r="J461" s="3">
        <f>AVERAGE(Table2121418198598110[RB1 RecY])</f>
        <v>11.705882352941176</v>
      </c>
      <c r="K461" s="3">
        <f>AVERAGE(Table2121418198598110[RB2 Recep])</f>
        <v>1.1176470588235294</v>
      </c>
      <c r="L461" s="3">
        <f>AVERAGE(Table2121418198598110[RB2 RecY])</f>
        <v>7.7647058823529411</v>
      </c>
      <c r="M461" s="3">
        <f>AVERAGE(Table2121418198598110[WR1 Recep])</f>
        <v>3.9411764705882355</v>
      </c>
      <c r="N461" s="3">
        <f>AVERAGE(Table2121418198598110[WR1 RecY])</f>
        <v>58.823529411764703</v>
      </c>
      <c r="O461" s="3">
        <f>AVERAGE(Table2121418198598110[WR2 Recep])</f>
        <v>3.1176470588235294</v>
      </c>
      <c r="P461" s="3">
        <f>AVERAGE(Table2121418198598110[WR2 RecY])</f>
        <v>38.294117647058826</v>
      </c>
      <c r="Q461" s="3">
        <f>AVERAGE(Table2121418198598110[WR3 Recep])</f>
        <v>1.2352941176470589</v>
      </c>
      <c r="R461" s="3">
        <f>AVERAGE(Table2121418198598110[WR3 RecY])</f>
        <v>14.941176470588236</v>
      </c>
      <c r="S461" s="3">
        <f>AVERAGE(Table2121418198598110[WR4+ Recep])</f>
        <v>0.47058823529411764</v>
      </c>
      <c r="T461" s="3">
        <f>AVERAGE(Table2121418198598110[WR4+ RecY])</f>
        <v>3.8823529411764706</v>
      </c>
      <c r="U461" s="3">
        <f>AVERAGE(Table2121418198598110[TE1 Recep])</f>
        <v>2.8823529411764706</v>
      </c>
      <c r="V461" s="3">
        <f>AVERAGE(Table2121418198598110[TE1 RecY])</f>
        <v>28.882352941176471</v>
      </c>
      <c r="W461" s="3">
        <f>AVERAGE(Table2121418198598110[TE2 Recep])</f>
        <v>1.5294117647058822</v>
      </c>
      <c r="X461" s="3">
        <f>AVERAGE(Table2121418198598110[TE2 RecY])</f>
        <v>13.411764705882353</v>
      </c>
      <c r="Y461" s="3">
        <f>AVERAGE(Table2121418198598110[QB TD])</f>
        <v>5.8823529411764705E-2</v>
      </c>
      <c r="Z461" s="3">
        <f>AVERAGE(Table2121418198598110[RB1 TD])</f>
        <v>0.35294117647058826</v>
      </c>
      <c r="AA461" s="3">
        <f>AVERAGE(Table2121418198598110[RB2 TD])</f>
        <v>0.35294117647058826</v>
      </c>
      <c r="AB461" s="3">
        <f>AVERAGE(Table2121418198598110[WR1 TD])</f>
        <v>0.23529411764705882</v>
      </c>
      <c r="AC461" s="3">
        <f>AVERAGE(Table2121418198598110[WR2 TD])</f>
        <v>0.17647058823529413</v>
      </c>
      <c r="AD461" s="3">
        <f>AVERAGE(Table2121418198598110[WR3 TD])</f>
        <v>5.8823529411764705E-2</v>
      </c>
      <c r="AE461" s="3">
        <f>AVERAGE(Table2121418198598110[WR4+ TD])</f>
        <v>5.8823529411764705E-2</v>
      </c>
      <c r="AF461" s="3">
        <f>AVERAGE(Table2121418198598110[TE1 TD])</f>
        <v>0.23529411764705882</v>
      </c>
      <c r="AG461" s="3">
        <f>AVERAGE(Table2121418198598110[TE2 TD])</f>
        <v>0.11764705882352941</v>
      </c>
      <c r="AH461" s="3">
        <f>AVERAGE(Table2121418198598110[D/ST TD])</f>
        <v>0.23529411764705882</v>
      </c>
      <c r="AI461" s="3">
        <f>AVERAGE(Table2121418198598110[QB P+R])</f>
        <v>193.47058823529412</v>
      </c>
      <c r="AJ461" s="3">
        <f>AVERAGE(Table2121418198598110[RB R+R])</f>
        <v>124.58823529411765</v>
      </c>
    </row>
    <row r="463" spans="1:36" x14ac:dyDescent="0.35">
      <c r="A463" s="230" t="s">
        <v>46</v>
      </c>
      <c r="B463" s="230"/>
      <c r="C463" s="230"/>
      <c r="D463" s="230"/>
      <c r="E463" s="230"/>
      <c r="F463" s="230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  <c r="AF463" s="230"/>
      <c r="AG463" s="230"/>
      <c r="AH463" s="230"/>
      <c r="AI463" s="230"/>
      <c r="AJ463" s="230"/>
    </row>
    <row r="464" spans="1:36" x14ac:dyDescent="0.35">
      <c r="A464" s="20" t="s">
        <v>63</v>
      </c>
      <c r="B464" s="6" t="s">
        <v>1</v>
      </c>
      <c r="C464" s="7" t="s">
        <v>18</v>
      </c>
      <c r="D464" s="8" t="s">
        <v>19</v>
      </c>
      <c r="E464" s="9" t="s">
        <v>20</v>
      </c>
      <c r="F464" s="10" t="s">
        <v>21</v>
      </c>
      <c r="G464" s="11" t="s">
        <v>22</v>
      </c>
      <c r="H464" s="12" t="s">
        <v>23</v>
      </c>
      <c r="I464" s="13" t="s">
        <v>667</v>
      </c>
      <c r="J464" s="13" t="s">
        <v>668</v>
      </c>
      <c r="K464" s="13" t="s">
        <v>665</v>
      </c>
      <c r="L464" s="13" t="s">
        <v>666</v>
      </c>
      <c r="M464" s="14" t="s">
        <v>2</v>
      </c>
      <c r="N464" s="14" t="s">
        <v>24</v>
      </c>
      <c r="O464" s="15" t="s">
        <v>3</v>
      </c>
      <c r="P464" s="15" t="s">
        <v>25</v>
      </c>
      <c r="Q464" s="16" t="s">
        <v>4</v>
      </c>
      <c r="R464" s="16" t="s">
        <v>26</v>
      </c>
      <c r="S464" s="17" t="s">
        <v>5</v>
      </c>
      <c r="T464" s="17" t="s">
        <v>27</v>
      </c>
      <c r="U464" s="18" t="s">
        <v>669</v>
      </c>
      <c r="V464" s="18" t="s">
        <v>670</v>
      </c>
      <c r="W464" s="18" t="s">
        <v>675</v>
      </c>
      <c r="X464" s="18" t="s">
        <v>671</v>
      </c>
      <c r="Y464" s="6" t="s">
        <v>6</v>
      </c>
      <c r="Z464" s="6" t="s">
        <v>7</v>
      </c>
      <c r="AA464" s="6" t="s">
        <v>674</v>
      </c>
      <c r="AB464" s="6" t="s">
        <v>8</v>
      </c>
      <c r="AC464" s="6" t="s">
        <v>9</v>
      </c>
      <c r="AD464" s="6" t="s">
        <v>10</v>
      </c>
      <c r="AE464" s="6" t="s">
        <v>11</v>
      </c>
      <c r="AF464" s="6" t="s">
        <v>673</v>
      </c>
      <c r="AG464" s="6" t="s">
        <v>672</v>
      </c>
      <c r="AH464" s="6" t="s">
        <v>12</v>
      </c>
      <c r="AI464" s="8" t="s">
        <v>14</v>
      </c>
      <c r="AJ464" s="11" t="s">
        <v>13</v>
      </c>
    </row>
    <row r="465" spans="1:36" x14ac:dyDescent="0.35">
      <c r="A465" s="19" t="s">
        <v>43</v>
      </c>
      <c r="B465" s="5">
        <v>1</v>
      </c>
      <c r="C465" s="4">
        <v>362</v>
      </c>
      <c r="D465" s="4">
        <v>1</v>
      </c>
      <c r="E465" s="4">
        <v>10</v>
      </c>
      <c r="F465" s="4">
        <v>38</v>
      </c>
      <c r="G465" s="4">
        <v>8</v>
      </c>
      <c r="H465" s="4">
        <v>0</v>
      </c>
      <c r="I465" s="4">
        <v>2</v>
      </c>
      <c r="J465" s="4">
        <v>2</v>
      </c>
      <c r="K465" s="4">
        <v>0</v>
      </c>
      <c r="L465" s="4">
        <v>0</v>
      </c>
      <c r="M465" s="4">
        <v>8</v>
      </c>
      <c r="N465" s="4">
        <v>97</v>
      </c>
      <c r="O465" s="4">
        <v>2</v>
      </c>
      <c r="P465" s="4">
        <v>54</v>
      </c>
      <c r="Q465" s="4">
        <v>2</v>
      </c>
      <c r="R465" s="4">
        <v>45</v>
      </c>
      <c r="S465" s="4">
        <v>1</v>
      </c>
      <c r="T465" s="4">
        <v>23</v>
      </c>
      <c r="U465" s="4">
        <v>5</v>
      </c>
      <c r="V465" s="4">
        <v>103</v>
      </c>
      <c r="W465" s="4">
        <v>4</v>
      </c>
      <c r="X465" s="4">
        <v>38</v>
      </c>
      <c r="Y465" s="4">
        <v>0</v>
      </c>
      <c r="Z465" s="4">
        <v>1</v>
      </c>
      <c r="AA465" s="4">
        <v>0</v>
      </c>
      <c r="AB465" s="4">
        <v>0</v>
      </c>
      <c r="AC465" s="4">
        <v>1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f>Table2121418198598111[[#This Row],[QB PY]]+Table2121418198598111[[#This Row],[QB RY]]</f>
        <v>372</v>
      </c>
      <c r="AJ465" s="4">
        <f>Table2121418198598111[[#This Row],[RB1 RY]]+Table2121418198598111[[#This Row],[RB2+ RY]]+Table2121418198598111[[#This Row],[RB1 RecY]]+Table2121418198598111[[#This Row],[RB2 RecY]]</f>
        <v>48</v>
      </c>
    </row>
    <row r="466" spans="1:36" x14ac:dyDescent="0.35">
      <c r="A466" s="19" t="s">
        <v>44</v>
      </c>
      <c r="B466" s="1">
        <v>2</v>
      </c>
      <c r="C466" s="2">
        <v>315</v>
      </c>
      <c r="D466" s="2">
        <v>2</v>
      </c>
      <c r="E466" s="2">
        <v>0</v>
      </c>
      <c r="F466" s="2">
        <v>30</v>
      </c>
      <c r="G466" s="2">
        <v>8</v>
      </c>
      <c r="H466" s="2">
        <v>23</v>
      </c>
      <c r="I466" s="2">
        <v>8</v>
      </c>
      <c r="J466" s="2">
        <v>92</v>
      </c>
      <c r="K466" s="2">
        <v>3</v>
      </c>
      <c r="L466" s="2">
        <v>18</v>
      </c>
      <c r="M466" s="2">
        <v>6</v>
      </c>
      <c r="N466" s="2">
        <v>109</v>
      </c>
      <c r="O466" s="2">
        <v>5</v>
      </c>
      <c r="P466" s="2">
        <v>68</v>
      </c>
      <c r="Q466" s="2">
        <v>2</v>
      </c>
      <c r="R466" s="2">
        <v>18</v>
      </c>
      <c r="S466" s="2">
        <v>2</v>
      </c>
      <c r="T466" s="2">
        <v>10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1</v>
      </c>
      <c r="AA466" s="2">
        <v>0</v>
      </c>
      <c r="AB466" s="2">
        <v>0</v>
      </c>
      <c r="AC466" s="2">
        <v>1</v>
      </c>
      <c r="AD466" s="2">
        <v>0</v>
      </c>
      <c r="AE466" s="2">
        <v>0</v>
      </c>
      <c r="AF466" s="2">
        <v>0</v>
      </c>
      <c r="AG466" s="2">
        <v>0</v>
      </c>
      <c r="AH466" s="2">
        <v>1</v>
      </c>
      <c r="AI466" s="4">
        <f>Table2121418198598111[[#This Row],[QB PY]]+Table2121418198598111[[#This Row],[QB RY]]</f>
        <v>315</v>
      </c>
      <c r="AJ466" s="4">
        <f>Table2121418198598111[[#This Row],[RB1 RY]]+Table2121418198598111[[#This Row],[RB2+ RY]]+Table2121418198598111[[#This Row],[RB1 RecY]]+Table2121418198598111[[#This Row],[RB2 RecY]]</f>
        <v>148</v>
      </c>
    </row>
    <row r="467" spans="1:36" x14ac:dyDescent="0.35">
      <c r="A467" s="19" t="s">
        <v>51</v>
      </c>
      <c r="B467" s="1">
        <v>3</v>
      </c>
      <c r="C467" s="2">
        <v>139</v>
      </c>
      <c r="D467" s="2">
        <v>2</v>
      </c>
      <c r="E467" s="2">
        <v>1</v>
      </c>
      <c r="F467" s="2">
        <v>47</v>
      </c>
      <c r="G467" s="2">
        <v>16</v>
      </c>
      <c r="H467" s="2">
        <v>0</v>
      </c>
      <c r="I467" s="2">
        <v>5</v>
      </c>
      <c r="J467" s="2">
        <v>34</v>
      </c>
      <c r="K467" s="2">
        <v>1</v>
      </c>
      <c r="L467" s="2">
        <v>10</v>
      </c>
      <c r="M467" s="2">
        <v>3</v>
      </c>
      <c r="N467" s="2">
        <v>32</v>
      </c>
      <c r="O467" s="2">
        <v>3</v>
      </c>
      <c r="P467" s="2">
        <v>34</v>
      </c>
      <c r="Q467" s="2">
        <v>0</v>
      </c>
      <c r="R467" s="2">
        <v>0</v>
      </c>
      <c r="S467" s="2">
        <v>0</v>
      </c>
      <c r="T467" s="2">
        <v>0</v>
      </c>
      <c r="U467" s="2">
        <v>2</v>
      </c>
      <c r="V467" s="2">
        <v>23</v>
      </c>
      <c r="W467" s="2">
        <v>1</v>
      </c>
      <c r="X467" s="2">
        <v>6</v>
      </c>
      <c r="Y467" s="2">
        <v>0</v>
      </c>
      <c r="Z467" s="2">
        <v>0</v>
      </c>
      <c r="AA467" s="2">
        <v>1</v>
      </c>
      <c r="AB467" s="2">
        <v>1</v>
      </c>
      <c r="AC467" s="2">
        <v>1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4">
        <f>Table2121418198598111[[#This Row],[QB PY]]+Table2121418198598111[[#This Row],[QB RY]]</f>
        <v>140</v>
      </c>
      <c r="AJ467" s="4">
        <f>Table2121418198598111[[#This Row],[RB1 RY]]+Table2121418198598111[[#This Row],[RB2+ RY]]+Table2121418198598111[[#This Row],[RB1 RecY]]+Table2121418198598111[[#This Row],[RB2 RecY]]</f>
        <v>107</v>
      </c>
    </row>
    <row r="468" spans="1:36" x14ac:dyDescent="0.35">
      <c r="A468" s="19" t="s">
        <v>29</v>
      </c>
      <c r="B468" s="1">
        <v>4</v>
      </c>
      <c r="C468" s="2">
        <v>208</v>
      </c>
      <c r="D468" s="2">
        <v>2</v>
      </c>
      <c r="E468" s="2">
        <v>3</v>
      </c>
      <c r="F468" s="2">
        <v>49</v>
      </c>
      <c r="G468" s="2">
        <v>65</v>
      </c>
      <c r="H468" s="2">
        <v>12</v>
      </c>
      <c r="I468" s="2">
        <v>3</v>
      </c>
      <c r="J468" s="2">
        <v>20</v>
      </c>
      <c r="K468" s="2">
        <v>1</v>
      </c>
      <c r="L468" s="2">
        <v>-2</v>
      </c>
      <c r="M468" s="2">
        <v>4</v>
      </c>
      <c r="N468" s="2">
        <v>62</v>
      </c>
      <c r="O468" s="2">
        <v>2</v>
      </c>
      <c r="P468" s="2">
        <v>10</v>
      </c>
      <c r="Q468" s="2">
        <v>3</v>
      </c>
      <c r="R468" s="2">
        <v>36</v>
      </c>
      <c r="S468" s="2">
        <v>0</v>
      </c>
      <c r="T468" s="2">
        <v>0</v>
      </c>
      <c r="U468" s="2">
        <v>5</v>
      </c>
      <c r="V468" s="2">
        <v>42</v>
      </c>
      <c r="W468" s="2">
        <v>5</v>
      </c>
      <c r="X468" s="2">
        <v>40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</v>
      </c>
      <c r="AG468" s="2">
        <v>0</v>
      </c>
      <c r="AH468" s="2">
        <v>0</v>
      </c>
      <c r="AI468" s="4">
        <f>Table2121418198598111[[#This Row],[QB PY]]+Table2121418198598111[[#This Row],[QB RY]]</f>
        <v>211</v>
      </c>
      <c r="AJ468" s="4">
        <f>Table2121418198598111[[#This Row],[RB1 RY]]+Table2121418198598111[[#This Row],[RB2+ RY]]+Table2121418198598111[[#This Row],[RB1 RecY]]+Table2121418198598111[[#This Row],[RB2 RecY]]</f>
        <v>132</v>
      </c>
    </row>
    <row r="469" spans="1:36" x14ac:dyDescent="0.35">
      <c r="A469" s="19" t="s">
        <v>17</v>
      </c>
      <c r="B469" s="1">
        <v>5</v>
      </c>
      <c r="C469" s="2">
        <v>253</v>
      </c>
      <c r="D469" s="2">
        <v>2</v>
      </c>
      <c r="E469" s="2">
        <v>53</v>
      </c>
      <c r="F469" s="2">
        <v>49</v>
      </c>
      <c r="G469" s="2">
        <v>11</v>
      </c>
      <c r="H469" s="2">
        <v>5</v>
      </c>
      <c r="I469" s="2">
        <v>0</v>
      </c>
      <c r="J469" s="2">
        <v>0</v>
      </c>
      <c r="K469" s="2">
        <v>0</v>
      </c>
      <c r="L469" s="2">
        <v>0</v>
      </c>
      <c r="M469" s="2">
        <v>4</v>
      </c>
      <c r="N469" s="2">
        <v>23</v>
      </c>
      <c r="O469" s="2">
        <v>6</v>
      </c>
      <c r="P469" s="2">
        <v>45</v>
      </c>
      <c r="Q469" s="2">
        <v>2</v>
      </c>
      <c r="R469" s="2">
        <v>36</v>
      </c>
      <c r="S469" s="2">
        <v>2</v>
      </c>
      <c r="T469" s="2">
        <v>26</v>
      </c>
      <c r="U469" s="2">
        <v>6</v>
      </c>
      <c r="V469" s="2">
        <v>108</v>
      </c>
      <c r="W469" s="2">
        <v>2</v>
      </c>
      <c r="X469" s="2">
        <v>15</v>
      </c>
      <c r="Y469" s="2">
        <v>0</v>
      </c>
      <c r="Z469" s="2">
        <v>0</v>
      </c>
      <c r="AA469" s="2">
        <v>0</v>
      </c>
      <c r="AB469" s="2">
        <v>1</v>
      </c>
      <c r="AC469" s="2">
        <v>0</v>
      </c>
      <c r="AD469" s="2">
        <v>0</v>
      </c>
      <c r="AE469" s="2">
        <v>1</v>
      </c>
      <c r="AF469" s="2">
        <v>0</v>
      </c>
      <c r="AG469" s="2">
        <v>0</v>
      </c>
      <c r="AH469" s="2">
        <v>0</v>
      </c>
      <c r="AI469" s="4">
        <f>Table2121418198598111[[#This Row],[QB PY]]+Table2121418198598111[[#This Row],[QB RY]]</f>
        <v>306</v>
      </c>
      <c r="AJ469" s="4">
        <f>Table2121418198598111[[#This Row],[RB1 RY]]+Table2121418198598111[[#This Row],[RB2+ RY]]+Table2121418198598111[[#This Row],[RB1 RecY]]+Table2121418198598111[[#This Row],[RB2 RecY]]</f>
        <v>60</v>
      </c>
    </row>
    <row r="470" spans="1:36" x14ac:dyDescent="0.35">
      <c r="A470" s="19" t="s">
        <v>47</v>
      </c>
      <c r="B470" s="1">
        <v>6</v>
      </c>
      <c r="C470" s="2">
        <v>227</v>
      </c>
      <c r="D470" s="2">
        <v>0</v>
      </c>
      <c r="E470" s="2">
        <v>21</v>
      </c>
      <c r="F470" s="2">
        <v>31</v>
      </c>
      <c r="G470" s="2">
        <v>21</v>
      </c>
      <c r="H470" s="2">
        <v>0</v>
      </c>
      <c r="I470" s="2">
        <v>5</v>
      </c>
      <c r="J470" s="2">
        <v>45</v>
      </c>
      <c r="K470" s="2">
        <v>1</v>
      </c>
      <c r="L470" s="2">
        <v>11</v>
      </c>
      <c r="M470" s="2">
        <v>6</v>
      </c>
      <c r="N470" s="2">
        <v>98</v>
      </c>
      <c r="O470" s="2">
        <v>4</v>
      </c>
      <c r="P470" s="2">
        <v>28</v>
      </c>
      <c r="Q470" s="2">
        <v>1</v>
      </c>
      <c r="R470" s="2">
        <v>21</v>
      </c>
      <c r="S470" s="2">
        <v>0</v>
      </c>
      <c r="T470" s="2">
        <v>0</v>
      </c>
      <c r="U470" s="2">
        <v>2</v>
      </c>
      <c r="V470" s="2">
        <v>15</v>
      </c>
      <c r="W470" s="2">
        <v>1</v>
      </c>
      <c r="X470" s="2">
        <v>9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</v>
      </c>
      <c r="AG470" s="2">
        <v>0</v>
      </c>
      <c r="AH470" s="2">
        <v>0</v>
      </c>
      <c r="AI470" s="4">
        <f>Table2121418198598111[[#This Row],[QB PY]]+Table2121418198598111[[#This Row],[QB RY]]</f>
        <v>248</v>
      </c>
      <c r="AJ470" s="4">
        <f>Table2121418198598111[[#This Row],[RB1 RY]]+Table2121418198598111[[#This Row],[RB2+ RY]]+Table2121418198598111[[#This Row],[RB1 RecY]]+Table2121418198598111[[#This Row],[RB2 RecY]]</f>
        <v>108</v>
      </c>
    </row>
    <row r="471" spans="1:36" x14ac:dyDescent="0.35">
      <c r="A471" s="19" t="s">
        <v>55</v>
      </c>
      <c r="B471" s="1">
        <v>7</v>
      </c>
      <c r="C471" s="2">
        <v>255</v>
      </c>
      <c r="D471" s="2">
        <v>1</v>
      </c>
      <c r="E471" s="2">
        <v>0</v>
      </c>
      <c r="F471" s="2">
        <v>22</v>
      </c>
      <c r="G471" s="2">
        <v>18</v>
      </c>
      <c r="H471" s="2">
        <v>-1</v>
      </c>
      <c r="I471" s="2">
        <v>6</v>
      </c>
      <c r="J471" s="2">
        <v>43</v>
      </c>
      <c r="K471" s="2">
        <v>3</v>
      </c>
      <c r="L471" s="2">
        <v>18</v>
      </c>
      <c r="M471" s="2">
        <v>2</v>
      </c>
      <c r="N471" s="2">
        <v>29</v>
      </c>
      <c r="O471" s="2">
        <v>4</v>
      </c>
      <c r="P471" s="2">
        <v>41</v>
      </c>
      <c r="Q471" s="2">
        <v>4</v>
      </c>
      <c r="R471" s="2">
        <v>70</v>
      </c>
      <c r="S471" s="2">
        <v>2</v>
      </c>
      <c r="T471" s="2">
        <v>18</v>
      </c>
      <c r="U471" s="2">
        <v>4</v>
      </c>
      <c r="V471" s="2">
        <v>36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1</v>
      </c>
      <c r="AE471" s="2">
        <v>0</v>
      </c>
      <c r="AF471" s="2">
        <v>0</v>
      </c>
      <c r="AG471" s="2">
        <v>0</v>
      </c>
      <c r="AH471" s="2">
        <v>0</v>
      </c>
      <c r="AI471" s="4">
        <f>Table2121418198598111[[#This Row],[QB PY]]+Table2121418198598111[[#This Row],[QB RY]]</f>
        <v>255</v>
      </c>
      <c r="AJ471" s="4">
        <f>Table2121418198598111[[#This Row],[RB1 RY]]+Table2121418198598111[[#This Row],[RB2+ RY]]+Table2121418198598111[[#This Row],[RB1 RecY]]+Table2121418198598111[[#This Row],[RB2 RecY]]</f>
        <v>101</v>
      </c>
    </row>
    <row r="472" spans="1:36" x14ac:dyDescent="0.35">
      <c r="A472" s="19" t="s">
        <v>32</v>
      </c>
      <c r="B472" s="1">
        <v>8</v>
      </c>
      <c r="C472" s="2">
        <v>156</v>
      </c>
      <c r="D472" s="2">
        <v>2</v>
      </c>
      <c r="E472" s="2">
        <v>13</v>
      </c>
      <c r="F472" s="2">
        <v>19</v>
      </c>
      <c r="G472" s="2">
        <v>0</v>
      </c>
      <c r="H472" s="2">
        <v>36</v>
      </c>
      <c r="I472" s="2">
        <v>5</v>
      </c>
      <c r="J472" s="2">
        <v>29</v>
      </c>
      <c r="K472" s="2">
        <v>3</v>
      </c>
      <c r="L472" s="2">
        <v>-3</v>
      </c>
      <c r="M472" s="2">
        <v>0</v>
      </c>
      <c r="N472" s="2">
        <v>0</v>
      </c>
      <c r="O472" s="2">
        <v>0</v>
      </c>
      <c r="P472" s="2">
        <v>0</v>
      </c>
      <c r="Q472" s="2">
        <v>2</v>
      </c>
      <c r="R472" s="2">
        <v>31</v>
      </c>
      <c r="S472" s="2">
        <v>0</v>
      </c>
      <c r="T472" s="2">
        <v>0</v>
      </c>
      <c r="U472" s="2">
        <v>4</v>
      </c>
      <c r="V472" s="2">
        <v>37</v>
      </c>
      <c r="W472" s="2">
        <v>6</v>
      </c>
      <c r="X472" s="2">
        <v>62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</v>
      </c>
      <c r="AG472" s="2">
        <v>1</v>
      </c>
      <c r="AH472" s="2">
        <v>0</v>
      </c>
      <c r="AI472" s="4">
        <f>Table2121418198598111[[#This Row],[QB PY]]+Table2121418198598111[[#This Row],[QB RY]]</f>
        <v>169</v>
      </c>
      <c r="AJ472" s="4">
        <f>Table2121418198598111[[#This Row],[RB1 RY]]+Table2121418198598111[[#This Row],[RB2+ RY]]+Table2121418198598111[[#This Row],[RB1 RecY]]+Table2121418198598111[[#This Row],[RB2 RecY]]</f>
        <v>45</v>
      </c>
    </row>
    <row r="473" spans="1:36" x14ac:dyDescent="0.35">
      <c r="A473" s="19" t="s">
        <v>15</v>
      </c>
      <c r="B473" s="1">
        <v>9</v>
      </c>
      <c r="C473" s="2">
        <v>221</v>
      </c>
      <c r="D473" s="2">
        <v>3</v>
      </c>
      <c r="E473" s="2">
        <v>19</v>
      </c>
      <c r="F473" s="2">
        <v>46</v>
      </c>
      <c r="G473" s="2">
        <v>6</v>
      </c>
      <c r="H473" s="2">
        <v>0</v>
      </c>
      <c r="I473" s="2">
        <v>8</v>
      </c>
      <c r="J473" s="2">
        <v>50</v>
      </c>
      <c r="K473" s="2">
        <v>0</v>
      </c>
      <c r="L473" s="2">
        <v>0</v>
      </c>
      <c r="M473" s="2">
        <v>9</v>
      </c>
      <c r="N473" s="2">
        <v>118</v>
      </c>
      <c r="O473" s="2">
        <v>1</v>
      </c>
      <c r="P473" s="2">
        <v>15</v>
      </c>
      <c r="Q473" s="2">
        <v>0</v>
      </c>
      <c r="R473" s="2">
        <v>0</v>
      </c>
      <c r="S473" s="2">
        <v>0</v>
      </c>
      <c r="T473" s="2">
        <v>0</v>
      </c>
      <c r="U473" s="2">
        <v>4</v>
      </c>
      <c r="V473" s="2">
        <v>38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3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4">
        <f>Table2121418198598111[[#This Row],[QB PY]]+Table2121418198598111[[#This Row],[QB RY]]</f>
        <v>240</v>
      </c>
      <c r="AJ473" s="4">
        <f>Table2121418198598111[[#This Row],[RB1 RY]]+Table2121418198598111[[#This Row],[RB2+ RY]]+Table2121418198598111[[#This Row],[RB1 RecY]]+Table2121418198598111[[#This Row],[RB2 RecY]]</f>
        <v>102</v>
      </c>
    </row>
    <row r="474" spans="1:36" x14ac:dyDescent="0.35">
      <c r="A474" s="19" t="s">
        <v>54</v>
      </c>
      <c r="B474" s="1">
        <v>10</v>
      </c>
      <c r="C474" s="2">
        <v>273</v>
      </c>
      <c r="D474" s="2">
        <v>3</v>
      </c>
      <c r="E474" s="2">
        <v>0</v>
      </c>
      <c r="F474" s="2">
        <v>38</v>
      </c>
      <c r="G474" s="2">
        <v>53</v>
      </c>
      <c r="H474" s="2">
        <v>22</v>
      </c>
      <c r="I474" s="2">
        <v>5</v>
      </c>
      <c r="J474" s="2">
        <v>16</v>
      </c>
      <c r="K474" s="2">
        <v>1</v>
      </c>
      <c r="L474" s="2">
        <v>-2</v>
      </c>
      <c r="M474" s="2">
        <v>6</v>
      </c>
      <c r="N474" s="2">
        <v>115</v>
      </c>
      <c r="O474" s="2">
        <v>4</v>
      </c>
      <c r="P474" s="2">
        <v>42</v>
      </c>
      <c r="Q474" s="2">
        <v>3</v>
      </c>
      <c r="R474" s="2">
        <v>20</v>
      </c>
      <c r="S474" s="2">
        <v>0</v>
      </c>
      <c r="T474" s="2">
        <v>0</v>
      </c>
      <c r="U474" s="2">
        <v>9</v>
      </c>
      <c r="V474" s="2">
        <v>82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1</v>
      </c>
      <c r="AC474" s="2">
        <v>2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4">
        <f>Table2121418198598111[[#This Row],[QB PY]]+Table2121418198598111[[#This Row],[QB RY]]</f>
        <v>273</v>
      </c>
      <c r="AJ474" s="4">
        <f>Table2121418198598111[[#This Row],[RB1 RY]]+Table2121418198598111[[#This Row],[RB2+ RY]]+Table2121418198598111[[#This Row],[RB1 RecY]]+Table2121418198598111[[#This Row],[RB2 RecY]]</f>
        <v>105</v>
      </c>
    </row>
    <row r="475" spans="1:36" x14ac:dyDescent="0.35">
      <c r="A475" s="19" t="s">
        <v>49</v>
      </c>
      <c r="B475" s="1">
        <v>11</v>
      </c>
      <c r="C475" s="2">
        <v>116</v>
      </c>
      <c r="D475" s="2">
        <v>1</v>
      </c>
      <c r="E475" s="2">
        <v>67</v>
      </c>
      <c r="F475" s="2">
        <v>58</v>
      </c>
      <c r="G475" s="2">
        <v>11</v>
      </c>
      <c r="H475" s="2">
        <v>4</v>
      </c>
      <c r="I475" s="2">
        <v>2</v>
      </c>
      <c r="J475" s="2">
        <v>6</v>
      </c>
      <c r="K475" s="2">
        <v>0</v>
      </c>
      <c r="L475" s="2">
        <v>0</v>
      </c>
      <c r="M475" s="2">
        <v>1</v>
      </c>
      <c r="N475" s="2">
        <v>10</v>
      </c>
      <c r="O475" s="2">
        <v>3</v>
      </c>
      <c r="P475" s="2">
        <v>45</v>
      </c>
      <c r="Q475" s="2">
        <v>1</v>
      </c>
      <c r="R475" s="2">
        <v>2</v>
      </c>
      <c r="S475" s="2">
        <v>0</v>
      </c>
      <c r="T475" s="2">
        <v>0</v>
      </c>
      <c r="U475" s="2">
        <v>4</v>
      </c>
      <c r="V475" s="2">
        <v>30</v>
      </c>
      <c r="W475" s="2">
        <v>4</v>
      </c>
      <c r="X475" s="2">
        <v>23</v>
      </c>
      <c r="Y475" s="2">
        <v>1</v>
      </c>
      <c r="Z475" s="2">
        <v>0</v>
      </c>
      <c r="AA475" s="2">
        <v>0</v>
      </c>
      <c r="AB475" s="2">
        <v>0</v>
      </c>
      <c r="AC475" s="2">
        <v>1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4">
        <f>Table2121418198598111[[#This Row],[QB PY]]+Table2121418198598111[[#This Row],[QB RY]]</f>
        <v>183</v>
      </c>
      <c r="AJ475" s="4">
        <f>Table2121418198598111[[#This Row],[RB1 RY]]+Table2121418198598111[[#This Row],[RB2+ RY]]+Table2121418198598111[[#This Row],[RB1 RecY]]+Table2121418198598111[[#This Row],[RB2 RecY]]</f>
        <v>75</v>
      </c>
    </row>
    <row r="476" spans="1:36" x14ac:dyDescent="0.35">
      <c r="A476" s="19" t="s">
        <v>31</v>
      </c>
      <c r="B476" s="1">
        <v>12</v>
      </c>
      <c r="C476" s="2">
        <v>197</v>
      </c>
      <c r="D476" s="2">
        <v>1</v>
      </c>
      <c r="E476" s="2">
        <v>3</v>
      </c>
      <c r="F476" s="2">
        <v>107</v>
      </c>
      <c r="G476" s="2">
        <v>5</v>
      </c>
      <c r="H476" s="2">
        <v>5</v>
      </c>
      <c r="I476" s="2">
        <v>2</v>
      </c>
      <c r="J476" s="2">
        <v>23</v>
      </c>
      <c r="K476" s="2">
        <v>0</v>
      </c>
      <c r="L476" s="2">
        <v>0</v>
      </c>
      <c r="M476" s="2">
        <v>5</v>
      </c>
      <c r="N476" s="2">
        <v>31</v>
      </c>
      <c r="O476" s="2">
        <v>4</v>
      </c>
      <c r="P476" s="2">
        <v>61</v>
      </c>
      <c r="Q476" s="2">
        <v>2</v>
      </c>
      <c r="R476" s="2">
        <v>29</v>
      </c>
      <c r="S476" s="2">
        <v>0</v>
      </c>
      <c r="T476" s="2">
        <v>0</v>
      </c>
      <c r="U476" s="2">
        <v>4</v>
      </c>
      <c r="V476" s="2">
        <v>35</v>
      </c>
      <c r="W476" s="2">
        <v>3</v>
      </c>
      <c r="X476" s="2">
        <v>18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1</v>
      </c>
      <c r="AE476" s="2">
        <v>0</v>
      </c>
      <c r="AF476" s="2">
        <v>0</v>
      </c>
      <c r="AG476" s="2">
        <v>0</v>
      </c>
      <c r="AH476" s="2">
        <v>1</v>
      </c>
      <c r="AI476" s="4">
        <f>Table2121418198598111[[#This Row],[QB PY]]+Table2121418198598111[[#This Row],[QB RY]]</f>
        <v>200</v>
      </c>
      <c r="AJ476" s="4">
        <f>Table2121418198598111[[#This Row],[RB1 RY]]+Table2121418198598111[[#This Row],[RB2+ RY]]+Table2121418198598111[[#This Row],[RB1 RecY]]+Table2121418198598111[[#This Row],[RB2 RecY]]</f>
        <v>135</v>
      </c>
    </row>
    <row r="477" spans="1:36" x14ac:dyDescent="0.35">
      <c r="A477" s="69" t="s">
        <v>48</v>
      </c>
      <c r="B477" s="1">
        <v>13</v>
      </c>
      <c r="C477" s="2">
        <v>139</v>
      </c>
      <c r="D477" s="2">
        <v>1</v>
      </c>
      <c r="E477" s="2">
        <v>20</v>
      </c>
      <c r="F477" s="2">
        <v>68</v>
      </c>
      <c r="G477" s="2">
        <v>36</v>
      </c>
      <c r="H477" s="2">
        <v>0</v>
      </c>
      <c r="I477" s="2">
        <v>3</v>
      </c>
      <c r="J477" s="2">
        <v>34</v>
      </c>
      <c r="K477" s="2">
        <v>1</v>
      </c>
      <c r="L477" s="2">
        <v>-3</v>
      </c>
      <c r="M477" s="2">
        <v>7</v>
      </c>
      <c r="N477" s="2">
        <v>34</v>
      </c>
      <c r="O477" s="2">
        <v>2</v>
      </c>
      <c r="P477" s="2">
        <v>41</v>
      </c>
      <c r="Q477" s="2">
        <v>1</v>
      </c>
      <c r="R477" s="2">
        <v>4</v>
      </c>
      <c r="S477" s="2">
        <v>0</v>
      </c>
      <c r="T477" s="2">
        <v>0</v>
      </c>
      <c r="U477" s="2">
        <v>3</v>
      </c>
      <c r="V477" s="2">
        <v>29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1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4">
        <f>Table2121418198598111[[#This Row],[QB PY]]+Table2121418198598111[[#This Row],[QB RY]]</f>
        <v>159</v>
      </c>
      <c r="AJ477" s="4">
        <f>Table2121418198598111[[#This Row],[RB1 RY]]+Table2121418198598111[[#This Row],[RB2+ RY]]+Table2121418198598111[[#This Row],[RB1 RecY]]+Table2121418198598111[[#This Row],[RB2 RecY]]</f>
        <v>135</v>
      </c>
    </row>
    <row r="478" spans="1:36" x14ac:dyDescent="0.35">
      <c r="A478" s="19" t="s">
        <v>650</v>
      </c>
      <c r="B478" s="1">
        <v>14</v>
      </c>
      <c r="C478" s="2" t="s">
        <v>697</v>
      </c>
      <c r="D478" s="2" t="s">
        <v>697</v>
      </c>
      <c r="E478" s="2" t="s">
        <v>697</v>
      </c>
      <c r="F478" s="2" t="s">
        <v>697</v>
      </c>
      <c r="G478" s="2" t="s">
        <v>697</v>
      </c>
      <c r="H478" s="2" t="s">
        <v>697</v>
      </c>
      <c r="I478" s="2" t="s">
        <v>697</v>
      </c>
      <c r="J478" s="2" t="s">
        <v>697</v>
      </c>
      <c r="K478" s="2" t="s">
        <v>697</v>
      </c>
      <c r="L478" s="2" t="s">
        <v>697</v>
      </c>
      <c r="M478" s="2" t="s">
        <v>697</v>
      </c>
      <c r="N478" s="2" t="s">
        <v>697</v>
      </c>
      <c r="O478" s="2" t="s">
        <v>697</v>
      </c>
      <c r="P478" s="2" t="s">
        <v>697</v>
      </c>
      <c r="Q478" s="2" t="s">
        <v>697</v>
      </c>
      <c r="R478" s="2" t="s">
        <v>697</v>
      </c>
      <c r="S478" s="2" t="s">
        <v>697</v>
      </c>
      <c r="T478" s="2" t="s">
        <v>697</v>
      </c>
      <c r="U478" s="2" t="s">
        <v>697</v>
      </c>
      <c r="V478" s="2" t="s">
        <v>697</v>
      </c>
      <c r="W478" s="2" t="s">
        <v>697</v>
      </c>
      <c r="X478" s="2" t="s">
        <v>697</v>
      </c>
      <c r="Y478" s="2" t="s">
        <v>697</v>
      </c>
      <c r="Z478" s="2" t="s">
        <v>697</v>
      </c>
      <c r="AA478" s="2" t="s">
        <v>697</v>
      </c>
      <c r="AB478" s="2" t="s">
        <v>697</v>
      </c>
      <c r="AC478" s="2" t="s">
        <v>697</v>
      </c>
      <c r="AD478" s="2" t="s">
        <v>697</v>
      </c>
      <c r="AE478" s="2" t="s">
        <v>697</v>
      </c>
      <c r="AF478" s="2" t="s">
        <v>697</v>
      </c>
      <c r="AG478" s="2" t="s">
        <v>697</v>
      </c>
      <c r="AH478" s="2" t="s">
        <v>697</v>
      </c>
      <c r="AI478" s="4" t="s">
        <v>697</v>
      </c>
      <c r="AJ478" s="4" t="s">
        <v>697</v>
      </c>
    </row>
    <row r="479" spans="1:36" x14ac:dyDescent="0.35">
      <c r="A479" s="19" t="s">
        <v>17</v>
      </c>
      <c r="B479" s="1">
        <v>15</v>
      </c>
      <c r="C479" s="2">
        <v>193</v>
      </c>
      <c r="D479" s="2">
        <v>3</v>
      </c>
      <c r="E479" s="2">
        <v>48</v>
      </c>
      <c r="F479" s="2">
        <v>107</v>
      </c>
      <c r="G479" s="2">
        <v>13</v>
      </c>
      <c r="H479" s="2">
        <v>0</v>
      </c>
      <c r="I479" s="2">
        <v>2</v>
      </c>
      <c r="J479" s="2">
        <v>4</v>
      </c>
      <c r="K479" s="2">
        <v>4</v>
      </c>
      <c r="L479" s="2">
        <v>28</v>
      </c>
      <c r="M479" s="2">
        <v>5</v>
      </c>
      <c r="N479" s="2">
        <v>65</v>
      </c>
      <c r="O479" s="2">
        <v>1</v>
      </c>
      <c r="P479" s="2">
        <v>16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34</v>
      </c>
      <c r="W479" s="2">
        <v>4</v>
      </c>
      <c r="X479" s="2">
        <v>46</v>
      </c>
      <c r="Y479" s="2">
        <v>0</v>
      </c>
      <c r="Z479" s="2">
        <v>3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2</v>
      </c>
      <c r="AH479" s="2">
        <v>0</v>
      </c>
      <c r="AI479" s="4">
        <f>Table2121418198598111[[#This Row],[QB PY]]+Table2121418198598111[[#This Row],[QB RY]]</f>
        <v>241</v>
      </c>
      <c r="AJ479" s="4">
        <f>Table2121418198598111[[#This Row],[RB1 RY]]+Table2121418198598111[[#This Row],[RB2+ RY]]+Table2121418198598111[[#This Row],[RB1 RecY]]+Table2121418198598111[[#This Row],[RB2 RecY]]</f>
        <v>152</v>
      </c>
    </row>
    <row r="480" spans="1:36" x14ac:dyDescent="0.35">
      <c r="A480" s="19" t="s">
        <v>16</v>
      </c>
      <c r="B480" s="1">
        <v>16</v>
      </c>
      <c r="C480" s="2">
        <v>166</v>
      </c>
      <c r="D480" s="2">
        <v>0</v>
      </c>
      <c r="E480" s="2">
        <v>9</v>
      </c>
      <c r="F480" s="2">
        <v>128</v>
      </c>
      <c r="G480" s="2">
        <v>13</v>
      </c>
      <c r="H480" s="2">
        <v>21</v>
      </c>
      <c r="I480" s="2">
        <v>0</v>
      </c>
      <c r="J480" s="2">
        <v>0</v>
      </c>
      <c r="K480" s="2">
        <v>2</v>
      </c>
      <c r="L480" s="2">
        <v>2</v>
      </c>
      <c r="M480" s="2">
        <v>7</v>
      </c>
      <c r="N480" s="2">
        <v>84</v>
      </c>
      <c r="O480" s="2">
        <v>0</v>
      </c>
      <c r="P480" s="2">
        <v>0</v>
      </c>
      <c r="Q480" s="2">
        <v>4</v>
      </c>
      <c r="R480" s="2">
        <v>41</v>
      </c>
      <c r="S480" s="2">
        <v>0</v>
      </c>
      <c r="T480" s="2">
        <v>0</v>
      </c>
      <c r="U480" s="2">
        <v>2</v>
      </c>
      <c r="V480" s="2">
        <v>21</v>
      </c>
      <c r="W480" s="2">
        <v>1</v>
      </c>
      <c r="X480" s="2">
        <v>18</v>
      </c>
      <c r="Y480" s="2">
        <v>0</v>
      </c>
      <c r="Z480" s="2">
        <v>2</v>
      </c>
      <c r="AA480" s="2">
        <v>0</v>
      </c>
      <c r="AB480" s="2">
        <v>1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4">
        <f>Table2121418198598111[[#This Row],[QB PY]]+Table2121418198598111[[#This Row],[QB RY]]</f>
        <v>175</v>
      </c>
      <c r="AJ480" s="4">
        <f>Table2121418198598111[[#This Row],[RB1 RY]]+Table2121418198598111[[#This Row],[RB2+ RY]]+Table2121418198598111[[#This Row],[RB1 RecY]]+Table2121418198598111[[#This Row],[RB2 RecY]]</f>
        <v>143</v>
      </c>
    </row>
    <row r="481" spans="1:36" x14ac:dyDescent="0.35">
      <c r="A481" s="19" t="s">
        <v>49</v>
      </c>
      <c r="B481" s="1">
        <v>17</v>
      </c>
      <c r="C481" s="2">
        <v>155</v>
      </c>
      <c r="D481" s="2">
        <v>0</v>
      </c>
      <c r="E481" s="2">
        <v>1</v>
      </c>
      <c r="F481" s="2">
        <v>111</v>
      </c>
      <c r="G481" s="2">
        <v>47</v>
      </c>
      <c r="H481" s="2">
        <v>5</v>
      </c>
      <c r="I481" s="2">
        <v>2</v>
      </c>
      <c r="J481" s="2">
        <v>18</v>
      </c>
      <c r="K481" s="2">
        <v>2</v>
      </c>
      <c r="L481" s="2">
        <v>12</v>
      </c>
      <c r="M481" s="2">
        <v>3</v>
      </c>
      <c r="N481" s="2">
        <v>41</v>
      </c>
      <c r="O481" s="2">
        <v>3</v>
      </c>
      <c r="P481" s="2">
        <v>22</v>
      </c>
      <c r="Q481" s="2">
        <v>4</v>
      </c>
      <c r="R481" s="2">
        <v>30</v>
      </c>
      <c r="S481" s="2">
        <v>2</v>
      </c>
      <c r="T481" s="2">
        <v>8</v>
      </c>
      <c r="U481" s="2">
        <v>1</v>
      </c>
      <c r="V481" s="2">
        <v>2</v>
      </c>
      <c r="W481" s="2">
        <v>3</v>
      </c>
      <c r="X481" s="2">
        <v>22</v>
      </c>
      <c r="Y481" s="2">
        <v>0</v>
      </c>
      <c r="Z481" s="2">
        <v>1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4">
        <f>Table2121418198598111[[#This Row],[QB PY]]+Table2121418198598111[[#This Row],[QB RY]]</f>
        <v>156</v>
      </c>
      <c r="AJ481" s="4">
        <f>Table2121418198598111[[#This Row],[RB1 RY]]+Table2121418198598111[[#This Row],[RB2+ RY]]+Table2121418198598111[[#This Row],[RB1 RecY]]+Table2121418198598111[[#This Row],[RB2 RecY]]</f>
        <v>188</v>
      </c>
    </row>
    <row r="482" spans="1:36" x14ac:dyDescent="0.35">
      <c r="A482" s="19" t="s">
        <v>44</v>
      </c>
      <c r="B482" s="1">
        <v>18</v>
      </c>
      <c r="C482" s="2">
        <v>137</v>
      </c>
      <c r="D482" s="2">
        <v>1</v>
      </c>
      <c r="E482" s="2">
        <v>9</v>
      </c>
      <c r="F482" s="2">
        <v>23</v>
      </c>
      <c r="G482" s="2">
        <v>9</v>
      </c>
      <c r="H482" s="2">
        <v>22</v>
      </c>
      <c r="I482" s="2">
        <v>2</v>
      </c>
      <c r="J482" s="2">
        <v>17</v>
      </c>
      <c r="K482" s="2">
        <v>2</v>
      </c>
      <c r="L482" s="2">
        <v>5</v>
      </c>
      <c r="M482" s="2">
        <v>3</v>
      </c>
      <c r="N482" s="2">
        <v>6</v>
      </c>
      <c r="O482" s="2">
        <v>3</v>
      </c>
      <c r="P482" s="2">
        <v>44</v>
      </c>
      <c r="Q482" s="2">
        <v>2</v>
      </c>
      <c r="R482" s="2">
        <v>26</v>
      </c>
      <c r="S482" s="2">
        <v>0</v>
      </c>
      <c r="T482" s="2">
        <v>0</v>
      </c>
      <c r="U482" s="2">
        <v>3</v>
      </c>
      <c r="V482" s="2">
        <v>31</v>
      </c>
      <c r="W482" s="2">
        <v>1</v>
      </c>
      <c r="X482" s="2">
        <v>8</v>
      </c>
      <c r="Y482" s="2">
        <v>0</v>
      </c>
      <c r="Z482" s="2">
        <v>0</v>
      </c>
      <c r="AA482" s="2">
        <v>0</v>
      </c>
      <c r="AB482" s="2">
        <v>1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4">
        <f>Table2121418198598111[[#This Row],[QB PY]]+Table2121418198598111[[#This Row],[QB RY]]</f>
        <v>146</v>
      </c>
      <c r="AJ482" s="4">
        <f>Table2121418198598111[[#This Row],[RB1 RY]]+Table2121418198598111[[#This Row],[RB2+ RY]]+Table2121418198598111[[#This Row],[RB1 RecY]]+Table2121418198598111[[#This Row],[RB2 RecY]]</f>
        <v>54</v>
      </c>
    </row>
    <row r="483" spans="1:36" x14ac:dyDescent="0.35">
      <c r="B483" s="1" t="s">
        <v>57</v>
      </c>
      <c r="C483" s="3">
        <f>AVERAGE(Table2121418198598111[QB PY])</f>
        <v>206.58823529411765</v>
      </c>
      <c r="D483" s="3">
        <f>AVERAGE(Table2121418198598111[P TD])</f>
        <v>1.4705882352941178</v>
      </c>
      <c r="E483" s="3">
        <f>AVERAGE(Table2121418198598111[QB RY])</f>
        <v>16.294117647058822</v>
      </c>
      <c r="F483" s="3">
        <f>AVERAGE(Table2121418198598111[RB1 RY])</f>
        <v>57.117647058823529</v>
      </c>
      <c r="G483" s="3">
        <f>AVERAGE(Table2121418198598111[RB2+ RY])</f>
        <v>20</v>
      </c>
      <c r="H483" s="3">
        <f>AVERAGE(Table2121418198598111[WR RY])</f>
        <v>9.0588235294117645</v>
      </c>
      <c r="I483" s="3">
        <f>AVERAGE(Table2121418198598111[RB1 Recep])</f>
        <v>3.5294117647058822</v>
      </c>
      <c r="J483" s="3">
        <f>AVERAGE(Table2121418198598111[RB1 RecY])</f>
        <v>25.470588235294116</v>
      </c>
      <c r="K483" s="3">
        <f>AVERAGE(Table2121418198598111[RB2 Recep])</f>
        <v>1.411764705882353</v>
      </c>
      <c r="L483" s="3">
        <f>AVERAGE(Table2121418198598111[RB2 RecY])</f>
        <v>5.5294117647058822</v>
      </c>
      <c r="M483" s="3">
        <f>AVERAGE(Table2121418198598111[WR1 Recep])</f>
        <v>4.6470588235294121</v>
      </c>
      <c r="N483" s="3">
        <f>AVERAGE(Table2121418198598111[WR1 RecY])</f>
        <v>56.117647058823529</v>
      </c>
      <c r="O483" s="3">
        <f>AVERAGE(Table2121418198598111[WR2 Recep])</f>
        <v>2.7647058823529411</v>
      </c>
      <c r="P483" s="3">
        <f>AVERAGE(Table2121418198598111[WR2 RecY])</f>
        <v>33.294117647058826</v>
      </c>
      <c r="Q483" s="3">
        <f>AVERAGE(Table2121418198598111[WR3 Recep])</f>
        <v>1.9411764705882353</v>
      </c>
      <c r="R483" s="3">
        <f>AVERAGE(Table2121418198598111[WR3 RecY])</f>
        <v>24.058823529411764</v>
      </c>
      <c r="S483" s="3">
        <f>AVERAGE(Table2121418198598111[WR4+ Recep])</f>
        <v>0.52941176470588236</v>
      </c>
      <c r="T483" s="3">
        <f>AVERAGE(Table2121418198598111[WR4+ RecY])</f>
        <v>5</v>
      </c>
      <c r="U483" s="3">
        <f>AVERAGE(Table2121418198598111[TE1 Recep])</f>
        <v>3.5882352941176472</v>
      </c>
      <c r="V483" s="3">
        <f>AVERAGE(Table2121418198598111[TE1 RecY])</f>
        <v>39.176470588235297</v>
      </c>
      <c r="W483" s="3">
        <f>AVERAGE(Table2121418198598111[TE2 Recep])</f>
        <v>2.0588235294117645</v>
      </c>
      <c r="X483" s="3">
        <f>AVERAGE(Table2121418198598111[TE2 RecY])</f>
        <v>17.941176470588236</v>
      </c>
      <c r="Y483" s="3">
        <f>AVERAGE(Table2121418198598111[QB TD])</f>
        <v>5.8823529411764705E-2</v>
      </c>
      <c r="Z483" s="3">
        <f>AVERAGE(Table2121418198598111[RB1 TD])</f>
        <v>0.52941176470588236</v>
      </c>
      <c r="AA483" s="3">
        <f>AVERAGE(Table2121418198598111[RB2 TD])</f>
        <v>5.8823529411764705E-2</v>
      </c>
      <c r="AB483" s="3">
        <f>AVERAGE(Table2121418198598111[WR1 TD])</f>
        <v>0.47058823529411764</v>
      </c>
      <c r="AC483" s="3">
        <f>AVERAGE(Table2121418198598111[WR2 TD])</f>
        <v>0.41176470588235292</v>
      </c>
      <c r="AD483" s="3">
        <f>AVERAGE(Table2121418198598111[WR3 TD])</f>
        <v>0.11764705882352941</v>
      </c>
      <c r="AE483" s="3">
        <f>AVERAGE(Table2121418198598111[WR4+ TD])</f>
        <v>5.8823529411764705E-2</v>
      </c>
      <c r="AF483" s="3">
        <f>AVERAGE(Table2121418198598111[TE1 TD])</f>
        <v>0.17647058823529413</v>
      </c>
      <c r="AG483" s="3">
        <f>AVERAGE(Table2121418198598111[TE2 TD])</f>
        <v>0.17647058823529413</v>
      </c>
      <c r="AH483" s="3">
        <f>AVERAGE(Table2121418198598111[D/ST TD])</f>
        <v>0.11764705882352941</v>
      </c>
      <c r="AI483" s="3">
        <f>AVERAGE(Table2121418198598111[QB P+R])</f>
        <v>222.88235294117646</v>
      </c>
      <c r="AJ483" s="3">
        <f>AVERAGE(Table2121418198598111[RB R+R])</f>
        <v>108.11764705882354</v>
      </c>
    </row>
    <row r="485" spans="1:36" x14ac:dyDescent="0.35">
      <c r="A485" s="230" t="s">
        <v>47</v>
      </c>
      <c r="B485" s="230"/>
      <c r="C485" s="230"/>
      <c r="D485" s="230"/>
      <c r="E485" s="230"/>
      <c r="F485" s="230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  <c r="AF485" s="230"/>
      <c r="AG485" s="230"/>
      <c r="AH485" s="230"/>
      <c r="AI485" s="230"/>
      <c r="AJ485" s="230"/>
    </row>
    <row r="486" spans="1:36" x14ac:dyDescent="0.35">
      <c r="A486" s="20" t="s">
        <v>63</v>
      </c>
      <c r="B486" s="6" t="s">
        <v>1</v>
      </c>
      <c r="C486" s="7" t="s">
        <v>18</v>
      </c>
      <c r="D486" s="8" t="s">
        <v>19</v>
      </c>
      <c r="E486" s="9" t="s">
        <v>20</v>
      </c>
      <c r="F486" s="10" t="s">
        <v>21</v>
      </c>
      <c r="G486" s="11" t="s">
        <v>22</v>
      </c>
      <c r="H486" s="12" t="s">
        <v>23</v>
      </c>
      <c r="I486" s="13" t="s">
        <v>667</v>
      </c>
      <c r="J486" s="13" t="s">
        <v>668</v>
      </c>
      <c r="K486" s="13" t="s">
        <v>665</v>
      </c>
      <c r="L486" s="13" t="s">
        <v>666</v>
      </c>
      <c r="M486" s="14" t="s">
        <v>2</v>
      </c>
      <c r="N486" s="14" t="s">
        <v>24</v>
      </c>
      <c r="O486" s="15" t="s">
        <v>3</v>
      </c>
      <c r="P486" s="15" t="s">
        <v>25</v>
      </c>
      <c r="Q486" s="16" t="s">
        <v>4</v>
      </c>
      <c r="R486" s="16" t="s">
        <v>26</v>
      </c>
      <c r="S486" s="17" t="s">
        <v>5</v>
      </c>
      <c r="T486" s="17" t="s">
        <v>27</v>
      </c>
      <c r="U486" s="18" t="s">
        <v>669</v>
      </c>
      <c r="V486" s="18" t="s">
        <v>670</v>
      </c>
      <c r="W486" s="18" t="s">
        <v>675</v>
      </c>
      <c r="X486" s="18" t="s">
        <v>671</v>
      </c>
      <c r="Y486" s="6" t="s">
        <v>6</v>
      </c>
      <c r="Z486" s="6" t="s">
        <v>7</v>
      </c>
      <c r="AA486" s="6" t="s">
        <v>674</v>
      </c>
      <c r="AB486" s="6" t="s">
        <v>8</v>
      </c>
      <c r="AC486" s="6" t="s">
        <v>9</v>
      </c>
      <c r="AD486" s="6" t="s">
        <v>10</v>
      </c>
      <c r="AE486" s="6" t="s">
        <v>11</v>
      </c>
      <c r="AF486" s="6" t="s">
        <v>673</v>
      </c>
      <c r="AG486" s="6" t="s">
        <v>672</v>
      </c>
      <c r="AH486" s="6" t="s">
        <v>12</v>
      </c>
      <c r="AI486" s="8" t="s">
        <v>14</v>
      </c>
      <c r="AJ486" s="11" t="s">
        <v>13</v>
      </c>
    </row>
    <row r="487" spans="1:36" x14ac:dyDescent="0.35">
      <c r="A487" s="19" t="s">
        <v>0</v>
      </c>
      <c r="B487" s="5">
        <v>1</v>
      </c>
      <c r="C487" s="4">
        <v>163</v>
      </c>
      <c r="D487" s="4">
        <v>2</v>
      </c>
      <c r="E487" s="4">
        <v>38</v>
      </c>
      <c r="F487" s="4">
        <v>39</v>
      </c>
      <c r="G487" s="4">
        <v>69</v>
      </c>
      <c r="H487" s="4">
        <v>0</v>
      </c>
      <c r="I487" s="4">
        <v>4</v>
      </c>
      <c r="J487" s="4">
        <v>5</v>
      </c>
      <c r="K487" s="4">
        <v>1</v>
      </c>
      <c r="L487" s="4">
        <v>6</v>
      </c>
      <c r="M487" s="4">
        <v>5</v>
      </c>
      <c r="N487" s="4">
        <v>71</v>
      </c>
      <c r="O487" s="4">
        <v>1</v>
      </c>
      <c r="P487" s="4">
        <v>5</v>
      </c>
      <c r="Q487" s="4">
        <v>1</v>
      </c>
      <c r="R487" s="4">
        <v>4</v>
      </c>
      <c r="S487" s="4">
        <v>1</v>
      </c>
      <c r="T487" s="4">
        <v>-2</v>
      </c>
      <c r="U487" s="4">
        <v>6</v>
      </c>
      <c r="V487" s="4">
        <v>61</v>
      </c>
      <c r="W487" s="4">
        <v>2</v>
      </c>
      <c r="X487" s="4">
        <v>13</v>
      </c>
      <c r="Y487" s="4">
        <v>0</v>
      </c>
      <c r="Z487" s="4">
        <v>1</v>
      </c>
      <c r="AA487" s="4">
        <v>0</v>
      </c>
      <c r="AB487" s="4">
        <v>1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f>Table2121418198598112[[#This Row],[QB PY]]+Table2121418198598112[[#This Row],[QB RY]]</f>
        <v>201</v>
      </c>
      <c r="AJ487" s="4">
        <f>Table2121418198598112[[#This Row],[RB1 RY]]+Table2121418198598112[[#This Row],[RB2+ RY]]+Table2121418198598112[[#This Row],[RB1 RecY]]+Table2121418198598112[[#This Row],[RB2 RecY]]</f>
        <v>119</v>
      </c>
    </row>
    <row r="488" spans="1:36" x14ac:dyDescent="0.35">
      <c r="A488" s="19" t="s">
        <v>53</v>
      </c>
      <c r="B488" s="1">
        <v>2</v>
      </c>
      <c r="C488" s="2">
        <v>279</v>
      </c>
      <c r="D488" s="2">
        <v>3</v>
      </c>
      <c r="E488" s="2">
        <v>6</v>
      </c>
      <c r="F488" s="2">
        <v>55</v>
      </c>
      <c r="G488" s="2">
        <v>20</v>
      </c>
      <c r="H488" s="2">
        <v>-4</v>
      </c>
      <c r="I488" s="2">
        <v>6</v>
      </c>
      <c r="J488" s="2">
        <v>52</v>
      </c>
      <c r="K488" s="2">
        <v>2</v>
      </c>
      <c r="L488" s="2">
        <v>4</v>
      </c>
      <c r="M488" s="2">
        <v>5</v>
      </c>
      <c r="N488" s="2">
        <v>89</v>
      </c>
      <c r="O488" s="2">
        <v>4</v>
      </c>
      <c r="P488" s="2">
        <v>56</v>
      </c>
      <c r="Q488" s="2">
        <v>3</v>
      </c>
      <c r="R488" s="2">
        <v>32</v>
      </c>
      <c r="S488" s="2">
        <v>0</v>
      </c>
      <c r="T488" s="2">
        <v>0</v>
      </c>
      <c r="U488" s="2">
        <v>4</v>
      </c>
      <c r="V488" s="2">
        <v>31</v>
      </c>
      <c r="W488" s="2">
        <v>2</v>
      </c>
      <c r="X488" s="2">
        <v>15</v>
      </c>
      <c r="Y488" s="2">
        <v>0</v>
      </c>
      <c r="Z488" s="2">
        <v>1</v>
      </c>
      <c r="AA488" s="2">
        <v>0</v>
      </c>
      <c r="AB488" s="2">
        <v>1</v>
      </c>
      <c r="AC488" s="2">
        <v>0</v>
      </c>
      <c r="AD488" s="2">
        <v>0</v>
      </c>
      <c r="AE488" s="2">
        <v>0</v>
      </c>
      <c r="AF488" s="2">
        <v>0</v>
      </c>
      <c r="AG488" s="2">
        <v>1</v>
      </c>
      <c r="AH488" s="2">
        <v>0</v>
      </c>
      <c r="AI488" s="4">
        <f>Table2121418198598112[[#This Row],[QB PY]]+Table2121418198598112[[#This Row],[QB RY]]</f>
        <v>285</v>
      </c>
      <c r="AJ488" s="4">
        <f>Table2121418198598112[[#This Row],[RB1 RY]]+Table2121418198598112[[#This Row],[RB2+ RY]]+Table2121418198598112[[#This Row],[RB1 RecY]]+Table2121418198598112[[#This Row],[RB2 RecY]]</f>
        <v>131</v>
      </c>
    </row>
    <row r="489" spans="1:36" x14ac:dyDescent="0.35">
      <c r="A489" s="19" t="s">
        <v>52</v>
      </c>
      <c r="B489" s="1">
        <v>3</v>
      </c>
      <c r="C489" s="2">
        <v>233</v>
      </c>
      <c r="D489" s="2">
        <v>2</v>
      </c>
      <c r="E489" s="2">
        <v>2</v>
      </c>
      <c r="F489" s="2">
        <v>38</v>
      </c>
      <c r="G489" s="2">
        <v>47</v>
      </c>
      <c r="H489" s="2">
        <v>0</v>
      </c>
      <c r="I489" s="2">
        <v>1</v>
      </c>
      <c r="J489" s="2">
        <v>12</v>
      </c>
      <c r="K489" s="2">
        <v>2</v>
      </c>
      <c r="L489" s="2">
        <v>15</v>
      </c>
      <c r="M489" s="2">
        <v>5</v>
      </c>
      <c r="N489" s="2">
        <v>96</v>
      </c>
      <c r="O489" s="2">
        <v>2</v>
      </c>
      <c r="P489" s="2">
        <v>31</v>
      </c>
      <c r="Q489" s="2">
        <v>3</v>
      </c>
      <c r="R489" s="2">
        <v>32</v>
      </c>
      <c r="S489" s="2">
        <v>1</v>
      </c>
      <c r="T489" s="2">
        <v>12</v>
      </c>
      <c r="U489" s="2">
        <v>1</v>
      </c>
      <c r="V489" s="2">
        <v>23</v>
      </c>
      <c r="W489" s="2">
        <v>1</v>
      </c>
      <c r="X489" s="2">
        <v>12</v>
      </c>
      <c r="Y489" s="2">
        <v>0</v>
      </c>
      <c r="Z489" s="2">
        <v>2</v>
      </c>
      <c r="AA489" s="2">
        <v>0</v>
      </c>
      <c r="AB489" s="2">
        <v>1</v>
      </c>
      <c r="AC489" s="2">
        <v>0</v>
      </c>
      <c r="AD489" s="2">
        <v>1</v>
      </c>
      <c r="AE489" s="2">
        <v>0</v>
      </c>
      <c r="AF489" s="2">
        <v>0</v>
      </c>
      <c r="AG489" s="2">
        <v>0</v>
      </c>
      <c r="AH489" s="2">
        <v>1</v>
      </c>
      <c r="AI489" s="4">
        <f>Table2121418198598112[[#This Row],[QB PY]]+Table2121418198598112[[#This Row],[QB RY]]</f>
        <v>235</v>
      </c>
      <c r="AJ489" s="4">
        <f>Table2121418198598112[[#This Row],[RB1 RY]]+Table2121418198598112[[#This Row],[RB2+ RY]]+Table2121418198598112[[#This Row],[RB1 RecY]]+Table2121418198598112[[#This Row],[RB2 RecY]]</f>
        <v>112</v>
      </c>
    </row>
    <row r="490" spans="1:36" x14ac:dyDescent="0.35">
      <c r="A490" s="19" t="s">
        <v>17</v>
      </c>
      <c r="B490" s="1">
        <v>4</v>
      </c>
      <c r="C490" s="2">
        <v>209</v>
      </c>
      <c r="D490" s="2">
        <v>2</v>
      </c>
      <c r="E490" s="2">
        <v>45</v>
      </c>
      <c r="F490" s="2">
        <v>117</v>
      </c>
      <c r="G490" s="2">
        <v>3</v>
      </c>
      <c r="H490" s="2">
        <v>0</v>
      </c>
      <c r="I490" s="2">
        <v>3</v>
      </c>
      <c r="J490" s="2">
        <v>18</v>
      </c>
      <c r="K490" s="2">
        <v>0</v>
      </c>
      <c r="L490" s="2">
        <v>0</v>
      </c>
      <c r="M490" s="2">
        <v>3</v>
      </c>
      <c r="N490" s="2">
        <v>45</v>
      </c>
      <c r="O490" s="2">
        <v>5</v>
      </c>
      <c r="P490" s="2">
        <v>69</v>
      </c>
      <c r="Q490" s="2">
        <v>2</v>
      </c>
      <c r="R490" s="2">
        <v>25</v>
      </c>
      <c r="S490" s="2">
        <v>1</v>
      </c>
      <c r="T490" s="2">
        <v>9</v>
      </c>
      <c r="U490" s="2">
        <v>1</v>
      </c>
      <c r="V490" s="2">
        <v>28</v>
      </c>
      <c r="W490" s="2">
        <v>1</v>
      </c>
      <c r="X490" s="2">
        <v>15</v>
      </c>
      <c r="Y490" s="2">
        <v>1</v>
      </c>
      <c r="Z490" s="2">
        <v>1</v>
      </c>
      <c r="AA490" s="2">
        <v>0</v>
      </c>
      <c r="AB490" s="2">
        <v>0</v>
      </c>
      <c r="AC490" s="2">
        <v>1</v>
      </c>
      <c r="AD490" s="2">
        <v>0</v>
      </c>
      <c r="AE490" s="2">
        <v>0</v>
      </c>
      <c r="AF490" s="2">
        <v>1</v>
      </c>
      <c r="AG490" s="2">
        <v>0</v>
      </c>
      <c r="AH490" s="2">
        <v>0</v>
      </c>
      <c r="AI490" s="4">
        <f>Table2121418198598112[[#This Row],[QB PY]]+Table2121418198598112[[#This Row],[QB RY]]</f>
        <v>254</v>
      </c>
      <c r="AJ490" s="4">
        <f>Table2121418198598112[[#This Row],[RB1 RY]]+Table2121418198598112[[#This Row],[RB2+ RY]]+Table2121418198598112[[#This Row],[RB1 RecY]]+Table2121418198598112[[#This Row],[RB2 RecY]]</f>
        <v>138</v>
      </c>
    </row>
    <row r="491" spans="1:36" x14ac:dyDescent="0.35">
      <c r="A491" s="19" t="s">
        <v>48</v>
      </c>
      <c r="B491" s="1">
        <v>5</v>
      </c>
      <c r="C491" s="2">
        <v>202</v>
      </c>
      <c r="D491" s="2">
        <v>2</v>
      </c>
      <c r="E491" s="2">
        <v>55</v>
      </c>
      <c r="F491" s="2">
        <v>59</v>
      </c>
      <c r="G491" s="2">
        <v>20</v>
      </c>
      <c r="H491" s="2">
        <v>2</v>
      </c>
      <c r="I491" s="2">
        <v>6</v>
      </c>
      <c r="J491" s="2">
        <v>45</v>
      </c>
      <c r="K491" s="2">
        <v>1</v>
      </c>
      <c r="L491" s="2">
        <v>4</v>
      </c>
      <c r="M491" s="2">
        <v>5</v>
      </c>
      <c r="N491" s="2">
        <v>30</v>
      </c>
      <c r="O491" s="2">
        <v>3</v>
      </c>
      <c r="P491" s="2">
        <v>31</v>
      </c>
      <c r="Q491" s="2">
        <v>0</v>
      </c>
      <c r="R491" s="2">
        <v>0</v>
      </c>
      <c r="S491" s="2">
        <v>1</v>
      </c>
      <c r="T491" s="2">
        <v>7</v>
      </c>
      <c r="U491" s="2">
        <v>6</v>
      </c>
      <c r="V491" s="2">
        <v>33</v>
      </c>
      <c r="W491" s="2">
        <v>4</v>
      </c>
      <c r="X491" s="2">
        <v>52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</v>
      </c>
      <c r="AG491" s="2">
        <v>0</v>
      </c>
      <c r="AH491" s="2">
        <v>0</v>
      </c>
      <c r="AI491" s="4">
        <f>Table2121418198598112[[#This Row],[QB PY]]+Table2121418198598112[[#This Row],[QB RY]]</f>
        <v>257</v>
      </c>
      <c r="AJ491" s="4">
        <f>Table2121418198598112[[#This Row],[RB1 RY]]+Table2121418198598112[[#This Row],[RB2+ RY]]+Table2121418198598112[[#This Row],[RB1 RecY]]+Table2121418198598112[[#This Row],[RB2 RecY]]</f>
        <v>128</v>
      </c>
    </row>
    <row r="492" spans="1:36" x14ac:dyDescent="0.35">
      <c r="A492" s="19" t="s">
        <v>46</v>
      </c>
      <c r="B492" s="1">
        <v>6</v>
      </c>
      <c r="C492" s="2">
        <v>261</v>
      </c>
      <c r="D492" s="2">
        <v>3</v>
      </c>
      <c r="E492" s="2">
        <v>28</v>
      </c>
      <c r="F492" s="2">
        <v>27</v>
      </c>
      <c r="G492" s="2">
        <v>18</v>
      </c>
      <c r="H492" s="2">
        <v>0</v>
      </c>
      <c r="I492" s="2">
        <v>1</v>
      </c>
      <c r="J492" s="2">
        <v>9</v>
      </c>
      <c r="K492" s="2">
        <v>0</v>
      </c>
      <c r="L492" s="2">
        <v>0</v>
      </c>
      <c r="M492" s="2">
        <v>3</v>
      </c>
      <c r="N492" s="2">
        <v>28</v>
      </c>
      <c r="O492" s="2">
        <v>5</v>
      </c>
      <c r="P492" s="2">
        <v>93</v>
      </c>
      <c r="Q492" s="2">
        <v>3</v>
      </c>
      <c r="R492" s="2">
        <v>71</v>
      </c>
      <c r="S492" s="2">
        <v>2</v>
      </c>
      <c r="T492" s="2">
        <v>28</v>
      </c>
      <c r="U492" s="2">
        <v>3</v>
      </c>
      <c r="V492" s="2">
        <v>27</v>
      </c>
      <c r="W492" s="2">
        <v>1</v>
      </c>
      <c r="X492" s="2">
        <v>5</v>
      </c>
      <c r="Y492" s="2">
        <v>0</v>
      </c>
      <c r="Z492" s="2">
        <v>0</v>
      </c>
      <c r="AA492" s="2">
        <v>0</v>
      </c>
      <c r="AB492" s="2">
        <v>0</v>
      </c>
      <c r="AC492" s="2">
        <v>2</v>
      </c>
      <c r="AD492" s="2">
        <v>1</v>
      </c>
      <c r="AE492" s="2">
        <v>0</v>
      </c>
      <c r="AF492" s="2">
        <v>0</v>
      </c>
      <c r="AG492" s="2">
        <v>0</v>
      </c>
      <c r="AH492" s="2">
        <v>0</v>
      </c>
      <c r="AI492" s="4">
        <f>Table2121418198598112[[#This Row],[QB PY]]+Table2121418198598112[[#This Row],[QB RY]]</f>
        <v>289</v>
      </c>
      <c r="AJ492" s="4">
        <f>Table2121418198598112[[#This Row],[RB1 RY]]+Table2121418198598112[[#This Row],[RB2+ RY]]+Table2121418198598112[[#This Row],[RB1 RecY]]+Table2121418198598112[[#This Row],[RB2 RecY]]</f>
        <v>54</v>
      </c>
    </row>
    <row r="493" spans="1:36" x14ac:dyDescent="0.35">
      <c r="A493" s="19" t="s">
        <v>30</v>
      </c>
      <c r="B493" s="1">
        <v>7</v>
      </c>
      <c r="C493" s="2">
        <v>172</v>
      </c>
      <c r="D493" s="2">
        <v>0</v>
      </c>
      <c r="E493" s="2">
        <v>-2</v>
      </c>
      <c r="F493" s="2">
        <v>124</v>
      </c>
      <c r="G493" s="2">
        <v>92</v>
      </c>
      <c r="H493" s="2">
        <v>8</v>
      </c>
      <c r="I493" s="2">
        <v>1</v>
      </c>
      <c r="J493" s="2">
        <v>14</v>
      </c>
      <c r="K493" s="2">
        <v>2</v>
      </c>
      <c r="L493" s="2">
        <v>13</v>
      </c>
      <c r="M493" s="2">
        <v>3</v>
      </c>
      <c r="N493" s="2">
        <v>43</v>
      </c>
      <c r="O493" s="2">
        <v>2</v>
      </c>
      <c r="P493" s="2">
        <v>31</v>
      </c>
      <c r="Q493" s="2">
        <v>2</v>
      </c>
      <c r="R493" s="2">
        <v>9</v>
      </c>
      <c r="S493" s="2">
        <v>1</v>
      </c>
      <c r="T493" s="2">
        <v>22</v>
      </c>
      <c r="U493" s="2">
        <v>3</v>
      </c>
      <c r="V493" s="2">
        <v>24</v>
      </c>
      <c r="W493" s="2">
        <v>1</v>
      </c>
      <c r="X493" s="2">
        <v>16</v>
      </c>
      <c r="Y493" s="2">
        <v>0</v>
      </c>
      <c r="Z493" s="2">
        <v>1</v>
      </c>
      <c r="AA493" s="2">
        <v>1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4">
        <f>Table2121418198598112[[#This Row],[QB PY]]+Table2121418198598112[[#This Row],[QB RY]]</f>
        <v>170</v>
      </c>
      <c r="AJ493" s="4">
        <f>Table2121418198598112[[#This Row],[RB1 RY]]+Table2121418198598112[[#This Row],[RB2+ RY]]+Table2121418198598112[[#This Row],[RB1 RecY]]+Table2121418198598112[[#This Row],[RB2 RecY]]</f>
        <v>243</v>
      </c>
    </row>
    <row r="494" spans="1:36" x14ac:dyDescent="0.35">
      <c r="A494" s="19" t="s">
        <v>54</v>
      </c>
      <c r="B494" s="1">
        <v>8</v>
      </c>
      <c r="C494" s="2">
        <v>152</v>
      </c>
      <c r="D494" s="2">
        <v>0</v>
      </c>
      <c r="E494" s="2">
        <v>0</v>
      </c>
      <c r="F494" s="2">
        <v>35</v>
      </c>
      <c r="G494" s="2">
        <v>53</v>
      </c>
      <c r="H494" s="2">
        <v>0</v>
      </c>
      <c r="I494" s="2">
        <v>2</v>
      </c>
      <c r="J494" s="2">
        <v>26</v>
      </c>
      <c r="K494" s="2">
        <v>0</v>
      </c>
      <c r="L494" s="2">
        <v>0</v>
      </c>
      <c r="M494" s="2">
        <v>3</v>
      </c>
      <c r="N494" s="2">
        <v>35</v>
      </c>
      <c r="O494" s="2">
        <v>5</v>
      </c>
      <c r="P494" s="2">
        <v>43</v>
      </c>
      <c r="Q494" s="2">
        <v>1</v>
      </c>
      <c r="R494" s="2">
        <v>8</v>
      </c>
      <c r="S494" s="2">
        <v>0</v>
      </c>
      <c r="T494" s="2">
        <v>0</v>
      </c>
      <c r="U494" s="2">
        <v>4</v>
      </c>
      <c r="V494" s="2">
        <v>40</v>
      </c>
      <c r="W494" s="2">
        <v>0</v>
      </c>
      <c r="X494" s="2">
        <v>0</v>
      </c>
      <c r="Y494" s="2">
        <v>0</v>
      </c>
      <c r="Z494" s="2">
        <v>0</v>
      </c>
      <c r="AA494" s="2">
        <v>1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1</v>
      </c>
      <c r="AI494" s="4">
        <f>Table2121418198598112[[#This Row],[QB PY]]+Table2121418198598112[[#This Row],[QB RY]]</f>
        <v>152</v>
      </c>
      <c r="AJ494" s="4">
        <f>Table2121418198598112[[#This Row],[RB1 RY]]+Table2121418198598112[[#This Row],[RB2+ RY]]+Table2121418198598112[[#This Row],[RB1 RecY]]+Table2121418198598112[[#This Row],[RB2 RecY]]</f>
        <v>114</v>
      </c>
    </row>
    <row r="495" spans="1:36" x14ac:dyDescent="0.35">
      <c r="A495" s="19" t="s">
        <v>42</v>
      </c>
      <c r="B495" s="1">
        <v>9</v>
      </c>
      <c r="C495" s="2">
        <v>281</v>
      </c>
      <c r="D495" s="2">
        <v>4</v>
      </c>
      <c r="E495" s="2">
        <v>-4</v>
      </c>
      <c r="F495" s="2">
        <v>114</v>
      </c>
      <c r="G495" s="2">
        <v>58</v>
      </c>
      <c r="H495" s="2">
        <v>3</v>
      </c>
      <c r="I495" s="2">
        <v>0</v>
      </c>
      <c r="J495" s="2">
        <v>0</v>
      </c>
      <c r="K495" s="2">
        <v>0</v>
      </c>
      <c r="L495" s="2">
        <v>0</v>
      </c>
      <c r="M495" s="2">
        <v>7</v>
      </c>
      <c r="N495" s="2">
        <v>95</v>
      </c>
      <c r="O495" s="2">
        <v>5</v>
      </c>
      <c r="P495" s="2">
        <v>60</v>
      </c>
      <c r="Q495" s="2">
        <v>2</v>
      </c>
      <c r="R495" s="2">
        <v>12</v>
      </c>
      <c r="S495" s="2">
        <v>0</v>
      </c>
      <c r="T495" s="2">
        <v>0</v>
      </c>
      <c r="U495" s="2">
        <v>3</v>
      </c>
      <c r="V495" s="2">
        <v>13</v>
      </c>
      <c r="W495" s="2">
        <v>7</v>
      </c>
      <c r="X495" s="2">
        <v>101</v>
      </c>
      <c r="Y495" s="2">
        <v>0</v>
      </c>
      <c r="Z495" s="2">
        <v>1</v>
      </c>
      <c r="AA495" s="2">
        <v>0</v>
      </c>
      <c r="AB495" s="2">
        <v>1</v>
      </c>
      <c r="AC495" s="2">
        <v>2</v>
      </c>
      <c r="AD495" s="2">
        <v>0</v>
      </c>
      <c r="AE495" s="2">
        <v>0</v>
      </c>
      <c r="AF495" s="2">
        <v>1</v>
      </c>
      <c r="AG495" s="2">
        <v>0</v>
      </c>
      <c r="AH495" s="2">
        <v>0</v>
      </c>
      <c r="AI495" s="4">
        <f>Table2121418198598112[[#This Row],[QB PY]]+Table2121418198598112[[#This Row],[QB RY]]</f>
        <v>277</v>
      </c>
      <c r="AJ495" s="4">
        <f>Table2121418198598112[[#This Row],[RB1 RY]]+Table2121418198598112[[#This Row],[RB2+ RY]]+Table2121418198598112[[#This Row],[RB1 RecY]]+Table2121418198598112[[#This Row],[RB2 RecY]]</f>
        <v>172</v>
      </c>
    </row>
    <row r="496" spans="1:36" x14ac:dyDescent="0.35">
      <c r="A496" s="19" t="s">
        <v>29</v>
      </c>
      <c r="B496" s="1">
        <v>10</v>
      </c>
      <c r="C496" s="2">
        <v>124</v>
      </c>
      <c r="D496" s="2">
        <v>0</v>
      </c>
      <c r="E496" s="2">
        <v>6</v>
      </c>
      <c r="F496" s="2">
        <v>53</v>
      </c>
      <c r="G496" s="2">
        <v>14</v>
      </c>
      <c r="H496" s="2">
        <v>0</v>
      </c>
      <c r="I496" s="2">
        <v>3</v>
      </c>
      <c r="J496" s="2">
        <v>10</v>
      </c>
      <c r="K496" s="2">
        <v>1</v>
      </c>
      <c r="L496" s="2">
        <v>1</v>
      </c>
      <c r="M496" s="2">
        <v>5</v>
      </c>
      <c r="N496" s="2">
        <v>60</v>
      </c>
      <c r="O496" s="2">
        <v>0</v>
      </c>
      <c r="P496" s="2">
        <v>0</v>
      </c>
      <c r="Q496" s="2">
        <v>3</v>
      </c>
      <c r="R496" s="2">
        <v>21</v>
      </c>
      <c r="S496" s="2">
        <v>0</v>
      </c>
      <c r="T496" s="2">
        <v>0</v>
      </c>
      <c r="U496" s="2">
        <v>5</v>
      </c>
      <c r="V496" s="2">
        <v>32</v>
      </c>
      <c r="W496" s="2">
        <v>0</v>
      </c>
      <c r="X496" s="2">
        <v>0</v>
      </c>
      <c r="Y496" s="2">
        <v>0</v>
      </c>
      <c r="Z496" s="2">
        <v>1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4">
        <f>Table2121418198598112[[#This Row],[QB PY]]+Table2121418198598112[[#This Row],[QB RY]]</f>
        <v>130</v>
      </c>
      <c r="AJ496" s="4">
        <f>Table2121418198598112[[#This Row],[RB1 RY]]+Table2121418198598112[[#This Row],[RB2+ RY]]+Table2121418198598112[[#This Row],[RB1 RecY]]+Table2121418198598112[[#This Row],[RB2 RecY]]</f>
        <v>78</v>
      </c>
    </row>
    <row r="497" spans="1:36" x14ac:dyDescent="0.35">
      <c r="A497" s="19" t="s">
        <v>650</v>
      </c>
      <c r="B497" s="1">
        <v>11</v>
      </c>
      <c r="C497" s="2" t="s">
        <v>697</v>
      </c>
      <c r="D497" s="2" t="s">
        <v>697</v>
      </c>
      <c r="E497" s="2" t="s">
        <v>697</v>
      </c>
      <c r="F497" s="2" t="s">
        <v>697</v>
      </c>
      <c r="G497" s="2" t="s">
        <v>697</v>
      </c>
      <c r="H497" s="2" t="s">
        <v>697</v>
      </c>
      <c r="I497" s="2" t="s">
        <v>697</v>
      </c>
      <c r="J497" s="2" t="s">
        <v>697</v>
      </c>
      <c r="K497" s="2" t="s">
        <v>697</v>
      </c>
      <c r="L497" s="2" t="s">
        <v>697</v>
      </c>
      <c r="M497" s="2" t="s">
        <v>697</v>
      </c>
      <c r="N497" s="2" t="s">
        <v>697</v>
      </c>
      <c r="O497" s="2" t="s">
        <v>697</v>
      </c>
      <c r="P497" s="2" t="s">
        <v>697</v>
      </c>
      <c r="Q497" s="2" t="s">
        <v>697</v>
      </c>
      <c r="R497" s="2" t="s">
        <v>697</v>
      </c>
      <c r="S497" s="2" t="s">
        <v>697</v>
      </c>
      <c r="T497" s="2" t="s">
        <v>697</v>
      </c>
      <c r="U497" s="2" t="s">
        <v>697</v>
      </c>
      <c r="V497" s="2" t="s">
        <v>697</v>
      </c>
      <c r="W497" s="2" t="s">
        <v>697</v>
      </c>
      <c r="X497" s="2" t="s">
        <v>697</v>
      </c>
      <c r="Y497" s="2" t="s">
        <v>697</v>
      </c>
      <c r="Z497" s="2" t="s">
        <v>697</v>
      </c>
      <c r="AA497" s="2" t="s">
        <v>697</v>
      </c>
      <c r="AB497" s="2" t="s">
        <v>697</v>
      </c>
      <c r="AC497" s="2" t="s">
        <v>697</v>
      </c>
      <c r="AD497" s="2" t="s">
        <v>697</v>
      </c>
      <c r="AE497" s="2" t="s">
        <v>697</v>
      </c>
      <c r="AF497" s="2" t="s">
        <v>697</v>
      </c>
      <c r="AG497" s="2" t="s">
        <v>697</v>
      </c>
      <c r="AH497" s="2" t="s">
        <v>697</v>
      </c>
      <c r="AI497" s="4" t="s">
        <v>697</v>
      </c>
      <c r="AJ497" s="4" t="s">
        <v>697</v>
      </c>
    </row>
    <row r="498" spans="1:36" x14ac:dyDescent="0.35">
      <c r="A498" s="19" t="s">
        <v>15</v>
      </c>
      <c r="B498" s="1">
        <v>12</v>
      </c>
      <c r="C498" s="2">
        <v>199</v>
      </c>
      <c r="D498" s="2">
        <v>2</v>
      </c>
      <c r="E498" s="2">
        <v>5</v>
      </c>
      <c r="F498" s="2">
        <v>70</v>
      </c>
      <c r="G498" s="2">
        <v>44</v>
      </c>
      <c r="H498" s="2">
        <v>2</v>
      </c>
      <c r="I498" s="2">
        <v>2</v>
      </c>
      <c r="J498" s="2">
        <v>37</v>
      </c>
      <c r="K498" s="2">
        <v>1</v>
      </c>
      <c r="L498" s="2">
        <v>5</v>
      </c>
      <c r="M498" s="2">
        <v>3</v>
      </c>
      <c r="N498" s="2">
        <v>74</v>
      </c>
      <c r="O498" s="2">
        <v>2</v>
      </c>
      <c r="P498" s="2">
        <v>16</v>
      </c>
      <c r="Q498" s="2">
        <v>3</v>
      </c>
      <c r="R498" s="2">
        <v>18</v>
      </c>
      <c r="S498" s="2">
        <v>0</v>
      </c>
      <c r="T498" s="2">
        <v>0</v>
      </c>
      <c r="U498" s="2">
        <v>2</v>
      </c>
      <c r="V498" s="2">
        <v>25</v>
      </c>
      <c r="W498" s="2">
        <v>3</v>
      </c>
      <c r="X498" s="2">
        <v>24</v>
      </c>
      <c r="Y498" s="2">
        <v>0</v>
      </c>
      <c r="Z498" s="2">
        <v>0</v>
      </c>
      <c r="AA498" s="2">
        <v>0</v>
      </c>
      <c r="AB498" s="2">
        <v>1</v>
      </c>
      <c r="AC498" s="2">
        <v>1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4">
        <f>Table2121418198598112[[#This Row],[QB PY]]+Table2121418198598112[[#This Row],[QB RY]]</f>
        <v>204</v>
      </c>
      <c r="AJ498" s="4">
        <f>Table2121418198598112[[#This Row],[RB1 RY]]+Table2121418198598112[[#This Row],[RB2+ RY]]+Table2121418198598112[[#This Row],[RB1 RecY]]+Table2121418198598112[[#This Row],[RB2 RecY]]</f>
        <v>156</v>
      </c>
    </row>
    <row r="499" spans="1:36" x14ac:dyDescent="0.35">
      <c r="A499" s="19" t="s">
        <v>44</v>
      </c>
      <c r="B499" s="1">
        <v>13</v>
      </c>
      <c r="C499" s="2">
        <v>157</v>
      </c>
      <c r="D499" s="2">
        <v>0</v>
      </c>
      <c r="E499" s="2">
        <v>4</v>
      </c>
      <c r="F499" s="2">
        <v>134</v>
      </c>
      <c r="G499" s="2">
        <v>26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3</v>
      </c>
      <c r="N499" s="2">
        <v>40</v>
      </c>
      <c r="O499" s="2">
        <v>4</v>
      </c>
      <c r="P499" s="2">
        <v>30</v>
      </c>
      <c r="Q499" s="2">
        <v>1</v>
      </c>
      <c r="R499" s="2">
        <v>16</v>
      </c>
      <c r="S499" s="2">
        <v>0</v>
      </c>
      <c r="T499" s="2">
        <v>0</v>
      </c>
      <c r="U499" s="2">
        <v>2</v>
      </c>
      <c r="V499" s="2">
        <v>47</v>
      </c>
      <c r="W499" s="2">
        <v>2</v>
      </c>
      <c r="X499" s="2">
        <v>24</v>
      </c>
      <c r="Y499" s="2">
        <v>0</v>
      </c>
      <c r="Z499" s="2">
        <v>1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4">
        <f>Table2121418198598112[[#This Row],[QB PY]]+Table2121418198598112[[#This Row],[QB RY]]</f>
        <v>161</v>
      </c>
      <c r="AJ499" s="4">
        <f>Table2121418198598112[[#This Row],[RB1 RY]]+Table2121418198598112[[#This Row],[RB2+ RY]]+Table2121418198598112[[#This Row],[RB1 RecY]]+Table2121418198598112[[#This Row],[RB2 RecY]]</f>
        <v>160</v>
      </c>
    </row>
    <row r="500" spans="1:36" x14ac:dyDescent="0.35">
      <c r="A500" s="19" t="s">
        <v>54</v>
      </c>
      <c r="B500" s="1">
        <v>14</v>
      </c>
      <c r="C500" s="2">
        <v>122</v>
      </c>
      <c r="D500" s="2">
        <v>1</v>
      </c>
      <c r="E500" s="2">
        <v>42</v>
      </c>
      <c r="F500" s="2">
        <v>55</v>
      </c>
      <c r="G500" s="2">
        <v>82</v>
      </c>
      <c r="H500" s="2">
        <v>0</v>
      </c>
      <c r="I500" s="2">
        <v>2</v>
      </c>
      <c r="J500" s="2">
        <v>26</v>
      </c>
      <c r="K500" s="2">
        <v>1</v>
      </c>
      <c r="L500" s="2">
        <v>2</v>
      </c>
      <c r="M500" s="2">
        <v>2</v>
      </c>
      <c r="N500" s="2">
        <v>15</v>
      </c>
      <c r="O500" s="2">
        <v>5</v>
      </c>
      <c r="P500" s="2">
        <v>55</v>
      </c>
      <c r="Q500" s="2">
        <v>1</v>
      </c>
      <c r="R500" s="2">
        <v>5</v>
      </c>
      <c r="S500" s="2">
        <v>0</v>
      </c>
      <c r="T500" s="2">
        <v>0</v>
      </c>
      <c r="U500" s="2">
        <v>3</v>
      </c>
      <c r="V500" s="2">
        <v>19</v>
      </c>
      <c r="W500" s="2">
        <v>0</v>
      </c>
      <c r="X500" s="2">
        <v>0</v>
      </c>
      <c r="Y500" s="2">
        <v>0</v>
      </c>
      <c r="Z500" s="2">
        <v>1</v>
      </c>
      <c r="AA500" s="2">
        <v>1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4">
        <f>Table2121418198598112[[#This Row],[QB PY]]+Table2121418198598112[[#This Row],[QB RY]]</f>
        <v>164</v>
      </c>
      <c r="AJ500" s="4">
        <f>Table2121418198598112[[#This Row],[RB1 RY]]+Table2121418198598112[[#This Row],[RB2+ RY]]+Table2121418198598112[[#This Row],[RB1 RecY]]+Table2121418198598112[[#This Row],[RB2 RecY]]</f>
        <v>165</v>
      </c>
    </row>
    <row r="501" spans="1:36" x14ac:dyDescent="0.35">
      <c r="A501" s="19" t="s">
        <v>29</v>
      </c>
      <c r="B501" s="1">
        <v>15</v>
      </c>
      <c r="C501" s="2">
        <v>163</v>
      </c>
      <c r="D501" s="2">
        <v>1</v>
      </c>
      <c r="E501" s="2">
        <v>49</v>
      </c>
      <c r="F501" s="2">
        <v>49</v>
      </c>
      <c r="G501" s="2">
        <v>29</v>
      </c>
      <c r="H501" s="2">
        <v>0</v>
      </c>
      <c r="I501" s="2">
        <v>1</v>
      </c>
      <c r="J501" s="2">
        <v>5</v>
      </c>
      <c r="K501" s="2">
        <v>1</v>
      </c>
      <c r="L501" s="2">
        <v>9</v>
      </c>
      <c r="M501" s="2">
        <v>2</v>
      </c>
      <c r="N501" s="2">
        <v>25</v>
      </c>
      <c r="O501" s="2">
        <v>2</v>
      </c>
      <c r="P501" s="2">
        <v>39</v>
      </c>
      <c r="Q501" s="2">
        <v>4</v>
      </c>
      <c r="R501" s="2">
        <v>60</v>
      </c>
      <c r="S501" s="2">
        <v>1</v>
      </c>
      <c r="T501" s="2">
        <v>7</v>
      </c>
      <c r="U501" s="2">
        <v>2</v>
      </c>
      <c r="V501" s="2">
        <v>13</v>
      </c>
      <c r="W501" s="2">
        <v>2</v>
      </c>
      <c r="X501" s="2">
        <v>5</v>
      </c>
      <c r="Y501" s="2">
        <v>0</v>
      </c>
      <c r="Z501" s="2">
        <v>1</v>
      </c>
      <c r="AA501" s="2">
        <v>0</v>
      </c>
      <c r="AB501" s="2">
        <v>0</v>
      </c>
      <c r="AC501" s="2">
        <v>0</v>
      </c>
      <c r="AD501" s="2">
        <v>1</v>
      </c>
      <c r="AE501" s="2">
        <v>0</v>
      </c>
      <c r="AF501" s="2">
        <v>0</v>
      </c>
      <c r="AG501" s="2">
        <v>0</v>
      </c>
      <c r="AH501" s="2">
        <v>0</v>
      </c>
      <c r="AI501" s="4">
        <f>Table2121418198598112[[#This Row],[QB PY]]+Table2121418198598112[[#This Row],[QB RY]]</f>
        <v>212</v>
      </c>
      <c r="AJ501" s="4">
        <f>Table2121418198598112[[#This Row],[RB1 RY]]+Table2121418198598112[[#This Row],[RB2+ RY]]+Table2121418198598112[[#This Row],[RB1 RecY]]+Table2121418198598112[[#This Row],[RB2 RecY]]</f>
        <v>92</v>
      </c>
    </row>
    <row r="502" spans="1:36" x14ac:dyDescent="0.35">
      <c r="A502" s="19" t="s">
        <v>49</v>
      </c>
      <c r="B502" s="1">
        <v>16</v>
      </c>
      <c r="C502" s="2">
        <v>188</v>
      </c>
      <c r="D502" s="2">
        <v>0</v>
      </c>
      <c r="E502" s="2">
        <v>2</v>
      </c>
      <c r="F502" s="2">
        <v>54</v>
      </c>
      <c r="G502" s="2">
        <v>8</v>
      </c>
      <c r="H502" s="2">
        <v>0</v>
      </c>
      <c r="I502" s="2">
        <v>2</v>
      </c>
      <c r="J502" s="2">
        <v>9</v>
      </c>
      <c r="K502" s="2">
        <v>4</v>
      </c>
      <c r="L502" s="2">
        <v>52</v>
      </c>
      <c r="M502" s="2">
        <v>1</v>
      </c>
      <c r="N502" s="2">
        <v>4</v>
      </c>
      <c r="O502" s="2">
        <v>3</v>
      </c>
      <c r="P502" s="2">
        <v>43</v>
      </c>
      <c r="Q502" s="2">
        <v>4</v>
      </c>
      <c r="R502" s="2">
        <v>25</v>
      </c>
      <c r="S502" s="2">
        <v>1</v>
      </c>
      <c r="T502" s="2">
        <v>7</v>
      </c>
      <c r="U502" s="2">
        <v>2</v>
      </c>
      <c r="V502" s="2">
        <v>14</v>
      </c>
      <c r="W502" s="2">
        <v>5</v>
      </c>
      <c r="X502" s="2">
        <v>34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4">
        <f>Table2121418198598112[[#This Row],[QB PY]]+Table2121418198598112[[#This Row],[QB RY]]</f>
        <v>190</v>
      </c>
      <c r="AJ502" s="4">
        <f>Table2121418198598112[[#This Row],[RB1 RY]]+Table2121418198598112[[#This Row],[RB2+ RY]]+Table2121418198598112[[#This Row],[RB1 RecY]]+Table2121418198598112[[#This Row],[RB2 RecY]]</f>
        <v>123</v>
      </c>
    </row>
    <row r="503" spans="1:36" x14ac:dyDescent="0.35">
      <c r="A503" s="19" t="s">
        <v>55</v>
      </c>
      <c r="B503" s="1">
        <v>17</v>
      </c>
      <c r="C503" s="2">
        <v>251</v>
      </c>
      <c r="D503" s="2">
        <v>2</v>
      </c>
      <c r="E503" s="2">
        <v>10</v>
      </c>
      <c r="F503" s="2">
        <v>85</v>
      </c>
      <c r="G503" s="2">
        <v>6</v>
      </c>
      <c r="H503" s="2">
        <v>7</v>
      </c>
      <c r="I503" s="2">
        <v>2</v>
      </c>
      <c r="J503" s="2">
        <v>10</v>
      </c>
      <c r="K503" s="2">
        <v>1</v>
      </c>
      <c r="L503" s="2">
        <v>-1</v>
      </c>
      <c r="M503" s="2">
        <v>4</v>
      </c>
      <c r="N503" s="2">
        <v>37</v>
      </c>
      <c r="O503" s="2">
        <v>4</v>
      </c>
      <c r="P503" s="2">
        <v>55</v>
      </c>
      <c r="Q503" s="2">
        <v>1</v>
      </c>
      <c r="R503" s="2">
        <v>5</v>
      </c>
      <c r="S503" s="2">
        <v>4</v>
      </c>
      <c r="T503" s="2">
        <v>80</v>
      </c>
      <c r="U503" s="2">
        <v>3</v>
      </c>
      <c r="V503" s="2">
        <v>55</v>
      </c>
      <c r="W503" s="2">
        <v>2</v>
      </c>
      <c r="X503" s="2">
        <v>10</v>
      </c>
      <c r="Y503" s="2">
        <v>0</v>
      </c>
      <c r="Z503" s="2">
        <v>0</v>
      </c>
      <c r="AA503" s="2">
        <v>0</v>
      </c>
      <c r="AB503" s="2">
        <v>1</v>
      </c>
      <c r="AC503" s="2">
        <v>0</v>
      </c>
      <c r="AD503" s="2">
        <v>0</v>
      </c>
      <c r="AE503" s="2">
        <v>0</v>
      </c>
      <c r="AF503" s="2">
        <v>1</v>
      </c>
      <c r="AG503" s="2">
        <v>0</v>
      </c>
      <c r="AH503" s="2">
        <v>0</v>
      </c>
      <c r="AI503" s="4">
        <f>Table2121418198598112[[#This Row],[QB PY]]+Table2121418198598112[[#This Row],[QB RY]]</f>
        <v>261</v>
      </c>
      <c r="AJ503" s="4">
        <f>Table2121418198598112[[#This Row],[RB1 RY]]+Table2121418198598112[[#This Row],[RB2+ RY]]+Table2121418198598112[[#This Row],[RB1 RecY]]+Table2121418198598112[[#This Row],[RB2 RecY]]</f>
        <v>100</v>
      </c>
    </row>
    <row r="504" spans="1:36" x14ac:dyDescent="0.35">
      <c r="A504" s="19" t="s">
        <v>15</v>
      </c>
      <c r="B504" s="1">
        <v>18</v>
      </c>
      <c r="C504" s="2">
        <v>180</v>
      </c>
      <c r="D504" s="2">
        <v>1</v>
      </c>
      <c r="E504" s="2">
        <v>0</v>
      </c>
      <c r="F504" s="2">
        <v>33</v>
      </c>
      <c r="G504" s="2">
        <v>16</v>
      </c>
      <c r="H504" s="2">
        <v>0</v>
      </c>
      <c r="I504" s="2">
        <v>3</v>
      </c>
      <c r="J504" s="2">
        <v>10</v>
      </c>
      <c r="K504" s="2">
        <v>1</v>
      </c>
      <c r="L504" s="2">
        <v>3</v>
      </c>
      <c r="M504" s="2">
        <v>4</v>
      </c>
      <c r="N504" s="2">
        <v>78</v>
      </c>
      <c r="O504" s="2">
        <v>3</v>
      </c>
      <c r="P504" s="2">
        <v>20</v>
      </c>
      <c r="Q504" s="2">
        <v>1</v>
      </c>
      <c r="R504" s="2">
        <v>11</v>
      </c>
      <c r="S504" s="2">
        <v>0</v>
      </c>
      <c r="T504" s="2">
        <v>0</v>
      </c>
      <c r="U504" s="2">
        <v>6</v>
      </c>
      <c r="V504" s="2">
        <v>58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1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4">
        <f>Table2121418198598112[[#This Row],[QB PY]]+Table2121418198598112[[#This Row],[QB RY]]</f>
        <v>180</v>
      </c>
      <c r="AJ504" s="4">
        <f>Table2121418198598112[[#This Row],[RB1 RY]]+Table2121418198598112[[#This Row],[RB2+ RY]]+Table2121418198598112[[#This Row],[RB1 RecY]]+Table2121418198598112[[#This Row],[RB2 RecY]]</f>
        <v>62</v>
      </c>
    </row>
    <row r="505" spans="1:36" x14ac:dyDescent="0.35">
      <c r="B505" s="1" t="s">
        <v>57</v>
      </c>
      <c r="C505" s="3">
        <f>AVERAGE(Table2121418198598112[QB PY])</f>
        <v>196.23529411764707</v>
      </c>
      <c r="D505" s="3">
        <f>AVERAGE(Table2121418198598112[P TD])</f>
        <v>1.4705882352941178</v>
      </c>
      <c r="E505" s="3">
        <f>AVERAGE(Table2121418198598112[QB RY])</f>
        <v>16.823529411764707</v>
      </c>
      <c r="F505" s="3">
        <f>AVERAGE(Table2121418198598112[RB1 RY])</f>
        <v>67.117647058823536</v>
      </c>
      <c r="G505" s="3">
        <f>AVERAGE(Table2121418198598112[RB2+ RY])</f>
        <v>35.588235294117645</v>
      </c>
      <c r="H505" s="3">
        <f>AVERAGE(Table2121418198598112[WR RY])</f>
        <v>1.0588235294117647</v>
      </c>
      <c r="I505" s="3">
        <f>AVERAGE(Table2121418198598112[RB1 Recep])</f>
        <v>2.2941176470588234</v>
      </c>
      <c r="J505" s="3">
        <f>AVERAGE(Table2121418198598112[RB1 RecY])</f>
        <v>16.941176470588236</v>
      </c>
      <c r="K505" s="3">
        <f>AVERAGE(Table2121418198598112[RB2 Recep])</f>
        <v>1.0588235294117647</v>
      </c>
      <c r="L505" s="3">
        <f>AVERAGE(Table2121418198598112[RB2 RecY])</f>
        <v>6.6470588235294121</v>
      </c>
      <c r="M505" s="3">
        <f>AVERAGE(Table2121418198598112[WR1 Recep])</f>
        <v>3.7058823529411766</v>
      </c>
      <c r="N505" s="3">
        <f>AVERAGE(Table2121418198598112[WR1 RecY])</f>
        <v>50.882352941176471</v>
      </c>
      <c r="O505" s="3">
        <f>AVERAGE(Table2121418198598112[WR2 Recep])</f>
        <v>3.2352941176470589</v>
      </c>
      <c r="P505" s="3">
        <f>AVERAGE(Table2121418198598112[WR2 RecY])</f>
        <v>39.823529411764703</v>
      </c>
      <c r="Q505" s="3">
        <f>AVERAGE(Table2121418198598112[WR3 Recep])</f>
        <v>2.0588235294117645</v>
      </c>
      <c r="R505" s="3">
        <f>AVERAGE(Table2121418198598112[WR3 RecY])</f>
        <v>20.823529411764707</v>
      </c>
      <c r="S505" s="3">
        <f>AVERAGE(Table2121418198598112[WR4+ Recep])</f>
        <v>0.76470588235294112</v>
      </c>
      <c r="T505" s="3">
        <f>AVERAGE(Table2121418198598112[WR4+ RecY])</f>
        <v>10</v>
      </c>
      <c r="U505" s="3">
        <f>AVERAGE(Table2121418198598112[TE1 Recep])</f>
        <v>3.2941176470588234</v>
      </c>
      <c r="V505" s="3">
        <f>AVERAGE(Table2121418198598112[TE1 RecY])</f>
        <v>31.941176470588236</v>
      </c>
      <c r="W505" s="3">
        <f>AVERAGE(Table2121418198598112[TE2 Recep])</f>
        <v>1.9411764705882353</v>
      </c>
      <c r="X505" s="3">
        <f>AVERAGE(Table2121418198598112[TE2 RecY])</f>
        <v>19.176470588235293</v>
      </c>
      <c r="Y505" s="3">
        <f>AVERAGE(Table2121418198598112[QB TD])</f>
        <v>5.8823529411764705E-2</v>
      </c>
      <c r="Z505" s="3">
        <f>AVERAGE(Table2121418198598112[RB1 TD])</f>
        <v>0.6470588235294118</v>
      </c>
      <c r="AA505" s="3">
        <f>AVERAGE(Table2121418198598112[RB2 TD])</f>
        <v>0.17647058823529413</v>
      </c>
      <c r="AB505" s="3">
        <f>AVERAGE(Table2121418198598112[WR1 TD])</f>
        <v>0.41176470588235292</v>
      </c>
      <c r="AC505" s="3">
        <f>AVERAGE(Table2121418198598112[WR2 TD])</f>
        <v>0.35294117647058826</v>
      </c>
      <c r="AD505" s="3">
        <f>AVERAGE(Table2121418198598112[WR3 TD])</f>
        <v>0.17647058823529413</v>
      </c>
      <c r="AE505" s="3">
        <f>AVERAGE(Table2121418198598112[WR4+ TD])</f>
        <v>0</v>
      </c>
      <c r="AF505" s="3">
        <f>AVERAGE(Table2121418198598112[TE1 TD])</f>
        <v>0.29411764705882354</v>
      </c>
      <c r="AG505" s="3">
        <f>AVERAGE(Table2121418198598112[TE2 TD])</f>
        <v>5.8823529411764705E-2</v>
      </c>
      <c r="AH505" s="3">
        <f>AVERAGE(Table2121418198598112[D/ST TD])</f>
        <v>0.11764705882352941</v>
      </c>
      <c r="AI505" s="3">
        <f>AVERAGE(Table2121418198598112[QB P+R])</f>
        <v>213.05882352941177</v>
      </c>
      <c r="AJ505" s="3">
        <f>AVERAGE(Table2121418198598112[RB R+R])</f>
        <v>126.29411764705883</v>
      </c>
    </row>
    <row r="507" spans="1:36" x14ac:dyDescent="0.35">
      <c r="A507" s="230" t="s">
        <v>48</v>
      </c>
      <c r="B507" s="230"/>
      <c r="C507" s="230"/>
      <c r="D507" s="230"/>
      <c r="E507" s="230"/>
      <c r="F507" s="230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  <c r="AF507" s="230"/>
      <c r="AG507" s="230"/>
      <c r="AH507" s="230"/>
      <c r="AI507" s="230"/>
      <c r="AJ507" s="230"/>
    </row>
    <row r="508" spans="1:36" x14ac:dyDescent="0.35">
      <c r="A508" s="20" t="s">
        <v>63</v>
      </c>
      <c r="B508" s="6" t="s">
        <v>1</v>
      </c>
      <c r="C508" s="7" t="s">
        <v>18</v>
      </c>
      <c r="D508" s="8" t="s">
        <v>19</v>
      </c>
      <c r="E508" s="9" t="s">
        <v>20</v>
      </c>
      <c r="F508" s="10" t="s">
        <v>21</v>
      </c>
      <c r="G508" s="11" t="s">
        <v>22</v>
      </c>
      <c r="H508" s="12" t="s">
        <v>23</v>
      </c>
      <c r="I508" s="13" t="s">
        <v>667</v>
      </c>
      <c r="J508" s="13" t="s">
        <v>668</v>
      </c>
      <c r="K508" s="13" t="s">
        <v>665</v>
      </c>
      <c r="L508" s="13" t="s">
        <v>666</v>
      </c>
      <c r="M508" s="14" t="s">
        <v>2</v>
      </c>
      <c r="N508" s="14" t="s">
        <v>24</v>
      </c>
      <c r="O508" s="15" t="s">
        <v>3</v>
      </c>
      <c r="P508" s="15" t="s">
        <v>25</v>
      </c>
      <c r="Q508" s="16" t="s">
        <v>4</v>
      </c>
      <c r="R508" s="16" t="s">
        <v>26</v>
      </c>
      <c r="S508" s="17" t="s">
        <v>5</v>
      </c>
      <c r="T508" s="17" t="s">
        <v>27</v>
      </c>
      <c r="U508" s="18" t="s">
        <v>669</v>
      </c>
      <c r="V508" s="18" t="s">
        <v>670</v>
      </c>
      <c r="W508" s="18" t="s">
        <v>675</v>
      </c>
      <c r="X508" s="18" t="s">
        <v>671</v>
      </c>
      <c r="Y508" s="6" t="s">
        <v>6</v>
      </c>
      <c r="Z508" s="6" t="s">
        <v>7</v>
      </c>
      <c r="AA508" s="6" t="s">
        <v>674</v>
      </c>
      <c r="AB508" s="6" t="s">
        <v>8</v>
      </c>
      <c r="AC508" s="6" t="s">
        <v>9</v>
      </c>
      <c r="AD508" s="6" t="s">
        <v>10</v>
      </c>
      <c r="AE508" s="6" t="s">
        <v>11</v>
      </c>
      <c r="AF508" s="6" t="s">
        <v>673</v>
      </c>
      <c r="AG508" s="6" t="s">
        <v>672</v>
      </c>
      <c r="AH508" s="6" t="s">
        <v>12</v>
      </c>
      <c r="AI508" s="8" t="s">
        <v>14</v>
      </c>
      <c r="AJ508" s="11" t="s">
        <v>13</v>
      </c>
    </row>
    <row r="509" spans="1:36" x14ac:dyDescent="0.35">
      <c r="A509" s="19" t="s">
        <v>56</v>
      </c>
      <c r="B509" s="5">
        <v>1</v>
      </c>
      <c r="C509" s="4">
        <v>233</v>
      </c>
      <c r="D509" s="4">
        <v>1</v>
      </c>
      <c r="E509" s="4">
        <v>68</v>
      </c>
      <c r="F509" s="4">
        <v>26</v>
      </c>
      <c r="G509" s="4">
        <v>107</v>
      </c>
      <c r="H509" s="4">
        <v>19</v>
      </c>
      <c r="I509" s="4">
        <v>3</v>
      </c>
      <c r="J509" s="4">
        <v>31</v>
      </c>
      <c r="K509" s="4">
        <v>0</v>
      </c>
      <c r="L509" s="4">
        <v>0</v>
      </c>
      <c r="M509" s="4">
        <v>2</v>
      </c>
      <c r="N509" s="4">
        <v>27</v>
      </c>
      <c r="O509" s="4">
        <v>7</v>
      </c>
      <c r="P509" s="4">
        <v>77</v>
      </c>
      <c r="Q509" s="4">
        <v>2</v>
      </c>
      <c r="R509" s="4">
        <v>27</v>
      </c>
      <c r="S509" s="4">
        <v>2</v>
      </c>
      <c r="T509" s="4">
        <v>45</v>
      </c>
      <c r="U509" s="4">
        <v>3</v>
      </c>
      <c r="V509" s="4">
        <v>26</v>
      </c>
      <c r="W509" s="4">
        <v>0</v>
      </c>
      <c r="X509" s="4">
        <v>0</v>
      </c>
      <c r="Y509" s="4">
        <v>0</v>
      </c>
      <c r="Z509" s="4">
        <v>0</v>
      </c>
      <c r="AA509" s="4">
        <v>1</v>
      </c>
      <c r="AB509" s="4">
        <v>0</v>
      </c>
      <c r="AC509" s="4">
        <v>1</v>
      </c>
      <c r="AD509" s="4">
        <v>0</v>
      </c>
      <c r="AE509" s="4">
        <v>0</v>
      </c>
      <c r="AF509" s="4">
        <v>1</v>
      </c>
      <c r="AG509" s="4">
        <v>0</v>
      </c>
      <c r="AH509" s="4">
        <v>0</v>
      </c>
      <c r="AI509" s="4">
        <f>Table2121418198598113[[#This Row],[QB PY]]+Table2121418198598113[[#This Row],[QB RY]]</f>
        <v>301</v>
      </c>
      <c r="AJ509" s="4">
        <f>Table2121418198598113[[#This Row],[RB1 RY]]+Table2121418198598113[[#This Row],[RB2+ RY]]+Table2121418198598113[[#This Row],[RB1 RecY]]+Table2121418198598113[[#This Row],[RB2 RecY]]</f>
        <v>164</v>
      </c>
    </row>
    <row r="510" spans="1:36" x14ac:dyDescent="0.35">
      <c r="A510" s="19" t="s">
        <v>33</v>
      </c>
      <c r="B510" s="1">
        <v>2</v>
      </c>
      <c r="C510" s="2">
        <v>361</v>
      </c>
      <c r="D510" s="2">
        <v>2</v>
      </c>
      <c r="E510" s="2">
        <v>17</v>
      </c>
      <c r="F510" s="2">
        <v>97</v>
      </c>
      <c r="G510" s="2">
        <v>15</v>
      </c>
      <c r="H510" s="2">
        <v>6</v>
      </c>
      <c r="I510" s="2">
        <v>6</v>
      </c>
      <c r="J510" s="2">
        <v>33</v>
      </c>
      <c r="K510" s="2">
        <v>2</v>
      </c>
      <c r="L510" s="2">
        <v>4</v>
      </c>
      <c r="M510" s="2">
        <v>9</v>
      </c>
      <c r="N510" s="2">
        <v>112</v>
      </c>
      <c r="O510" s="2">
        <v>5</v>
      </c>
      <c r="P510" s="2">
        <v>68</v>
      </c>
      <c r="Q510" s="2">
        <v>2</v>
      </c>
      <c r="R510" s="2">
        <v>16</v>
      </c>
      <c r="S510" s="2">
        <v>4</v>
      </c>
      <c r="T510" s="2">
        <v>47</v>
      </c>
      <c r="U510" s="2">
        <v>9</v>
      </c>
      <c r="V510" s="2">
        <v>78</v>
      </c>
      <c r="W510" s="2">
        <v>1</v>
      </c>
      <c r="X510" s="2">
        <v>3</v>
      </c>
      <c r="Y510" s="2">
        <v>0</v>
      </c>
      <c r="Z510" s="2">
        <v>1</v>
      </c>
      <c r="AA510" s="2">
        <v>1</v>
      </c>
      <c r="AB510" s="2">
        <v>0</v>
      </c>
      <c r="AC510" s="2">
        <v>1</v>
      </c>
      <c r="AD510" s="2">
        <v>0</v>
      </c>
      <c r="AE510" s="2">
        <v>1</v>
      </c>
      <c r="AF510" s="2">
        <v>0</v>
      </c>
      <c r="AG510" s="2">
        <v>0</v>
      </c>
      <c r="AH510" s="2">
        <v>0</v>
      </c>
      <c r="AI510" s="4">
        <f>Table2121418198598113[[#This Row],[QB PY]]+Table2121418198598113[[#This Row],[QB RY]]</f>
        <v>378</v>
      </c>
      <c r="AJ510" s="4">
        <f>Table2121418198598113[[#This Row],[RB1 RY]]+Table2121418198598113[[#This Row],[RB2+ RY]]+Table2121418198598113[[#This Row],[RB1 RecY]]+Table2121418198598113[[#This Row],[RB2 RecY]]</f>
        <v>149</v>
      </c>
    </row>
    <row r="511" spans="1:36" x14ac:dyDescent="0.35">
      <c r="A511" s="19" t="s">
        <v>40</v>
      </c>
      <c r="B511" s="1">
        <v>3</v>
      </c>
      <c r="C511" s="2">
        <v>224</v>
      </c>
      <c r="D511" s="2">
        <v>1</v>
      </c>
      <c r="E511" s="2">
        <v>2</v>
      </c>
      <c r="F511" s="2">
        <v>45</v>
      </c>
      <c r="G511" s="2">
        <v>47</v>
      </c>
      <c r="H511" s="2">
        <v>11</v>
      </c>
      <c r="I511" s="2">
        <v>1</v>
      </c>
      <c r="J511" s="2">
        <v>3</v>
      </c>
      <c r="K511" s="2">
        <v>1</v>
      </c>
      <c r="L511" s="2">
        <v>10</v>
      </c>
      <c r="M511" s="2">
        <v>4</v>
      </c>
      <c r="N511" s="2">
        <v>42</v>
      </c>
      <c r="O511" s="2">
        <v>5</v>
      </c>
      <c r="P511" s="2">
        <v>71</v>
      </c>
      <c r="Q511" s="2">
        <v>4</v>
      </c>
      <c r="R511" s="2">
        <v>55</v>
      </c>
      <c r="S511" s="2">
        <v>0</v>
      </c>
      <c r="T511" s="2">
        <v>0</v>
      </c>
      <c r="U511" s="2">
        <v>4</v>
      </c>
      <c r="V511" s="2">
        <v>26</v>
      </c>
      <c r="W511" s="2">
        <v>3</v>
      </c>
      <c r="X511" s="2">
        <v>17</v>
      </c>
      <c r="Y511" s="2">
        <v>0</v>
      </c>
      <c r="Z511" s="2">
        <v>0</v>
      </c>
      <c r="AA511" s="2">
        <v>1</v>
      </c>
      <c r="AB511" s="2">
        <v>0</v>
      </c>
      <c r="AC511" s="2">
        <v>1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4">
        <f>Table2121418198598113[[#This Row],[QB PY]]+Table2121418198598113[[#This Row],[QB RY]]</f>
        <v>226</v>
      </c>
      <c r="AJ511" s="4">
        <f>Table2121418198598113[[#This Row],[RB1 RY]]+Table2121418198598113[[#This Row],[RB2+ RY]]+Table2121418198598113[[#This Row],[RB1 RecY]]+Table2121418198598113[[#This Row],[RB2 RecY]]</f>
        <v>105</v>
      </c>
    </row>
    <row r="512" spans="1:36" x14ac:dyDescent="0.35">
      <c r="A512" s="19" t="s">
        <v>41</v>
      </c>
      <c r="B512" s="1">
        <v>4</v>
      </c>
      <c r="C512" s="2">
        <v>203</v>
      </c>
      <c r="D512" s="2">
        <v>1</v>
      </c>
      <c r="E512" s="2">
        <v>24</v>
      </c>
      <c r="F512" s="2">
        <v>128</v>
      </c>
      <c r="G512" s="2">
        <v>0</v>
      </c>
      <c r="H512" s="2">
        <v>0</v>
      </c>
      <c r="I512" s="2">
        <v>5</v>
      </c>
      <c r="J512" s="2">
        <v>37</v>
      </c>
      <c r="K512" s="2">
        <v>1</v>
      </c>
      <c r="L512" s="2">
        <v>1</v>
      </c>
      <c r="M512" s="2">
        <v>1</v>
      </c>
      <c r="N512" s="2">
        <v>11</v>
      </c>
      <c r="O512" s="2">
        <v>8</v>
      </c>
      <c r="P512" s="2">
        <v>98</v>
      </c>
      <c r="Q512" s="2">
        <v>5</v>
      </c>
      <c r="R512" s="2">
        <v>37</v>
      </c>
      <c r="S512" s="2">
        <v>0</v>
      </c>
      <c r="T512" s="2">
        <v>0</v>
      </c>
      <c r="U512" s="2">
        <v>1</v>
      </c>
      <c r="V512" s="2">
        <v>3</v>
      </c>
      <c r="W512" s="2">
        <v>2</v>
      </c>
      <c r="X512" s="2">
        <v>16</v>
      </c>
      <c r="Y512" s="2">
        <v>0</v>
      </c>
      <c r="Z512" s="2">
        <v>1</v>
      </c>
      <c r="AA512" s="2">
        <v>0</v>
      </c>
      <c r="AB512" s="2">
        <v>0</v>
      </c>
      <c r="AC512" s="2">
        <v>1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4">
        <f>Table2121418198598113[[#This Row],[QB PY]]+Table2121418198598113[[#This Row],[QB RY]]</f>
        <v>227</v>
      </c>
      <c r="AJ512" s="4">
        <f>Table2121418198598113[[#This Row],[RB1 RY]]+Table2121418198598113[[#This Row],[RB2+ RY]]+Table2121418198598113[[#This Row],[RB1 RecY]]+Table2121418198598113[[#This Row],[RB2 RecY]]</f>
        <v>166</v>
      </c>
    </row>
    <row r="513" spans="1:36" x14ac:dyDescent="0.35">
      <c r="A513" s="19" t="s">
        <v>47</v>
      </c>
      <c r="B513" s="1">
        <v>5</v>
      </c>
      <c r="C513" s="2">
        <v>244</v>
      </c>
      <c r="D513" s="2">
        <v>1</v>
      </c>
      <c r="E513" s="2">
        <v>20</v>
      </c>
      <c r="F513" s="2">
        <v>27</v>
      </c>
      <c r="G513" s="2">
        <v>41</v>
      </c>
      <c r="H513" s="2">
        <v>0</v>
      </c>
      <c r="I513" s="2">
        <v>4</v>
      </c>
      <c r="J513" s="2">
        <v>28</v>
      </c>
      <c r="K513" s="2">
        <v>1</v>
      </c>
      <c r="L513" s="2">
        <v>8</v>
      </c>
      <c r="M513" s="2">
        <v>7</v>
      </c>
      <c r="N513" s="2">
        <v>59</v>
      </c>
      <c r="O513" s="2">
        <v>4</v>
      </c>
      <c r="P513" s="2">
        <v>114</v>
      </c>
      <c r="Q513" s="2">
        <v>1</v>
      </c>
      <c r="R513" s="2">
        <v>5</v>
      </c>
      <c r="S513" s="2">
        <v>2</v>
      </c>
      <c r="T513" s="2">
        <v>13</v>
      </c>
      <c r="U513" s="2">
        <v>2</v>
      </c>
      <c r="V513" s="2">
        <v>17</v>
      </c>
      <c r="W513" s="2">
        <v>1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1</v>
      </c>
      <c r="AD513" s="2">
        <v>0</v>
      </c>
      <c r="AE513" s="2">
        <v>0</v>
      </c>
      <c r="AF513" s="2">
        <v>0</v>
      </c>
      <c r="AG513" s="2">
        <v>0</v>
      </c>
      <c r="AH513" s="2">
        <v>1</v>
      </c>
      <c r="AI513" s="4">
        <f>Table2121418198598113[[#This Row],[QB PY]]+Table2121418198598113[[#This Row],[QB RY]]</f>
        <v>264</v>
      </c>
      <c r="AJ513" s="4">
        <f>Table2121418198598113[[#This Row],[RB1 RY]]+Table2121418198598113[[#This Row],[RB2+ RY]]+Table2121418198598113[[#This Row],[RB1 RecY]]+Table2121418198598113[[#This Row],[RB2 RecY]]</f>
        <v>104</v>
      </c>
    </row>
    <row r="514" spans="1:36" x14ac:dyDescent="0.35">
      <c r="A514" s="19" t="s">
        <v>50</v>
      </c>
      <c r="B514" s="1">
        <v>6</v>
      </c>
      <c r="C514" s="2">
        <v>283</v>
      </c>
      <c r="D514" s="2">
        <v>1</v>
      </c>
      <c r="E514" s="2">
        <v>13</v>
      </c>
      <c r="F514" s="2">
        <v>58</v>
      </c>
      <c r="G514" s="2">
        <v>2</v>
      </c>
      <c r="H514" s="2">
        <v>0</v>
      </c>
      <c r="I514" s="2">
        <v>2</v>
      </c>
      <c r="J514" s="2">
        <v>9</v>
      </c>
      <c r="K514" s="2">
        <v>2</v>
      </c>
      <c r="L514" s="2">
        <v>18</v>
      </c>
      <c r="M514" s="2">
        <v>6</v>
      </c>
      <c r="N514" s="2">
        <v>80</v>
      </c>
      <c r="O514" s="2">
        <v>4</v>
      </c>
      <c r="P514" s="2">
        <v>49</v>
      </c>
      <c r="Q514" s="2">
        <v>1</v>
      </c>
      <c r="R514" s="2">
        <v>17</v>
      </c>
      <c r="S514" s="2">
        <v>0</v>
      </c>
      <c r="T514" s="2">
        <v>0</v>
      </c>
      <c r="U514" s="2">
        <v>9</v>
      </c>
      <c r="V514" s="2">
        <v>110</v>
      </c>
      <c r="W514" s="2">
        <v>0</v>
      </c>
      <c r="X514" s="2">
        <v>0</v>
      </c>
      <c r="Y514" s="2">
        <v>1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</v>
      </c>
      <c r="AG514" s="2">
        <v>0</v>
      </c>
      <c r="AH514" s="2">
        <v>0</v>
      </c>
      <c r="AI514" s="4">
        <f>Table2121418198598113[[#This Row],[QB PY]]+Table2121418198598113[[#This Row],[QB RY]]</f>
        <v>296</v>
      </c>
      <c r="AJ514" s="4">
        <f>Table2121418198598113[[#This Row],[RB1 RY]]+Table2121418198598113[[#This Row],[RB2+ RY]]+Table2121418198598113[[#This Row],[RB1 RecY]]+Table2121418198598113[[#This Row],[RB2 RecY]]</f>
        <v>87</v>
      </c>
    </row>
    <row r="515" spans="1:36" x14ac:dyDescent="0.35">
      <c r="A515" s="19" t="s">
        <v>34</v>
      </c>
      <c r="B515" s="1">
        <v>7</v>
      </c>
      <c r="C515" s="2">
        <v>279</v>
      </c>
      <c r="D515" s="2">
        <v>2</v>
      </c>
      <c r="E515" s="2">
        <v>48</v>
      </c>
      <c r="F515" s="2">
        <v>81</v>
      </c>
      <c r="G515" s="2">
        <v>0</v>
      </c>
      <c r="H515" s="2">
        <v>13</v>
      </c>
      <c r="I515" s="2">
        <v>1</v>
      </c>
      <c r="J515" s="2">
        <v>-1</v>
      </c>
      <c r="K515" s="2">
        <v>3</v>
      </c>
      <c r="L515" s="2">
        <v>21</v>
      </c>
      <c r="M515" s="2">
        <v>6</v>
      </c>
      <c r="N515" s="2">
        <v>87</v>
      </c>
      <c r="O515" s="2">
        <v>3</v>
      </c>
      <c r="P515" s="2">
        <v>19</v>
      </c>
      <c r="Q515" s="2">
        <v>6</v>
      </c>
      <c r="R515" s="2">
        <v>85</v>
      </c>
      <c r="S515" s="2">
        <v>1</v>
      </c>
      <c r="T515" s="2">
        <v>6</v>
      </c>
      <c r="U515" s="2">
        <v>5</v>
      </c>
      <c r="V515" s="2">
        <v>42</v>
      </c>
      <c r="W515" s="2">
        <v>2</v>
      </c>
      <c r="X515" s="2">
        <v>20</v>
      </c>
      <c r="Y515" s="2">
        <v>2</v>
      </c>
      <c r="Z515" s="2">
        <v>0</v>
      </c>
      <c r="AA515" s="2">
        <v>1</v>
      </c>
      <c r="AB515" s="2">
        <v>0</v>
      </c>
      <c r="AC515" s="2">
        <v>1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4">
        <f>Table2121418198598113[[#This Row],[QB PY]]+Table2121418198598113[[#This Row],[QB RY]]</f>
        <v>327</v>
      </c>
      <c r="AJ515" s="4">
        <f>Table2121418198598113[[#This Row],[RB1 RY]]+Table2121418198598113[[#This Row],[RB2+ RY]]+Table2121418198598113[[#This Row],[RB1 RecY]]+Table2121418198598113[[#This Row],[RB2 RecY]]</f>
        <v>101</v>
      </c>
    </row>
    <row r="516" spans="1:36" x14ac:dyDescent="0.35">
      <c r="A516" s="19" t="s">
        <v>50</v>
      </c>
      <c r="B516" s="1">
        <v>8</v>
      </c>
      <c r="C516" s="2">
        <v>179</v>
      </c>
      <c r="D516" s="2">
        <v>4</v>
      </c>
      <c r="E516" s="2">
        <v>20</v>
      </c>
      <c r="F516" s="2">
        <v>150</v>
      </c>
      <c r="G516" s="2">
        <v>106</v>
      </c>
      <c r="H516" s="2">
        <v>0</v>
      </c>
      <c r="I516" s="2">
        <v>4</v>
      </c>
      <c r="J516" s="2">
        <v>24</v>
      </c>
      <c r="K516" s="2">
        <v>0</v>
      </c>
      <c r="L516" s="2">
        <v>0</v>
      </c>
      <c r="M516" s="2">
        <v>6</v>
      </c>
      <c r="N516" s="2">
        <v>84</v>
      </c>
      <c r="O516" s="2">
        <v>1</v>
      </c>
      <c r="P516" s="2">
        <v>40</v>
      </c>
      <c r="Q516" s="2">
        <v>1</v>
      </c>
      <c r="R516" s="2">
        <v>3</v>
      </c>
      <c r="S516" s="2">
        <v>0</v>
      </c>
      <c r="T516" s="2">
        <v>0</v>
      </c>
      <c r="U516" s="2">
        <v>3</v>
      </c>
      <c r="V516" s="2">
        <v>28</v>
      </c>
      <c r="W516" s="2">
        <v>0</v>
      </c>
      <c r="X516" s="2">
        <v>0</v>
      </c>
      <c r="Y516" s="2">
        <v>0</v>
      </c>
      <c r="Z516" s="2">
        <v>2</v>
      </c>
      <c r="AA516" s="2">
        <v>0</v>
      </c>
      <c r="AB516" s="2">
        <v>0</v>
      </c>
      <c r="AC516" s="2">
        <v>1</v>
      </c>
      <c r="AD516" s="2">
        <v>0</v>
      </c>
      <c r="AE516" s="2">
        <v>0</v>
      </c>
      <c r="AF516" s="2">
        <v>2</v>
      </c>
      <c r="AG516" s="2">
        <v>0</v>
      </c>
      <c r="AH516" s="2">
        <v>0</v>
      </c>
      <c r="AI516" s="4">
        <f>Table2121418198598113[[#This Row],[QB PY]]+Table2121418198598113[[#This Row],[QB RY]]</f>
        <v>199</v>
      </c>
      <c r="AJ516" s="4">
        <f>Table2121418198598113[[#This Row],[RB1 RY]]+Table2121418198598113[[#This Row],[RB2+ RY]]+Table2121418198598113[[#This Row],[RB1 RecY]]+Table2121418198598113[[#This Row],[RB2 RecY]]</f>
        <v>280</v>
      </c>
    </row>
    <row r="517" spans="1:36" x14ac:dyDescent="0.35">
      <c r="A517" s="19" t="s">
        <v>53</v>
      </c>
      <c r="B517" s="1">
        <v>9</v>
      </c>
      <c r="C517" s="2">
        <v>235</v>
      </c>
      <c r="D517" s="2">
        <v>2</v>
      </c>
      <c r="E517" s="2">
        <v>3</v>
      </c>
      <c r="F517" s="2">
        <v>106</v>
      </c>
      <c r="G517" s="2">
        <v>53</v>
      </c>
      <c r="H517" s="2">
        <v>-3</v>
      </c>
      <c r="I517" s="2">
        <v>5</v>
      </c>
      <c r="J517" s="2">
        <v>67</v>
      </c>
      <c r="K517" s="2">
        <v>1</v>
      </c>
      <c r="L517" s="2">
        <v>12</v>
      </c>
      <c r="M517" s="2">
        <v>4</v>
      </c>
      <c r="N517" s="2">
        <v>41</v>
      </c>
      <c r="O517" s="2">
        <v>2</v>
      </c>
      <c r="P517" s="2">
        <v>34</v>
      </c>
      <c r="Q517" s="2">
        <v>1</v>
      </c>
      <c r="R517" s="2">
        <v>21</v>
      </c>
      <c r="S517" s="2">
        <v>1</v>
      </c>
      <c r="T517" s="2">
        <v>19</v>
      </c>
      <c r="U517" s="2">
        <v>4</v>
      </c>
      <c r="V517" s="2">
        <v>32</v>
      </c>
      <c r="W517" s="2">
        <v>1</v>
      </c>
      <c r="X517" s="2">
        <v>9</v>
      </c>
      <c r="Y517" s="2">
        <v>0</v>
      </c>
      <c r="Z517" s="2">
        <v>2</v>
      </c>
      <c r="AA517" s="2">
        <v>1</v>
      </c>
      <c r="AB517" s="2">
        <v>1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4">
        <f>Table2121418198598113[[#This Row],[QB PY]]+Table2121418198598113[[#This Row],[QB RY]]</f>
        <v>238</v>
      </c>
      <c r="AJ517" s="4">
        <f>Table2121418198598113[[#This Row],[RB1 RY]]+Table2121418198598113[[#This Row],[RB2+ RY]]+Table2121418198598113[[#This Row],[RB1 RecY]]+Table2121418198598113[[#This Row],[RB2 RecY]]</f>
        <v>238</v>
      </c>
    </row>
    <row r="518" spans="1:36" x14ac:dyDescent="0.35">
      <c r="A518" s="19" t="s">
        <v>30</v>
      </c>
      <c r="B518" s="1">
        <v>10</v>
      </c>
      <c r="C518" s="2">
        <v>220</v>
      </c>
      <c r="D518" s="2">
        <v>1</v>
      </c>
      <c r="E518" s="2">
        <v>63</v>
      </c>
      <c r="F518" s="2">
        <v>80</v>
      </c>
      <c r="G518" s="2">
        <v>28</v>
      </c>
      <c r="H518" s="2">
        <v>0</v>
      </c>
      <c r="I518" s="2">
        <v>5</v>
      </c>
      <c r="J518" s="2">
        <v>18</v>
      </c>
      <c r="K518" s="2">
        <v>0</v>
      </c>
      <c r="L518" s="2">
        <v>0</v>
      </c>
      <c r="M518" s="2">
        <v>6</v>
      </c>
      <c r="N518" s="2">
        <v>86</v>
      </c>
      <c r="O518" s="2">
        <v>0</v>
      </c>
      <c r="P518" s="2">
        <v>0</v>
      </c>
      <c r="Q518" s="2">
        <v>1</v>
      </c>
      <c r="R518" s="2">
        <v>5</v>
      </c>
      <c r="S518" s="2">
        <v>3</v>
      </c>
      <c r="T518" s="2">
        <v>51</v>
      </c>
      <c r="U518" s="2">
        <v>4</v>
      </c>
      <c r="V518" s="2">
        <v>55</v>
      </c>
      <c r="W518" s="2">
        <v>1</v>
      </c>
      <c r="X518" s="2">
        <v>5</v>
      </c>
      <c r="Y518" s="2">
        <v>1</v>
      </c>
      <c r="Z518" s="2">
        <v>0</v>
      </c>
      <c r="AA518" s="2">
        <v>1</v>
      </c>
      <c r="AB518" s="2">
        <v>1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4">
        <f>Table2121418198598113[[#This Row],[QB PY]]+Table2121418198598113[[#This Row],[QB RY]]</f>
        <v>283</v>
      </c>
      <c r="AJ518" s="4">
        <f>Table2121418198598113[[#This Row],[RB1 RY]]+Table2121418198598113[[#This Row],[RB2+ RY]]+Table2121418198598113[[#This Row],[RB1 RecY]]+Table2121418198598113[[#This Row],[RB2 RecY]]</f>
        <v>126</v>
      </c>
    </row>
    <row r="519" spans="1:36" x14ac:dyDescent="0.35">
      <c r="A519" s="19" t="s">
        <v>36</v>
      </c>
      <c r="B519" s="1">
        <v>11</v>
      </c>
      <c r="C519" s="2">
        <v>180</v>
      </c>
      <c r="D519" s="2">
        <v>3</v>
      </c>
      <c r="E519" s="2">
        <v>23</v>
      </c>
      <c r="F519" s="2">
        <v>40</v>
      </c>
      <c r="G519" s="2">
        <v>48</v>
      </c>
      <c r="H519" s="2">
        <v>17</v>
      </c>
      <c r="I519" s="2">
        <v>0</v>
      </c>
      <c r="J519" s="2">
        <v>0</v>
      </c>
      <c r="K519" s="2">
        <v>1</v>
      </c>
      <c r="L519" s="2">
        <v>9</v>
      </c>
      <c r="M519" s="2">
        <v>4</v>
      </c>
      <c r="N519" s="2">
        <v>53</v>
      </c>
      <c r="O519" s="2">
        <v>4</v>
      </c>
      <c r="P519" s="2">
        <v>46</v>
      </c>
      <c r="Q519" s="2">
        <v>1</v>
      </c>
      <c r="R519" s="2">
        <v>24</v>
      </c>
      <c r="S519" s="2">
        <v>2</v>
      </c>
      <c r="T519" s="2">
        <v>42</v>
      </c>
      <c r="U519" s="2">
        <v>1</v>
      </c>
      <c r="V519" s="2">
        <v>-1</v>
      </c>
      <c r="W519" s="2">
        <v>2</v>
      </c>
      <c r="X519" s="2">
        <v>7</v>
      </c>
      <c r="Y519" s="2">
        <v>0</v>
      </c>
      <c r="Z519" s="2">
        <v>0</v>
      </c>
      <c r="AA519" s="2">
        <v>1</v>
      </c>
      <c r="AB519" s="2">
        <v>0</v>
      </c>
      <c r="AC519" s="2">
        <v>2</v>
      </c>
      <c r="AD519" s="2">
        <v>0</v>
      </c>
      <c r="AE519" s="2">
        <v>0</v>
      </c>
      <c r="AF519" s="2">
        <v>0</v>
      </c>
      <c r="AG519" s="2">
        <v>1</v>
      </c>
      <c r="AH519" s="2">
        <v>0</v>
      </c>
      <c r="AI519" s="4">
        <f>Table2121418198598113[[#This Row],[QB PY]]+Table2121418198598113[[#This Row],[QB RY]]</f>
        <v>203</v>
      </c>
      <c r="AJ519" s="4">
        <f>Table2121418198598113[[#This Row],[RB1 RY]]+Table2121418198598113[[#This Row],[RB2+ RY]]+Table2121418198598113[[#This Row],[RB1 RecY]]+Table2121418198598113[[#This Row],[RB2 RecY]]</f>
        <v>97</v>
      </c>
    </row>
    <row r="520" spans="1:36" x14ac:dyDescent="0.35">
      <c r="A520" s="19" t="s">
        <v>35</v>
      </c>
      <c r="B520" s="1">
        <v>12</v>
      </c>
      <c r="C520" s="2">
        <v>279</v>
      </c>
      <c r="D520" s="2">
        <v>2</v>
      </c>
      <c r="E520" s="2">
        <v>0</v>
      </c>
      <c r="F520" s="2">
        <v>219</v>
      </c>
      <c r="G520" s="2">
        <v>18</v>
      </c>
      <c r="H520" s="2">
        <v>0</v>
      </c>
      <c r="I520" s="2">
        <v>11</v>
      </c>
      <c r="J520" s="2">
        <v>45</v>
      </c>
      <c r="K520" s="2">
        <v>3</v>
      </c>
      <c r="L520" s="2">
        <v>19</v>
      </c>
      <c r="M520" s="2">
        <v>9</v>
      </c>
      <c r="N520" s="2">
        <v>149</v>
      </c>
      <c r="O520" s="2">
        <v>0</v>
      </c>
      <c r="P520" s="2">
        <v>0</v>
      </c>
      <c r="Q520" s="2">
        <v>2</v>
      </c>
      <c r="R520" s="2">
        <v>37</v>
      </c>
      <c r="S520" s="2">
        <v>0</v>
      </c>
      <c r="T520" s="2">
        <v>0</v>
      </c>
      <c r="U520" s="2">
        <v>3</v>
      </c>
      <c r="V520" s="2">
        <v>29</v>
      </c>
      <c r="W520" s="2">
        <v>0</v>
      </c>
      <c r="X520" s="2">
        <v>0</v>
      </c>
      <c r="Y520" s="2">
        <v>0</v>
      </c>
      <c r="Z520" s="2">
        <v>3</v>
      </c>
      <c r="AA520" s="2">
        <v>0</v>
      </c>
      <c r="AB520" s="2">
        <v>1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4">
        <f>Table2121418198598113[[#This Row],[QB PY]]+Table2121418198598113[[#This Row],[QB RY]]</f>
        <v>279</v>
      </c>
      <c r="AJ520" s="4">
        <f>Table2121418198598113[[#This Row],[RB1 RY]]+Table2121418198598113[[#This Row],[RB2+ RY]]+Table2121418198598113[[#This Row],[RB1 RecY]]+Table2121418198598113[[#This Row],[RB2 RecY]]</f>
        <v>301</v>
      </c>
    </row>
    <row r="521" spans="1:36" x14ac:dyDescent="0.35">
      <c r="A521" s="19" t="s">
        <v>46</v>
      </c>
      <c r="B521" s="1">
        <v>13</v>
      </c>
      <c r="C521" s="2">
        <v>282</v>
      </c>
      <c r="D521" s="2">
        <v>2</v>
      </c>
      <c r="E521" s="2">
        <v>12</v>
      </c>
      <c r="F521" s="2">
        <v>67</v>
      </c>
      <c r="G521" s="2">
        <v>40</v>
      </c>
      <c r="H521" s="2">
        <v>0</v>
      </c>
      <c r="I521" s="2">
        <v>3</v>
      </c>
      <c r="J521" s="2">
        <v>19</v>
      </c>
      <c r="K521" s="2">
        <v>3</v>
      </c>
      <c r="L521" s="2">
        <v>40</v>
      </c>
      <c r="M521" s="2">
        <v>3</v>
      </c>
      <c r="N521" s="2">
        <v>26</v>
      </c>
      <c r="O521" s="2">
        <v>4</v>
      </c>
      <c r="P521" s="2">
        <v>35</v>
      </c>
      <c r="Q521" s="2">
        <v>3</v>
      </c>
      <c r="R521" s="2">
        <v>23</v>
      </c>
      <c r="S521" s="2">
        <v>4</v>
      </c>
      <c r="T521" s="2">
        <v>66</v>
      </c>
      <c r="U521" s="2">
        <v>4</v>
      </c>
      <c r="V521" s="2">
        <v>73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1</v>
      </c>
      <c r="AD521" s="2">
        <v>0</v>
      </c>
      <c r="AE521" s="2">
        <v>1</v>
      </c>
      <c r="AF521" s="2">
        <v>0</v>
      </c>
      <c r="AG521" s="2">
        <v>0</v>
      </c>
      <c r="AH521" s="2">
        <v>1</v>
      </c>
      <c r="AI521" s="4">
        <f>Table2121418198598113[[#This Row],[QB PY]]+Table2121418198598113[[#This Row],[QB RY]]</f>
        <v>294</v>
      </c>
      <c r="AJ521" s="4">
        <f>Table2121418198598113[[#This Row],[RB1 RY]]+Table2121418198598113[[#This Row],[RB2+ RY]]+Table2121418198598113[[#This Row],[RB1 RecY]]+Table2121418198598113[[#This Row],[RB2 RecY]]</f>
        <v>166</v>
      </c>
    </row>
    <row r="522" spans="1:36" x14ac:dyDescent="0.35">
      <c r="A522" s="19" t="s">
        <v>650</v>
      </c>
      <c r="B522" s="1">
        <v>14</v>
      </c>
      <c r="C522" s="2" t="s">
        <v>697</v>
      </c>
      <c r="D522" s="2" t="s">
        <v>697</v>
      </c>
      <c r="E522" s="2" t="s">
        <v>697</v>
      </c>
      <c r="F522" s="2" t="s">
        <v>697</v>
      </c>
      <c r="G522" s="2" t="s">
        <v>697</v>
      </c>
      <c r="H522" s="2" t="s">
        <v>697</v>
      </c>
      <c r="I522" s="2" t="s">
        <v>697</v>
      </c>
      <c r="J522" s="2" t="s">
        <v>697</v>
      </c>
      <c r="K522" s="2" t="s">
        <v>697</v>
      </c>
      <c r="L522" s="2" t="s">
        <v>697</v>
      </c>
      <c r="M522" s="2" t="s">
        <v>697</v>
      </c>
      <c r="N522" s="2" t="s">
        <v>697</v>
      </c>
      <c r="O522" s="2" t="s">
        <v>697</v>
      </c>
      <c r="P522" s="2" t="s">
        <v>697</v>
      </c>
      <c r="Q522" s="2" t="s">
        <v>697</v>
      </c>
      <c r="R522" s="2" t="s">
        <v>697</v>
      </c>
      <c r="S522" s="2" t="s">
        <v>697</v>
      </c>
      <c r="T522" s="2" t="s">
        <v>697</v>
      </c>
      <c r="U522" s="2" t="s">
        <v>697</v>
      </c>
      <c r="V522" s="2" t="s">
        <v>697</v>
      </c>
      <c r="W522" s="2" t="s">
        <v>697</v>
      </c>
      <c r="X522" s="2" t="s">
        <v>697</v>
      </c>
      <c r="Y522" s="2" t="s">
        <v>697</v>
      </c>
      <c r="Z522" s="2" t="s">
        <v>697</v>
      </c>
      <c r="AA522" s="2" t="s">
        <v>697</v>
      </c>
      <c r="AB522" s="2" t="s">
        <v>697</v>
      </c>
      <c r="AC522" s="2" t="s">
        <v>697</v>
      </c>
      <c r="AD522" s="2" t="s">
        <v>697</v>
      </c>
      <c r="AE522" s="2" t="s">
        <v>697</v>
      </c>
      <c r="AF522" s="2" t="s">
        <v>697</v>
      </c>
      <c r="AG522" s="2" t="s">
        <v>697</v>
      </c>
      <c r="AH522" s="2" t="s">
        <v>697</v>
      </c>
      <c r="AI522" s="4" t="s">
        <v>697</v>
      </c>
      <c r="AJ522" s="4" t="s">
        <v>697</v>
      </c>
    </row>
    <row r="523" spans="1:36" x14ac:dyDescent="0.35">
      <c r="A523" s="19" t="s">
        <v>56</v>
      </c>
      <c r="B523" s="1">
        <v>15</v>
      </c>
      <c r="C523" s="2">
        <v>211</v>
      </c>
      <c r="D523" s="2">
        <v>1</v>
      </c>
      <c r="E523" s="2">
        <v>43</v>
      </c>
      <c r="F523" s="2">
        <v>96</v>
      </c>
      <c r="G523" s="2">
        <v>6</v>
      </c>
      <c r="H523" s="2">
        <v>0</v>
      </c>
      <c r="I523" s="2">
        <v>1</v>
      </c>
      <c r="J523" s="2">
        <v>16</v>
      </c>
      <c r="K523" s="2">
        <v>0</v>
      </c>
      <c r="L523" s="2">
        <v>0</v>
      </c>
      <c r="M523" s="2">
        <v>3</v>
      </c>
      <c r="N523" s="2">
        <v>69</v>
      </c>
      <c r="O523" s="2">
        <v>3</v>
      </c>
      <c r="P523" s="2">
        <v>43</v>
      </c>
      <c r="Q523" s="2">
        <v>1</v>
      </c>
      <c r="R523" s="2">
        <v>28</v>
      </c>
      <c r="S523" s="2">
        <v>0</v>
      </c>
      <c r="T523" s="2">
        <v>0</v>
      </c>
      <c r="U523" s="2">
        <v>1</v>
      </c>
      <c r="V523" s="2">
        <v>19</v>
      </c>
      <c r="W523" s="2">
        <v>1</v>
      </c>
      <c r="X523" s="2">
        <v>36</v>
      </c>
      <c r="Y523" s="2">
        <v>0</v>
      </c>
      <c r="Z523" s="2">
        <v>1</v>
      </c>
      <c r="AA523" s="2">
        <v>0</v>
      </c>
      <c r="AB523" s="2">
        <v>1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1</v>
      </c>
      <c r="AI523" s="4">
        <f>Table2121418198598113[[#This Row],[QB PY]]+Table2121418198598113[[#This Row],[QB RY]]</f>
        <v>254</v>
      </c>
      <c r="AJ523" s="4">
        <f>Table2121418198598113[[#This Row],[RB1 RY]]+Table2121418198598113[[#This Row],[RB2+ RY]]+Table2121418198598113[[#This Row],[RB1 RecY]]+Table2121418198598113[[#This Row],[RB2 RecY]]</f>
        <v>118</v>
      </c>
    </row>
    <row r="524" spans="1:36" x14ac:dyDescent="0.35">
      <c r="A524" s="19" t="s">
        <v>45</v>
      </c>
      <c r="B524" s="1">
        <v>16</v>
      </c>
      <c r="C524" s="2">
        <v>160</v>
      </c>
      <c r="D524" s="2">
        <v>0</v>
      </c>
      <c r="E524" s="2">
        <v>17</v>
      </c>
      <c r="F524" s="2">
        <v>85</v>
      </c>
      <c r="G524" s="2">
        <v>12</v>
      </c>
      <c r="H524" s="2">
        <v>0</v>
      </c>
      <c r="I524" s="2">
        <v>2</v>
      </c>
      <c r="J524" s="2">
        <v>8</v>
      </c>
      <c r="K524" s="2">
        <v>2</v>
      </c>
      <c r="L524" s="2">
        <v>14</v>
      </c>
      <c r="M524" s="2">
        <v>6</v>
      </c>
      <c r="N524" s="2">
        <v>85</v>
      </c>
      <c r="O524" s="2">
        <v>2</v>
      </c>
      <c r="P524" s="2">
        <v>26</v>
      </c>
      <c r="Q524" s="2">
        <v>0</v>
      </c>
      <c r="R524" s="2">
        <v>0</v>
      </c>
      <c r="S524" s="2">
        <v>1</v>
      </c>
      <c r="T524" s="2">
        <v>6</v>
      </c>
      <c r="U524" s="2">
        <v>1</v>
      </c>
      <c r="V524" s="2">
        <v>2</v>
      </c>
      <c r="W524" s="2">
        <v>2</v>
      </c>
      <c r="X524" s="2">
        <v>19</v>
      </c>
      <c r="Y524" s="2">
        <v>1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4">
        <f>Table2121418198598113[[#This Row],[QB PY]]+Table2121418198598113[[#This Row],[QB RY]]</f>
        <v>177</v>
      </c>
      <c r="AJ524" s="4">
        <f>Table2121418198598113[[#This Row],[RB1 RY]]+Table2121418198598113[[#This Row],[RB2+ RY]]+Table2121418198598113[[#This Row],[RB1 RecY]]+Table2121418198598113[[#This Row],[RB2 RecY]]</f>
        <v>119</v>
      </c>
    </row>
    <row r="525" spans="1:36" x14ac:dyDescent="0.35">
      <c r="A525" s="19" t="s">
        <v>43</v>
      </c>
      <c r="B525" s="1">
        <v>17</v>
      </c>
      <c r="C525" s="2">
        <v>192</v>
      </c>
      <c r="D525" s="2">
        <v>1</v>
      </c>
      <c r="E525" s="2">
        <v>1</v>
      </c>
      <c r="F525" s="2">
        <v>60</v>
      </c>
      <c r="G525" s="2">
        <v>2</v>
      </c>
      <c r="H525" s="2">
        <v>0</v>
      </c>
      <c r="I525" s="2">
        <v>2</v>
      </c>
      <c r="J525" s="2">
        <v>13</v>
      </c>
      <c r="K525" s="2">
        <v>0</v>
      </c>
      <c r="L525" s="2">
        <v>0</v>
      </c>
      <c r="M525" s="2">
        <v>5</v>
      </c>
      <c r="N525" s="2">
        <v>49</v>
      </c>
      <c r="O525" s="2">
        <v>2</v>
      </c>
      <c r="P525" s="2">
        <v>9</v>
      </c>
      <c r="Q525" s="2">
        <v>2</v>
      </c>
      <c r="R525" s="2">
        <v>12</v>
      </c>
      <c r="S525" s="2">
        <v>2</v>
      </c>
      <c r="T525" s="2">
        <v>20</v>
      </c>
      <c r="U525" s="2">
        <v>9</v>
      </c>
      <c r="V525" s="2">
        <v>89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1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4">
        <f>Table2121418198598113[[#This Row],[QB PY]]+Table2121418198598113[[#This Row],[QB RY]]</f>
        <v>193</v>
      </c>
      <c r="AJ525" s="4">
        <f>Table2121418198598113[[#This Row],[RB1 RY]]+Table2121418198598113[[#This Row],[RB2+ RY]]+Table2121418198598113[[#This Row],[RB1 RecY]]+Table2121418198598113[[#This Row],[RB2 RecY]]</f>
        <v>75</v>
      </c>
    </row>
    <row r="526" spans="1:36" x14ac:dyDescent="0.35">
      <c r="A526" s="19" t="s">
        <v>33</v>
      </c>
      <c r="B526" s="1">
        <v>18</v>
      </c>
      <c r="C526" s="2">
        <v>143</v>
      </c>
      <c r="D526" s="2">
        <v>0</v>
      </c>
      <c r="E526" s="2">
        <v>42</v>
      </c>
      <c r="F526" s="2">
        <v>64</v>
      </c>
      <c r="G526" s="2">
        <v>30</v>
      </c>
      <c r="H526" s="2">
        <v>7</v>
      </c>
      <c r="I526" s="2">
        <v>2</v>
      </c>
      <c r="J526" s="2">
        <v>11</v>
      </c>
      <c r="K526" s="2">
        <v>1</v>
      </c>
      <c r="L526" s="2">
        <v>4</v>
      </c>
      <c r="M526" s="2">
        <v>1</v>
      </c>
      <c r="N526" s="2">
        <v>4</v>
      </c>
      <c r="O526" s="2">
        <v>1</v>
      </c>
      <c r="P526" s="2">
        <v>9</v>
      </c>
      <c r="Q526" s="2">
        <v>5</v>
      </c>
      <c r="R526" s="2">
        <v>68</v>
      </c>
      <c r="S526" s="2">
        <v>0</v>
      </c>
      <c r="T526" s="2">
        <v>0</v>
      </c>
      <c r="U526" s="2">
        <v>1</v>
      </c>
      <c r="V526" s="2">
        <v>5</v>
      </c>
      <c r="W526" s="2">
        <v>3</v>
      </c>
      <c r="X526" s="2">
        <v>42</v>
      </c>
      <c r="Y526" s="2">
        <v>0</v>
      </c>
      <c r="Z526" s="2">
        <v>1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4">
        <f>Table2121418198598113[[#This Row],[QB PY]]+Table2121418198598113[[#This Row],[QB RY]]</f>
        <v>185</v>
      </c>
      <c r="AJ526" s="4">
        <f>Table2121418198598113[[#This Row],[RB1 RY]]+Table2121418198598113[[#This Row],[RB2+ RY]]+Table2121418198598113[[#This Row],[RB1 RecY]]+Table2121418198598113[[#This Row],[RB2 RecY]]</f>
        <v>109</v>
      </c>
    </row>
    <row r="527" spans="1:36" x14ac:dyDescent="0.35">
      <c r="B527" s="1" t="s">
        <v>57</v>
      </c>
      <c r="C527" s="3">
        <f>AVERAGE(Table2121418198598113[QB PY])</f>
        <v>229.88235294117646</v>
      </c>
      <c r="D527" s="3">
        <f>AVERAGE(Table2121418198598113[P TD])</f>
        <v>1.4705882352941178</v>
      </c>
      <c r="E527" s="3">
        <f>AVERAGE(Table2121418198598113[QB RY])</f>
        <v>24.470588235294116</v>
      </c>
      <c r="F527" s="3">
        <f>AVERAGE(Table2121418198598113[RB1 RY])</f>
        <v>84.058823529411768</v>
      </c>
      <c r="G527" s="3">
        <f>AVERAGE(Table2121418198598113[RB2+ RY])</f>
        <v>32.647058823529413</v>
      </c>
      <c r="H527" s="3">
        <f>AVERAGE(Table2121418198598113[WR RY])</f>
        <v>4.117647058823529</v>
      </c>
      <c r="I527" s="3">
        <f>AVERAGE(Table2121418198598113[RB1 Recep])</f>
        <v>3.3529411764705883</v>
      </c>
      <c r="J527" s="3">
        <f>AVERAGE(Table2121418198598113[RB1 RecY])</f>
        <v>21.235294117647058</v>
      </c>
      <c r="K527" s="3">
        <f>AVERAGE(Table2121418198598113[RB2 Recep])</f>
        <v>1.2352941176470589</v>
      </c>
      <c r="L527" s="3">
        <f>AVERAGE(Table2121418198598113[RB2 RecY])</f>
        <v>9.4117647058823533</v>
      </c>
      <c r="M527" s="3">
        <f>AVERAGE(Table2121418198598113[WR1 Recep])</f>
        <v>4.8235294117647056</v>
      </c>
      <c r="N527" s="3">
        <f>AVERAGE(Table2121418198598113[WR1 RecY])</f>
        <v>62.588235294117645</v>
      </c>
      <c r="O527" s="3">
        <f>AVERAGE(Table2121418198598113[WR2 Recep])</f>
        <v>3.2352941176470589</v>
      </c>
      <c r="P527" s="3">
        <f>AVERAGE(Table2121418198598113[WR2 RecY])</f>
        <v>43.411764705882355</v>
      </c>
      <c r="Q527" s="3">
        <f>AVERAGE(Table2121418198598113[WR3 Recep])</f>
        <v>2.2352941176470589</v>
      </c>
      <c r="R527" s="3">
        <f>AVERAGE(Table2121418198598113[WR3 RecY])</f>
        <v>27.235294117647058</v>
      </c>
      <c r="S527" s="3">
        <f>AVERAGE(Table2121418198598113[WR4+ Recep])</f>
        <v>1.2941176470588236</v>
      </c>
      <c r="T527" s="3">
        <f>AVERAGE(Table2121418198598113[WR4+ RecY])</f>
        <v>18.529411764705884</v>
      </c>
      <c r="U527" s="3">
        <f>AVERAGE(Table2121418198598113[TE1 Recep])</f>
        <v>3.7647058823529411</v>
      </c>
      <c r="V527" s="3">
        <f>AVERAGE(Table2121418198598113[TE1 RecY])</f>
        <v>37.235294117647058</v>
      </c>
      <c r="W527" s="3">
        <f>AVERAGE(Table2121418198598113[TE2 Recep])</f>
        <v>1.1176470588235294</v>
      </c>
      <c r="X527" s="3">
        <f>AVERAGE(Table2121418198598113[TE2 RecY])</f>
        <v>10.235294117647058</v>
      </c>
      <c r="Y527" s="3">
        <f>AVERAGE(Table2121418198598113[QB TD])</f>
        <v>0.29411764705882354</v>
      </c>
      <c r="Z527" s="3">
        <f>AVERAGE(Table2121418198598113[RB1 TD])</f>
        <v>0.6470588235294118</v>
      </c>
      <c r="AA527" s="3">
        <f>AVERAGE(Table2121418198598113[RB2 TD])</f>
        <v>0.47058823529411764</v>
      </c>
      <c r="AB527" s="3">
        <f>AVERAGE(Table2121418198598113[WR1 TD])</f>
        <v>0.23529411764705882</v>
      </c>
      <c r="AC527" s="3">
        <f>AVERAGE(Table2121418198598113[WR2 TD])</f>
        <v>0.6470588235294118</v>
      </c>
      <c r="AD527" s="3">
        <f>AVERAGE(Table2121418198598113[WR3 TD])</f>
        <v>0</v>
      </c>
      <c r="AE527" s="3">
        <f>AVERAGE(Table2121418198598113[WR4+ TD])</f>
        <v>0.11764705882352941</v>
      </c>
      <c r="AF527" s="3">
        <f>AVERAGE(Table2121418198598113[TE1 TD])</f>
        <v>0.23529411764705882</v>
      </c>
      <c r="AG527" s="3">
        <f>AVERAGE(Table2121418198598113[TE2 TD])</f>
        <v>5.8823529411764705E-2</v>
      </c>
      <c r="AH527" s="3">
        <f>AVERAGE(Table2121418198598113[D/ST TD])</f>
        <v>0.17647058823529413</v>
      </c>
      <c r="AI527" s="3">
        <f>AVERAGE(Table2121418198598113[QB P+R])</f>
        <v>254.35294117647058</v>
      </c>
      <c r="AJ527" s="3">
        <f>AVERAGE(Table2121418198598113[RB R+R])</f>
        <v>147.35294117647058</v>
      </c>
    </row>
    <row r="529" spans="1:36" x14ac:dyDescent="0.35">
      <c r="A529" s="230" t="s">
        <v>49</v>
      </c>
      <c r="B529" s="230"/>
      <c r="C529" s="230"/>
      <c r="D529" s="230"/>
      <c r="E529" s="230"/>
      <c r="F529" s="230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  <c r="AF529" s="230"/>
      <c r="AG529" s="230"/>
      <c r="AH529" s="230"/>
      <c r="AI529" s="230"/>
      <c r="AJ529" s="230"/>
    </row>
    <row r="530" spans="1:36" x14ac:dyDescent="0.35">
      <c r="A530" s="20" t="s">
        <v>63</v>
      </c>
      <c r="B530" s="6" t="s">
        <v>1</v>
      </c>
      <c r="C530" s="7" t="s">
        <v>18</v>
      </c>
      <c r="D530" s="8" t="s">
        <v>19</v>
      </c>
      <c r="E530" s="9" t="s">
        <v>20</v>
      </c>
      <c r="F530" s="10" t="s">
        <v>21</v>
      </c>
      <c r="G530" s="11" t="s">
        <v>22</v>
      </c>
      <c r="H530" s="12" t="s">
        <v>23</v>
      </c>
      <c r="I530" s="13" t="s">
        <v>667</v>
      </c>
      <c r="J530" s="13" t="s">
        <v>668</v>
      </c>
      <c r="K530" s="13" t="s">
        <v>665</v>
      </c>
      <c r="L530" s="13" t="s">
        <v>666</v>
      </c>
      <c r="M530" s="14" t="s">
        <v>2</v>
      </c>
      <c r="N530" s="14" t="s">
        <v>24</v>
      </c>
      <c r="O530" s="15" t="s">
        <v>3</v>
      </c>
      <c r="P530" s="15" t="s">
        <v>25</v>
      </c>
      <c r="Q530" s="16" t="s">
        <v>4</v>
      </c>
      <c r="R530" s="16" t="s">
        <v>26</v>
      </c>
      <c r="S530" s="17" t="s">
        <v>5</v>
      </c>
      <c r="T530" s="17" t="s">
        <v>27</v>
      </c>
      <c r="U530" s="18" t="s">
        <v>669</v>
      </c>
      <c r="V530" s="18" t="s">
        <v>670</v>
      </c>
      <c r="W530" s="18" t="s">
        <v>675</v>
      </c>
      <c r="X530" s="18" t="s">
        <v>671</v>
      </c>
      <c r="Y530" s="6" t="s">
        <v>6</v>
      </c>
      <c r="Z530" s="6" t="s">
        <v>7</v>
      </c>
      <c r="AA530" s="6" t="s">
        <v>674</v>
      </c>
      <c r="AB530" s="6" t="s">
        <v>8</v>
      </c>
      <c r="AC530" s="6" t="s">
        <v>9</v>
      </c>
      <c r="AD530" s="6" t="s">
        <v>10</v>
      </c>
      <c r="AE530" s="6" t="s">
        <v>11</v>
      </c>
      <c r="AF530" s="6" t="s">
        <v>673</v>
      </c>
      <c r="AG530" s="6" t="s">
        <v>672</v>
      </c>
      <c r="AH530" s="6" t="s">
        <v>12</v>
      </c>
      <c r="AI530" s="8" t="s">
        <v>14</v>
      </c>
      <c r="AJ530" s="11" t="s">
        <v>13</v>
      </c>
    </row>
    <row r="531" spans="1:36" x14ac:dyDescent="0.35">
      <c r="A531" s="19" t="s">
        <v>51</v>
      </c>
      <c r="B531" s="5">
        <v>1</v>
      </c>
      <c r="C531" s="4">
        <v>244</v>
      </c>
      <c r="D531" s="4">
        <v>4</v>
      </c>
      <c r="E531" s="4">
        <v>-1</v>
      </c>
      <c r="F531" s="4">
        <v>37</v>
      </c>
      <c r="G531" s="4">
        <v>17</v>
      </c>
      <c r="H531" s="4">
        <v>0</v>
      </c>
      <c r="I531" s="4">
        <v>2</v>
      </c>
      <c r="J531" s="4">
        <v>22</v>
      </c>
      <c r="K531" s="4">
        <v>3</v>
      </c>
      <c r="L531" s="4">
        <v>4</v>
      </c>
      <c r="M531" s="4">
        <v>4</v>
      </c>
      <c r="N531" s="4">
        <v>83</v>
      </c>
      <c r="O531" s="4">
        <v>4</v>
      </c>
      <c r="P531" s="4">
        <v>70</v>
      </c>
      <c r="Q531" s="4">
        <v>0</v>
      </c>
      <c r="R531" s="4">
        <v>0</v>
      </c>
      <c r="S531" s="4">
        <v>1</v>
      </c>
      <c r="T531" s="4">
        <v>22</v>
      </c>
      <c r="U531" s="4">
        <v>5</v>
      </c>
      <c r="V531" s="4">
        <v>15</v>
      </c>
      <c r="W531" s="4">
        <v>3</v>
      </c>
      <c r="X531" s="4">
        <v>28</v>
      </c>
      <c r="Y531" s="4">
        <v>0</v>
      </c>
      <c r="Z531" s="4">
        <v>1</v>
      </c>
      <c r="AA531" s="4">
        <v>0</v>
      </c>
      <c r="AB531" s="4">
        <v>0</v>
      </c>
      <c r="AC531" s="4">
        <v>1</v>
      </c>
      <c r="AD531" s="4">
        <v>0</v>
      </c>
      <c r="AE531" s="4">
        <v>1</v>
      </c>
      <c r="AF531" s="4">
        <v>0</v>
      </c>
      <c r="AG531" s="4">
        <v>1</v>
      </c>
      <c r="AH531" s="4">
        <v>0</v>
      </c>
      <c r="AI531" s="4">
        <f>Table2121418198598114[[#This Row],[QB PY]]+Table2121418198598114[[#This Row],[QB RY]]</f>
        <v>243</v>
      </c>
      <c r="AJ531" s="4">
        <f>Table2121418198598114[[#This Row],[RB1 RY]]+Table2121418198598114[[#This Row],[RB2+ RY]]+Table2121418198598114[[#This Row],[RB1 RecY]]+Table2121418198598114[[#This Row],[RB2 RecY]]</f>
        <v>80</v>
      </c>
    </row>
    <row r="532" spans="1:36" x14ac:dyDescent="0.35">
      <c r="A532" s="19" t="s">
        <v>17</v>
      </c>
      <c r="B532" s="1">
        <v>2</v>
      </c>
      <c r="C532" s="2">
        <v>180</v>
      </c>
      <c r="D532" s="2">
        <v>0</v>
      </c>
      <c r="E532" s="2">
        <v>56</v>
      </c>
      <c r="F532" s="2">
        <v>132</v>
      </c>
      <c r="G532" s="2">
        <v>30</v>
      </c>
      <c r="H532" s="2">
        <v>6</v>
      </c>
      <c r="I532" s="2">
        <v>1</v>
      </c>
      <c r="J532" s="2">
        <v>3</v>
      </c>
      <c r="K532" s="2">
        <v>0</v>
      </c>
      <c r="L532" s="2">
        <v>0</v>
      </c>
      <c r="M532" s="2">
        <v>3</v>
      </c>
      <c r="N532" s="2">
        <v>26</v>
      </c>
      <c r="O532" s="2">
        <v>1</v>
      </c>
      <c r="P532" s="2">
        <v>12</v>
      </c>
      <c r="Q532" s="2">
        <v>2</v>
      </c>
      <c r="R532" s="2">
        <v>47</v>
      </c>
      <c r="S532" s="2">
        <v>1</v>
      </c>
      <c r="T532" s="2">
        <v>31</v>
      </c>
      <c r="U532" s="2">
        <v>4</v>
      </c>
      <c r="V532" s="2">
        <v>37</v>
      </c>
      <c r="W532" s="2">
        <v>3</v>
      </c>
      <c r="X532" s="2">
        <v>24</v>
      </c>
      <c r="Y532" s="2">
        <v>0</v>
      </c>
      <c r="Z532" s="2">
        <v>2</v>
      </c>
      <c r="AA532" s="2">
        <v>0</v>
      </c>
      <c r="AB532" s="2">
        <v>0</v>
      </c>
      <c r="AC532" s="2">
        <v>0</v>
      </c>
      <c r="AD532" s="2">
        <v>0</v>
      </c>
      <c r="AE532" s="2">
        <v>1</v>
      </c>
      <c r="AF532" s="2">
        <v>0</v>
      </c>
      <c r="AG532" s="2">
        <v>0</v>
      </c>
      <c r="AH532" s="2">
        <v>0</v>
      </c>
      <c r="AI532" s="4">
        <f>Table2121418198598114[[#This Row],[QB PY]]+Table2121418198598114[[#This Row],[QB RY]]</f>
        <v>236</v>
      </c>
      <c r="AJ532" s="4">
        <f>Table2121418198598114[[#This Row],[RB1 RY]]+Table2121418198598114[[#This Row],[RB2+ RY]]+Table2121418198598114[[#This Row],[RB1 RecY]]+Table2121418198598114[[#This Row],[RB2 RecY]]</f>
        <v>165</v>
      </c>
    </row>
    <row r="533" spans="1:36" x14ac:dyDescent="0.35">
      <c r="A533" s="19" t="s">
        <v>54</v>
      </c>
      <c r="B533" s="1">
        <v>3</v>
      </c>
      <c r="C533" s="2">
        <v>233</v>
      </c>
      <c r="D533" s="2">
        <v>1</v>
      </c>
      <c r="E533" s="2">
        <v>44</v>
      </c>
      <c r="F533" s="2">
        <v>66</v>
      </c>
      <c r="G533" s="2">
        <v>12</v>
      </c>
      <c r="H533" s="2">
        <v>0</v>
      </c>
      <c r="I533" s="2">
        <v>4</v>
      </c>
      <c r="J533" s="2">
        <v>33</v>
      </c>
      <c r="K533" s="2">
        <v>1</v>
      </c>
      <c r="L533" s="2">
        <v>2</v>
      </c>
      <c r="M533" s="2">
        <v>4</v>
      </c>
      <c r="N533" s="2">
        <v>33</v>
      </c>
      <c r="O533" s="2">
        <v>6</v>
      </c>
      <c r="P533" s="2">
        <v>85</v>
      </c>
      <c r="Q533" s="2">
        <v>4</v>
      </c>
      <c r="R533" s="2">
        <v>80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1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1</v>
      </c>
      <c r="AI533" s="4">
        <f>Table2121418198598114[[#This Row],[QB PY]]+Table2121418198598114[[#This Row],[QB RY]]</f>
        <v>277</v>
      </c>
      <c r="AJ533" s="4">
        <f>Table2121418198598114[[#This Row],[RB1 RY]]+Table2121418198598114[[#This Row],[RB2+ RY]]+Table2121418198598114[[#This Row],[RB1 RecY]]+Table2121418198598114[[#This Row],[RB2 RecY]]</f>
        <v>113</v>
      </c>
    </row>
    <row r="534" spans="1:36" x14ac:dyDescent="0.35">
      <c r="A534" s="19" t="s">
        <v>44</v>
      </c>
      <c r="B534" s="1">
        <v>4</v>
      </c>
      <c r="C534" s="2">
        <v>177</v>
      </c>
      <c r="D534" s="2">
        <v>2</v>
      </c>
      <c r="E534" s="2">
        <v>6</v>
      </c>
      <c r="F534" s="2">
        <v>99</v>
      </c>
      <c r="G534" s="2">
        <v>10</v>
      </c>
      <c r="H534" s="2">
        <v>8</v>
      </c>
      <c r="I534" s="2">
        <v>1</v>
      </c>
      <c r="J534" s="2">
        <v>2</v>
      </c>
      <c r="K534" s="2">
        <v>0</v>
      </c>
      <c r="L534" s="2">
        <v>0</v>
      </c>
      <c r="M534" s="2">
        <v>6</v>
      </c>
      <c r="N534" s="2">
        <v>67</v>
      </c>
      <c r="O534" s="2">
        <v>3</v>
      </c>
      <c r="P534" s="2">
        <v>48</v>
      </c>
      <c r="Q534" s="2">
        <v>2</v>
      </c>
      <c r="R534" s="2">
        <v>13</v>
      </c>
      <c r="S534" s="2">
        <v>1</v>
      </c>
      <c r="T534" s="2">
        <v>1</v>
      </c>
      <c r="U534" s="2">
        <v>3</v>
      </c>
      <c r="V534" s="2">
        <v>27</v>
      </c>
      <c r="W534" s="2">
        <v>1</v>
      </c>
      <c r="X534" s="2">
        <v>19</v>
      </c>
      <c r="Y534" s="2">
        <v>0</v>
      </c>
      <c r="Z534" s="2">
        <v>1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2</v>
      </c>
      <c r="AG534" s="2">
        <v>0</v>
      </c>
      <c r="AH534" s="2">
        <v>0</v>
      </c>
      <c r="AI534" s="4">
        <f>Table2121418198598114[[#This Row],[QB PY]]+Table2121418198598114[[#This Row],[QB RY]]</f>
        <v>183</v>
      </c>
      <c r="AJ534" s="4">
        <f>Table2121418198598114[[#This Row],[RB1 RY]]+Table2121418198598114[[#This Row],[RB2+ RY]]+Table2121418198598114[[#This Row],[RB1 RecY]]+Table2121418198598114[[#This Row],[RB2 RecY]]</f>
        <v>111</v>
      </c>
    </row>
    <row r="535" spans="1:36" x14ac:dyDescent="0.35">
      <c r="A535" s="19" t="s">
        <v>33</v>
      </c>
      <c r="B535" s="1">
        <v>5</v>
      </c>
      <c r="C535" s="2">
        <v>237</v>
      </c>
      <c r="D535" s="2">
        <v>4</v>
      </c>
      <c r="E535" s="2">
        <v>28</v>
      </c>
      <c r="F535" s="2">
        <v>135</v>
      </c>
      <c r="G535" s="2">
        <v>7</v>
      </c>
      <c r="H535" s="2">
        <v>10</v>
      </c>
      <c r="I535" s="2">
        <v>1</v>
      </c>
      <c r="J535" s="2">
        <v>4</v>
      </c>
      <c r="K535" s="2">
        <v>1</v>
      </c>
      <c r="L535" s="2">
        <v>10</v>
      </c>
      <c r="M535" s="2">
        <v>2</v>
      </c>
      <c r="N535" s="2">
        <v>57</v>
      </c>
      <c r="O535" s="2">
        <v>0</v>
      </c>
      <c r="P535" s="2">
        <v>0</v>
      </c>
      <c r="Q535" s="2">
        <v>6</v>
      </c>
      <c r="R535" s="2">
        <v>114</v>
      </c>
      <c r="S535" s="2">
        <v>0</v>
      </c>
      <c r="T535" s="2">
        <v>0</v>
      </c>
      <c r="U535" s="2">
        <v>7</v>
      </c>
      <c r="V535" s="2">
        <v>49</v>
      </c>
      <c r="W535" s="2">
        <v>1</v>
      </c>
      <c r="X535" s="2">
        <v>3</v>
      </c>
      <c r="Y535" s="2">
        <v>0</v>
      </c>
      <c r="Z535" s="2">
        <v>2</v>
      </c>
      <c r="AA535" s="2">
        <v>0</v>
      </c>
      <c r="AB535" s="2">
        <v>1</v>
      </c>
      <c r="AC535" s="2">
        <v>0</v>
      </c>
      <c r="AD535" s="2">
        <v>0</v>
      </c>
      <c r="AE535" s="2">
        <v>0</v>
      </c>
      <c r="AF535" s="2">
        <v>2</v>
      </c>
      <c r="AG535" s="2">
        <v>0</v>
      </c>
      <c r="AH535" s="2">
        <v>0</v>
      </c>
      <c r="AI535" s="4">
        <f>Table2121418198598114[[#This Row],[QB PY]]+Table2121418198598114[[#This Row],[QB RY]]</f>
        <v>265</v>
      </c>
      <c r="AJ535" s="4">
        <f>Table2121418198598114[[#This Row],[RB1 RY]]+Table2121418198598114[[#This Row],[RB2+ RY]]+Table2121418198598114[[#This Row],[RB1 RecY]]+Table2121418198598114[[#This Row],[RB2 RecY]]</f>
        <v>156</v>
      </c>
    </row>
    <row r="536" spans="1:36" x14ac:dyDescent="0.35">
      <c r="A536" s="19" t="s">
        <v>34</v>
      </c>
      <c r="B536" s="1">
        <v>6</v>
      </c>
      <c r="C536" s="2">
        <v>174</v>
      </c>
      <c r="D536" s="2">
        <v>1</v>
      </c>
      <c r="E536" s="2">
        <v>24</v>
      </c>
      <c r="F536" s="2">
        <v>40</v>
      </c>
      <c r="G536" s="2">
        <v>7</v>
      </c>
      <c r="H536" s="2">
        <v>7</v>
      </c>
      <c r="I536" s="2">
        <v>4</v>
      </c>
      <c r="J536" s="2">
        <v>21</v>
      </c>
      <c r="K536" s="2">
        <v>0</v>
      </c>
      <c r="L536" s="2">
        <v>0</v>
      </c>
      <c r="M536" s="2">
        <v>1</v>
      </c>
      <c r="N536" s="2">
        <v>17</v>
      </c>
      <c r="O536" s="2">
        <v>3</v>
      </c>
      <c r="P536" s="2">
        <v>19</v>
      </c>
      <c r="Q536" s="2">
        <v>2</v>
      </c>
      <c r="R536" s="2">
        <v>30</v>
      </c>
      <c r="S536" s="2">
        <v>2</v>
      </c>
      <c r="T536" s="2">
        <v>22</v>
      </c>
      <c r="U536" s="2">
        <v>5</v>
      </c>
      <c r="V536" s="2">
        <v>42</v>
      </c>
      <c r="W536" s="2">
        <v>2</v>
      </c>
      <c r="X536" s="2">
        <v>23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1</v>
      </c>
      <c r="AH536" s="2">
        <v>0</v>
      </c>
      <c r="AI536" s="4">
        <f>Table2121418198598114[[#This Row],[QB PY]]+Table2121418198598114[[#This Row],[QB RY]]</f>
        <v>198</v>
      </c>
      <c r="AJ536" s="4">
        <f>Table2121418198598114[[#This Row],[RB1 RY]]+Table2121418198598114[[#This Row],[RB2+ RY]]+Table2121418198598114[[#This Row],[RB1 RecY]]+Table2121418198598114[[#This Row],[RB2 RecY]]</f>
        <v>68</v>
      </c>
    </row>
    <row r="537" spans="1:36" x14ac:dyDescent="0.35">
      <c r="A537" s="19" t="s">
        <v>29</v>
      </c>
      <c r="B537" s="1">
        <v>7</v>
      </c>
      <c r="C537" s="2">
        <v>198</v>
      </c>
      <c r="D537" s="2">
        <v>1</v>
      </c>
      <c r="E537" s="2">
        <v>8</v>
      </c>
      <c r="F537" s="2">
        <v>79</v>
      </c>
      <c r="G537" s="2">
        <v>31</v>
      </c>
      <c r="H537" s="2">
        <v>7</v>
      </c>
      <c r="I537" s="2">
        <v>2</v>
      </c>
      <c r="J537" s="2">
        <v>24</v>
      </c>
      <c r="K537" s="2">
        <v>1</v>
      </c>
      <c r="L537" s="2">
        <v>17</v>
      </c>
      <c r="M537" s="2">
        <v>3</v>
      </c>
      <c r="N537" s="2">
        <v>33</v>
      </c>
      <c r="O537" s="2">
        <v>9</v>
      </c>
      <c r="P537" s="2">
        <v>92</v>
      </c>
      <c r="Q537" s="2">
        <v>1</v>
      </c>
      <c r="R537" s="2">
        <v>8</v>
      </c>
      <c r="S537" s="2">
        <v>0</v>
      </c>
      <c r="T537" s="2">
        <v>0</v>
      </c>
      <c r="U537" s="2">
        <v>2</v>
      </c>
      <c r="V537" s="2">
        <v>24</v>
      </c>
      <c r="W537" s="2">
        <v>1</v>
      </c>
      <c r="X537" s="2">
        <v>0</v>
      </c>
      <c r="Y537" s="2">
        <v>0</v>
      </c>
      <c r="Z537" s="2">
        <v>0</v>
      </c>
      <c r="AA537" s="2">
        <v>0</v>
      </c>
      <c r="AB537" s="2">
        <v>1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4">
        <f>Table2121418198598114[[#This Row],[QB PY]]+Table2121418198598114[[#This Row],[QB RY]]</f>
        <v>206</v>
      </c>
      <c r="AJ537" s="4">
        <f>Table2121418198598114[[#This Row],[RB1 RY]]+Table2121418198598114[[#This Row],[RB2+ RY]]+Table2121418198598114[[#This Row],[RB1 RecY]]+Table2121418198598114[[#This Row],[RB2 RecY]]</f>
        <v>151</v>
      </c>
    </row>
    <row r="538" spans="1:36" x14ac:dyDescent="0.35">
      <c r="A538" s="19" t="s">
        <v>31</v>
      </c>
      <c r="B538" s="1">
        <v>8</v>
      </c>
      <c r="C538" s="2">
        <v>223</v>
      </c>
      <c r="D538" s="2">
        <v>2</v>
      </c>
      <c r="E538" s="2">
        <v>14</v>
      </c>
      <c r="F538" s="2">
        <v>73</v>
      </c>
      <c r="G538" s="2">
        <v>94</v>
      </c>
      <c r="H538" s="2">
        <v>0</v>
      </c>
      <c r="I538" s="2">
        <v>3</v>
      </c>
      <c r="J538" s="2">
        <v>32</v>
      </c>
      <c r="K538" s="2">
        <v>1</v>
      </c>
      <c r="L538" s="2">
        <v>6</v>
      </c>
      <c r="M538" s="2">
        <v>12</v>
      </c>
      <c r="N538" s="2">
        <v>91</v>
      </c>
      <c r="O538" s="2">
        <v>1</v>
      </c>
      <c r="P538" s="2">
        <v>44</v>
      </c>
      <c r="Q538" s="2">
        <v>0</v>
      </c>
      <c r="R538" s="2">
        <v>0</v>
      </c>
      <c r="S538" s="2">
        <v>0</v>
      </c>
      <c r="T538" s="2">
        <v>0</v>
      </c>
      <c r="U538" s="2">
        <v>3</v>
      </c>
      <c r="V538" s="2">
        <v>41</v>
      </c>
      <c r="W538" s="2">
        <v>1</v>
      </c>
      <c r="X538" s="2">
        <v>9</v>
      </c>
      <c r="Y538" s="2">
        <v>1</v>
      </c>
      <c r="Z538" s="2">
        <v>2</v>
      </c>
      <c r="AA538" s="2">
        <v>1</v>
      </c>
      <c r="AB538" s="2">
        <v>0</v>
      </c>
      <c r="AC538" s="2">
        <v>1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4">
        <f>Table2121418198598114[[#This Row],[QB PY]]+Table2121418198598114[[#This Row],[QB RY]]</f>
        <v>237</v>
      </c>
      <c r="AJ538" s="4">
        <f>Table2121418198598114[[#This Row],[RB1 RY]]+Table2121418198598114[[#This Row],[RB2+ RY]]+Table2121418198598114[[#This Row],[RB1 RecY]]+Table2121418198598114[[#This Row],[RB2 RecY]]</f>
        <v>205</v>
      </c>
    </row>
    <row r="539" spans="1:36" x14ac:dyDescent="0.35">
      <c r="A539" s="19" t="s">
        <v>650</v>
      </c>
      <c r="B539" s="1">
        <v>9</v>
      </c>
      <c r="C539" s="2" t="s">
        <v>697</v>
      </c>
      <c r="D539" s="2" t="s">
        <v>697</v>
      </c>
      <c r="E539" s="2" t="s">
        <v>697</v>
      </c>
      <c r="F539" s="2" t="s">
        <v>697</v>
      </c>
      <c r="G539" s="2" t="s">
        <v>697</v>
      </c>
      <c r="H539" s="2" t="s">
        <v>697</v>
      </c>
      <c r="I539" s="2" t="s">
        <v>697</v>
      </c>
      <c r="J539" s="2" t="s">
        <v>697</v>
      </c>
      <c r="K539" s="2" t="s">
        <v>697</v>
      </c>
      <c r="L539" s="2" t="s">
        <v>697</v>
      </c>
      <c r="M539" s="2" t="s">
        <v>697</v>
      </c>
      <c r="N539" s="2" t="s">
        <v>697</v>
      </c>
      <c r="O539" s="2" t="s">
        <v>697</v>
      </c>
      <c r="P539" s="2" t="s">
        <v>697</v>
      </c>
      <c r="Q539" s="2" t="s">
        <v>697</v>
      </c>
      <c r="R539" s="2" t="s">
        <v>697</v>
      </c>
      <c r="S539" s="2" t="s">
        <v>697</v>
      </c>
      <c r="T539" s="2" t="s">
        <v>697</v>
      </c>
      <c r="U539" s="2" t="s">
        <v>697</v>
      </c>
      <c r="V539" s="2" t="s">
        <v>697</v>
      </c>
      <c r="W539" s="2" t="s">
        <v>697</v>
      </c>
      <c r="X539" s="2" t="s">
        <v>697</v>
      </c>
      <c r="Y539" s="2" t="s">
        <v>697</v>
      </c>
      <c r="Z539" s="2" t="s">
        <v>697</v>
      </c>
      <c r="AA539" s="2" t="s">
        <v>697</v>
      </c>
      <c r="AB539" s="2" t="s">
        <v>697</v>
      </c>
      <c r="AC539" s="2" t="s">
        <v>697</v>
      </c>
      <c r="AD539" s="2" t="s">
        <v>697</v>
      </c>
      <c r="AE539" s="2" t="s">
        <v>697</v>
      </c>
      <c r="AF539" s="2" t="s">
        <v>697</v>
      </c>
      <c r="AG539" s="2" t="s">
        <v>697</v>
      </c>
      <c r="AH539" s="2" t="s">
        <v>697</v>
      </c>
      <c r="AI539" s="4" t="s">
        <v>697</v>
      </c>
      <c r="AJ539" s="4" t="s">
        <v>697</v>
      </c>
    </row>
    <row r="540" spans="1:36" x14ac:dyDescent="0.35">
      <c r="A540" s="19" t="s">
        <v>32</v>
      </c>
      <c r="B540" s="1">
        <v>10</v>
      </c>
      <c r="C540" s="2">
        <v>167</v>
      </c>
      <c r="D540" s="2">
        <v>2</v>
      </c>
      <c r="E540" s="2">
        <v>54</v>
      </c>
      <c r="F540" s="2">
        <v>75</v>
      </c>
      <c r="G540" s="2">
        <v>-3</v>
      </c>
      <c r="H540" s="2">
        <v>32</v>
      </c>
      <c r="I540" s="2">
        <v>2</v>
      </c>
      <c r="J540" s="2">
        <v>10</v>
      </c>
      <c r="K540" s="2">
        <v>1</v>
      </c>
      <c r="L540" s="2">
        <v>3</v>
      </c>
      <c r="M540" s="2">
        <v>6</v>
      </c>
      <c r="N540" s="2">
        <v>78</v>
      </c>
      <c r="O540" s="2">
        <v>2</v>
      </c>
      <c r="P540" s="2">
        <v>11</v>
      </c>
      <c r="Q540" s="2">
        <v>0</v>
      </c>
      <c r="R540" s="2">
        <v>0</v>
      </c>
      <c r="S540" s="2">
        <v>0</v>
      </c>
      <c r="T540" s="2">
        <v>0</v>
      </c>
      <c r="U540" s="2">
        <v>2</v>
      </c>
      <c r="V540" s="2">
        <v>21</v>
      </c>
      <c r="W540" s="2">
        <v>4</v>
      </c>
      <c r="X540" s="2">
        <v>44</v>
      </c>
      <c r="Y540" s="2">
        <v>0</v>
      </c>
      <c r="Z540" s="2">
        <v>0</v>
      </c>
      <c r="AA540" s="2">
        <v>0</v>
      </c>
      <c r="AB540" s="2">
        <v>1</v>
      </c>
      <c r="AC540" s="2">
        <v>0</v>
      </c>
      <c r="AD540" s="2">
        <v>0</v>
      </c>
      <c r="AE540" s="2">
        <v>0</v>
      </c>
      <c r="AF540" s="2">
        <v>1</v>
      </c>
      <c r="AG540" s="2">
        <v>0</v>
      </c>
      <c r="AH540" s="2">
        <v>0</v>
      </c>
      <c r="AI540" s="4">
        <f>Table2121418198598114[[#This Row],[QB PY]]+Table2121418198598114[[#This Row],[QB RY]]</f>
        <v>221</v>
      </c>
      <c r="AJ540" s="4">
        <f>Table2121418198598114[[#This Row],[RB1 RY]]+Table2121418198598114[[#This Row],[RB2+ RY]]+Table2121418198598114[[#This Row],[RB1 RecY]]+Table2121418198598114[[#This Row],[RB2 RecY]]</f>
        <v>85</v>
      </c>
    </row>
    <row r="541" spans="1:36" x14ac:dyDescent="0.35">
      <c r="A541" s="19" t="s">
        <v>46</v>
      </c>
      <c r="B541" s="1">
        <v>11</v>
      </c>
      <c r="C541" s="2">
        <v>281</v>
      </c>
      <c r="D541" s="2">
        <v>1</v>
      </c>
      <c r="E541" s="2">
        <v>2</v>
      </c>
      <c r="F541" s="2">
        <v>62</v>
      </c>
      <c r="G541" s="2">
        <v>6</v>
      </c>
      <c r="H541" s="2">
        <v>-5</v>
      </c>
      <c r="I541" s="2">
        <v>5</v>
      </c>
      <c r="J541" s="2">
        <v>31</v>
      </c>
      <c r="K541" s="2">
        <v>0</v>
      </c>
      <c r="L541" s="2">
        <v>0</v>
      </c>
      <c r="M541" s="2">
        <v>9</v>
      </c>
      <c r="N541" s="2">
        <v>105</v>
      </c>
      <c r="O541" s="2">
        <v>4</v>
      </c>
      <c r="P541" s="2">
        <v>64</v>
      </c>
      <c r="Q541" s="2">
        <v>3</v>
      </c>
      <c r="R541" s="2">
        <v>36</v>
      </c>
      <c r="S541" s="2">
        <v>0</v>
      </c>
      <c r="T541" s="2">
        <v>0</v>
      </c>
      <c r="U541" s="2">
        <v>4</v>
      </c>
      <c r="V541" s="2">
        <v>45</v>
      </c>
      <c r="W541" s="2">
        <v>0</v>
      </c>
      <c r="X541" s="2">
        <v>0</v>
      </c>
      <c r="Y541" s="2">
        <v>0</v>
      </c>
      <c r="Z541" s="2">
        <v>3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4">
        <f>Table2121418198598114[[#This Row],[QB PY]]+Table2121418198598114[[#This Row],[QB RY]]</f>
        <v>283</v>
      </c>
      <c r="AJ541" s="4">
        <f>Table2121418198598114[[#This Row],[RB1 RY]]+Table2121418198598114[[#This Row],[RB2+ RY]]+Table2121418198598114[[#This Row],[RB1 RecY]]+Table2121418198598114[[#This Row],[RB2 RecY]]</f>
        <v>99</v>
      </c>
    </row>
    <row r="542" spans="1:36" x14ac:dyDescent="0.35">
      <c r="A542" s="19" t="s">
        <v>16</v>
      </c>
      <c r="B542" s="1">
        <v>12</v>
      </c>
      <c r="C542" s="2">
        <v>153</v>
      </c>
      <c r="D542" s="2">
        <v>0</v>
      </c>
      <c r="E542" s="2">
        <v>11</v>
      </c>
      <c r="F542" s="2">
        <v>64</v>
      </c>
      <c r="G542" s="2">
        <v>10</v>
      </c>
      <c r="H542" s="2">
        <v>13</v>
      </c>
      <c r="I542" s="2">
        <v>2</v>
      </c>
      <c r="J542" s="2">
        <v>24</v>
      </c>
      <c r="K542" s="2">
        <v>1</v>
      </c>
      <c r="L542" s="2">
        <v>9</v>
      </c>
      <c r="M542" s="2">
        <v>5</v>
      </c>
      <c r="N542" s="2">
        <v>58</v>
      </c>
      <c r="O542" s="2">
        <v>2</v>
      </c>
      <c r="P542" s="2">
        <v>13</v>
      </c>
      <c r="Q542" s="2">
        <v>1</v>
      </c>
      <c r="R542" s="2">
        <v>30</v>
      </c>
      <c r="S542" s="2">
        <v>0</v>
      </c>
      <c r="T542" s="2">
        <v>0</v>
      </c>
      <c r="U542" s="2">
        <v>1</v>
      </c>
      <c r="V542" s="2">
        <v>9</v>
      </c>
      <c r="W542" s="2">
        <v>1</v>
      </c>
      <c r="X542" s="2">
        <v>10</v>
      </c>
      <c r="Y542" s="2">
        <v>0</v>
      </c>
      <c r="Z542" s="2">
        <v>2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4">
        <f>Table2121418198598114[[#This Row],[QB PY]]+Table2121418198598114[[#This Row],[QB RY]]</f>
        <v>164</v>
      </c>
      <c r="AJ542" s="4">
        <f>Table2121418198598114[[#This Row],[RB1 RY]]+Table2121418198598114[[#This Row],[RB2+ RY]]+Table2121418198598114[[#This Row],[RB1 RecY]]+Table2121418198598114[[#This Row],[RB2 RecY]]</f>
        <v>107</v>
      </c>
    </row>
    <row r="543" spans="1:36" x14ac:dyDescent="0.35">
      <c r="A543" s="19" t="s">
        <v>15</v>
      </c>
      <c r="B543" s="1">
        <v>13</v>
      </c>
      <c r="C543" s="2">
        <v>234</v>
      </c>
      <c r="D543" s="2">
        <v>1</v>
      </c>
      <c r="E543" s="2">
        <v>0</v>
      </c>
      <c r="F543" s="2">
        <v>142</v>
      </c>
      <c r="G543" s="2">
        <v>20</v>
      </c>
      <c r="H543" s="2">
        <v>5</v>
      </c>
      <c r="I543" s="2">
        <v>5</v>
      </c>
      <c r="J543" s="2">
        <v>51</v>
      </c>
      <c r="K543" s="2">
        <v>2</v>
      </c>
      <c r="L543" s="2">
        <v>35</v>
      </c>
      <c r="M543" s="2">
        <v>2</v>
      </c>
      <c r="N543" s="2">
        <v>25</v>
      </c>
      <c r="O543" s="2">
        <v>2</v>
      </c>
      <c r="P543" s="2">
        <v>15</v>
      </c>
      <c r="Q543" s="2">
        <v>1</v>
      </c>
      <c r="R543" s="2">
        <v>3</v>
      </c>
      <c r="S543" s="2">
        <v>2</v>
      </c>
      <c r="T543" s="2">
        <v>23</v>
      </c>
      <c r="U543" s="2">
        <v>7</v>
      </c>
      <c r="V543" s="2">
        <v>82</v>
      </c>
      <c r="W543" s="2">
        <v>0</v>
      </c>
      <c r="X543" s="2">
        <v>0</v>
      </c>
      <c r="Y543" s="2">
        <v>0</v>
      </c>
      <c r="Z543" s="2">
        <v>1</v>
      </c>
      <c r="AA543" s="2">
        <v>1</v>
      </c>
      <c r="AB543" s="2">
        <v>0</v>
      </c>
      <c r="AC543" s="2">
        <v>1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4">
        <f>Table2121418198598114[[#This Row],[QB PY]]+Table2121418198598114[[#This Row],[QB RY]]</f>
        <v>234</v>
      </c>
      <c r="AJ543" s="4">
        <f>Table2121418198598114[[#This Row],[RB1 RY]]+Table2121418198598114[[#This Row],[RB2+ RY]]+Table2121418198598114[[#This Row],[RB1 RecY]]+Table2121418198598114[[#This Row],[RB2 RecY]]</f>
        <v>248</v>
      </c>
    </row>
    <row r="544" spans="1:36" x14ac:dyDescent="0.35">
      <c r="A544" s="19" t="s">
        <v>44</v>
      </c>
      <c r="B544" s="1">
        <v>14</v>
      </c>
      <c r="C544" s="2">
        <v>127</v>
      </c>
      <c r="D544" s="2">
        <v>1</v>
      </c>
      <c r="E544" s="2">
        <v>-2</v>
      </c>
      <c r="F544" s="2">
        <v>92</v>
      </c>
      <c r="G544" s="2">
        <v>124</v>
      </c>
      <c r="H544" s="2">
        <v>25</v>
      </c>
      <c r="I544" s="2">
        <v>1</v>
      </c>
      <c r="J544" s="2">
        <v>13</v>
      </c>
      <c r="K544" s="2">
        <v>0</v>
      </c>
      <c r="L544" s="2">
        <v>0</v>
      </c>
      <c r="M544" s="2">
        <v>5</v>
      </c>
      <c r="N544" s="2">
        <v>50</v>
      </c>
      <c r="O544" s="2">
        <v>3</v>
      </c>
      <c r="P544" s="2">
        <v>10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  <c r="V544" s="2">
        <v>13</v>
      </c>
      <c r="W544" s="2">
        <v>3</v>
      </c>
      <c r="X544" s="2">
        <v>41</v>
      </c>
      <c r="Y544" s="2">
        <v>0</v>
      </c>
      <c r="Z544" s="2">
        <v>1</v>
      </c>
      <c r="AA544" s="2">
        <v>2</v>
      </c>
      <c r="AB544" s="2">
        <v>1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4">
        <f>Table2121418198598114[[#This Row],[QB PY]]+Table2121418198598114[[#This Row],[QB RY]]</f>
        <v>125</v>
      </c>
      <c r="AJ544" s="4">
        <f>Table2121418198598114[[#This Row],[RB1 RY]]+Table2121418198598114[[#This Row],[RB2+ RY]]+Table2121418198598114[[#This Row],[RB1 RecY]]+Table2121418198598114[[#This Row],[RB2 RecY]]</f>
        <v>229</v>
      </c>
    </row>
    <row r="545" spans="1:36" x14ac:dyDescent="0.35">
      <c r="A545" s="19" t="s">
        <v>39</v>
      </c>
      <c r="B545" s="1">
        <v>15</v>
      </c>
      <c r="C545" s="2">
        <v>330</v>
      </c>
      <c r="D545" s="2">
        <v>5</v>
      </c>
      <c r="E545" s="2">
        <v>49</v>
      </c>
      <c r="F545" s="2">
        <v>32</v>
      </c>
      <c r="G545" s="2">
        <v>18</v>
      </c>
      <c r="H545" s="2">
        <v>9</v>
      </c>
      <c r="I545" s="2">
        <v>3</v>
      </c>
      <c r="J545" s="2">
        <v>73</v>
      </c>
      <c r="K545" s="2">
        <v>2</v>
      </c>
      <c r="L545" s="2">
        <v>21</v>
      </c>
      <c r="M545" s="2">
        <v>4</v>
      </c>
      <c r="N545" s="2">
        <v>66</v>
      </c>
      <c r="O545" s="2">
        <v>5</v>
      </c>
      <c r="P545" s="2">
        <v>71</v>
      </c>
      <c r="Q545" s="2">
        <v>3</v>
      </c>
      <c r="R545" s="2">
        <v>53</v>
      </c>
      <c r="S545" s="2">
        <v>0</v>
      </c>
      <c r="T545" s="2">
        <v>0</v>
      </c>
      <c r="U545" s="2">
        <v>1</v>
      </c>
      <c r="V545" s="2">
        <v>26</v>
      </c>
      <c r="W545" s="2">
        <v>2</v>
      </c>
      <c r="X545" s="2">
        <v>20</v>
      </c>
      <c r="Y545" s="2">
        <v>1</v>
      </c>
      <c r="Z545" s="2">
        <v>3</v>
      </c>
      <c r="AA545" s="2">
        <v>1</v>
      </c>
      <c r="AB545" s="2">
        <v>1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4">
        <f>Table2121418198598114[[#This Row],[QB PY]]+Table2121418198598114[[#This Row],[QB RY]]</f>
        <v>379</v>
      </c>
      <c r="AJ545" s="4">
        <f>Table2121418198598114[[#This Row],[RB1 RY]]+Table2121418198598114[[#This Row],[RB2+ RY]]+Table2121418198598114[[#This Row],[RB1 RecY]]+Table2121418198598114[[#This Row],[RB2 RecY]]</f>
        <v>144</v>
      </c>
    </row>
    <row r="546" spans="1:36" x14ac:dyDescent="0.35">
      <c r="A546" s="19" t="s">
        <v>47</v>
      </c>
      <c r="B546" s="1">
        <v>16</v>
      </c>
      <c r="C546" s="2">
        <v>346</v>
      </c>
      <c r="D546" s="2">
        <v>2</v>
      </c>
      <c r="E546" s="2">
        <v>50</v>
      </c>
      <c r="F546" s="2">
        <v>19</v>
      </c>
      <c r="G546" s="2">
        <v>3</v>
      </c>
      <c r="H546" s="2">
        <v>12</v>
      </c>
      <c r="I546" s="2">
        <v>3</v>
      </c>
      <c r="J546" s="2">
        <v>17</v>
      </c>
      <c r="K546" s="2">
        <v>0</v>
      </c>
      <c r="L546" s="2">
        <v>0</v>
      </c>
      <c r="M546" s="2">
        <v>10</v>
      </c>
      <c r="N546" s="2">
        <v>148</v>
      </c>
      <c r="O546" s="2">
        <v>2</v>
      </c>
      <c r="P546" s="2">
        <v>18</v>
      </c>
      <c r="Q546" s="2">
        <v>4</v>
      </c>
      <c r="R546" s="2">
        <v>29</v>
      </c>
      <c r="S546" s="2">
        <v>0</v>
      </c>
      <c r="T546" s="2">
        <v>0</v>
      </c>
      <c r="U546" s="2">
        <v>8</v>
      </c>
      <c r="V546" s="2">
        <v>89</v>
      </c>
      <c r="W546" s="2">
        <v>6</v>
      </c>
      <c r="X546" s="2">
        <v>45</v>
      </c>
      <c r="Y546" s="2">
        <v>0</v>
      </c>
      <c r="Z546" s="2">
        <v>0</v>
      </c>
      <c r="AA546" s="2">
        <v>0</v>
      </c>
      <c r="AB546" s="2">
        <v>2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4">
        <f>Table2121418198598114[[#This Row],[QB PY]]+Table2121418198598114[[#This Row],[QB RY]]</f>
        <v>396</v>
      </c>
      <c r="AJ546" s="4">
        <f>Table2121418198598114[[#This Row],[RB1 RY]]+Table2121418198598114[[#This Row],[RB2+ RY]]+Table2121418198598114[[#This Row],[RB1 RecY]]+Table2121418198598114[[#This Row],[RB2 RecY]]</f>
        <v>39</v>
      </c>
    </row>
    <row r="547" spans="1:36" x14ac:dyDescent="0.35">
      <c r="A547" s="19" t="s">
        <v>46</v>
      </c>
      <c r="B547" s="1">
        <v>17</v>
      </c>
      <c r="C547" s="2">
        <v>286</v>
      </c>
      <c r="D547" s="2">
        <v>5</v>
      </c>
      <c r="E547" s="2">
        <v>21</v>
      </c>
      <c r="F547" s="2">
        <v>82</v>
      </c>
      <c r="G547" s="2">
        <v>52</v>
      </c>
      <c r="H547" s="2">
        <v>0</v>
      </c>
      <c r="I547" s="2">
        <v>5</v>
      </c>
      <c r="J547" s="2">
        <v>55</v>
      </c>
      <c r="K547" s="2">
        <v>0</v>
      </c>
      <c r="L547" s="2">
        <v>0</v>
      </c>
      <c r="M547" s="2">
        <v>6</v>
      </c>
      <c r="N547" s="2">
        <v>101</v>
      </c>
      <c r="O547" s="2">
        <v>3</v>
      </c>
      <c r="P547" s="2">
        <v>20</v>
      </c>
      <c r="Q547" s="2">
        <v>1</v>
      </c>
      <c r="R547" s="2">
        <v>10</v>
      </c>
      <c r="S547" s="2">
        <v>2</v>
      </c>
      <c r="T547" s="2">
        <v>40</v>
      </c>
      <c r="U547" s="2">
        <v>3</v>
      </c>
      <c r="V547" s="2">
        <v>49</v>
      </c>
      <c r="W547" s="2">
        <v>2</v>
      </c>
      <c r="X547" s="2">
        <v>11</v>
      </c>
      <c r="Y547" s="2">
        <v>0</v>
      </c>
      <c r="Z547" s="2">
        <v>0</v>
      </c>
      <c r="AA547" s="2">
        <v>2</v>
      </c>
      <c r="AB547" s="2">
        <v>1</v>
      </c>
      <c r="AC547" s="2">
        <v>0</v>
      </c>
      <c r="AD547" s="2">
        <v>0</v>
      </c>
      <c r="AE547" s="2">
        <v>1</v>
      </c>
      <c r="AF547" s="2">
        <v>1</v>
      </c>
      <c r="AG547" s="2">
        <v>1</v>
      </c>
      <c r="AH547" s="2">
        <v>0</v>
      </c>
      <c r="AI547" s="4">
        <f>Table2121418198598114[[#This Row],[QB PY]]+Table2121418198598114[[#This Row],[QB RY]]</f>
        <v>307</v>
      </c>
      <c r="AJ547" s="4">
        <f>Table2121418198598114[[#This Row],[RB1 RY]]+Table2121418198598114[[#This Row],[RB2+ RY]]+Table2121418198598114[[#This Row],[RB1 RecY]]+Table2121418198598114[[#This Row],[RB2 RecY]]</f>
        <v>189</v>
      </c>
    </row>
    <row r="548" spans="1:36" x14ac:dyDescent="0.35">
      <c r="A548" s="19" t="s">
        <v>17</v>
      </c>
      <c r="B548" s="1">
        <v>18</v>
      </c>
      <c r="C548" s="2">
        <v>259</v>
      </c>
      <c r="D548" s="2">
        <v>4</v>
      </c>
      <c r="E548" s="2">
        <v>5</v>
      </c>
      <c r="F548" s="2">
        <v>151</v>
      </c>
      <c r="G548" s="2">
        <v>55</v>
      </c>
      <c r="H548" s="2">
        <v>0</v>
      </c>
      <c r="I548" s="2">
        <v>2</v>
      </c>
      <c r="J548" s="2">
        <v>23</v>
      </c>
      <c r="K548" s="2">
        <v>3</v>
      </c>
      <c r="L548" s="2">
        <v>42</v>
      </c>
      <c r="M548" s="2">
        <v>2</v>
      </c>
      <c r="N548" s="2">
        <v>49</v>
      </c>
      <c r="O548" s="2">
        <v>5</v>
      </c>
      <c r="P548" s="2">
        <v>41</v>
      </c>
      <c r="Q548" s="2">
        <v>1</v>
      </c>
      <c r="R548" s="2">
        <v>1</v>
      </c>
      <c r="S548" s="2">
        <v>0</v>
      </c>
      <c r="T548" s="2">
        <v>0</v>
      </c>
      <c r="U548" s="2">
        <v>3</v>
      </c>
      <c r="V548" s="2">
        <v>48</v>
      </c>
      <c r="W548" s="2">
        <v>6</v>
      </c>
      <c r="X548" s="2">
        <v>55</v>
      </c>
      <c r="Y548" s="2">
        <v>0</v>
      </c>
      <c r="Z548" s="2">
        <v>1</v>
      </c>
      <c r="AA548" s="2">
        <v>2</v>
      </c>
      <c r="AB548" s="2">
        <v>0</v>
      </c>
      <c r="AC548" s="2">
        <v>1</v>
      </c>
      <c r="AD548" s="2">
        <v>0</v>
      </c>
      <c r="AE548" s="2">
        <v>0</v>
      </c>
      <c r="AF548" s="2">
        <v>0</v>
      </c>
      <c r="AG548" s="2">
        <v>1</v>
      </c>
      <c r="AH548" s="2">
        <v>0</v>
      </c>
      <c r="AI548" s="4">
        <f>Table2121418198598114[[#This Row],[QB PY]]+Table2121418198598114[[#This Row],[QB RY]]</f>
        <v>264</v>
      </c>
      <c r="AJ548" s="4">
        <f>Table2121418198598114[[#This Row],[RB1 RY]]+Table2121418198598114[[#This Row],[RB2+ RY]]+Table2121418198598114[[#This Row],[RB1 RecY]]+Table2121418198598114[[#This Row],[RB2 RecY]]</f>
        <v>271</v>
      </c>
    </row>
    <row r="549" spans="1:36" x14ac:dyDescent="0.35">
      <c r="B549" s="1" t="s">
        <v>57</v>
      </c>
      <c r="C549" s="3">
        <f>AVERAGE(Table2121418198598114[QB PY])</f>
        <v>226.41176470588235</v>
      </c>
      <c r="D549" s="3">
        <f>AVERAGE(Table2121418198598114[P TD])</f>
        <v>2.1176470588235294</v>
      </c>
      <c r="E549" s="3">
        <f>AVERAGE(Table2121418198598114[QB RY])</f>
        <v>21.705882352941178</v>
      </c>
      <c r="F549" s="3">
        <f>AVERAGE(Table2121418198598114[RB1 RY])</f>
        <v>81.17647058823529</v>
      </c>
      <c r="G549" s="3">
        <f>AVERAGE(Table2121418198598114[RB2+ RY])</f>
        <v>29</v>
      </c>
      <c r="H549" s="3">
        <f>AVERAGE(Table2121418198598114[WR RY])</f>
        <v>7.5882352941176467</v>
      </c>
      <c r="I549" s="3">
        <f>AVERAGE(Table2121418198598114[RB1 Recep])</f>
        <v>2.7058823529411766</v>
      </c>
      <c r="J549" s="3">
        <f>AVERAGE(Table2121418198598114[RB1 RecY])</f>
        <v>25.764705882352942</v>
      </c>
      <c r="K549" s="3">
        <f>AVERAGE(Table2121418198598114[RB2 Recep])</f>
        <v>0.94117647058823528</v>
      </c>
      <c r="L549" s="3">
        <f>AVERAGE(Table2121418198598114[RB2 RecY])</f>
        <v>8.764705882352942</v>
      </c>
      <c r="M549" s="3">
        <f>AVERAGE(Table2121418198598114[WR1 Recep])</f>
        <v>4.9411764705882355</v>
      </c>
      <c r="N549" s="3">
        <f>AVERAGE(Table2121418198598114[WR1 RecY])</f>
        <v>63.941176470588232</v>
      </c>
      <c r="O549" s="3">
        <f>AVERAGE(Table2121418198598114[WR2 Recep])</f>
        <v>3.2352941176470589</v>
      </c>
      <c r="P549" s="3">
        <f>AVERAGE(Table2121418198598114[WR2 RecY])</f>
        <v>37.235294117647058</v>
      </c>
      <c r="Q549" s="3">
        <f>AVERAGE(Table2121418198598114[WR3 Recep])</f>
        <v>1.8235294117647058</v>
      </c>
      <c r="R549" s="3">
        <f>AVERAGE(Table2121418198598114[WR3 RecY])</f>
        <v>26.705882352941178</v>
      </c>
      <c r="S549" s="3">
        <f>AVERAGE(Table2121418198598114[WR4+ Recep])</f>
        <v>0.52941176470588236</v>
      </c>
      <c r="T549" s="3">
        <f>AVERAGE(Table2121418198598114[WR4+ RecY])</f>
        <v>8.1764705882352935</v>
      </c>
      <c r="U549" s="3">
        <f>AVERAGE(Table2121418198598114[TE1 Recep])</f>
        <v>3.4705882352941178</v>
      </c>
      <c r="V549" s="3">
        <f>AVERAGE(Table2121418198598114[TE1 RecY])</f>
        <v>36.294117647058826</v>
      </c>
      <c r="W549" s="3">
        <f>AVERAGE(Table2121418198598114[TE2 Recep])</f>
        <v>2.1176470588235294</v>
      </c>
      <c r="X549" s="3">
        <f>AVERAGE(Table2121418198598114[TE2 RecY])</f>
        <v>19.529411764705884</v>
      </c>
      <c r="Y549" s="3">
        <f>AVERAGE(Table2121418198598114[QB TD])</f>
        <v>0.11764705882352941</v>
      </c>
      <c r="Z549" s="3">
        <f>AVERAGE(Table2121418198598114[RB1 TD])</f>
        <v>1.1176470588235294</v>
      </c>
      <c r="AA549" s="3">
        <f>AVERAGE(Table2121418198598114[RB2 TD])</f>
        <v>0.52941176470588236</v>
      </c>
      <c r="AB549" s="3">
        <f>AVERAGE(Table2121418198598114[WR1 TD])</f>
        <v>0.52941176470588236</v>
      </c>
      <c r="AC549" s="3">
        <f>AVERAGE(Table2121418198598114[WR2 TD])</f>
        <v>0.23529411764705882</v>
      </c>
      <c r="AD549" s="3">
        <f>AVERAGE(Table2121418198598114[WR3 TD])</f>
        <v>0</v>
      </c>
      <c r="AE549" s="3">
        <f>AVERAGE(Table2121418198598114[WR4+ TD])</f>
        <v>0.17647058823529413</v>
      </c>
      <c r="AF549" s="3">
        <f>AVERAGE(Table2121418198598114[TE1 TD])</f>
        <v>0.35294117647058826</v>
      </c>
      <c r="AG549" s="3">
        <f>AVERAGE(Table2121418198598114[TE2 TD])</f>
        <v>0.23529411764705882</v>
      </c>
      <c r="AH549" s="3">
        <f>AVERAGE(Table2121418198598114[D/ST TD])</f>
        <v>5.8823529411764705E-2</v>
      </c>
      <c r="AI549" s="3">
        <f>AVERAGE(Table2121418198598114[QB P+R])</f>
        <v>248.11764705882354</v>
      </c>
      <c r="AJ549" s="3">
        <f>AVERAGE(Table2121418198598114[RB R+R])</f>
        <v>144.70588235294119</v>
      </c>
    </row>
    <row r="551" spans="1:36" x14ac:dyDescent="0.35">
      <c r="A551" s="230" t="s">
        <v>50</v>
      </c>
      <c r="B551" s="230"/>
      <c r="C551" s="230"/>
      <c r="D551" s="230"/>
      <c r="E551" s="230"/>
      <c r="F551" s="230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  <c r="AF551" s="230"/>
      <c r="AG551" s="230"/>
      <c r="AH551" s="230"/>
      <c r="AI551" s="230"/>
      <c r="AJ551" s="230"/>
    </row>
    <row r="552" spans="1:36" x14ac:dyDescent="0.35">
      <c r="A552" s="20" t="s">
        <v>63</v>
      </c>
      <c r="B552" s="6" t="s">
        <v>1</v>
      </c>
      <c r="C552" s="7" t="s">
        <v>18</v>
      </c>
      <c r="D552" s="8" t="s">
        <v>19</v>
      </c>
      <c r="E552" s="9" t="s">
        <v>20</v>
      </c>
      <c r="F552" s="10" t="s">
        <v>21</v>
      </c>
      <c r="G552" s="11" t="s">
        <v>22</v>
      </c>
      <c r="H552" s="12" t="s">
        <v>23</v>
      </c>
      <c r="I552" s="13" t="s">
        <v>667</v>
      </c>
      <c r="J552" s="13" t="s">
        <v>668</v>
      </c>
      <c r="K552" s="13" t="s">
        <v>665</v>
      </c>
      <c r="L552" s="13" t="s">
        <v>666</v>
      </c>
      <c r="M552" s="14" t="s">
        <v>2</v>
      </c>
      <c r="N552" s="14" t="s">
        <v>24</v>
      </c>
      <c r="O552" s="15" t="s">
        <v>3</v>
      </c>
      <c r="P552" s="15" t="s">
        <v>25</v>
      </c>
      <c r="Q552" s="16" t="s">
        <v>4</v>
      </c>
      <c r="R552" s="16" t="s">
        <v>26</v>
      </c>
      <c r="S552" s="17" t="s">
        <v>5</v>
      </c>
      <c r="T552" s="17" t="s">
        <v>27</v>
      </c>
      <c r="U552" s="18" t="s">
        <v>669</v>
      </c>
      <c r="V552" s="18" t="s">
        <v>670</v>
      </c>
      <c r="W552" s="18" t="s">
        <v>675</v>
      </c>
      <c r="X552" s="18" t="s">
        <v>671</v>
      </c>
      <c r="Y552" s="6" t="s">
        <v>6</v>
      </c>
      <c r="Z552" s="6" t="s">
        <v>7</v>
      </c>
      <c r="AA552" s="6" t="s">
        <v>674</v>
      </c>
      <c r="AB552" s="6" t="s">
        <v>8</v>
      </c>
      <c r="AC552" s="6" t="s">
        <v>9</v>
      </c>
      <c r="AD552" s="6" t="s">
        <v>10</v>
      </c>
      <c r="AE552" s="6" t="s">
        <v>11</v>
      </c>
      <c r="AF552" s="6" t="s">
        <v>673</v>
      </c>
      <c r="AG552" s="6" t="s">
        <v>672</v>
      </c>
      <c r="AH552" s="6" t="s">
        <v>12</v>
      </c>
      <c r="AI552" s="8" t="s">
        <v>14</v>
      </c>
      <c r="AJ552" s="11" t="s">
        <v>13</v>
      </c>
    </row>
    <row r="553" spans="1:36" x14ac:dyDescent="0.35">
      <c r="A553" s="19" t="s">
        <v>33</v>
      </c>
      <c r="B553" s="5">
        <v>1</v>
      </c>
      <c r="C553" s="4">
        <v>188</v>
      </c>
      <c r="D553" s="4">
        <v>0</v>
      </c>
      <c r="E553" s="4">
        <v>3</v>
      </c>
      <c r="F553" s="4">
        <v>54</v>
      </c>
      <c r="G553" s="4">
        <v>53</v>
      </c>
      <c r="H553" s="4">
        <v>9</v>
      </c>
      <c r="I553" s="4">
        <v>2</v>
      </c>
      <c r="J553" s="4">
        <v>10</v>
      </c>
      <c r="K553" s="4">
        <v>1</v>
      </c>
      <c r="L553" s="4">
        <v>-3</v>
      </c>
      <c r="M553" s="4">
        <v>7</v>
      </c>
      <c r="N553" s="4">
        <v>110</v>
      </c>
      <c r="O553" s="4">
        <v>3</v>
      </c>
      <c r="P553" s="4">
        <v>30</v>
      </c>
      <c r="Q553" s="4">
        <v>1</v>
      </c>
      <c r="R553" s="4">
        <v>0</v>
      </c>
      <c r="S553" s="4">
        <v>2</v>
      </c>
      <c r="T553" s="4">
        <v>18</v>
      </c>
      <c r="U553" s="4">
        <v>5</v>
      </c>
      <c r="V553" s="4">
        <v>23</v>
      </c>
      <c r="W553" s="4">
        <v>0</v>
      </c>
      <c r="X553" s="4">
        <v>0</v>
      </c>
      <c r="Y553" s="4">
        <v>0</v>
      </c>
      <c r="Z553" s="4">
        <v>2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f>Table21214181984[[#This Row],[QB PY]]+Table21214181984[[#This Row],[QB RY]]</f>
        <v>191</v>
      </c>
      <c r="AJ553" s="4">
        <f>Table21214181984[[#This Row],[RB1 RY]]+Table21214181984[[#This Row],[RB2+ RY]]+Table21214181984[[#This Row],[RB1 RecY]]+Table21214181984[[#This Row],[RB2 RecY]]</f>
        <v>114</v>
      </c>
    </row>
    <row r="554" spans="1:36" x14ac:dyDescent="0.35">
      <c r="A554" s="19" t="s">
        <v>40</v>
      </c>
      <c r="B554" s="1">
        <v>2</v>
      </c>
      <c r="C554" s="2">
        <v>187</v>
      </c>
      <c r="D554" s="2">
        <v>1</v>
      </c>
      <c r="E554" s="2">
        <v>66</v>
      </c>
      <c r="F554" s="2">
        <v>22</v>
      </c>
      <c r="G554" s="2">
        <v>33</v>
      </c>
      <c r="H554" s="2">
        <v>0</v>
      </c>
      <c r="I554" s="2">
        <v>1</v>
      </c>
      <c r="J554" s="2">
        <v>7</v>
      </c>
      <c r="K554" s="2">
        <v>1</v>
      </c>
      <c r="L554" s="2">
        <v>3</v>
      </c>
      <c r="M554" s="2">
        <v>5</v>
      </c>
      <c r="N554" s="2">
        <v>30</v>
      </c>
      <c r="O554" s="2">
        <v>2</v>
      </c>
      <c r="P554" s="2">
        <v>59</v>
      </c>
      <c r="Q554" s="2">
        <v>1</v>
      </c>
      <c r="R554" s="2">
        <v>5</v>
      </c>
      <c r="S554" s="2">
        <v>0</v>
      </c>
      <c r="T554" s="2">
        <v>0</v>
      </c>
      <c r="U554" s="2">
        <v>4</v>
      </c>
      <c r="V554" s="2">
        <v>61</v>
      </c>
      <c r="W554" s="2">
        <v>2</v>
      </c>
      <c r="X554" s="2">
        <v>22</v>
      </c>
      <c r="Y554" s="2">
        <v>1</v>
      </c>
      <c r="Z554" s="2">
        <v>0</v>
      </c>
      <c r="AA554" s="2">
        <v>0</v>
      </c>
      <c r="AB554" s="2">
        <v>0</v>
      </c>
      <c r="AC554" s="2">
        <v>1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4">
        <f>Table21214181984[[#This Row],[QB PY]]+Table21214181984[[#This Row],[QB RY]]</f>
        <v>253</v>
      </c>
      <c r="AJ554" s="4">
        <f>Table21214181984[[#This Row],[RB1 RY]]+Table21214181984[[#This Row],[RB2+ RY]]+Table21214181984[[#This Row],[RB1 RecY]]+Table21214181984[[#This Row],[RB2 RecY]]</f>
        <v>65</v>
      </c>
    </row>
    <row r="555" spans="1:36" x14ac:dyDescent="0.35">
      <c r="A555" s="19" t="s">
        <v>42</v>
      </c>
      <c r="B555" s="1">
        <v>3</v>
      </c>
      <c r="C555" s="2">
        <v>196</v>
      </c>
      <c r="D555" s="2">
        <v>2</v>
      </c>
      <c r="E555" s="2">
        <v>0</v>
      </c>
      <c r="F555" s="2">
        <v>94</v>
      </c>
      <c r="G555" s="2">
        <v>53</v>
      </c>
      <c r="H555" s="2">
        <v>13</v>
      </c>
      <c r="I555" s="2">
        <v>2</v>
      </c>
      <c r="J555" s="2">
        <v>18</v>
      </c>
      <c r="K555" s="2">
        <v>0</v>
      </c>
      <c r="L555" s="2">
        <v>0</v>
      </c>
      <c r="M555" s="2">
        <v>11</v>
      </c>
      <c r="N555" s="2">
        <v>112</v>
      </c>
      <c r="O555" s="2">
        <v>3</v>
      </c>
      <c r="P555" s="2">
        <v>56</v>
      </c>
      <c r="Q555" s="2">
        <v>2</v>
      </c>
      <c r="R555" s="2">
        <v>7</v>
      </c>
      <c r="S555" s="2">
        <v>0</v>
      </c>
      <c r="T555" s="2">
        <v>0</v>
      </c>
      <c r="U555" s="2">
        <v>0</v>
      </c>
      <c r="V555" s="2">
        <v>0</v>
      </c>
      <c r="W555" s="2">
        <v>1</v>
      </c>
      <c r="X555" s="2">
        <v>3</v>
      </c>
      <c r="Y555" s="2">
        <v>0</v>
      </c>
      <c r="Z555" s="2">
        <v>1</v>
      </c>
      <c r="AA555" s="2">
        <v>0</v>
      </c>
      <c r="AB555" s="2">
        <v>0</v>
      </c>
      <c r="AC555" s="2">
        <v>1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4">
        <f>Table21214181984[[#This Row],[QB PY]]+Table21214181984[[#This Row],[QB RY]]</f>
        <v>196</v>
      </c>
      <c r="AJ555" s="4">
        <f>Table21214181984[[#This Row],[RB1 RY]]+Table21214181984[[#This Row],[RB2+ RY]]+Table21214181984[[#This Row],[RB1 RecY]]+Table21214181984[[#This Row],[RB2 RecY]]</f>
        <v>165</v>
      </c>
    </row>
    <row r="556" spans="1:36" x14ac:dyDescent="0.35">
      <c r="A556" s="19" t="s">
        <v>54</v>
      </c>
      <c r="B556" s="1">
        <v>4</v>
      </c>
      <c r="C556" s="2">
        <v>289</v>
      </c>
      <c r="D556" s="2">
        <v>2</v>
      </c>
      <c r="E556" s="2">
        <v>13</v>
      </c>
      <c r="F556" s="2">
        <v>63</v>
      </c>
      <c r="G556" s="2">
        <v>17</v>
      </c>
      <c r="H556" s="2">
        <v>11</v>
      </c>
      <c r="I556" s="2">
        <v>5</v>
      </c>
      <c r="J556" s="2">
        <v>102</v>
      </c>
      <c r="K556" s="2">
        <v>4</v>
      </c>
      <c r="L556" s="2">
        <v>29</v>
      </c>
      <c r="M556" s="2">
        <v>4</v>
      </c>
      <c r="N556" s="2">
        <v>101</v>
      </c>
      <c r="O556" s="2">
        <v>3</v>
      </c>
      <c r="P556" s="2">
        <v>26</v>
      </c>
      <c r="Q556" s="2">
        <v>2</v>
      </c>
      <c r="R556" s="2">
        <v>14</v>
      </c>
      <c r="S556" s="2">
        <v>1</v>
      </c>
      <c r="T556" s="2">
        <v>8</v>
      </c>
      <c r="U556" s="2">
        <v>3</v>
      </c>
      <c r="V556" s="2">
        <v>9</v>
      </c>
      <c r="W556" s="2">
        <v>0</v>
      </c>
      <c r="X556" s="2">
        <v>0</v>
      </c>
      <c r="Y556" s="2">
        <v>0</v>
      </c>
      <c r="Z556" s="2">
        <v>1</v>
      </c>
      <c r="AA556" s="2">
        <v>0</v>
      </c>
      <c r="AB556" s="2">
        <v>1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4">
        <f>Table21214181984[[#This Row],[QB PY]]+Table21214181984[[#This Row],[QB RY]]</f>
        <v>302</v>
      </c>
      <c r="AJ556" s="4">
        <f>Table21214181984[[#This Row],[RB1 RY]]+Table21214181984[[#This Row],[RB2+ RY]]+Table21214181984[[#This Row],[RB1 RecY]]+Table21214181984[[#This Row],[RB2 RecY]]</f>
        <v>211</v>
      </c>
    </row>
    <row r="557" spans="1:36" x14ac:dyDescent="0.35">
      <c r="A557" s="19" t="s">
        <v>34</v>
      </c>
      <c r="B557" s="1">
        <v>5</v>
      </c>
      <c r="C557" s="2">
        <v>242</v>
      </c>
      <c r="D557" s="2">
        <v>1</v>
      </c>
      <c r="E557" s="2">
        <v>22</v>
      </c>
      <c r="F557" s="2">
        <v>79</v>
      </c>
      <c r="G557" s="2">
        <v>20</v>
      </c>
      <c r="H557" s="2">
        <v>9</v>
      </c>
      <c r="I557" s="2">
        <v>1</v>
      </c>
      <c r="J557" s="2">
        <v>5</v>
      </c>
      <c r="K557" s="2">
        <v>4</v>
      </c>
      <c r="L557" s="2">
        <v>34</v>
      </c>
      <c r="M557" s="2">
        <v>8</v>
      </c>
      <c r="N557" s="2">
        <v>99</v>
      </c>
      <c r="O557" s="2">
        <v>3</v>
      </c>
      <c r="P557" s="2">
        <v>35</v>
      </c>
      <c r="Q557" s="2">
        <v>2</v>
      </c>
      <c r="R557" s="2">
        <v>10</v>
      </c>
      <c r="S557" s="2">
        <v>1</v>
      </c>
      <c r="T557" s="2">
        <v>15</v>
      </c>
      <c r="U557" s="2">
        <v>4</v>
      </c>
      <c r="V557" s="2">
        <v>33</v>
      </c>
      <c r="W557" s="2">
        <v>1</v>
      </c>
      <c r="X557" s="2">
        <v>11</v>
      </c>
      <c r="Y557" s="2">
        <v>0</v>
      </c>
      <c r="Z557" s="2">
        <v>1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</v>
      </c>
      <c r="AG557" s="2">
        <v>0</v>
      </c>
      <c r="AH557" s="2">
        <v>0</v>
      </c>
      <c r="AI557" s="4">
        <f>Table21214181984[[#This Row],[QB PY]]+Table21214181984[[#This Row],[QB RY]]</f>
        <v>264</v>
      </c>
      <c r="AJ557" s="4">
        <f>Table21214181984[[#This Row],[RB1 RY]]+Table21214181984[[#This Row],[RB2+ RY]]+Table21214181984[[#This Row],[RB1 RecY]]+Table21214181984[[#This Row],[RB2 RecY]]</f>
        <v>138</v>
      </c>
    </row>
    <row r="558" spans="1:36" x14ac:dyDescent="0.35">
      <c r="A558" s="19" t="s">
        <v>48</v>
      </c>
      <c r="B558" s="1">
        <v>6</v>
      </c>
      <c r="C558" s="2">
        <v>195</v>
      </c>
      <c r="D558" s="2">
        <v>1</v>
      </c>
      <c r="E558" s="2">
        <v>58</v>
      </c>
      <c r="F558" s="2">
        <v>98</v>
      </c>
      <c r="G558" s="2">
        <v>16</v>
      </c>
      <c r="H558" s="2">
        <v>0</v>
      </c>
      <c r="I558" s="2">
        <v>2</v>
      </c>
      <c r="J558" s="2">
        <v>12</v>
      </c>
      <c r="K558" s="2">
        <v>0</v>
      </c>
      <c r="L558" s="2">
        <v>0</v>
      </c>
      <c r="M558" s="2">
        <v>6</v>
      </c>
      <c r="N558" s="2">
        <v>84</v>
      </c>
      <c r="O558" s="2">
        <v>4</v>
      </c>
      <c r="P558" s="2">
        <v>55</v>
      </c>
      <c r="Q558" s="2">
        <v>3</v>
      </c>
      <c r="R558" s="2">
        <v>17</v>
      </c>
      <c r="S558" s="2">
        <v>0</v>
      </c>
      <c r="T558" s="2">
        <v>0</v>
      </c>
      <c r="U558" s="2">
        <v>2</v>
      </c>
      <c r="V558" s="2">
        <v>27</v>
      </c>
      <c r="W558" s="2">
        <v>0</v>
      </c>
      <c r="X558" s="2">
        <v>0</v>
      </c>
      <c r="Y558" s="2">
        <v>1</v>
      </c>
      <c r="Z558" s="2">
        <v>3</v>
      </c>
      <c r="AA558" s="2">
        <v>0</v>
      </c>
      <c r="AB558" s="2">
        <v>1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4">
        <f>Table21214181984[[#This Row],[QB PY]]+Table21214181984[[#This Row],[QB RY]]</f>
        <v>253</v>
      </c>
      <c r="AJ558" s="4">
        <f>Table21214181984[[#This Row],[RB1 RY]]+Table21214181984[[#This Row],[RB2+ RY]]+Table21214181984[[#This Row],[RB1 RecY]]+Table21214181984[[#This Row],[RB2 RecY]]</f>
        <v>126</v>
      </c>
    </row>
    <row r="559" spans="1:36" x14ac:dyDescent="0.35">
      <c r="A559" s="19" t="s">
        <v>45</v>
      </c>
      <c r="B559" s="1">
        <v>7</v>
      </c>
      <c r="C559" s="2">
        <v>313</v>
      </c>
      <c r="D559" s="2">
        <v>0</v>
      </c>
      <c r="E559" s="2">
        <v>28</v>
      </c>
      <c r="F559" s="2">
        <v>57</v>
      </c>
      <c r="G559" s="2">
        <v>4</v>
      </c>
      <c r="H559" s="2">
        <v>0</v>
      </c>
      <c r="I559" s="2">
        <v>1</v>
      </c>
      <c r="J559" s="2">
        <v>5</v>
      </c>
      <c r="K559" s="2">
        <v>1</v>
      </c>
      <c r="L559" s="2">
        <v>2</v>
      </c>
      <c r="M559" s="2">
        <v>5</v>
      </c>
      <c r="N559" s="2">
        <v>79</v>
      </c>
      <c r="O559" s="2">
        <v>9</v>
      </c>
      <c r="P559" s="2">
        <v>128</v>
      </c>
      <c r="Q559" s="2">
        <v>2</v>
      </c>
      <c r="R559" s="2">
        <v>37</v>
      </c>
      <c r="S559" s="2">
        <v>1</v>
      </c>
      <c r="T559" s="2">
        <v>10</v>
      </c>
      <c r="U559" s="2">
        <v>6</v>
      </c>
      <c r="V559" s="2">
        <v>43</v>
      </c>
      <c r="W559" s="2">
        <v>1</v>
      </c>
      <c r="X559" s="2">
        <v>9</v>
      </c>
      <c r="Y559" s="2">
        <v>0</v>
      </c>
      <c r="Z559" s="2">
        <v>1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4">
        <f>Table21214181984[[#This Row],[QB PY]]+Table21214181984[[#This Row],[QB RY]]</f>
        <v>341</v>
      </c>
      <c r="AJ559" s="4">
        <f>Table21214181984[[#This Row],[RB1 RY]]+Table21214181984[[#This Row],[RB2+ RY]]+Table21214181984[[#This Row],[RB1 RecY]]+Table21214181984[[#This Row],[RB2 RecY]]</f>
        <v>68</v>
      </c>
    </row>
    <row r="560" spans="1:36" x14ac:dyDescent="0.35">
      <c r="A560" s="19" t="s">
        <v>48</v>
      </c>
      <c r="B560" s="1">
        <v>8</v>
      </c>
      <c r="C560" s="2">
        <v>193</v>
      </c>
      <c r="D560" s="2">
        <v>1</v>
      </c>
      <c r="E560" s="2">
        <v>17</v>
      </c>
      <c r="F560" s="2">
        <v>39</v>
      </c>
      <c r="G560" s="2">
        <v>12</v>
      </c>
      <c r="H560" s="2">
        <v>0</v>
      </c>
      <c r="I560" s="2">
        <v>1</v>
      </c>
      <c r="J560" s="2">
        <v>18</v>
      </c>
      <c r="K560" s="2">
        <v>3</v>
      </c>
      <c r="L560" s="2">
        <v>42</v>
      </c>
      <c r="M560" s="2">
        <v>3</v>
      </c>
      <c r="N560" s="2">
        <v>48</v>
      </c>
      <c r="O560" s="2">
        <v>2</v>
      </c>
      <c r="P560" s="2">
        <v>26</v>
      </c>
      <c r="Q560" s="2">
        <v>1</v>
      </c>
      <c r="R560" s="2">
        <v>18</v>
      </c>
      <c r="S560" s="2">
        <v>0</v>
      </c>
      <c r="T560" s="2">
        <v>0</v>
      </c>
      <c r="U560" s="2">
        <v>3</v>
      </c>
      <c r="V560" s="2">
        <v>20</v>
      </c>
      <c r="W560" s="2">
        <v>1</v>
      </c>
      <c r="X560" s="2">
        <v>21</v>
      </c>
      <c r="Y560" s="2">
        <v>1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4">
        <f>Table21214181984[[#This Row],[QB PY]]+Table21214181984[[#This Row],[QB RY]]</f>
        <v>210</v>
      </c>
      <c r="AJ560" s="4">
        <f>Table21214181984[[#This Row],[RB1 RY]]+Table21214181984[[#This Row],[RB2+ RY]]+Table21214181984[[#This Row],[RB1 RecY]]+Table21214181984[[#This Row],[RB2 RecY]]</f>
        <v>111</v>
      </c>
    </row>
    <row r="561" spans="1:36" x14ac:dyDescent="0.35">
      <c r="A561" s="19" t="s">
        <v>650</v>
      </c>
      <c r="B561" s="1">
        <v>9</v>
      </c>
      <c r="C561" s="2" t="s">
        <v>697</v>
      </c>
      <c r="D561" s="2" t="s">
        <v>697</v>
      </c>
      <c r="E561" s="2" t="s">
        <v>697</v>
      </c>
      <c r="F561" s="2" t="s">
        <v>697</v>
      </c>
      <c r="G561" s="2" t="s">
        <v>697</v>
      </c>
      <c r="H561" s="2" t="s">
        <v>697</v>
      </c>
      <c r="I561" s="2" t="s">
        <v>697</v>
      </c>
      <c r="J561" s="2" t="s">
        <v>697</v>
      </c>
      <c r="K561" s="2" t="s">
        <v>697</v>
      </c>
      <c r="L561" s="2" t="s">
        <v>697</v>
      </c>
      <c r="M561" s="2" t="s">
        <v>697</v>
      </c>
      <c r="N561" s="2" t="s">
        <v>697</v>
      </c>
      <c r="O561" s="2" t="s">
        <v>697</v>
      </c>
      <c r="P561" s="2" t="s">
        <v>697</v>
      </c>
      <c r="Q561" s="2" t="s">
        <v>697</v>
      </c>
      <c r="R561" s="2" t="s">
        <v>697</v>
      </c>
      <c r="S561" s="2" t="s">
        <v>697</v>
      </c>
      <c r="T561" s="2" t="s">
        <v>697</v>
      </c>
      <c r="U561" s="2" t="s">
        <v>697</v>
      </c>
      <c r="V561" s="2" t="s">
        <v>697</v>
      </c>
      <c r="W561" s="2" t="s">
        <v>697</v>
      </c>
      <c r="X561" s="2" t="s">
        <v>697</v>
      </c>
      <c r="Y561" s="2" t="s">
        <v>697</v>
      </c>
      <c r="Z561" s="2" t="s">
        <v>697</v>
      </c>
      <c r="AA561" s="2" t="s">
        <v>697</v>
      </c>
      <c r="AB561" s="2" t="s">
        <v>697</v>
      </c>
      <c r="AC561" s="2" t="s">
        <v>697</v>
      </c>
      <c r="AD561" s="2" t="s">
        <v>697</v>
      </c>
      <c r="AE561" s="2" t="s">
        <v>697</v>
      </c>
      <c r="AF561" s="2" t="s">
        <v>697</v>
      </c>
      <c r="AG561" s="2" t="s">
        <v>697</v>
      </c>
      <c r="AH561" s="2" t="s">
        <v>697</v>
      </c>
      <c r="AI561" s="4" t="s">
        <v>697</v>
      </c>
      <c r="AJ561" s="4" t="s">
        <v>697</v>
      </c>
    </row>
    <row r="562" spans="1:36" x14ac:dyDescent="0.35">
      <c r="A562" s="19" t="s">
        <v>36</v>
      </c>
      <c r="B562" s="1">
        <v>10</v>
      </c>
      <c r="C562" s="2">
        <v>176</v>
      </c>
      <c r="D562" s="2">
        <v>0</v>
      </c>
      <c r="E562" s="2">
        <v>28</v>
      </c>
      <c r="F562" s="2">
        <v>74</v>
      </c>
      <c r="G562" s="2">
        <v>2</v>
      </c>
      <c r="H562" s="2">
        <v>0</v>
      </c>
      <c r="I562" s="2">
        <v>5</v>
      </c>
      <c r="J562" s="2">
        <v>33</v>
      </c>
      <c r="K562" s="2">
        <v>1</v>
      </c>
      <c r="L562" s="2">
        <v>2</v>
      </c>
      <c r="M562" s="2">
        <v>1</v>
      </c>
      <c r="N562" s="2">
        <v>5</v>
      </c>
      <c r="O562" s="2">
        <v>2</v>
      </c>
      <c r="P562" s="2">
        <v>45</v>
      </c>
      <c r="Q562" s="2">
        <v>4</v>
      </c>
      <c r="R562" s="2">
        <v>38</v>
      </c>
      <c r="S562" s="2">
        <v>4</v>
      </c>
      <c r="T562" s="2">
        <v>30</v>
      </c>
      <c r="U562" s="2">
        <v>3</v>
      </c>
      <c r="V562" s="2">
        <v>23</v>
      </c>
      <c r="W562" s="2">
        <v>0</v>
      </c>
      <c r="X562" s="2">
        <v>0</v>
      </c>
      <c r="Y562" s="2">
        <v>0</v>
      </c>
      <c r="Z562" s="2">
        <v>1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4">
        <f>Table21214181984[[#This Row],[QB PY]]+Table21214181984[[#This Row],[QB RY]]</f>
        <v>204</v>
      </c>
      <c r="AJ562" s="4">
        <f>Table21214181984[[#This Row],[RB1 RY]]+Table21214181984[[#This Row],[RB2+ RY]]+Table21214181984[[#This Row],[RB1 RecY]]+Table21214181984[[#This Row],[RB2 RecY]]</f>
        <v>111</v>
      </c>
    </row>
    <row r="563" spans="1:36" x14ac:dyDescent="0.35">
      <c r="A563" s="19" t="s">
        <v>35</v>
      </c>
      <c r="B563" s="1">
        <v>11</v>
      </c>
      <c r="C563" s="2">
        <v>255</v>
      </c>
      <c r="D563" s="2">
        <v>1</v>
      </c>
      <c r="E563" s="2">
        <v>-1</v>
      </c>
      <c r="F563" s="2">
        <v>39</v>
      </c>
      <c r="G563" s="2">
        <v>27</v>
      </c>
      <c r="H563" s="2">
        <v>9</v>
      </c>
      <c r="I563" s="2">
        <v>5</v>
      </c>
      <c r="J563" s="2">
        <v>107</v>
      </c>
      <c r="K563" s="2">
        <v>1</v>
      </c>
      <c r="L563" s="2">
        <v>10</v>
      </c>
      <c r="M563" s="2">
        <v>2</v>
      </c>
      <c r="N563" s="2">
        <v>42</v>
      </c>
      <c r="O563" s="2">
        <v>4</v>
      </c>
      <c r="P563" s="2">
        <v>88</v>
      </c>
      <c r="Q563" s="2">
        <v>0</v>
      </c>
      <c r="R563" s="2">
        <v>0</v>
      </c>
      <c r="S563" s="2">
        <v>0</v>
      </c>
      <c r="T563" s="2">
        <v>0</v>
      </c>
      <c r="U563" s="2">
        <v>2</v>
      </c>
      <c r="V563" s="2">
        <v>8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1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4">
        <f>Table21214181984[[#This Row],[QB PY]]+Table21214181984[[#This Row],[QB RY]]</f>
        <v>254</v>
      </c>
      <c r="AJ563" s="4">
        <f>Table21214181984[[#This Row],[RB1 RY]]+Table21214181984[[#This Row],[RB2+ RY]]+Table21214181984[[#This Row],[RB1 RecY]]+Table21214181984[[#This Row],[RB2 RecY]]</f>
        <v>183</v>
      </c>
    </row>
    <row r="564" spans="1:36" x14ac:dyDescent="0.35">
      <c r="A564" s="19" t="s">
        <v>33</v>
      </c>
      <c r="B564" s="1">
        <v>12</v>
      </c>
      <c r="C564" s="2">
        <v>354</v>
      </c>
      <c r="D564" s="2">
        <v>2</v>
      </c>
      <c r="E564" s="2">
        <v>9</v>
      </c>
      <c r="F564" s="2">
        <v>87</v>
      </c>
      <c r="G564" s="2">
        <v>24</v>
      </c>
      <c r="H564" s="2">
        <v>5</v>
      </c>
      <c r="I564" s="2">
        <v>2</v>
      </c>
      <c r="J564" s="2">
        <v>14</v>
      </c>
      <c r="K564" s="2">
        <v>1</v>
      </c>
      <c r="L564" s="2">
        <v>7</v>
      </c>
      <c r="M564" s="2">
        <v>4</v>
      </c>
      <c r="N564" s="2">
        <v>75</v>
      </c>
      <c r="O564" s="2">
        <v>9</v>
      </c>
      <c r="P564" s="2">
        <v>146</v>
      </c>
      <c r="Q564" s="2">
        <v>0</v>
      </c>
      <c r="R564" s="2">
        <v>0</v>
      </c>
      <c r="S564" s="2">
        <v>1</v>
      </c>
      <c r="T564" s="2">
        <v>48</v>
      </c>
      <c r="U564" s="2">
        <v>5</v>
      </c>
      <c r="V564" s="2">
        <v>60</v>
      </c>
      <c r="W564" s="2">
        <v>1</v>
      </c>
      <c r="X564" s="2">
        <v>4</v>
      </c>
      <c r="Y564" s="2">
        <v>1</v>
      </c>
      <c r="Z564" s="2">
        <v>0</v>
      </c>
      <c r="AA564" s="2">
        <v>0</v>
      </c>
      <c r="AB564" s="2">
        <v>0</v>
      </c>
      <c r="AC564" s="2">
        <v>1</v>
      </c>
      <c r="AD564" s="2">
        <v>0</v>
      </c>
      <c r="AE564" s="2">
        <v>0</v>
      </c>
      <c r="AF564" s="2">
        <v>0</v>
      </c>
      <c r="AG564" s="2">
        <v>1</v>
      </c>
      <c r="AH564" s="2">
        <v>0</v>
      </c>
      <c r="AI564" s="4">
        <f>Table21214181984[[#This Row],[QB PY]]+Table21214181984[[#This Row],[QB RY]]</f>
        <v>363</v>
      </c>
      <c r="AJ564" s="4">
        <f>Table21214181984[[#This Row],[RB1 RY]]+Table21214181984[[#This Row],[RB2+ RY]]+Table21214181984[[#This Row],[RB1 RecY]]+Table21214181984[[#This Row],[RB2 RecY]]</f>
        <v>132</v>
      </c>
    </row>
    <row r="565" spans="1:36" x14ac:dyDescent="0.35">
      <c r="A565" s="19" t="s">
        <v>30</v>
      </c>
      <c r="B565" s="1">
        <v>13</v>
      </c>
      <c r="C565" s="2">
        <v>154</v>
      </c>
      <c r="D565" s="2">
        <v>1</v>
      </c>
      <c r="E565" s="2">
        <v>13</v>
      </c>
      <c r="F565" s="2">
        <v>125</v>
      </c>
      <c r="G565" s="2">
        <v>130</v>
      </c>
      <c r="H565" s="2">
        <v>13</v>
      </c>
      <c r="I565" s="2">
        <v>1</v>
      </c>
      <c r="J565" s="2">
        <v>13</v>
      </c>
      <c r="K565" s="2">
        <v>0</v>
      </c>
      <c r="L565" s="2">
        <v>0</v>
      </c>
      <c r="M565" s="2">
        <v>2</v>
      </c>
      <c r="N565" s="2">
        <v>17</v>
      </c>
      <c r="O565" s="2">
        <v>2</v>
      </c>
      <c r="P565" s="2">
        <v>8</v>
      </c>
      <c r="Q565" s="2">
        <v>4</v>
      </c>
      <c r="R565" s="2">
        <v>33</v>
      </c>
      <c r="S565" s="2">
        <v>2</v>
      </c>
      <c r="T565" s="2">
        <v>19</v>
      </c>
      <c r="U565" s="2">
        <v>3</v>
      </c>
      <c r="V565" s="2">
        <v>28</v>
      </c>
      <c r="W565" s="2">
        <v>3</v>
      </c>
      <c r="X565" s="2">
        <v>36</v>
      </c>
      <c r="Y565" s="2">
        <v>0</v>
      </c>
      <c r="Z565" s="2">
        <v>1</v>
      </c>
      <c r="AA565" s="2">
        <v>1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1</v>
      </c>
      <c r="AH565" s="2">
        <v>0</v>
      </c>
      <c r="AI565" s="4">
        <f>Table21214181984[[#This Row],[QB PY]]+Table21214181984[[#This Row],[QB RY]]</f>
        <v>167</v>
      </c>
      <c r="AJ565" s="4">
        <f>Table21214181984[[#This Row],[RB1 RY]]+Table21214181984[[#This Row],[RB2+ RY]]+Table21214181984[[#This Row],[RB1 RecY]]+Table21214181984[[#This Row],[RB2 RecY]]</f>
        <v>268</v>
      </c>
    </row>
    <row r="566" spans="1:36" x14ac:dyDescent="0.35">
      <c r="A566" s="19" t="s">
        <v>41</v>
      </c>
      <c r="B566" s="1">
        <v>14</v>
      </c>
      <c r="C566" s="2">
        <v>139</v>
      </c>
      <c r="D566" s="2">
        <v>1</v>
      </c>
      <c r="E566" s="2">
        <v>66</v>
      </c>
      <c r="F566" s="2">
        <v>56</v>
      </c>
      <c r="G566" s="2">
        <v>44</v>
      </c>
      <c r="H566" s="2">
        <v>3</v>
      </c>
      <c r="I566" s="2">
        <v>2</v>
      </c>
      <c r="J566" s="2">
        <v>11</v>
      </c>
      <c r="K566" s="2">
        <v>1</v>
      </c>
      <c r="L566" s="2">
        <v>60</v>
      </c>
      <c r="M566" s="2">
        <v>1</v>
      </c>
      <c r="N566" s="2">
        <v>12</v>
      </c>
      <c r="O566" s="2">
        <v>2</v>
      </c>
      <c r="P566" s="2">
        <v>8</v>
      </c>
      <c r="Q566" s="2">
        <v>3</v>
      </c>
      <c r="R566" s="2">
        <v>22</v>
      </c>
      <c r="S566" s="2">
        <v>1</v>
      </c>
      <c r="T566" s="2">
        <v>18</v>
      </c>
      <c r="U566" s="2">
        <v>1</v>
      </c>
      <c r="V566" s="2">
        <v>7</v>
      </c>
      <c r="W566" s="2">
        <v>1</v>
      </c>
      <c r="X566" s="2">
        <v>1</v>
      </c>
      <c r="Y566" s="2">
        <v>0</v>
      </c>
      <c r="Z566" s="2">
        <v>1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4">
        <f>Table21214181984[[#This Row],[QB PY]]+Table21214181984[[#This Row],[QB RY]]</f>
        <v>205</v>
      </c>
      <c r="AJ566" s="4">
        <f>Table21214181984[[#This Row],[RB1 RY]]+Table21214181984[[#This Row],[RB2+ RY]]+Table21214181984[[#This Row],[RB1 RecY]]+Table21214181984[[#This Row],[RB2 RecY]]</f>
        <v>171</v>
      </c>
    </row>
    <row r="567" spans="1:36" x14ac:dyDescent="0.35">
      <c r="A567" s="19" t="s">
        <v>43</v>
      </c>
      <c r="B567" s="1">
        <v>15</v>
      </c>
      <c r="C567" s="2">
        <v>64</v>
      </c>
      <c r="D567" s="2">
        <v>0</v>
      </c>
      <c r="E567" s="2">
        <v>7</v>
      </c>
      <c r="F567" s="2">
        <v>35</v>
      </c>
      <c r="G567" s="2">
        <v>4</v>
      </c>
      <c r="H567" s="2">
        <v>0</v>
      </c>
      <c r="I567" s="2">
        <v>4</v>
      </c>
      <c r="J567" s="2">
        <v>7</v>
      </c>
      <c r="K567" s="2">
        <v>1</v>
      </c>
      <c r="L567" s="2">
        <v>2</v>
      </c>
      <c r="M567" s="2">
        <v>0</v>
      </c>
      <c r="N567" s="2">
        <v>0</v>
      </c>
      <c r="O567" s="2">
        <v>2</v>
      </c>
      <c r="P567" s="2">
        <v>10</v>
      </c>
      <c r="Q567" s="2">
        <v>2</v>
      </c>
      <c r="R567" s="2">
        <v>17</v>
      </c>
      <c r="S567" s="2">
        <v>0</v>
      </c>
      <c r="T567" s="2">
        <v>0</v>
      </c>
      <c r="U567" s="2">
        <v>6</v>
      </c>
      <c r="V567" s="2">
        <v>28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4">
        <f>Table21214181984[[#This Row],[QB PY]]+Table21214181984[[#This Row],[QB RY]]</f>
        <v>71</v>
      </c>
      <c r="AJ567" s="4">
        <f>Table21214181984[[#This Row],[RB1 RY]]+Table21214181984[[#This Row],[RB2+ RY]]+Table21214181984[[#This Row],[RB1 RecY]]+Table21214181984[[#This Row],[RB2 RecY]]</f>
        <v>48</v>
      </c>
    </row>
    <row r="568" spans="1:36" x14ac:dyDescent="0.35">
      <c r="A568" s="19" t="s">
        <v>56</v>
      </c>
      <c r="B568" s="1">
        <v>16</v>
      </c>
      <c r="C568" s="2">
        <v>138</v>
      </c>
      <c r="D568" s="2">
        <v>0</v>
      </c>
      <c r="E568" s="2">
        <v>-1</v>
      </c>
      <c r="F568" s="2">
        <v>63</v>
      </c>
      <c r="G568" s="2">
        <v>28</v>
      </c>
      <c r="H568" s="2">
        <v>0</v>
      </c>
      <c r="I568" s="2">
        <v>1</v>
      </c>
      <c r="J568" s="2">
        <v>6</v>
      </c>
      <c r="K568" s="2">
        <v>2</v>
      </c>
      <c r="L568" s="2">
        <v>9</v>
      </c>
      <c r="M568" s="2">
        <v>3</v>
      </c>
      <c r="N568" s="2">
        <v>53</v>
      </c>
      <c r="O568" s="2">
        <v>3</v>
      </c>
      <c r="P568" s="2">
        <v>35</v>
      </c>
      <c r="Q568" s="2">
        <v>2</v>
      </c>
      <c r="R568" s="2">
        <v>30</v>
      </c>
      <c r="S568" s="2">
        <v>0</v>
      </c>
      <c r="T568" s="2">
        <v>0</v>
      </c>
      <c r="U568" s="2">
        <v>1</v>
      </c>
      <c r="V568" s="2">
        <v>5</v>
      </c>
      <c r="W568" s="2">
        <v>0</v>
      </c>
      <c r="X568" s="2">
        <v>0</v>
      </c>
      <c r="Y568" s="2">
        <v>0</v>
      </c>
      <c r="Z568" s="2">
        <v>1</v>
      </c>
      <c r="AA568" s="2">
        <v>1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4">
        <f>Table21214181984[[#This Row],[QB PY]]+Table21214181984[[#This Row],[QB RY]]</f>
        <v>137</v>
      </c>
      <c r="AJ568" s="4">
        <f>Table21214181984[[#This Row],[RB1 RY]]+Table21214181984[[#This Row],[RB2+ RY]]+Table21214181984[[#This Row],[RB1 RecY]]+Table21214181984[[#This Row],[RB2 RecY]]</f>
        <v>106</v>
      </c>
    </row>
    <row r="569" spans="1:36" x14ac:dyDescent="0.35">
      <c r="A569" s="19" t="s">
        <v>17</v>
      </c>
      <c r="B569" s="1">
        <v>17</v>
      </c>
      <c r="C569" s="2">
        <v>262</v>
      </c>
      <c r="D569" s="2">
        <v>0</v>
      </c>
      <c r="E569" s="2">
        <v>27</v>
      </c>
      <c r="F569" s="2">
        <v>74</v>
      </c>
      <c r="G569" s="2">
        <v>19</v>
      </c>
      <c r="H569" s="2">
        <v>0</v>
      </c>
      <c r="I569" s="2">
        <v>1</v>
      </c>
      <c r="J569" s="2">
        <v>3</v>
      </c>
      <c r="K569" s="2">
        <v>4</v>
      </c>
      <c r="L569" s="2">
        <v>45</v>
      </c>
      <c r="M569" s="2">
        <v>6</v>
      </c>
      <c r="N569" s="2">
        <v>35</v>
      </c>
      <c r="O569" s="2">
        <v>4</v>
      </c>
      <c r="P569" s="2">
        <v>101</v>
      </c>
      <c r="Q569" s="2">
        <v>1</v>
      </c>
      <c r="R569" s="2">
        <v>12</v>
      </c>
      <c r="S569" s="2">
        <v>2</v>
      </c>
      <c r="T569" s="2">
        <v>36</v>
      </c>
      <c r="U569" s="2">
        <v>5</v>
      </c>
      <c r="V569" s="2">
        <v>30</v>
      </c>
      <c r="W569" s="2">
        <v>0</v>
      </c>
      <c r="X569" s="2">
        <v>0</v>
      </c>
      <c r="Y569" s="2">
        <v>2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4">
        <f>Table21214181984[[#This Row],[QB PY]]+Table21214181984[[#This Row],[QB RY]]</f>
        <v>289</v>
      </c>
      <c r="AJ569" s="4">
        <f>Table21214181984[[#This Row],[RB1 RY]]+Table21214181984[[#This Row],[RB2+ RY]]+Table21214181984[[#This Row],[RB1 RecY]]+Table21214181984[[#This Row],[RB2 RecY]]</f>
        <v>141</v>
      </c>
    </row>
    <row r="570" spans="1:36" x14ac:dyDescent="0.35">
      <c r="A570" s="19" t="s">
        <v>56</v>
      </c>
      <c r="B570" s="1">
        <v>18</v>
      </c>
      <c r="C570" s="2">
        <v>131</v>
      </c>
      <c r="D570" s="2">
        <v>1</v>
      </c>
      <c r="E570" s="2">
        <v>45</v>
      </c>
      <c r="F570" s="2">
        <v>65</v>
      </c>
      <c r="G570" s="2">
        <v>32</v>
      </c>
      <c r="H570" s="2">
        <v>1</v>
      </c>
      <c r="I570" s="2">
        <v>1</v>
      </c>
      <c r="J570" s="2">
        <v>18</v>
      </c>
      <c r="K570" s="2">
        <v>1</v>
      </c>
      <c r="L570" s="2">
        <v>8</v>
      </c>
      <c r="M570" s="2">
        <v>4</v>
      </c>
      <c r="N570" s="2">
        <v>57</v>
      </c>
      <c r="O570" s="2">
        <v>2</v>
      </c>
      <c r="P570" s="2">
        <v>20</v>
      </c>
      <c r="Q570" s="2">
        <v>2</v>
      </c>
      <c r="R570" s="2">
        <v>12</v>
      </c>
      <c r="S570" s="2">
        <v>0</v>
      </c>
      <c r="T570" s="2">
        <v>0</v>
      </c>
      <c r="U570" s="2">
        <v>2</v>
      </c>
      <c r="V570" s="2">
        <v>3</v>
      </c>
      <c r="W570" s="2">
        <v>2</v>
      </c>
      <c r="X570" s="2">
        <v>13</v>
      </c>
      <c r="Y570" s="2">
        <v>1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1</v>
      </c>
      <c r="AH570" s="2">
        <v>0</v>
      </c>
      <c r="AI570" s="4">
        <f>Table21214181984[[#This Row],[QB PY]]+Table21214181984[[#This Row],[QB RY]]</f>
        <v>176</v>
      </c>
      <c r="AJ570" s="4">
        <f>Table21214181984[[#This Row],[RB1 RY]]+Table21214181984[[#This Row],[RB2+ RY]]+Table21214181984[[#This Row],[RB1 RecY]]+Table21214181984[[#This Row],[RB2 RecY]]</f>
        <v>123</v>
      </c>
    </row>
    <row r="571" spans="1:36" x14ac:dyDescent="0.35">
      <c r="B571" s="1" t="s">
        <v>57</v>
      </c>
      <c r="C571" s="3">
        <f>AVERAGE(Table21214181984[QB PY])</f>
        <v>204.47058823529412</v>
      </c>
      <c r="D571" s="3">
        <f>AVERAGE(Table21214181984[P TD])</f>
        <v>0.82352941176470584</v>
      </c>
      <c r="E571" s="3">
        <f>AVERAGE(Table21214181984[QB RY])</f>
        <v>23.529411764705884</v>
      </c>
      <c r="F571" s="3">
        <f>AVERAGE(Table21214181984[RB1 RY])</f>
        <v>66.117647058823536</v>
      </c>
      <c r="G571" s="3">
        <f>AVERAGE(Table21214181984[RB2+ RY])</f>
        <v>30.470588235294116</v>
      </c>
      <c r="H571" s="3">
        <f>AVERAGE(Table21214181984[WR RY])</f>
        <v>4.2941176470588234</v>
      </c>
      <c r="I571" s="3">
        <f>AVERAGE(Table21214181984[RB1 Recep])</f>
        <v>2.1764705882352939</v>
      </c>
      <c r="J571" s="3">
        <f>AVERAGE(Table21214181984[RB1 RecY])</f>
        <v>22.882352941176471</v>
      </c>
      <c r="K571" s="3">
        <f>AVERAGE(Table21214181984[RB2 Recep])</f>
        <v>1.5294117647058822</v>
      </c>
      <c r="L571" s="3">
        <f>AVERAGE(Table21214181984[RB2 RecY])</f>
        <v>14.705882352941176</v>
      </c>
      <c r="M571" s="3">
        <f>AVERAGE(Table21214181984[WR1 Recep])</f>
        <v>4.2352941176470589</v>
      </c>
      <c r="N571" s="3">
        <f>AVERAGE(Table21214181984[WR1 RecY])</f>
        <v>56.411764705882355</v>
      </c>
      <c r="O571" s="3">
        <f>AVERAGE(Table21214181984[WR2 Recep])</f>
        <v>3.4705882352941178</v>
      </c>
      <c r="P571" s="3">
        <f>AVERAGE(Table21214181984[WR2 RecY])</f>
        <v>51.529411764705884</v>
      </c>
      <c r="Q571" s="3">
        <f>AVERAGE(Table21214181984[WR3 Recep])</f>
        <v>1.8823529411764706</v>
      </c>
      <c r="R571" s="3">
        <f>AVERAGE(Table21214181984[WR3 RecY])</f>
        <v>16</v>
      </c>
      <c r="S571" s="3">
        <f>AVERAGE(Table21214181984[WR4+ Recep])</f>
        <v>0.88235294117647056</v>
      </c>
      <c r="T571" s="3">
        <f>AVERAGE(Table21214181984[WR4+ RecY])</f>
        <v>11.882352941176471</v>
      </c>
      <c r="U571" s="3">
        <f>AVERAGE(Table21214181984[TE1 Recep])</f>
        <v>3.2352941176470589</v>
      </c>
      <c r="V571" s="3">
        <f>AVERAGE(Table21214181984[TE1 RecY])</f>
        <v>24</v>
      </c>
      <c r="W571" s="3">
        <f>AVERAGE(Table21214181984[TE2 Recep])</f>
        <v>0.76470588235294112</v>
      </c>
      <c r="X571" s="3">
        <f>AVERAGE(Table21214181984[TE2 RecY])</f>
        <v>7.0588235294117645</v>
      </c>
      <c r="Y571" s="3">
        <f>AVERAGE(Table21214181984[QB TD])</f>
        <v>0.41176470588235292</v>
      </c>
      <c r="Z571" s="3">
        <f>AVERAGE(Table21214181984[RB1 TD])</f>
        <v>0.88235294117647056</v>
      </c>
      <c r="AA571" s="3">
        <f>AVERAGE(Table21214181984[RB2 TD])</f>
        <v>0.11764705882352941</v>
      </c>
      <c r="AB571" s="3">
        <f>AVERAGE(Table21214181984[WR1 TD])</f>
        <v>0.11764705882352941</v>
      </c>
      <c r="AC571" s="3">
        <f>AVERAGE(Table21214181984[WR2 TD])</f>
        <v>0.23529411764705882</v>
      </c>
      <c r="AD571" s="3">
        <f>AVERAGE(Table21214181984[WR3 TD])</f>
        <v>0</v>
      </c>
      <c r="AE571" s="3">
        <f>AVERAGE(Table21214181984[WR4+ TD])</f>
        <v>0</v>
      </c>
      <c r="AF571" s="3">
        <f>AVERAGE(Table21214181984[TE1 TD])</f>
        <v>5.8823529411764705E-2</v>
      </c>
      <c r="AG571" s="3">
        <f>AVERAGE(Table21214181984[TE2 TD])</f>
        <v>0.17647058823529413</v>
      </c>
      <c r="AH571" s="3">
        <f>AVERAGE(Table21214181984[D/ST TD])</f>
        <v>0</v>
      </c>
      <c r="AI571" s="3">
        <f>AVERAGE(Table21214181984[QB P+R])</f>
        <v>228</v>
      </c>
      <c r="AJ571" s="3">
        <f>AVERAGE(Table21214181984[RB R+R])</f>
        <v>134.1764705882353</v>
      </c>
    </row>
    <row r="573" spans="1:36" x14ac:dyDescent="0.35">
      <c r="A573" s="230" t="s">
        <v>51</v>
      </c>
      <c r="B573" s="230"/>
      <c r="C573" s="230"/>
      <c r="D573" s="230"/>
      <c r="E573" s="230"/>
      <c r="F573" s="230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  <c r="AF573" s="230"/>
      <c r="AG573" s="230"/>
      <c r="AH573" s="230"/>
      <c r="AI573" s="230"/>
      <c r="AJ573" s="230"/>
    </row>
    <row r="574" spans="1:36" x14ac:dyDescent="0.35">
      <c r="A574" s="20" t="s">
        <v>63</v>
      </c>
      <c r="B574" s="6" t="s">
        <v>1</v>
      </c>
      <c r="C574" s="7" t="s">
        <v>18</v>
      </c>
      <c r="D574" s="8" t="s">
        <v>19</v>
      </c>
      <c r="E574" s="9" t="s">
        <v>20</v>
      </c>
      <c r="F574" s="10" t="s">
        <v>21</v>
      </c>
      <c r="G574" s="11" t="s">
        <v>22</v>
      </c>
      <c r="H574" s="12" t="s">
        <v>23</v>
      </c>
      <c r="I574" s="13" t="s">
        <v>667</v>
      </c>
      <c r="J574" s="13" t="s">
        <v>668</v>
      </c>
      <c r="K574" s="13" t="s">
        <v>665</v>
      </c>
      <c r="L574" s="13" t="s">
        <v>666</v>
      </c>
      <c r="M574" s="14" t="s">
        <v>2</v>
      </c>
      <c r="N574" s="14" t="s">
        <v>24</v>
      </c>
      <c r="O574" s="15" t="s">
        <v>3</v>
      </c>
      <c r="P574" s="15" t="s">
        <v>25</v>
      </c>
      <c r="Q574" s="16" t="s">
        <v>4</v>
      </c>
      <c r="R574" s="16" t="s">
        <v>26</v>
      </c>
      <c r="S574" s="17" t="s">
        <v>5</v>
      </c>
      <c r="T574" s="17" t="s">
        <v>27</v>
      </c>
      <c r="U574" s="18" t="s">
        <v>669</v>
      </c>
      <c r="V574" s="18" t="s">
        <v>670</v>
      </c>
      <c r="W574" s="18" t="s">
        <v>675</v>
      </c>
      <c r="X574" s="18" t="s">
        <v>671</v>
      </c>
      <c r="Y574" s="6" t="s">
        <v>6</v>
      </c>
      <c r="Z574" s="6" t="s">
        <v>7</v>
      </c>
      <c r="AA574" s="6" t="s">
        <v>674</v>
      </c>
      <c r="AB574" s="6" t="s">
        <v>8</v>
      </c>
      <c r="AC574" s="6" t="s">
        <v>9</v>
      </c>
      <c r="AD574" s="6" t="s">
        <v>10</v>
      </c>
      <c r="AE574" s="6" t="s">
        <v>11</v>
      </c>
      <c r="AF574" s="6" t="s">
        <v>673</v>
      </c>
      <c r="AG574" s="6" t="s">
        <v>672</v>
      </c>
      <c r="AH574" s="6" t="s">
        <v>12</v>
      </c>
      <c r="AI574" s="8" t="s">
        <v>14</v>
      </c>
      <c r="AJ574" s="11" t="s">
        <v>13</v>
      </c>
    </row>
    <row r="575" spans="1:36" x14ac:dyDescent="0.35">
      <c r="A575" s="19" t="s">
        <v>49</v>
      </c>
      <c r="B575" s="5">
        <v>1</v>
      </c>
      <c r="C575" s="4">
        <v>218</v>
      </c>
      <c r="D575" s="4">
        <v>1</v>
      </c>
      <c r="E575" s="4">
        <v>48</v>
      </c>
      <c r="F575" s="4">
        <v>107</v>
      </c>
      <c r="G575" s="4">
        <v>27</v>
      </c>
      <c r="H575" s="4">
        <v>0</v>
      </c>
      <c r="I575" s="4">
        <v>2</v>
      </c>
      <c r="J575" s="4">
        <v>38</v>
      </c>
      <c r="K575" s="4">
        <v>0</v>
      </c>
      <c r="L575" s="4">
        <v>0</v>
      </c>
      <c r="M575" s="4">
        <v>7</v>
      </c>
      <c r="N575" s="4">
        <v>95</v>
      </c>
      <c r="O575" s="4">
        <v>2</v>
      </c>
      <c r="P575" s="4">
        <v>18</v>
      </c>
      <c r="Q575" s="4">
        <v>2</v>
      </c>
      <c r="R575" s="4">
        <v>31</v>
      </c>
      <c r="S575" s="4">
        <v>0</v>
      </c>
      <c r="T575" s="4">
        <v>0</v>
      </c>
      <c r="U575" s="4">
        <v>1</v>
      </c>
      <c r="V575" s="4">
        <v>20</v>
      </c>
      <c r="W575" s="4">
        <v>2</v>
      </c>
      <c r="X575" s="4">
        <v>16</v>
      </c>
      <c r="Y575" s="4">
        <v>2</v>
      </c>
      <c r="Z575" s="4">
        <v>0</v>
      </c>
      <c r="AA575" s="4">
        <v>1</v>
      </c>
      <c r="AB575" s="4">
        <v>1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f>Table2121418198598115[[#This Row],[QB PY]]+Table2121418198598115[[#This Row],[QB RY]]</f>
        <v>266</v>
      </c>
      <c r="AJ575" s="4">
        <f>Table2121418198598115[[#This Row],[RB1 RY]]+Table2121418198598115[[#This Row],[RB2+ RY]]+Table2121418198598115[[#This Row],[RB1 RecY]]+Table2121418198598115[[#This Row],[RB2 RecY]]</f>
        <v>172</v>
      </c>
    </row>
    <row r="576" spans="1:36" x14ac:dyDescent="0.35">
      <c r="A576" s="19" t="s">
        <v>52</v>
      </c>
      <c r="B576" s="1">
        <v>2</v>
      </c>
      <c r="C576" s="2">
        <v>295</v>
      </c>
      <c r="D576" s="2">
        <v>2</v>
      </c>
      <c r="E576" s="2">
        <v>0</v>
      </c>
      <c r="F576" s="2">
        <v>105</v>
      </c>
      <c r="G576" s="2">
        <v>10</v>
      </c>
      <c r="H576" s="2">
        <v>2</v>
      </c>
      <c r="I576" s="2">
        <v>1</v>
      </c>
      <c r="J576" s="2">
        <v>13</v>
      </c>
      <c r="K576" s="2">
        <v>0</v>
      </c>
      <c r="L576" s="2">
        <v>0</v>
      </c>
      <c r="M576" s="2">
        <v>8</v>
      </c>
      <c r="N576" s="2">
        <v>103</v>
      </c>
      <c r="O576" s="2">
        <v>7</v>
      </c>
      <c r="P576" s="2">
        <v>90</v>
      </c>
      <c r="Q576" s="2">
        <v>2</v>
      </c>
      <c r="R576" s="2">
        <v>32</v>
      </c>
      <c r="S576" s="2">
        <v>0</v>
      </c>
      <c r="T576" s="2">
        <v>0</v>
      </c>
      <c r="U576" s="2">
        <v>2</v>
      </c>
      <c r="V576" s="2">
        <v>26</v>
      </c>
      <c r="W576" s="2">
        <v>2</v>
      </c>
      <c r="X576" s="2">
        <v>31</v>
      </c>
      <c r="Y576" s="2">
        <v>0</v>
      </c>
      <c r="Z576" s="2">
        <v>1</v>
      </c>
      <c r="AA576" s="2">
        <v>0</v>
      </c>
      <c r="AB576" s="2">
        <v>0</v>
      </c>
      <c r="AC576" s="2">
        <v>0</v>
      </c>
      <c r="AD576" s="2">
        <v>1</v>
      </c>
      <c r="AE576" s="2">
        <v>0</v>
      </c>
      <c r="AF576" s="2">
        <v>1</v>
      </c>
      <c r="AG576" s="2">
        <v>0</v>
      </c>
      <c r="AH576" s="2">
        <v>1</v>
      </c>
      <c r="AI576" s="4">
        <f>Table2121418198598115[[#This Row],[QB PY]]+Table2121418198598115[[#This Row],[QB RY]]</f>
        <v>295</v>
      </c>
      <c r="AJ576" s="4">
        <f>Table2121418198598115[[#This Row],[RB1 RY]]+Table2121418198598115[[#This Row],[RB2+ RY]]+Table2121418198598115[[#This Row],[RB1 RecY]]+Table2121418198598115[[#This Row],[RB2 RecY]]</f>
        <v>128</v>
      </c>
    </row>
    <row r="577" spans="1:36" x14ac:dyDescent="0.35">
      <c r="A577" s="19" t="s">
        <v>46</v>
      </c>
      <c r="B577" s="1">
        <v>3</v>
      </c>
      <c r="C577" s="2">
        <v>268</v>
      </c>
      <c r="D577" s="2">
        <v>2</v>
      </c>
      <c r="E577" s="2">
        <v>45</v>
      </c>
      <c r="F577" s="2">
        <v>28</v>
      </c>
      <c r="G577" s="2">
        <v>46</v>
      </c>
      <c r="H577" s="2">
        <v>0</v>
      </c>
      <c r="I577" s="2">
        <v>3</v>
      </c>
      <c r="J577" s="2">
        <v>38</v>
      </c>
      <c r="K577" s="2">
        <v>3</v>
      </c>
      <c r="L577" s="2">
        <v>19</v>
      </c>
      <c r="M577" s="2">
        <v>3</v>
      </c>
      <c r="N577" s="2">
        <v>23</v>
      </c>
      <c r="O577" s="2">
        <v>2</v>
      </c>
      <c r="P577" s="2">
        <v>28</v>
      </c>
      <c r="Q577" s="2">
        <v>4</v>
      </c>
      <c r="R577" s="2">
        <v>27</v>
      </c>
      <c r="S577" s="2">
        <v>3</v>
      </c>
      <c r="T577" s="2">
        <v>15</v>
      </c>
      <c r="U577" s="2">
        <v>8</v>
      </c>
      <c r="V577" s="2">
        <v>90</v>
      </c>
      <c r="W577" s="2">
        <v>2</v>
      </c>
      <c r="X577" s="2">
        <v>28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</v>
      </c>
      <c r="AG577" s="2">
        <v>0</v>
      </c>
      <c r="AH577" s="2">
        <v>0</v>
      </c>
      <c r="AI577" s="4">
        <f>Table2121418198598115[[#This Row],[QB PY]]+Table2121418198598115[[#This Row],[QB RY]]</f>
        <v>313</v>
      </c>
      <c r="AJ577" s="4">
        <f>Table2121418198598115[[#This Row],[RB1 RY]]+Table2121418198598115[[#This Row],[RB2+ RY]]+Table2121418198598115[[#This Row],[RB1 RecY]]+Table2121418198598115[[#This Row],[RB2 RecY]]</f>
        <v>131</v>
      </c>
    </row>
    <row r="578" spans="1:36" x14ac:dyDescent="0.35">
      <c r="A578" s="19" t="s">
        <v>45</v>
      </c>
      <c r="B578" s="1">
        <v>4</v>
      </c>
      <c r="C578" s="2">
        <v>350</v>
      </c>
      <c r="D578" s="2">
        <v>2</v>
      </c>
      <c r="E578" s="2">
        <v>12</v>
      </c>
      <c r="F578" s="2">
        <v>57</v>
      </c>
      <c r="G578" s="2">
        <v>1</v>
      </c>
      <c r="H578" s="2">
        <v>0</v>
      </c>
      <c r="I578" s="2">
        <v>3</v>
      </c>
      <c r="J578" s="2">
        <v>15</v>
      </c>
      <c r="K578" s="2">
        <v>6</v>
      </c>
      <c r="L578" s="2">
        <v>43</v>
      </c>
      <c r="M578" s="2">
        <v>10</v>
      </c>
      <c r="N578" s="2">
        <v>126</v>
      </c>
      <c r="O578" s="2">
        <v>4</v>
      </c>
      <c r="P578" s="2">
        <v>114</v>
      </c>
      <c r="Q578" s="2">
        <v>1</v>
      </c>
      <c r="R578" s="2">
        <v>2</v>
      </c>
      <c r="S578" s="2">
        <v>2</v>
      </c>
      <c r="T578" s="2">
        <v>11</v>
      </c>
      <c r="U578" s="2">
        <v>4</v>
      </c>
      <c r="V578" s="2">
        <v>39</v>
      </c>
      <c r="W578" s="2">
        <v>0</v>
      </c>
      <c r="X578" s="2">
        <v>0</v>
      </c>
      <c r="Y578" s="2">
        <v>0</v>
      </c>
      <c r="Z578" s="2">
        <v>0</v>
      </c>
      <c r="AA578" s="2">
        <v>1</v>
      </c>
      <c r="AB578" s="2">
        <v>0</v>
      </c>
      <c r="AC578" s="2">
        <v>0</v>
      </c>
      <c r="AD578" s="2">
        <v>1</v>
      </c>
      <c r="AE578" s="2">
        <v>0</v>
      </c>
      <c r="AF578" s="2">
        <v>0</v>
      </c>
      <c r="AG578" s="2">
        <v>0</v>
      </c>
      <c r="AH578" s="2">
        <v>0</v>
      </c>
      <c r="AI578" s="4">
        <f>Table2121418198598115[[#This Row],[QB PY]]+Table2121418198598115[[#This Row],[QB RY]]</f>
        <v>362</v>
      </c>
      <c r="AJ578" s="4">
        <f>Table2121418198598115[[#This Row],[RB1 RY]]+Table2121418198598115[[#This Row],[RB2+ RY]]+Table2121418198598115[[#This Row],[RB1 RecY]]+Table2121418198598115[[#This Row],[RB2 RecY]]</f>
        <v>116</v>
      </c>
    </row>
    <row r="579" spans="1:36" x14ac:dyDescent="0.35">
      <c r="A579" s="19" t="s">
        <v>650</v>
      </c>
      <c r="B579" s="1">
        <v>5</v>
      </c>
      <c r="C579" s="2" t="s">
        <v>697</v>
      </c>
      <c r="D579" s="2" t="s">
        <v>697</v>
      </c>
      <c r="E579" s="2" t="s">
        <v>697</v>
      </c>
      <c r="F579" s="2" t="s">
        <v>697</v>
      </c>
      <c r="G579" s="2" t="s">
        <v>697</v>
      </c>
      <c r="H579" s="2" t="s">
        <v>697</v>
      </c>
      <c r="I579" s="2" t="s">
        <v>697</v>
      </c>
      <c r="J579" s="2" t="s">
        <v>697</v>
      </c>
      <c r="K579" s="2" t="s">
        <v>697</v>
      </c>
      <c r="L579" s="2" t="s">
        <v>697</v>
      </c>
      <c r="M579" s="2" t="s">
        <v>697</v>
      </c>
      <c r="N579" s="2" t="s">
        <v>697</v>
      </c>
      <c r="O579" s="2" t="s">
        <v>697</v>
      </c>
      <c r="P579" s="2" t="s">
        <v>697</v>
      </c>
      <c r="Q579" s="2" t="s">
        <v>697</v>
      </c>
      <c r="R579" s="2" t="s">
        <v>697</v>
      </c>
      <c r="S579" s="2" t="s">
        <v>697</v>
      </c>
      <c r="T579" s="2" t="s">
        <v>697</v>
      </c>
      <c r="U579" s="2" t="s">
        <v>697</v>
      </c>
      <c r="V579" s="2" t="s">
        <v>697</v>
      </c>
      <c r="W579" s="2" t="s">
        <v>697</v>
      </c>
      <c r="X579" s="2" t="s">
        <v>697</v>
      </c>
      <c r="Y579" s="2" t="s">
        <v>697</v>
      </c>
      <c r="Z579" s="2" t="s">
        <v>697</v>
      </c>
      <c r="AA579" s="2" t="s">
        <v>697</v>
      </c>
      <c r="AB579" s="2" t="s">
        <v>697</v>
      </c>
      <c r="AC579" s="2" t="s">
        <v>697</v>
      </c>
      <c r="AD579" s="2" t="s">
        <v>697</v>
      </c>
      <c r="AE579" s="2" t="s">
        <v>697</v>
      </c>
      <c r="AF579" s="2" t="s">
        <v>697</v>
      </c>
      <c r="AG579" s="2" t="s">
        <v>697</v>
      </c>
      <c r="AH579" s="2" t="s">
        <v>697</v>
      </c>
      <c r="AI579" s="4" t="s">
        <v>697</v>
      </c>
      <c r="AJ579" s="4" t="s">
        <v>697</v>
      </c>
    </row>
    <row r="580" spans="1:36" x14ac:dyDescent="0.35">
      <c r="A580" s="19" t="s">
        <v>32</v>
      </c>
      <c r="B580" s="1">
        <v>6</v>
      </c>
      <c r="C580" s="2">
        <v>221</v>
      </c>
      <c r="D580" s="2">
        <v>0</v>
      </c>
      <c r="E580" s="2">
        <v>0</v>
      </c>
      <c r="F580" s="2">
        <v>36</v>
      </c>
      <c r="G580" s="2">
        <v>29</v>
      </c>
      <c r="H580" s="2">
        <v>0</v>
      </c>
      <c r="I580" s="2">
        <v>5</v>
      </c>
      <c r="J580" s="2">
        <v>13</v>
      </c>
      <c r="K580" s="2">
        <v>2</v>
      </c>
      <c r="L580" s="2">
        <v>12</v>
      </c>
      <c r="M580" s="2">
        <v>5</v>
      </c>
      <c r="N580" s="2">
        <v>43</v>
      </c>
      <c r="O580" s="2">
        <v>2</v>
      </c>
      <c r="P580" s="2">
        <v>9</v>
      </c>
      <c r="Q580" s="2">
        <v>2</v>
      </c>
      <c r="R580" s="2">
        <v>13</v>
      </c>
      <c r="S580" s="2">
        <v>2</v>
      </c>
      <c r="T580" s="2">
        <v>22</v>
      </c>
      <c r="U580" s="2">
        <v>7</v>
      </c>
      <c r="V580" s="2">
        <v>81</v>
      </c>
      <c r="W580" s="2">
        <v>4</v>
      </c>
      <c r="X580" s="2">
        <v>28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4">
        <f>Table2121418198598115[[#This Row],[QB PY]]+Table2121418198598115[[#This Row],[QB RY]]</f>
        <v>221</v>
      </c>
      <c r="AJ580" s="4">
        <f>Table2121418198598115[[#This Row],[RB1 RY]]+Table2121418198598115[[#This Row],[RB2+ RY]]+Table2121418198598115[[#This Row],[RB1 RecY]]+Table2121418198598115[[#This Row],[RB2 RecY]]</f>
        <v>90</v>
      </c>
    </row>
    <row r="581" spans="1:36" x14ac:dyDescent="0.35">
      <c r="A581" s="19" t="s">
        <v>31</v>
      </c>
      <c r="B581" s="1">
        <v>7</v>
      </c>
      <c r="C581" s="2">
        <v>342</v>
      </c>
      <c r="D581" s="2">
        <v>3</v>
      </c>
      <c r="E581" s="2">
        <v>3</v>
      </c>
      <c r="F581" s="2">
        <v>108</v>
      </c>
      <c r="G581" s="2">
        <v>31</v>
      </c>
      <c r="H581" s="2">
        <v>0</v>
      </c>
      <c r="I581" s="2">
        <v>2</v>
      </c>
      <c r="J581" s="2">
        <v>-8</v>
      </c>
      <c r="K581" s="2">
        <v>0</v>
      </c>
      <c r="L581" s="2">
        <v>0</v>
      </c>
      <c r="M581" s="2">
        <v>16</v>
      </c>
      <c r="N581" s="2">
        <v>161</v>
      </c>
      <c r="O581" s="2">
        <v>6</v>
      </c>
      <c r="P581" s="2">
        <v>96</v>
      </c>
      <c r="Q581" s="2">
        <v>3</v>
      </c>
      <c r="R581" s="2">
        <v>49</v>
      </c>
      <c r="S581" s="2">
        <v>0</v>
      </c>
      <c r="T581" s="2">
        <v>0</v>
      </c>
      <c r="U581" s="2">
        <v>4</v>
      </c>
      <c r="V581" s="2">
        <v>44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1</v>
      </c>
      <c r="AC581" s="2">
        <v>1</v>
      </c>
      <c r="AD581" s="2">
        <v>0</v>
      </c>
      <c r="AE581" s="2">
        <v>0</v>
      </c>
      <c r="AF581" s="2">
        <v>1</v>
      </c>
      <c r="AG581" s="2">
        <v>0</v>
      </c>
      <c r="AH581" s="2">
        <v>0</v>
      </c>
      <c r="AI581" s="4">
        <f>Table2121418198598115[[#This Row],[QB PY]]+Table2121418198598115[[#This Row],[QB RY]]</f>
        <v>345</v>
      </c>
      <c r="AJ581" s="4">
        <f>Table2121418198598115[[#This Row],[RB1 RY]]+Table2121418198598115[[#This Row],[RB2+ RY]]+Table2121418198598115[[#This Row],[RB1 RecY]]+Table2121418198598115[[#This Row],[RB2 RecY]]</f>
        <v>131</v>
      </c>
    </row>
    <row r="582" spans="1:36" x14ac:dyDescent="0.35">
      <c r="A582" s="19" t="s">
        <v>36</v>
      </c>
      <c r="B582" s="1">
        <v>8</v>
      </c>
      <c r="C582" s="2">
        <v>360</v>
      </c>
      <c r="D582" s="2">
        <v>3</v>
      </c>
      <c r="E582" s="2">
        <v>-1</v>
      </c>
      <c r="F582" s="2">
        <v>33</v>
      </c>
      <c r="G582" s="2">
        <v>61</v>
      </c>
      <c r="H582" s="2">
        <v>1</v>
      </c>
      <c r="I582" s="2">
        <v>3</v>
      </c>
      <c r="J582" s="2">
        <v>12</v>
      </c>
      <c r="K582" s="2">
        <v>3</v>
      </c>
      <c r="L582" s="2">
        <v>26</v>
      </c>
      <c r="M582" s="2">
        <v>3</v>
      </c>
      <c r="N582" s="2">
        <v>4</v>
      </c>
      <c r="O582" s="2">
        <v>3</v>
      </c>
      <c r="P582" s="2">
        <v>44</v>
      </c>
      <c r="Q582" s="2">
        <v>4</v>
      </c>
      <c r="R582" s="2">
        <v>85</v>
      </c>
      <c r="S582" s="2">
        <v>4</v>
      </c>
      <c r="T582" s="2">
        <v>37</v>
      </c>
      <c r="U582" s="2">
        <v>7</v>
      </c>
      <c r="V582" s="2">
        <v>143</v>
      </c>
      <c r="W582" s="2">
        <v>2</v>
      </c>
      <c r="X582" s="2">
        <v>9</v>
      </c>
      <c r="Y582" s="2">
        <v>0</v>
      </c>
      <c r="Z582" s="2">
        <v>1</v>
      </c>
      <c r="AA582" s="2">
        <v>0</v>
      </c>
      <c r="AB582" s="2">
        <v>0</v>
      </c>
      <c r="AC582" s="2">
        <v>0</v>
      </c>
      <c r="AD582" s="2">
        <v>0</v>
      </c>
      <c r="AE582" s="2">
        <v>1</v>
      </c>
      <c r="AF582" s="2">
        <v>2</v>
      </c>
      <c r="AG582" s="2">
        <v>0</v>
      </c>
      <c r="AH582" s="2">
        <v>0</v>
      </c>
      <c r="AI582" s="4">
        <f>Table2121418198598115[[#This Row],[QB PY]]+Table2121418198598115[[#This Row],[QB RY]]</f>
        <v>359</v>
      </c>
      <c r="AJ582" s="4">
        <f>Table2121418198598115[[#This Row],[RB1 RY]]+Table2121418198598115[[#This Row],[RB2+ RY]]+Table2121418198598115[[#This Row],[RB1 RecY]]+Table2121418198598115[[#This Row],[RB2 RecY]]</f>
        <v>132</v>
      </c>
    </row>
    <row r="583" spans="1:36" x14ac:dyDescent="0.35">
      <c r="A583" s="19" t="s">
        <v>38</v>
      </c>
      <c r="B583" s="1">
        <v>9</v>
      </c>
      <c r="C583" s="2">
        <v>342</v>
      </c>
      <c r="D583" s="2">
        <v>1</v>
      </c>
      <c r="E583" s="2">
        <v>4</v>
      </c>
      <c r="F583" s="2">
        <v>45</v>
      </c>
      <c r="G583" s="2">
        <v>5</v>
      </c>
      <c r="H583" s="2">
        <v>0</v>
      </c>
      <c r="I583" s="2">
        <v>2</v>
      </c>
      <c r="J583" s="2">
        <v>12</v>
      </c>
      <c r="K583" s="2">
        <v>2</v>
      </c>
      <c r="L583" s="2">
        <v>10</v>
      </c>
      <c r="M583" s="2">
        <v>9</v>
      </c>
      <c r="N583" s="2">
        <v>115</v>
      </c>
      <c r="O583" s="2">
        <v>6</v>
      </c>
      <c r="P583" s="2">
        <v>115</v>
      </c>
      <c r="Q583" s="2">
        <v>6</v>
      </c>
      <c r="R583" s="2">
        <v>57</v>
      </c>
      <c r="S583" s="2">
        <v>1</v>
      </c>
      <c r="T583" s="2">
        <v>7</v>
      </c>
      <c r="U583" s="2">
        <v>5</v>
      </c>
      <c r="V583" s="2">
        <v>26</v>
      </c>
      <c r="W583" s="2">
        <v>0</v>
      </c>
      <c r="X583" s="2">
        <v>0</v>
      </c>
      <c r="Y583" s="2">
        <v>1</v>
      </c>
      <c r="Z583" s="2">
        <v>0</v>
      </c>
      <c r="AA583" s="2">
        <v>0</v>
      </c>
      <c r="AB583" s="2">
        <v>0</v>
      </c>
      <c r="AC583" s="2">
        <v>0</v>
      </c>
      <c r="AD583" s="2">
        <v>1</v>
      </c>
      <c r="AE583" s="2">
        <v>0</v>
      </c>
      <c r="AF583" s="2">
        <v>0</v>
      </c>
      <c r="AG583" s="2">
        <v>0</v>
      </c>
      <c r="AH583" s="2">
        <v>0</v>
      </c>
      <c r="AI583" s="4">
        <f>Table2121418198598115[[#This Row],[QB PY]]+Table2121418198598115[[#This Row],[QB RY]]</f>
        <v>346</v>
      </c>
      <c r="AJ583" s="4">
        <f>Table2121418198598115[[#This Row],[RB1 RY]]+Table2121418198598115[[#This Row],[RB2+ RY]]+Table2121418198598115[[#This Row],[RB1 RecY]]+Table2121418198598115[[#This Row],[RB2 RecY]]</f>
        <v>72</v>
      </c>
    </row>
    <row r="584" spans="1:36" x14ac:dyDescent="0.35">
      <c r="A584" s="19" t="s">
        <v>41</v>
      </c>
      <c r="B584" s="1">
        <v>10</v>
      </c>
      <c r="C584" s="2">
        <v>220</v>
      </c>
      <c r="D584" s="2">
        <v>1</v>
      </c>
      <c r="E584" s="2">
        <v>19</v>
      </c>
      <c r="F584" s="2">
        <v>95</v>
      </c>
      <c r="G584" s="2">
        <v>1</v>
      </c>
      <c r="H584" s="2">
        <v>0</v>
      </c>
      <c r="I584" s="2">
        <v>1</v>
      </c>
      <c r="J584" s="2">
        <v>13</v>
      </c>
      <c r="K584" s="2">
        <v>0</v>
      </c>
      <c r="L584" s="2">
        <v>0</v>
      </c>
      <c r="M584" s="2">
        <v>4</v>
      </c>
      <c r="N584" s="2">
        <v>107</v>
      </c>
      <c r="O584" s="2">
        <v>5</v>
      </c>
      <c r="P584" s="2">
        <v>42</v>
      </c>
      <c r="Q584" s="2">
        <v>2</v>
      </c>
      <c r="R584" s="2">
        <v>19</v>
      </c>
      <c r="S584" s="2">
        <v>3</v>
      </c>
      <c r="T584" s="2">
        <v>7</v>
      </c>
      <c r="U584" s="2">
        <v>3</v>
      </c>
      <c r="V584" s="2">
        <v>13</v>
      </c>
      <c r="W584" s="2">
        <v>2</v>
      </c>
      <c r="X584" s="2">
        <v>19</v>
      </c>
      <c r="Y584" s="2">
        <v>0</v>
      </c>
      <c r="Z584" s="2">
        <v>1</v>
      </c>
      <c r="AA584" s="2">
        <v>0</v>
      </c>
      <c r="AB584" s="2">
        <v>1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4">
        <f>Table2121418198598115[[#This Row],[QB PY]]+Table2121418198598115[[#This Row],[QB RY]]</f>
        <v>239</v>
      </c>
      <c r="AJ584" s="4">
        <f>Table2121418198598115[[#This Row],[RB1 RY]]+Table2121418198598115[[#This Row],[RB2+ RY]]+Table2121418198598115[[#This Row],[RB1 RecY]]+Table2121418198598115[[#This Row],[RB2 RecY]]</f>
        <v>109</v>
      </c>
    </row>
    <row r="585" spans="1:36" x14ac:dyDescent="0.35">
      <c r="A585" s="19" t="s">
        <v>31</v>
      </c>
      <c r="B585" s="1">
        <v>11</v>
      </c>
      <c r="C585" s="2">
        <v>199</v>
      </c>
      <c r="D585" s="2">
        <v>1</v>
      </c>
      <c r="E585" s="2">
        <v>-1</v>
      </c>
      <c r="F585" s="2">
        <v>99</v>
      </c>
      <c r="G585" s="2">
        <v>7</v>
      </c>
      <c r="H585" s="2">
        <v>0</v>
      </c>
      <c r="I585" s="2">
        <v>6</v>
      </c>
      <c r="J585" s="2">
        <v>28</v>
      </c>
      <c r="K585" s="2">
        <v>0</v>
      </c>
      <c r="L585" s="2">
        <v>0</v>
      </c>
      <c r="M585" s="2">
        <v>3</v>
      </c>
      <c r="N585" s="2">
        <v>30</v>
      </c>
      <c r="O585" s="2">
        <v>3</v>
      </c>
      <c r="P585" s="2">
        <v>63</v>
      </c>
      <c r="Q585" s="2">
        <v>3</v>
      </c>
      <c r="R585" s="2">
        <v>20</v>
      </c>
      <c r="S585" s="2">
        <v>0</v>
      </c>
      <c r="T585" s="2">
        <v>0</v>
      </c>
      <c r="U585" s="2">
        <v>5</v>
      </c>
      <c r="V585" s="2">
        <v>36</v>
      </c>
      <c r="W585" s="2">
        <v>3</v>
      </c>
      <c r="X585" s="2">
        <v>22</v>
      </c>
      <c r="Y585" s="2">
        <v>0</v>
      </c>
      <c r="Z585" s="2">
        <v>0</v>
      </c>
      <c r="AA585" s="2">
        <v>0</v>
      </c>
      <c r="AB585" s="2">
        <v>0</v>
      </c>
      <c r="AC585" s="2">
        <v>1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4">
        <f>Table2121418198598115[[#This Row],[QB PY]]+Table2121418198598115[[#This Row],[QB RY]]</f>
        <v>198</v>
      </c>
      <c r="AJ585" s="4">
        <f>Table2121418198598115[[#This Row],[RB1 RY]]+Table2121418198598115[[#This Row],[RB2+ RY]]+Table2121418198598115[[#This Row],[RB1 RecY]]+Table2121418198598115[[#This Row],[RB2 RecY]]</f>
        <v>134</v>
      </c>
    </row>
    <row r="586" spans="1:36" x14ac:dyDescent="0.35">
      <c r="A586" s="19" t="s">
        <v>30</v>
      </c>
      <c r="B586" s="1">
        <v>12</v>
      </c>
      <c r="C586" s="2">
        <v>239</v>
      </c>
      <c r="D586" s="2">
        <v>3</v>
      </c>
      <c r="E586" s="2">
        <v>21</v>
      </c>
      <c r="F586" s="2">
        <v>48</v>
      </c>
      <c r="G586" s="2">
        <v>15</v>
      </c>
      <c r="H586" s="2">
        <v>15</v>
      </c>
      <c r="I586" s="2">
        <v>1</v>
      </c>
      <c r="J586" s="2">
        <v>14</v>
      </c>
      <c r="K586" s="2">
        <v>0</v>
      </c>
      <c r="L586" s="2">
        <v>0</v>
      </c>
      <c r="M586" s="2">
        <v>5</v>
      </c>
      <c r="N586" s="2">
        <v>64</v>
      </c>
      <c r="O586" s="2">
        <v>3</v>
      </c>
      <c r="P586" s="2">
        <v>53</v>
      </c>
      <c r="Q586" s="2">
        <v>3</v>
      </c>
      <c r="R586" s="2">
        <v>46</v>
      </c>
      <c r="S586" s="2">
        <v>1</v>
      </c>
      <c r="T586" s="2">
        <v>6</v>
      </c>
      <c r="U586" s="2">
        <v>4</v>
      </c>
      <c r="V586" s="2">
        <v>49</v>
      </c>
      <c r="W586" s="2">
        <v>2</v>
      </c>
      <c r="X586" s="2">
        <v>7</v>
      </c>
      <c r="Y586" s="2">
        <v>0</v>
      </c>
      <c r="Z586" s="2">
        <v>0</v>
      </c>
      <c r="AA586" s="2">
        <v>1</v>
      </c>
      <c r="AB586" s="2">
        <v>2</v>
      </c>
      <c r="AC586" s="2">
        <v>0</v>
      </c>
      <c r="AD586" s="2">
        <v>0</v>
      </c>
      <c r="AE586" s="2">
        <v>0</v>
      </c>
      <c r="AF586" s="2">
        <v>1</v>
      </c>
      <c r="AG586" s="2">
        <v>0</v>
      </c>
      <c r="AH586" s="2">
        <v>0</v>
      </c>
      <c r="AI586" s="4">
        <f>Table2121418198598115[[#This Row],[QB PY]]+Table2121418198598115[[#This Row],[QB RY]]</f>
        <v>260</v>
      </c>
      <c r="AJ586" s="4">
        <f>Table2121418198598115[[#This Row],[RB1 RY]]+Table2121418198598115[[#This Row],[RB2+ RY]]+Table2121418198598115[[#This Row],[RB1 RecY]]+Table2121418198598115[[#This Row],[RB2 RecY]]</f>
        <v>77</v>
      </c>
    </row>
    <row r="587" spans="1:36" x14ac:dyDescent="0.35">
      <c r="A587" s="19" t="s">
        <v>17</v>
      </c>
      <c r="B587" s="1">
        <v>13</v>
      </c>
      <c r="C587" s="2">
        <v>123</v>
      </c>
      <c r="D587" s="2">
        <v>1</v>
      </c>
      <c r="E587" s="2">
        <v>38</v>
      </c>
      <c r="F587" s="2">
        <v>144</v>
      </c>
      <c r="G587" s="2">
        <v>67</v>
      </c>
      <c r="H587" s="2">
        <v>0</v>
      </c>
      <c r="I587" s="2">
        <v>3</v>
      </c>
      <c r="J587" s="2">
        <v>33</v>
      </c>
      <c r="K587" s="2">
        <v>3</v>
      </c>
      <c r="L587" s="2">
        <v>20</v>
      </c>
      <c r="M587" s="2">
        <v>1</v>
      </c>
      <c r="N587" s="2">
        <v>5</v>
      </c>
      <c r="O587" s="2">
        <v>1</v>
      </c>
      <c r="P587" s="2">
        <v>5</v>
      </c>
      <c r="Q587" s="2">
        <v>2</v>
      </c>
      <c r="R587" s="2">
        <v>9</v>
      </c>
      <c r="S587" s="2">
        <v>1</v>
      </c>
      <c r="T587" s="2">
        <v>13</v>
      </c>
      <c r="U587" s="2">
        <v>3</v>
      </c>
      <c r="V587" s="2">
        <v>28</v>
      </c>
      <c r="W587" s="2">
        <v>1</v>
      </c>
      <c r="X587" s="2">
        <v>10</v>
      </c>
      <c r="Y587" s="2">
        <v>1</v>
      </c>
      <c r="Z587" s="2">
        <v>0</v>
      </c>
      <c r="AA587" s="2">
        <v>0</v>
      </c>
      <c r="AB587" s="2">
        <v>0</v>
      </c>
      <c r="AC587" s="2">
        <v>1</v>
      </c>
      <c r="AD587" s="2">
        <v>0</v>
      </c>
      <c r="AE587" s="2">
        <v>0</v>
      </c>
      <c r="AF587" s="2">
        <v>0</v>
      </c>
      <c r="AG587" s="2">
        <v>0</v>
      </c>
      <c r="AH587" s="2">
        <v>1</v>
      </c>
      <c r="AI587" s="4">
        <f>Table2121418198598115[[#This Row],[QB PY]]+Table2121418198598115[[#This Row],[QB RY]]</f>
        <v>161</v>
      </c>
      <c r="AJ587" s="4">
        <f>Table2121418198598115[[#This Row],[RB1 RY]]+Table2121418198598115[[#This Row],[RB2+ RY]]+Table2121418198598115[[#This Row],[RB1 RecY]]+Table2121418198598115[[#This Row],[RB2 RecY]]</f>
        <v>264</v>
      </c>
    </row>
    <row r="588" spans="1:36" x14ac:dyDescent="0.35">
      <c r="A588" s="19" t="s">
        <v>16</v>
      </c>
      <c r="B588" s="1">
        <v>14</v>
      </c>
      <c r="C588" s="2">
        <v>219</v>
      </c>
      <c r="D588" s="2">
        <v>1</v>
      </c>
      <c r="E588" s="2">
        <v>43</v>
      </c>
      <c r="F588" s="2">
        <v>94</v>
      </c>
      <c r="G588" s="2">
        <v>78</v>
      </c>
      <c r="H588" s="2">
        <v>2</v>
      </c>
      <c r="I588" s="2">
        <v>1</v>
      </c>
      <c r="J588" s="2">
        <v>8</v>
      </c>
      <c r="K588" s="2">
        <v>2</v>
      </c>
      <c r="L588" s="2">
        <v>11</v>
      </c>
      <c r="M588" s="2">
        <v>8</v>
      </c>
      <c r="N588" s="2">
        <v>124</v>
      </c>
      <c r="O588" s="2">
        <v>2</v>
      </c>
      <c r="P588" s="2">
        <v>23</v>
      </c>
      <c r="Q588" s="2">
        <v>0</v>
      </c>
      <c r="R588" s="2">
        <v>0</v>
      </c>
      <c r="S588" s="2">
        <v>0</v>
      </c>
      <c r="T588" s="2">
        <v>0</v>
      </c>
      <c r="U588" s="2">
        <v>1</v>
      </c>
      <c r="V588" s="2">
        <v>9</v>
      </c>
      <c r="W588" s="2">
        <v>5</v>
      </c>
      <c r="X588" s="2">
        <v>44</v>
      </c>
      <c r="Y588" s="2">
        <v>1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1</v>
      </c>
      <c r="AH588" s="2">
        <v>0</v>
      </c>
      <c r="AI588" s="4">
        <f>Table2121418198598115[[#This Row],[QB PY]]+Table2121418198598115[[#This Row],[QB RY]]</f>
        <v>262</v>
      </c>
      <c r="AJ588" s="4">
        <f>Table2121418198598115[[#This Row],[RB1 RY]]+Table2121418198598115[[#This Row],[RB2+ RY]]+Table2121418198598115[[#This Row],[RB1 RecY]]+Table2121418198598115[[#This Row],[RB2 RecY]]</f>
        <v>191</v>
      </c>
    </row>
    <row r="589" spans="1:36" x14ac:dyDescent="0.35">
      <c r="A589" s="19" t="s">
        <v>44</v>
      </c>
      <c r="B589" s="1">
        <v>15</v>
      </c>
      <c r="C589" s="2">
        <v>253</v>
      </c>
      <c r="D589" s="2">
        <v>2</v>
      </c>
      <c r="E589" s="2">
        <v>1</v>
      </c>
      <c r="F589" s="2">
        <v>60</v>
      </c>
      <c r="G589" s="2">
        <v>2</v>
      </c>
      <c r="H589" s="2">
        <v>0</v>
      </c>
      <c r="I589" s="2">
        <v>6</v>
      </c>
      <c r="J589" s="2">
        <v>67</v>
      </c>
      <c r="K589" s="2">
        <v>2</v>
      </c>
      <c r="L589" s="2">
        <v>13</v>
      </c>
      <c r="M589" s="2">
        <v>2</v>
      </c>
      <c r="N589" s="2">
        <v>26</v>
      </c>
      <c r="O589" s="2">
        <v>1</v>
      </c>
      <c r="P589" s="2">
        <v>10</v>
      </c>
      <c r="Q589" s="2">
        <v>0</v>
      </c>
      <c r="R589" s="2">
        <v>0</v>
      </c>
      <c r="S589" s="2">
        <v>0</v>
      </c>
      <c r="T589" s="2">
        <v>0</v>
      </c>
      <c r="U589" s="2">
        <v>7</v>
      </c>
      <c r="V589" s="2">
        <v>66</v>
      </c>
      <c r="W589" s="2">
        <v>4</v>
      </c>
      <c r="X589" s="2">
        <v>71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2</v>
      </c>
      <c r="AG589" s="2">
        <v>0</v>
      </c>
      <c r="AH589" s="2">
        <v>0</v>
      </c>
      <c r="AI589" s="4">
        <f>Table2121418198598115[[#This Row],[QB PY]]+Table2121418198598115[[#This Row],[QB RY]]</f>
        <v>254</v>
      </c>
      <c r="AJ589" s="4">
        <f>Table2121418198598115[[#This Row],[RB1 RY]]+Table2121418198598115[[#This Row],[RB2+ RY]]+Table2121418198598115[[#This Row],[RB1 RecY]]+Table2121418198598115[[#This Row],[RB2 RecY]]</f>
        <v>142</v>
      </c>
    </row>
    <row r="590" spans="1:36" x14ac:dyDescent="0.35">
      <c r="A590" s="19" t="s">
        <v>35</v>
      </c>
      <c r="B590" s="1">
        <v>16</v>
      </c>
      <c r="C590" s="2">
        <v>364</v>
      </c>
      <c r="D590" s="2">
        <v>3</v>
      </c>
      <c r="E590" s="2">
        <v>-1</v>
      </c>
      <c r="F590" s="2">
        <v>2</v>
      </c>
      <c r="G590" s="2">
        <v>14</v>
      </c>
      <c r="H590" s="2">
        <v>0</v>
      </c>
      <c r="I590" s="2">
        <v>10</v>
      </c>
      <c r="J590" s="2">
        <v>66</v>
      </c>
      <c r="K590" s="2">
        <v>0</v>
      </c>
      <c r="L590" s="2">
        <v>0</v>
      </c>
      <c r="M590" s="2">
        <v>4</v>
      </c>
      <c r="N590" s="2">
        <v>54</v>
      </c>
      <c r="O590" s="2">
        <v>5</v>
      </c>
      <c r="P590" s="2">
        <v>70</v>
      </c>
      <c r="Q590" s="2">
        <v>4</v>
      </c>
      <c r="R590" s="2">
        <v>52</v>
      </c>
      <c r="S590" s="2">
        <v>4</v>
      </c>
      <c r="T590" s="2">
        <v>62</v>
      </c>
      <c r="U590" s="2">
        <v>3</v>
      </c>
      <c r="V590" s="2">
        <v>20</v>
      </c>
      <c r="W590" s="2">
        <v>4</v>
      </c>
      <c r="X590" s="2">
        <v>40</v>
      </c>
      <c r="Y590" s="2">
        <v>0</v>
      </c>
      <c r="Z590" s="2">
        <v>1</v>
      </c>
      <c r="AA590" s="2">
        <v>0</v>
      </c>
      <c r="AB590" s="2">
        <v>0</v>
      </c>
      <c r="AC590" s="2">
        <v>0</v>
      </c>
      <c r="AD590" s="2">
        <v>1</v>
      </c>
      <c r="AE590" s="2">
        <v>1</v>
      </c>
      <c r="AF590" s="2">
        <v>0</v>
      </c>
      <c r="AG590" s="2">
        <v>0</v>
      </c>
      <c r="AH590" s="2">
        <v>0</v>
      </c>
      <c r="AI590" s="4">
        <f>Table2121418198598115[[#This Row],[QB PY]]+Table2121418198598115[[#This Row],[QB RY]]</f>
        <v>363</v>
      </c>
      <c r="AJ590" s="4">
        <f>Table2121418198598115[[#This Row],[RB1 RY]]+Table2121418198598115[[#This Row],[RB2+ RY]]+Table2121418198598115[[#This Row],[RB1 RecY]]+Table2121418198598115[[#This Row],[RB2 RecY]]</f>
        <v>82</v>
      </c>
    </row>
    <row r="591" spans="1:36" x14ac:dyDescent="0.35">
      <c r="A591" s="19" t="s">
        <v>32</v>
      </c>
      <c r="B591" s="1">
        <v>17</v>
      </c>
      <c r="C591" s="2">
        <v>186</v>
      </c>
      <c r="D591" s="2">
        <v>1</v>
      </c>
      <c r="E591" s="2">
        <v>20</v>
      </c>
      <c r="F591" s="2">
        <v>27</v>
      </c>
      <c r="G591" s="2">
        <v>31</v>
      </c>
      <c r="H591" s="2">
        <v>0</v>
      </c>
      <c r="I591" s="2">
        <v>3</v>
      </c>
      <c r="J591" s="2">
        <v>0</v>
      </c>
      <c r="K591" s="2">
        <v>1</v>
      </c>
      <c r="L591" s="2">
        <v>10</v>
      </c>
      <c r="M591" s="2">
        <v>5</v>
      </c>
      <c r="N591" s="2">
        <v>54</v>
      </c>
      <c r="O591" s="2">
        <v>1</v>
      </c>
      <c r="P591" s="2">
        <v>42</v>
      </c>
      <c r="Q591" s="2">
        <v>1</v>
      </c>
      <c r="R591" s="2">
        <v>16</v>
      </c>
      <c r="S591" s="2">
        <v>1</v>
      </c>
      <c r="T591" s="2">
        <v>4</v>
      </c>
      <c r="U591" s="2">
        <v>2</v>
      </c>
      <c r="V591" s="2">
        <v>30</v>
      </c>
      <c r="W591" s="2">
        <v>3</v>
      </c>
      <c r="X591" s="2">
        <v>30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</v>
      </c>
      <c r="AG591" s="2">
        <v>0</v>
      </c>
      <c r="AH591" s="2">
        <v>0</v>
      </c>
      <c r="AI591" s="4">
        <f>Table2121418198598115[[#This Row],[QB PY]]+Table2121418198598115[[#This Row],[QB RY]]</f>
        <v>206</v>
      </c>
      <c r="AJ591" s="4">
        <f>Table2121418198598115[[#This Row],[RB1 RY]]+Table2121418198598115[[#This Row],[RB2+ RY]]+Table2121418198598115[[#This Row],[RB1 RecY]]+Table2121418198598115[[#This Row],[RB2 RecY]]</f>
        <v>68</v>
      </c>
    </row>
    <row r="592" spans="1:36" x14ac:dyDescent="0.35">
      <c r="A592" s="19" t="s">
        <v>16</v>
      </c>
      <c r="B592" s="1">
        <v>18</v>
      </c>
      <c r="C592" s="2">
        <v>238</v>
      </c>
      <c r="D592" s="2">
        <v>3</v>
      </c>
      <c r="E592" s="2">
        <v>9</v>
      </c>
      <c r="F592" s="2">
        <v>126</v>
      </c>
      <c r="G592" s="2">
        <v>2</v>
      </c>
      <c r="H592" s="2">
        <v>0</v>
      </c>
      <c r="I592" s="2">
        <v>0</v>
      </c>
      <c r="J592" s="2">
        <v>0</v>
      </c>
      <c r="K592" s="2">
        <v>1</v>
      </c>
      <c r="L592" s="2">
        <v>8</v>
      </c>
      <c r="M592" s="2">
        <v>4</v>
      </c>
      <c r="N592" s="2">
        <v>138</v>
      </c>
      <c r="O592" s="2">
        <v>0</v>
      </c>
      <c r="P592" s="2">
        <v>0</v>
      </c>
      <c r="Q592" s="2">
        <v>2</v>
      </c>
      <c r="R592" s="2">
        <v>46</v>
      </c>
      <c r="S592" s="2">
        <v>0</v>
      </c>
      <c r="T592" s="2">
        <v>0</v>
      </c>
      <c r="U592" s="2">
        <v>2</v>
      </c>
      <c r="V592" s="2">
        <v>14</v>
      </c>
      <c r="W592" s="2">
        <v>2</v>
      </c>
      <c r="X592" s="2">
        <v>32</v>
      </c>
      <c r="Y592" s="2">
        <v>0</v>
      </c>
      <c r="Z592" s="2">
        <v>0</v>
      </c>
      <c r="AA592" s="2">
        <v>0</v>
      </c>
      <c r="AB592" s="2">
        <v>2</v>
      </c>
      <c r="AC592" s="2">
        <v>0</v>
      </c>
      <c r="AD592" s="2">
        <v>1</v>
      </c>
      <c r="AE592" s="2">
        <v>0</v>
      </c>
      <c r="AF592" s="2">
        <v>0</v>
      </c>
      <c r="AG592" s="2">
        <v>0</v>
      </c>
      <c r="AH592" s="2">
        <v>0</v>
      </c>
      <c r="AI592" s="4">
        <f>Table2121418198598115[[#This Row],[QB PY]]+Table2121418198598115[[#This Row],[QB RY]]</f>
        <v>247</v>
      </c>
      <c r="AJ592" s="4">
        <f>Table2121418198598115[[#This Row],[RB1 RY]]+Table2121418198598115[[#This Row],[RB2+ RY]]+Table2121418198598115[[#This Row],[RB1 RecY]]+Table2121418198598115[[#This Row],[RB2 RecY]]</f>
        <v>136</v>
      </c>
    </row>
    <row r="593" spans="1:36" x14ac:dyDescent="0.35">
      <c r="B593" s="1" t="s">
        <v>57</v>
      </c>
      <c r="C593" s="3">
        <f>AVERAGE(Table2121418198598115[QB PY])</f>
        <v>261</v>
      </c>
      <c r="D593" s="3">
        <f>AVERAGE(Table2121418198598115[P TD])</f>
        <v>1.7647058823529411</v>
      </c>
      <c r="E593" s="3">
        <f>AVERAGE(Table2121418198598115[QB RY])</f>
        <v>15.294117647058824</v>
      </c>
      <c r="F593" s="3">
        <f>AVERAGE(Table2121418198598115[RB1 RY])</f>
        <v>71.411764705882348</v>
      </c>
      <c r="G593" s="3">
        <f>AVERAGE(Table2121418198598115[RB2+ RY])</f>
        <v>25.117647058823529</v>
      </c>
      <c r="H593" s="3">
        <f>AVERAGE(Table2121418198598115[WR RY])</f>
        <v>1.1764705882352942</v>
      </c>
      <c r="I593" s="3">
        <f>AVERAGE(Table2121418198598115[RB1 Recep])</f>
        <v>3.0588235294117645</v>
      </c>
      <c r="J593" s="3">
        <f>AVERAGE(Table2121418198598115[RB1 RecY])</f>
        <v>21.294117647058822</v>
      </c>
      <c r="K593" s="3">
        <f>AVERAGE(Table2121418198598115[RB2 Recep])</f>
        <v>1.4705882352941178</v>
      </c>
      <c r="L593" s="3">
        <f>AVERAGE(Table2121418198598115[RB2 RecY])</f>
        <v>10.117647058823529</v>
      </c>
      <c r="M593" s="3">
        <f>AVERAGE(Table2121418198598115[WR1 Recep])</f>
        <v>5.7058823529411766</v>
      </c>
      <c r="N593" s="3">
        <f>AVERAGE(Table2121418198598115[WR1 RecY])</f>
        <v>74.82352941176471</v>
      </c>
      <c r="O593" s="3">
        <f>AVERAGE(Table2121418198598115[WR2 Recep])</f>
        <v>3.1176470588235294</v>
      </c>
      <c r="P593" s="3">
        <f>AVERAGE(Table2121418198598115[WR2 RecY])</f>
        <v>48.352941176470587</v>
      </c>
      <c r="Q593" s="3">
        <f>AVERAGE(Table2121418198598115[WR3 Recep])</f>
        <v>2.4117647058823528</v>
      </c>
      <c r="R593" s="3">
        <f>AVERAGE(Table2121418198598115[WR3 RecY])</f>
        <v>29.647058823529413</v>
      </c>
      <c r="S593" s="3">
        <f>AVERAGE(Table2121418198598115[WR4+ Recep])</f>
        <v>1.2941176470588236</v>
      </c>
      <c r="T593" s="3">
        <f>AVERAGE(Table2121418198598115[WR4+ RecY])</f>
        <v>10.823529411764707</v>
      </c>
      <c r="U593" s="3">
        <f>AVERAGE(Table2121418198598115[TE1 Recep])</f>
        <v>4</v>
      </c>
      <c r="V593" s="3">
        <f>AVERAGE(Table2121418198598115[TE1 RecY])</f>
        <v>43.176470588235297</v>
      </c>
      <c r="W593" s="3">
        <f>AVERAGE(Table2121418198598115[TE2 Recep])</f>
        <v>2.2352941176470589</v>
      </c>
      <c r="X593" s="3">
        <f>AVERAGE(Table2121418198598115[TE2 RecY])</f>
        <v>22.764705882352942</v>
      </c>
      <c r="Y593" s="3">
        <f>AVERAGE(Table2121418198598115[QB TD])</f>
        <v>0.29411764705882354</v>
      </c>
      <c r="Z593" s="3">
        <f>AVERAGE(Table2121418198598115[RB1 TD])</f>
        <v>0.23529411764705882</v>
      </c>
      <c r="AA593" s="3">
        <f>AVERAGE(Table2121418198598115[RB2 TD])</f>
        <v>0.17647058823529413</v>
      </c>
      <c r="AB593" s="3">
        <f>AVERAGE(Table2121418198598115[WR1 TD])</f>
        <v>0.41176470588235292</v>
      </c>
      <c r="AC593" s="3">
        <f>AVERAGE(Table2121418198598115[WR2 TD])</f>
        <v>0.17647058823529413</v>
      </c>
      <c r="AD593" s="3">
        <f>AVERAGE(Table2121418198598115[WR3 TD])</f>
        <v>0.29411764705882354</v>
      </c>
      <c r="AE593" s="3">
        <f>AVERAGE(Table2121418198598115[WR4+ TD])</f>
        <v>0.11764705882352941</v>
      </c>
      <c r="AF593" s="3">
        <f>AVERAGE(Table2121418198598115[TE1 TD])</f>
        <v>0.58823529411764708</v>
      </c>
      <c r="AG593" s="3">
        <f>AVERAGE(Table2121418198598115[TE2 TD])</f>
        <v>5.8823529411764705E-2</v>
      </c>
      <c r="AH593" s="3">
        <f>AVERAGE(Table2121418198598115[D/ST TD])</f>
        <v>0.11764705882352941</v>
      </c>
      <c r="AI593" s="3">
        <f>AVERAGE(Table2121418198598115[QB P+R])</f>
        <v>276.29411764705884</v>
      </c>
      <c r="AJ593" s="3">
        <f>AVERAGE(Table2121418198598115[RB R+R])</f>
        <v>127.94117647058823</v>
      </c>
    </row>
    <row r="595" spans="1:36" x14ac:dyDescent="0.35">
      <c r="A595" s="230" t="s">
        <v>52</v>
      </c>
      <c r="B595" s="230"/>
      <c r="C595" s="230"/>
      <c r="D595" s="230"/>
      <c r="E595" s="230"/>
      <c r="F595" s="230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  <c r="AF595" s="230"/>
      <c r="AG595" s="230"/>
      <c r="AH595" s="230"/>
      <c r="AI595" s="230"/>
      <c r="AJ595" s="230"/>
    </row>
    <row r="596" spans="1:36" x14ac:dyDescent="0.35">
      <c r="A596" s="20" t="s">
        <v>63</v>
      </c>
      <c r="B596" s="6" t="s">
        <v>1</v>
      </c>
      <c r="C596" s="7" t="s">
        <v>18</v>
      </c>
      <c r="D596" s="8" t="s">
        <v>19</v>
      </c>
      <c r="E596" s="9" t="s">
        <v>20</v>
      </c>
      <c r="F596" s="10" t="s">
        <v>21</v>
      </c>
      <c r="G596" s="11" t="s">
        <v>22</v>
      </c>
      <c r="H596" s="12" t="s">
        <v>23</v>
      </c>
      <c r="I596" s="13" t="s">
        <v>667</v>
      </c>
      <c r="J596" s="13" t="s">
        <v>668</v>
      </c>
      <c r="K596" s="13" t="s">
        <v>665</v>
      </c>
      <c r="L596" s="13" t="s">
        <v>666</v>
      </c>
      <c r="M596" s="14" t="s">
        <v>2</v>
      </c>
      <c r="N596" s="14" t="s">
        <v>24</v>
      </c>
      <c r="O596" s="15" t="s">
        <v>3</v>
      </c>
      <c r="P596" s="15" t="s">
        <v>25</v>
      </c>
      <c r="Q596" s="16" t="s">
        <v>4</v>
      </c>
      <c r="R596" s="16" t="s">
        <v>26</v>
      </c>
      <c r="S596" s="17" t="s">
        <v>5</v>
      </c>
      <c r="T596" s="17" t="s">
        <v>27</v>
      </c>
      <c r="U596" s="18" t="s">
        <v>669</v>
      </c>
      <c r="V596" s="18" t="s">
        <v>670</v>
      </c>
      <c r="W596" s="18" t="s">
        <v>675</v>
      </c>
      <c r="X596" s="18" t="s">
        <v>671</v>
      </c>
      <c r="Y596" s="6" t="s">
        <v>6</v>
      </c>
      <c r="Z596" s="6" t="s">
        <v>7</v>
      </c>
      <c r="AA596" s="6" t="s">
        <v>674</v>
      </c>
      <c r="AB596" s="6" t="s">
        <v>8</v>
      </c>
      <c r="AC596" s="6" t="s">
        <v>9</v>
      </c>
      <c r="AD596" s="6" t="s">
        <v>10</v>
      </c>
      <c r="AE596" s="6" t="s">
        <v>11</v>
      </c>
      <c r="AF596" s="6" t="s">
        <v>673</v>
      </c>
      <c r="AG596" s="6" t="s">
        <v>672</v>
      </c>
      <c r="AH596" s="6" t="s">
        <v>12</v>
      </c>
      <c r="AI596" s="8" t="s">
        <v>14</v>
      </c>
      <c r="AJ596" s="11" t="s">
        <v>13</v>
      </c>
    </row>
    <row r="597" spans="1:36" x14ac:dyDescent="0.35">
      <c r="A597" s="19" t="s">
        <v>53</v>
      </c>
      <c r="B597" s="5">
        <v>1</v>
      </c>
      <c r="C597" s="4">
        <v>277</v>
      </c>
      <c r="D597" s="4">
        <v>2</v>
      </c>
      <c r="E597" s="4">
        <v>17</v>
      </c>
      <c r="F597" s="4">
        <v>69</v>
      </c>
      <c r="G597" s="4">
        <v>33</v>
      </c>
      <c r="H597" s="4">
        <v>0</v>
      </c>
      <c r="I597" s="4">
        <v>9</v>
      </c>
      <c r="J597" s="4">
        <v>73</v>
      </c>
      <c r="K597" s="4">
        <v>3</v>
      </c>
      <c r="L597" s="4">
        <v>36</v>
      </c>
      <c r="M597" s="4">
        <v>2</v>
      </c>
      <c r="N597" s="4">
        <v>16</v>
      </c>
      <c r="O597" s="4">
        <v>4</v>
      </c>
      <c r="P597" s="4">
        <v>108</v>
      </c>
      <c r="Q597" s="4">
        <v>0</v>
      </c>
      <c r="R597" s="4">
        <v>0</v>
      </c>
      <c r="S597" s="4">
        <v>0</v>
      </c>
      <c r="T597" s="4">
        <v>0</v>
      </c>
      <c r="U597" s="4">
        <v>4</v>
      </c>
      <c r="V597" s="4">
        <v>25</v>
      </c>
      <c r="W597" s="4">
        <v>4</v>
      </c>
      <c r="X597" s="4">
        <v>19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</v>
      </c>
      <c r="AG597" s="4">
        <v>1</v>
      </c>
      <c r="AH597" s="4">
        <v>0</v>
      </c>
      <c r="AI597" s="4">
        <f>Table2121418198598116[[#This Row],[QB PY]]+Table2121418198598116[[#This Row],[QB RY]]</f>
        <v>294</v>
      </c>
      <c r="AJ597" s="4">
        <f>Table2121418198598116[[#This Row],[RB1 RY]]+Table2121418198598116[[#This Row],[RB2+ RY]]+Table2121418198598116[[#This Row],[RB1 RecY]]+Table2121418198598116[[#This Row],[RB2 RecY]]</f>
        <v>211</v>
      </c>
    </row>
    <row r="598" spans="1:36" x14ac:dyDescent="0.35">
      <c r="A598" s="19" t="s">
        <v>51</v>
      </c>
      <c r="B598" s="1">
        <v>2</v>
      </c>
      <c r="C598" s="2">
        <v>215</v>
      </c>
      <c r="D598" s="2">
        <v>1</v>
      </c>
      <c r="E598" s="2">
        <v>3</v>
      </c>
      <c r="F598" s="2">
        <v>48</v>
      </c>
      <c r="G598" s="2">
        <v>21</v>
      </c>
      <c r="H598" s="2">
        <v>0</v>
      </c>
      <c r="I598" s="2">
        <v>4</v>
      </c>
      <c r="J598" s="2">
        <v>86</v>
      </c>
      <c r="K598" s="2">
        <v>3</v>
      </c>
      <c r="L598" s="2">
        <v>16</v>
      </c>
      <c r="M598" s="2">
        <v>3</v>
      </c>
      <c r="N598" s="2">
        <v>20</v>
      </c>
      <c r="O598" s="2">
        <v>1</v>
      </c>
      <c r="P598" s="2">
        <v>22</v>
      </c>
      <c r="Q598" s="2">
        <v>1</v>
      </c>
      <c r="R598" s="2">
        <v>7</v>
      </c>
      <c r="S598" s="2">
        <v>0</v>
      </c>
      <c r="T598" s="2">
        <v>0</v>
      </c>
      <c r="U598" s="2">
        <v>4</v>
      </c>
      <c r="V598" s="2">
        <v>27</v>
      </c>
      <c r="W598" s="2">
        <v>4</v>
      </c>
      <c r="X598" s="2">
        <v>37</v>
      </c>
      <c r="Y598" s="2">
        <v>0</v>
      </c>
      <c r="Z598" s="2">
        <v>0</v>
      </c>
      <c r="AA598" s="2">
        <v>0</v>
      </c>
      <c r="AB598" s="2">
        <v>1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4">
        <f>Table2121418198598116[[#This Row],[QB PY]]+Table2121418198598116[[#This Row],[QB RY]]</f>
        <v>218</v>
      </c>
      <c r="AJ598" s="4">
        <f>Table2121418198598116[[#This Row],[RB1 RY]]+Table2121418198598116[[#This Row],[RB2+ RY]]+Table2121418198598116[[#This Row],[RB1 RecY]]+Table2121418198598116[[#This Row],[RB2 RecY]]</f>
        <v>171</v>
      </c>
    </row>
    <row r="599" spans="1:36" x14ac:dyDescent="0.35">
      <c r="A599" s="19" t="s">
        <v>47</v>
      </c>
      <c r="B599" s="1">
        <v>3</v>
      </c>
      <c r="C599" s="2">
        <v>218</v>
      </c>
      <c r="D599" s="2">
        <v>1</v>
      </c>
      <c r="E599" s="2">
        <v>10</v>
      </c>
      <c r="F599" s="2">
        <v>42</v>
      </c>
      <c r="G599" s="2">
        <v>27</v>
      </c>
      <c r="H599" s="2">
        <v>0</v>
      </c>
      <c r="I599" s="2">
        <v>1</v>
      </c>
      <c r="J599" s="2">
        <v>14</v>
      </c>
      <c r="K599" s="2">
        <v>2</v>
      </c>
      <c r="L599" s="2">
        <v>9</v>
      </c>
      <c r="M599" s="2">
        <v>10</v>
      </c>
      <c r="N599" s="2">
        <v>57</v>
      </c>
      <c r="O599" s="2">
        <v>4</v>
      </c>
      <c r="P599" s="2">
        <v>42</v>
      </c>
      <c r="Q599" s="2">
        <v>3</v>
      </c>
      <c r="R599" s="2">
        <v>24</v>
      </c>
      <c r="S599" s="2">
        <v>0</v>
      </c>
      <c r="T599" s="2">
        <v>0</v>
      </c>
      <c r="U599" s="2">
        <v>6</v>
      </c>
      <c r="V599" s="2">
        <v>51</v>
      </c>
      <c r="W599" s="2">
        <v>2</v>
      </c>
      <c r="X599" s="2">
        <v>21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1</v>
      </c>
      <c r="AH599" s="2">
        <v>0</v>
      </c>
      <c r="AI599" s="4">
        <f>Table2121418198598116[[#This Row],[QB PY]]+Table2121418198598116[[#This Row],[QB RY]]</f>
        <v>228</v>
      </c>
      <c r="AJ599" s="4">
        <f>Table2121418198598116[[#This Row],[RB1 RY]]+Table2121418198598116[[#This Row],[RB2+ RY]]+Table2121418198598116[[#This Row],[RB1 RecY]]+Table2121418198598116[[#This Row],[RB2 RecY]]</f>
        <v>92</v>
      </c>
    </row>
    <row r="600" spans="1:36" x14ac:dyDescent="0.35">
      <c r="A600" s="19" t="s">
        <v>0</v>
      </c>
      <c r="B600" s="1">
        <v>4</v>
      </c>
      <c r="C600" s="2">
        <v>200</v>
      </c>
      <c r="D600" s="2">
        <v>2</v>
      </c>
      <c r="E600" s="2">
        <v>41</v>
      </c>
      <c r="F600" s="2">
        <v>35</v>
      </c>
      <c r="G600" s="2">
        <v>9</v>
      </c>
      <c r="H600" s="2">
        <v>4</v>
      </c>
      <c r="I600" s="2">
        <v>5</v>
      </c>
      <c r="J600" s="2">
        <v>19</v>
      </c>
      <c r="K600" s="2">
        <v>2</v>
      </c>
      <c r="L600" s="2">
        <v>13</v>
      </c>
      <c r="M600" s="2">
        <v>6</v>
      </c>
      <c r="N600" s="2">
        <v>66</v>
      </c>
      <c r="O600" s="2">
        <v>3</v>
      </c>
      <c r="P600" s="2">
        <v>15</v>
      </c>
      <c r="Q600" s="2">
        <v>4</v>
      </c>
      <c r="R600" s="2">
        <v>35</v>
      </c>
      <c r="S600" s="2">
        <v>0</v>
      </c>
      <c r="T600" s="2">
        <v>0</v>
      </c>
      <c r="U600" s="2">
        <v>7</v>
      </c>
      <c r="V600" s="2">
        <v>52</v>
      </c>
      <c r="W600" s="2">
        <v>0</v>
      </c>
      <c r="X600" s="2">
        <v>0</v>
      </c>
      <c r="Y600" s="2">
        <v>0</v>
      </c>
      <c r="Z600" s="2">
        <v>0</v>
      </c>
      <c r="AA600" s="2">
        <v>1</v>
      </c>
      <c r="AB600" s="2">
        <v>1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4">
        <f>Table2121418198598116[[#This Row],[QB PY]]+Table2121418198598116[[#This Row],[QB RY]]</f>
        <v>241</v>
      </c>
      <c r="AJ600" s="4">
        <f>Table2121418198598116[[#This Row],[RB1 RY]]+Table2121418198598116[[#This Row],[RB2+ RY]]+Table2121418198598116[[#This Row],[RB1 RecY]]+Table2121418198598116[[#This Row],[RB2 RecY]]</f>
        <v>76</v>
      </c>
    </row>
    <row r="601" spans="1:36" x14ac:dyDescent="0.35">
      <c r="A601" s="19" t="s">
        <v>54</v>
      </c>
      <c r="B601" s="1">
        <v>5</v>
      </c>
      <c r="C601" s="2">
        <v>379</v>
      </c>
      <c r="D601" s="2">
        <v>2</v>
      </c>
      <c r="E601" s="2">
        <v>15</v>
      </c>
      <c r="F601" s="2">
        <v>41</v>
      </c>
      <c r="G601" s="2">
        <v>3</v>
      </c>
      <c r="H601" s="2">
        <v>-3</v>
      </c>
      <c r="I601" s="2">
        <v>4</v>
      </c>
      <c r="J601" s="2">
        <v>30</v>
      </c>
      <c r="K601" s="2">
        <v>3</v>
      </c>
      <c r="L601" s="2">
        <v>-4</v>
      </c>
      <c r="M601" s="2">
        <v>7</v>
      </c>
      <c r="N601" s="2">
        <v>163</v>
      </c>
      <c r="O601" s="2">
        <v>3</v>
      </c>
      <c r="P601" s="2">
        <v>26</v>
      </c>
      <c r="Q601" s="2">
        <v>4</v>
      </c>
      <c r="R601" s="2">
        <v>24</v>
      </c>
      <c r="S601" s="2">
        <v>4</v>
      </c>
      <c r="T601" s="2">
        <v>59</v>
      </c>
      <c r="U601" s="2">
        <v>4</v>
      </c>
      <c r="V601" s="2">
        <v>81</v>
      </c>
      <c r="W601" s="2">
        <v>0</v>
      </c>
      <c r="X601" s="2">
        <v>0</v>
      </c>
      <c r="Y601" s="2">
        <v>0</v>
      </c>
      <c r="Z601" s="2">
        <v>2</v>
      </c>
      <c r="AA601" s="2">
        <v>0</v>
      </c>
      <c r="AB601" s="2">
        <v>1</v>
      </c>
      <c r="AC601" s="2">
        <v>0</v>
      </c>
      <c r="AD601" s="2">
        <v>1</v>
      </c>
      <c r="AE601" s="2">
        <v>0</v>
      </c>
      <c r="AF601" s="2">
        <v>0</v>
      </c>
      <c r="AG601" s="2">
        <v>0</v>
      </c>
      <c r="AH601" s="2">
        <v>0</v>
      </c>
      <c r="AI601" s="4">
        <f>Table2121418198598116[[#This Row],[QB PY]]+Table2121418198598116[[#This Row],[QB RY]]</f>
        <v>394</v>
      </c>
      <c r="AJ601" s="4">
        <f>Table2121418198598116[[#This Row],[RB1 RY]]+Table2121418198598116[[#This Row],[RB2+ RY]]+Table2121418198598116[[#This Row],[RB1 RecY]]+Table2121418198598116[[#This Row],[RB2 RecY]]</f>
        <v>70</v>
      </c>
    </row>
    <row r="602" spans="1:36" x14ac:dyDescent="0.35">
      <c r="A602" s="19" t="s">
        <v>39</v>
      </c>
      <c r="B602" s="1">
        <v>6</v>
      </c>
      <c r="C602" s="2">
        <v>258</v>
      </c>
      <c r="D602" s="2">
        <v>2</v>
      </c>
      <c r="E602" s="2">
        <v>9</v>
      </c>
      <c r="F602" s="2">
        <v>27</v>
      </c>
      <c r="G602" s="2">
        <v>16</v>
      </c>
      <c r="H602" s="2">
        <v>7</v>
      </c>
      <c r="I602" s="2">
        <v>4</v>
      </c>
      <c r="J602" s="2">
        <v>28</v>
      </c>
      <c r="K602" s="2">
        <v>3</v>
      </c>
      <c r="L602" s="2">
        <v>24</v>
      </c>
      <c r="M602" s="2">
        <v>8</v>
      </c>
      <c r="N602" s="2">
        <v>90</v>
      </c>
      <c r="O602" s="2">
        <v>4</v>
      </c>
      <c r="P602" s="2">
        <v>15</v>
      </c>
      <c r="Q602" s="2">
        <v>2</v>
      </c>
      <c r="R602" s="2">
        <v>13</v>
      </c>
      <c r="S602" s="2">
        <v>3</v>
      </c>
      <c r="T602" s="2">
        <v>55</v>
      </c>
      <c r="U602" s="2">
        <v>2</v>
      </c>
      <c r="V602" s="2">
        <v>19</v>
      </c>
      <c r="W602" s="2">
        <v>1</v>
      </c>
      <c r="X602" s="2">
        <v>14</v>
      </c>
      <c r="Y602" s="2">
        <v>0</v>
      </c>
      <c r="Z602" s="2">
        <v>0</v>
      </c>
      <c r="AA602" s="2">
        <v>0</v>
      </c>
      <c r="AB602" s="2">
        <v>1</v>
      </c>
      <c r="AC602" s="2">
        <v>0</v>
      </c>
      <c r="AD602" s="2">
        <v>0</v>
      </c>
      <c r="AE602" s="2">
        <v>1</v>
      </c>
      <c r="AF602" s="2">
        <v>0</v>
      </c>
      <c r="AG602" s="2">
        <v>0</v>
      </c>
      <c r="AH602" s="2">
        <v>0</v>
      </c>
      <c r="AI602" s="4">
        <f>Table2121418198598116[[#This Row],[QB PY]]+Table2121418198598116[[#This Row],[QB RY]]</f>
        <v>267</v>
      </c>
      <c r="AJ602" s="4">
        <f>Table2121418198598116[[#This Row],[RB1 RY]]+Table2121418198598116[[#This Row],[RB2+ RY]]+Table2121418198598116[[#This Row],[RB1 RecY]]+Table2121418198598116[[#This Row],[RB2 RecY]]</f>
        <v>95</v>
      </c>
    </row>
    <row r="603" spans="1:36" x14ac:dyDescent="0.35">
      <c r="A603" s="19" t="s">
        <v>37</v>
      </c>
      <c r="B603" s="1">
        <v>7</v>
      </c>
      <c r="C603" s="2">
        <v>229</v>
      </c>
      <c r="D603" s="2">
        <v>1</v>
      </c>
      <c r="E603" s="2">
        <v>25</v>
      </c>
      <c r="F603" s="2">
        <v>15</v>
      </c>
      <c r="G603" s="2">
        <v>16</v>
      </c>
      <c r="H603" s="2">
        <v>0</v>
      </c>
      <c r="I603" s="2">
        <v>3</v>
      </c>
      <c r="J603" s="2">
        <v>20</v>
      </c>
      <c r="K603" s="2">
        <v>1</v>
      </c>
      <c r="L603" s="2">
        <v>-5</v>
      </c>
      <c r="M603" s="2">
        <v>4</v>
      </c>
      <c r="N603" s="2">
        <v>27</v>
      </c>
      <c r="O603" s="2">
        <v>4</v>
      </c>
      <c r="P603" s="2">
        <v>77</v>
      </c>
      <c r="Q603" s="2">
        <v>1</v>
      </c>
      <c r="R603" s="2">
        <v>13</v>
      </c>
      <c r="S603" s="2">
        <v>1</v>
      </c>
      <c r="T603" s="2">
        <v>-1</v>
      </c>
      <c r="U603" s="2">
        <v>9</v>
      </c>
      <c r="V603" s="2">
        <v>98</v>
      </c>
      <c r="W603" s="2">
        <v>0</v>
      </c>
      <c r="X603" s="2">
        <v>0</v>
      </c>
      <c r="Y603" s="2">
        <v>0</v>
      </c>
      <c r="Z603" s="2">
        <v>1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1</v>
      </c>
      <c r="AI603" s="4">
        <f>Table2121418198598116[[#This Row],[QB PY]]+Table2121418198598116[[#This Row],[QB RY]]</f>
        <v>254</v>
      </c>
      <c r="AJ603" s="4">
        <f>Table2121418198598116[[#This Row],[RB1 RY]]+Table2121418198598116[[#This Row],[RB2+ RY]]+Table2121418198598116[[#This Row],[RB1 RecY]]+Table2121418198598116[[#This Row],[RB2 RecY]]</f>
        <v>46</v>
      </c>
    </row>
    <row r="604" spans="1:36" x14ac:dyDescent="0.35">
      <c r="A604" s="19" t="s">
        <v>650</v>
      </c>
      <c r="B604" s="1">
        <v>8</v>
      </c>
      <c r="C604" s="2" t="s">
        <v>697</v>
      </c>
      <c r="D604" s="2" t="s">
        <v>697</v>
      </c>
      <c r="E604" s="2" t="s">
        <v>697</v>
      </c>
      <c r="F604" s="2" t="s">
        <v>697</v>
      </c>
      <c r="G604" s="2" t="s">
        <v>697</v>
      </c>
      <c r="H604" s="2" t="s">
        <v>697</v>
      </c>
      <c r="I604" s="2" t="s">
        <v>697</v>
      </c>
      <c r="J604" s="2" t="s">
        <v>697</v>
      </c>
      <c r="K604" s="2" t="s">
        <v>697</v>
      </c>
      <c r="L604" s="2" t="s">
        <v>697</v>
      </c>
      <c r="M604" s="2" t="s">
        <v>697</v>
      </c>
      <c r="N604" s="2" t="s">
        <v>697</v>
      </c>
      <c r="O604" s="2" t="s">
        <v>697</v>
      </c>
      <c r="P604" s="2" t="s">
        <v>697</v>
      </c>
      <c r="Q604" s="2" t="s">
        <v>697</v>
      </c>
      <c r="R604" s="2" t="s">
        <v>697</v>
      </c>
      <c r="S604" s="2" t="s">
        <v>697</v>
      </c>
      <c r="T604" s="2" t="s">
        <v>697</v>
      </c>
      <c r="U604" s="2" t="s">
        <v>697</v>
      </c>
      <c r="V604" s="2" t="s">
        <v>697</v>
      </c>
      <c r="W604" s="2" t="s">
        <v>697</v>
      </c>
      <c r="X604" s="2" t="s">
        <v>697</v>
      </c>
      <c r="Y604" s="2" t="s">
        <v>697</v>
      </c>
      <c r="Z604" s="2" t="s">
        <v>697</v>
      </c>
      <c r="AA604" s="2" t="s">
        <v>697</v>
      </c>
      <c r="AB604" s="2" t="s">
        <v>697</v>
      </c>
      <c r="AC604" s="2" t="s">
        <v>697</v>
      </c>
      <c r="AD604" s="2" t="s">
        <v>697</v>
      </c>
      <c r="AE604" s="2" t="s">
        <v>697</v>
      </c>
      <c r="AF604" s="2" t="s">
        <v>697</v>
      </c>
      <c r="AG604" s="2" t="s">
        <v>697</v>
      </c>
      <c r="AH604" s="2" t="s">
        <v>697</v>
      </c>
      <c r="AI604" s="4" t="s">
        <v>697</v>
      </c>
      <c r="AJ604" s="4" t="s">
        <v>697</v>
      </c>
    </row>
    <row r="605" spans="1:36" x14ac:dyDescent="0.35">
      <c r="A605" s="19" t="s">
        <v>56</v>
      </c>
      <c r="B605" s="1">
        <v>9</v>
      </c>
      <c r="C605" s="2">
        <v>153</v>
      </c>
      <c r="D605" s="2">
        <v>0</v>
      </c>
      <c r="E605" s="2">
        <v>51</v>
      </c>
      <c r="F605" s="2">
        <v>65</v>
      </c>
      <c r="G605" s="2">
        <v>38</v>
      </c>
      <c r="H605" s="2">
        <v>3</v>
      </c>
      <c r="I605" s="2">
        <v>1</v>
      </c>
      <c r="J605" s="2">
        <v>3</v>
      </c>
      <c r="K605" s="2">
        <v>0</v>
      </c>
      <c r="L605" s="2">
        <v>0</v>
      </c>
      <c r="M605" s="2">
        <v>5</v>
      </c>
      <c r="N605" s="2">
        <v>41</v>
      </c>
      <c r="O605" s="2">
        <v>3</v>
      </c>
      <c r="P605" s="2">
        <v>29</v>
      </c>
      <c r="Q605" s="2">
        <v>1</v>
      </c>
      <c r="R605" s="2">
        <v>14</v>
      </c>
      <c r="S605" s="2">
        <v>0</v>
      </c>
      <c r="T605" s="2">
        <v>0</v>
      </c>
      <c r="U605" s="2">
        <v>4</v>
      </c>
      <c r="V605" s="2">
        <v>46</v>
      </c>
      <c r="W605" s="2">
        <v>2</v>
      </c>
      <c r="X605" s="2">
        <v>20</v>
      </c>
      <c r="Y605" s="2">
        <v>1</v>
      </c>
      <c r="Z605" s="2">
        <v>1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4">
        <f>Table2121418198598116[[#This Row],[QB PY]]+Table2121418198598116[[#This Row],[QB RY]]</f>
        <v>204</v>
      </c>
      <c r="AJ605" s="4">
        <f>Table2121418198598116[[#This Row],[RB1 RY]]+Table2121418198598116[[#This Row],[RB2+ RY]]+Table2121418198598116[[#This Row],[RB1 RecY]]+Table2121418198598116[[#This Row],[RB2 RecY]]</f>
        <v>106</v>
      </c>
    </row>
    <row r="606" spans="1:36" x14ac:dyDescent="0.35">
      <c r="A606" s="19" t="s">
        <v>0</v>
      </c>
      <c r="B606" s="1">
        <v>10</v>
      </c>
      <c r="C606" s="2">
        <v>258</v>
      </c>
      <c r="D606" s="2">
        <v>2</v>
      </c>
      <c r="E606" s="2">
        <v>31</v>
      </c>
      <c r="F606" s="2">
        <v>64</v>
      </c>
      <c r="G606" s="2">
        <v>32</v>
      </c>
      <c r="H606" s="2">
        <v>2</v>
      </c>
      <c r="I606" s="2">
        <v>3</v>
      </c>
      <c r="J606" s="2">
        <v>40</v>
      </c>
      <c r="K606" s="2">
        <v>1</v>
      </c>
      <c r="L606" s="2">
        <v>5</v>
      </c>
      <c r="M606" s="2">
        <v>3</v>
      </c>
      <c r="N606" s="2">
        <v>33</v>
      </c>
      <c r="O606" s="2">
        <v>4</v>
      </c>
      <c r="P606" s="2">
        <v>34</v>
      </c>
      <c r="Q606" s="2">
        <v>0</v>
      </c>
      <c r="R606" s="2">
        <v>0</v>
      </c>
      <c r="S606" s="2">
        <v>0</v>
      </c>
      <c r="T606" s="2">
        <v>0</v>
      </c>
      <c r="U606" s="2">
        <v>9</v>
      </c>
      <c r="V606" s="2">
        <v>127</v>
      </c>
      <c r="W606" s="2">
        <v>2</v>
      </c>
      <c r="X606" s="2">
        <v>19</v>
      </c>
      <c r="Y606" s="2">
        <v>0</v>
      </c>
      <c r="Z606" s="2">
        <v>0</v>
      </c>
      <c r="AA606" s="2">
        <v>0</v>
      </c>
      <c r="AB606" s="2">
        <v>1</v>
      </c>
      <c r="AC606" s="2">
        <v>0</v>
      </c>
      <c r="AD606" s="2">
        <v>1</v>
      </c>
      <c r="AE606" s="2">
        <v>0</v>
      </c>
      <c r="AF606" s="2">
        <v>1</v>
      </c>
      <c r="AG606" s="2">
        <v>0</v>
      </c>
      <c r="AH606" s="2">
        <v>0</v>
      </c>
      <c r="AI606" s="4">
        <f>Table2121418198598116[[#This Row],[QB PY]]+Table2121418198598116[[#This Row],[QB RY]]</f>
        <v>289</v>
      </c>
      <c r="AJ606" s="4">
        <f>Table2121418198598116[[#This Row],[RB1 RY]]+Table2121418198598116[[#This Row],[RB2+ RY]]+Table2121418198598116[[#This Row],[RB1 RecY]]+Table2121418198598116[[#This Row],[RB2 RecY]]</f>
        <v>141</v>
      </c>
    </row>
    <row r="607" spans="1:36" x14ac:dyDescent="0.35">
      <c r="A607" s="19" t="s">
        <v>42</v>
      </c>
      <c r="B607" s="1">
        <v>11</v>
      </c>
      <c r="C607" s="2">
        <v>130</v>
      </c>
      <c r="D607" s="2">
        <v>2</v>
      </c>
      <c r="E607" s="2">
        <v>0</v>
      </c>
      <c r="F607" s="2">
        <v>91</v>
      </c>
      <c r="G607" s="2">
        <v>10</v>
      </c>
      <c r="H607" s="2">
        <v>18</v>
      </c>
      <c r="I607" s="2">
        <v>1</v>
      </c>
      <c r="J607" s="2">
        <v>5</v>
      </c>
      <c r="K607" s="2">
        <v>1</v>
      </c>
      <c r="L607" s="2">
        <v>-5</v>
      </c>
      <c r="M607" s="2">
        <v>7</v>
      </c>
      <c r="N607" s="2">
        <v>75</v>
      </c>
      <c r="O607" s="2">
        <v>1</v>
      </c>
      <c r="P607" s="2">
        <v>1</v>
      </c>
      <c r="Q607" s="2">
        <v>1</v>
      </c>
      <c r="R607" s="2">
        <v>9</v>
      </c>
      <c r="S607" s="2">
        <v>1</v>
      </c>
      <c r="T607" s="2">
        <v>8</v>
      </c>
      <c r="U607" s="2">
        <v>1</v>
      </c>
      <c r="V607" s="2">
        <v>23</v>
      </c>
      <c r="W607" s="2">
        <v>2</v>
      </c>
      <c r="X607" s="2">
        <v>14</v>
      </c>
      <c r="Y607" s="2">
        <v>0</v>
      </c>
      <c r="Z607" s="2">
        <v>1</v>
      </c>
      <c r="AA607" s="2">
        <v>0</v>
      </c>
      <c r="AB607" s="2">
        <v>0</v>
      </c>
      <c r="AC607" s="2">
        <v>1</v>
      </c>
      <c r="AD607" s="2">
        <v>0</v>
      </c>
      <c r="AE607" s="2">
        <v>0</v>
      </c>
      <c r="AF607" s="2">
        <v>0</v>
      </c>
      <c r="AG607" s="2">
        <v>1</v>
      </c>
      <c r="AH607" s="2">
        <v>0</v>
      </c>
      <c r="AI607" s="4">
        <f>Table2121418198598116[[#This Row],[QB PY]]+Table2121418198598116[[#This Row],[QB RY]]</f>
        <v>130</v>
      </c>
      <c r="AJ607" s="4">
        <f>Table2121418198598116[[#This Row],[RB1 RY]]+Table2121418198598116[[#This Row],[RB2+ RY]]+Table2121418198598116[[#This Row],[RB1 RecY]]+Table2121418198598116[[#This Row],[RB2 RecY]]</f>
        <v>101</v>
      </c>
    </row>
    <row r="608" spans="1:36" x14ac:dyDescent="0.35">
      <c r="A608" s="19" t="s">
        <v>55</v>
      </c>
      <c r="B608" s="1">
        <v>12</v>
      </c>
      <c r="C608" s="2">
        <v>256</v>
      </c>
      <c r="D608" s="2">
        <v>1</v>
      </c>
      <c r="E608" s="2">
        <v>37</v>
      </c>
      <c r="F608" s="2">
        <v>20</v>
      </c>
      <c r="G608" s="2">
        <v>7</v>
      </c>
      <c r="H608" s="2">
        <v>0</v>
      </c>
      <c r="I608" s="2">
        <v>4</v>
      </c>
      <c r="J608" s="2">
        <v>21</v>
      </c>
      <c r="K608" s="2">
        <v>4</v>
      </c>
      <c r="L608" s="2">
        <v>21</v>
      </c>
      <c r="M608" s="2">
        <v>5</v>
      </c>
      <c r="N608" s="2">
        <v>44</v>
      </c>
      <c r="O608" s="2">
        <v>1</v>
      </c>
      <c r="P608" s="2">
        <v>11</v>
      </c>
      <c r="Q608" s="2">
        <v>3</v>
      </c>
      <c r="R608" s="2">
        <v>42</v>
      </c>
      <c r="S608" s="2">
        <v>2</v>
      </c>
      <c r="T608" s="2">
        <v>26</v>
      </c>
      <c r="U608" s="2">
        <v>3</v>
      </c>
      <c r="V608" s="2">
        <v>40</v>
      </c>
      <c r="W608" s="2">
        <v>6</v>
      </c>
      <c r="X608" s="2">
        <v>51</v>
      </c>
      <c r="Y608" s="2">
        <v>1</v>
      </c>
      <c r="Z608" s="2">
        <v>0</v>
      </c>
      <c r="AA608" s="2">
        <v>0</v>
      </c>
      <c r="AB608" s="2">
        <v>1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1</v>
      </c>
      <c r="AI608" s="4">
        <f>Table2121418198598116[[#This Row],[QB PY]]+Table2121418198598116[[#This Row],[QB RY]]</f>
        <v>293</v>
      </c>
      <c r="AJ608" s="4">
        <f>Table2121418198598116[[#This Row],[RB1 RY]]+Table2121418198598116[[#This Row],[RB2+ RY]]+Table2121418198598116[[#This Row],[RB1 RecY]]+Table2121418198598116[[#This Row],[RB2 RecY]]</f>
        <v>69</v>
      </c>
    </row>
    <row r="609" spans="1:36" x14ac:dyDescent="0.35">
      <c r="A609" s="19" t="s">
        <v>45</v>
      </c>
      <c r="B609" s="1">
        <v>13</v>
      </c>
      <c r="C609" s="2">
        <v>126</v>
      </c>
      <c r="D609" s="2">
        <v>0</v>
      </c>
      <c r="E609" s="2">
        <v>-1</v>
      </c>
      <c r="F609" s="2">
        <v>47</v>
      </c>
      <c r="G609" s="2">
        <v>20</v>
      </c>
      <c r="H609" s="2">
        <v>0</v>
      </c>
      <c r="I609" s="2">
        <v>4</v>
      </c>
      <c r="J609" s="2">
        <v>22</v>
      </c>
      <c r="K609" s="2">
        <v>2</v>
      </c>
      <c r="L609" s="2">
        <v>5</v>
      </c>
      <c r="M609" s="2">
        <v>2</v>
      </c>
      <c r="N609" s="2">
        <v>4</v>
      </c>
      <c r="O609" s="2">
        <v>5</v>
      </c>
      <c r="P609" s="2">
        <v>36</v>
      </c>
      <c r="Q609" s="2">
        <v>0</v>
      </c>
      <c r="R609" s="2">
        <v>0</v>
      </c>
      <c r="S609" s="2">
        <v>0</v>
      </c>
      <c r="T609" s="2">
        <v>0</v>
      </c>
      <c r="U609" s="2">
        <v>6</v>
      </c>
      <c r="V609" s="2">
        <v>59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4">
        <f>Table2121418198598116[[#This Row],[QB PY]]+Table2121418198598116[[#This Row],[QB RY]]</f>
        <v>125</v>
      </c>
      <c r="AJ609" s="4">
        <f>Table2121418198598116[[#This Row],[RB1 RY]]+Table2121418198598116[[#This Row],[RB2+ RY]]+Table2121418198598116[[#This Row],[RB1 RecY]]+Table2121418198598116[[#This Row],[RB2 RecY]]</f>
        <v>94</v>
      </c>
    </row>
    <row r="610" spans="1:36" x14ac:dyDescent="0.35">
      <c r="A610" s="19" t="s">
        <v>15</v>
      </c>
      <c r="B610" s="1">
        <v>14</v>
      </c>
      <c r="C610" s="2">
        <v>162</v>
      </c>
      <c r="D610" s="2">
        <v>0</v>
      </c>
      <c r="E610" s="2">
        <v>0</v>
      </c>
      <c r="F610" s="2">
        <v>86</v>
      </c>
      <c r="G610" s="2">
        <v>34</v>
      </c>
      <c r="H610" s="2">
        <v>0</v>
      </c>
      <c r="I610" s="2">
        <v>2</v>
      </c>
      <c r="J610" s="2">
        <v>8</v>
      </c>
      <c r="K610" s="2">
        <v>2</v>
      </c>
      <c r="L610" s="2">
        <v>33</v>
      </c>
      <c r="M610" s="2">
        <v>1</v>
      </c>
      <c r="N610" s="2">
        <v>6</v>
      </c>
      <c r="O610" s="2">
        <v>0</v>
      </c>
      <c r="P610" s="2">
        <v>0</v>
      </c>
      <c r="Q610" s="2">
        <v>3</v>
      </c>
      <c r="R610" s="2">
        <v>21</v>
      </c>
      <c r="S610" s="2">
        <v>1</v>
      </c>
      <c r="T610" s="2">
        <v>4</v>
      </c>
      <c r="U610" s="2">
        <v>6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4">
        <f>Table2121418198598116[[#This Row],[QB PY]]+Table2121418198598116[[#This Row],[QB RY]]</f>
        <v>162</v>
      </c>
      <c r="AJ610" s="4">
        <f>Table2121418198598116[[#This Row],[RB1 RY]]+Table2121418198598116[[#This Row],[RB2+ RY]]+Table2121418198598116[[#This Row],[RB1 RecY]]+Table2121418198598116[[#This Row],[RB2 RecY]]</f>
        <v>161</v>
      </c>
    </row>
    <row r="611" spans="1:36" x14ac:dyDescent="0.35">
      <c r="A611" s="19" t="s">
        <v>38</v>
      </c>
      <c r="B611" s="1">
        <v>15</v>
      </c>
      <c r="C611" s="2">
        <v>120</v>
      </c>
      <c r="D611" s="2">
        <v>1</v>
      </c>
      <c r="E611" s="2">
        <v>-5</v>
      </c>
      <c r="F611" s="2">
        <v>87</v>
      </c>
      <c r="G611" s="2">
        <v>15</v>
      </c>
      <c r="H611" s="2">
        <v>0</v>
      </c>
      <c r="I611" s="2">
        <v>3</v>
      </c>
      <c r="J611" s="2">
        <v>14</v>
      </c>
      <c r="K611" s="2">
        <v>5</v>
      </c>
      <c r="L611" s="2">
        <v>32</v>
      </c>
      <c r="M611" s="2">
        <v>3</v>
      </c>
      <c r="N611" s="2">
        <v>26</v>
      </c>
      <c r="O611" s="2">
        <v>1</v>
      </c>
      <c r="P611" s="2">
        <v>16</v>
      </c>
      <c r="Q611" s="2">
        <v>3</v>
      </c>
      <c r="R611" s="2">
        <v>13</v>
      </c>
      <c r="S611" s="2">
        <v>0</v>
      </c>
      <c r="T611" s="2">
        <v>0</v>
      </c>
      <c r="U611" s="2">
        <v>3</v>
      </c>
      <c r="V611" s="2">
        <v>19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1</v>
      </c>
      <c r="AE611" s="2">
        <v>0</v>
      </c>
      <c r="AF611" s="2">
        <v>0</v>
      </c>
      <c r="AG611" s="2">
        <v>0</v>
      </c>
      <c r="AH611" s="2">
        <v>0</v>
      </c>
      <c r="AI611" s="4">
        <f>Table2121418198598116[[#This Row],[QB PY]]+Table2121418198598116[[#This Row],[QB RY]]</f>
        <v>115</v>
      </c>
      <c r="AJ611" s="4">
        <f>Table2121418198598116[[#This Row],[RB1 RY]]+Table2121418198598116[[#This Row],[RB2+ RY]]+Table2121418198598116[[#This Row],[RB1 RecY]]+Table2121418198598116[[#This Row],[RB2 RecY]]</f>
        <v>148</v>
      </c>
    </row>
    <row r="612" spans="1:36" x14ac:dyDescent="0.35">
      <c r="A612" s="19" t="s">
        <v>42</v>
      </c>
      <c r="B612" s="1">
        <v>16</v>
      </c>
      <c r="C612" s="2">
        <v>457</v>
      </c>
      <c r="D612" s="2">
        <v>3</v>
      </c>
      <c r="E612" s="2">
        <v>6</v>
      </c>
      <c r="F612" s="2">
        <v>70</v>
      </c>
      <c r="G612" s="2">
        <v>48</v>
      </c>
      <c r="H612" s="2">
        <v>0</v>
      </c>
      <c r="I612" s="2">
        <v>3</v>
      </c>
      <c r="J612" s="2">
        <v>15</v>
      </c>
      <c r="K612" s="2">
        <v>1</v>
      </c>
      <c r="L612" s="2">
        <v>13</v>
      </c>
      <c r="M612" s="2">
        <v>12</v>
      </c>
      <c r="N612" s="2">
        <v>225</v>
      </c>
      <c r="O612" s="2">
        <v>3</v>
      </c>
      <c r="P612" s="2">
        <v>40</v>
      </c>
      <c r="Q612" s="2">
        <v>2</v>
      </c>
      <c r="R612" s="2">
        <v>57</v>
      </c>
      <c r="S612" s="2">
        <v>1</v>
      </c>
      <c r="T612" s="2">
        <v>19</v>
      </c>
      <c r="U612" s="2">
        <v>2</v>
      </c>
      <c r="V612" s="2">
        <v>21</v>
      </c>
      <c r="W612" s="2">
        <v>5</v>
      </c>
      <c r="X612" s="2">
        <v>67</v>
      </c>
      <c r="Y612" s="2">
        <v>0</v>
      </c>
      <c r="Z612" s="2">
        <v>0</v>
      </c>
      <c r="AA612" s="2">
        <v>1</v>
      </c>
      <c r="AB612" s="2">
        <v>2</v>
      </c>
      <c r="AC612" s="2">
        <v>0</v>
      </c>
      <c r="AD612" s="2">
        <v>0</v>
      </c>
      <c r="AE612" s="2">
        <v>0</v>
      </c>
      <c r="AF612" s="2">
        <v>0</v>
      </c>
      <c r="AG612" s="2">
        <v>1</v>
      </c>
      <c r="AH612" s="2">
        <v>0</v>
      </c>
      <c r="AI612" s="4">
        <f>Table2121418198598116[[#This Row],[QB PY]]+Table2121418198598116[[#This Row],[QB RY]]</f>
        <v>463</v>
      </c>
      <c r="AJ612" s="4">
        <f>Table2121418198598116[[#This Row],[RB1 RY]]+Table2121418198598116[[#This Row],[RB2+ RY]]+Table2121418198598116[[#This Row],[RB1 RecY]]+Table2121418198598116[[#This Row],[RB2 RecY]]</f>
        <v>146</v>
      </c>
    </row>
    <row r="613" spans="1:36" x14ac:dyDescent="0.35">
      <c r="A613" s="19" t="s">
        <v>29</v>
      </c>
      <c r="B613" s="1">
        <v>17</v>
      </c>
      <c r="C613" s="2">
        <v>54</v>
      </c>
      <c r="D613" s="2">
        <v>0</v>
      </c>
      <c r="E613" s="2">
        <v>27</v>
      </c>
      <c r="F613" s="2">
        <v>59</v>
      </c>
      <c r="G613" s="2">
        <v>12</v>
      </c>
      <c r="H613" s="2">
        <v>1</v>
      </c>
      <c r="I613" s="2">
        <v>3</v>
      </c>
      <c r="J613" s="2">
        <v>4</v>
      </c>
      <c r="K613" s="2">
        <v>3</v>
      </c>
      <c r="L613" s="2">
        <v>6</v>
      </c>
      <c r="M613" s="2">
        <v>1</v>
      </c>
      <c r="N613" s="2">
        <v>5</v>
      </c>
      <c r="O613" s="2">
        <v>2</v>
      </c>
      <c r="P613" s="2">
        <v>16</v>
      </c>
      <c r="Q613" s="2">
        <v>1</v>
      </c>
      <c r="R613" s="2">
        <v>3</v>
      </c>
      <c r="S613" s="2">
        <v>2</v>
      </c>
      <c r="T613" s="2">
        <v>9</v>
      </c>
      <c r="U613" s="2">
        <v>1</v>
      </c>
      <c r="V613" s="2">
        <v>6</v>
      </c>
      <c r="W613" s="2">
        <v>1</v>
      </c>
      <c r="X613" s="2">
        <v>5</v>
      </c>
      <c r="Y613" s="2">
        <v>1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4">
        <f>Table2121418198598116[[#This Row],[QB PY]]+Table2121418198598116[[#This Row],[QB RY]]</f>
        <v>81</v>
      </c>
      <c r="AJ613" s="4">
        <f>Table2121418198598116[[#This Row],[RB1 RY]]+Table2121418198598116[[#This Row],[RB2+ RY]]+Table2121418198598116[[#This Row],[RB1 RecY]]+Table2121418198598116[[#This Row],[RB2 RecY]]</f>
        <v>81</v>
      </c>
    </row>
    <row r="614" spans="1:36" x14ac:dyDescent="0.35">
      <c r="A614" s="19" t="s">
        <v>53</v>
      </c>
      <c r="B614" s="1">
        <v>18</v>
      </c>
      <c r="C614" s="2">
        <v>127</v>
      </c>
      <c r="D614" s="2">
        <v>0</v>
      </c>
      <c r="E614" s="2">
        <v>21</v>
      </c>
      <c r="F614" s="2">
        <v>23</v>
      </c>
      <c r="G614" s="2">
        <v>9</v>
      </c>
      <c r="H614" s="2">
        <v>0</v>
      </c>
      <c r="I614" s="2">
        <v>6</v>
      </c>
      <c r="J614" s="2">
        <v>34</v>
      </c>
      <c r="K614" s="2">
        <v>1</v>
      </c>
      <c r="L614" s="2">
        <v>5</v>
      </c>
      <c r="M614" s="2">
        <v>4</v>
      </c>
      <c r="N614" s="2">
        <v>35</v>
      </c>
      <c r="O614" s="2">
        <v>3</v>
      </c>
      <c r="P614" s="2">
        <v>24</v>
      </c>
      <c r="Q614" s="2">
        <v>0</v>
      </c>
      <c r="R614" s="2">
        <v>0</v>
      </c>
      <c r="S614" s="2">
        <v>0</v>
      </c>
      <c r="T614" s="2">
        <v>0</v>
      </c>
      <c r="U614" s="2">
        <v>5</v>
      </c>
      <c r="V614" s="2">
        <v>29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4">
        <f>Table2121418198598116[[#This Row],[QB PY]]+Table2121418198598116[[#This Row],[QB RY]]</f>
        <v>148</v>
      </c>
      <c r="AJ614" s="4">
        <f>Table2121418198598116[[#This Row],[RB1 RY]]+Table2121418198598116[[#This Row],[RB2+ RY]]+Table2121418198598116[[#This Row],[RB1 RecY]]+Table2121418198598116[[#This Row],[RB2 RecY]]</f>
        <v>71</v>
      </c>
    </row>
    <row r="615" spans="1:36" x14ac:dyDescent="0.35">
      <c r="B615" s="1" t="s">
        <v>57</v>
      </c>
      <c r="C615" s="3">
        <f>AVERAGE(Table2121418198598116[QB PY])</f>
        <v>212.88235294117646</v>
      </c>
      <c r="D615" s="3">
        <f>AVERAGE(Table2121418198598116[P TD])</f>
        <v>1.1764705882352942</v>
      </c>
      <c r="E615" s="3">
        <f>AVERAGE(Table2121418198598116[QB RY])</f>
        <v>16.882352941176471</v>
      </c>
      <c r="F615" s="3">
        <f>AVERAGE(Table2121418198598116[RB1 RY])</f>
        <v>52.294117647058826</v>
      </c>
      <c r="G615" s="3">
        <f>AVERAGE(Table2121418198598116[RB2+ RY])</f>
        <v>20.588235294117649</v>
      </c>
      <c r="H615" s="3">
        <f>AVERAGE(Table2121418198598116[WR RY])</f>
        <v>1.8823529411764706</v>
      </c>
      <c r="I615" s="3">
        <f>AVERAGE(Table2121418198598116[RB1 Recep])</f>
        <v>3.5294117647058822</v>
      </c>
      <c r="J615" s="3">
        <f>AVERAGE(Table2121418198598116[RB1 RecY])</f>
        <v>25.647058823529413</v>
      </c>
      <c r="K615" s="3">
        <f>AVERAGE(Table2121418198598116[RB2 Recep])</f>
        <v>2.1764705882352939</v>
      </c>
      <c r="L615" s="3">
        <f>AVERAGE(Table2121418198598116[RB2 RecY])</f>
        <v>12</v>
      </c>
      <c r="M615" s="3">
        <f>AVERAGE(Table2121418198598116[WR1 Recep])</f>
        <v>4.882352941176471</v>
      </c>
      <c r="N615" s="3">
        <f>AVERAGE(Table2121418198598116[WR1 RecY])</f>
        <v>54.882352941176471</v>
      </c>
      <c r="O615" s="3">
        <f>AVERAGE(Table2121418198598116[WR2 Recep])</f>
        <v>2.7058823529411766</v>
      </c>
      <c r="P615" s="3">
        <f>AVERAGE(Table2121418198598116[WR2 RecY])</f>
        <v>30.117647058823529</v>
      </c>
      <c r="Q615" s="3">
        <f>AVERAGE(Table2121418198598116[WR3 Recep])</f>
        <v>1.7058823529411764</v>
      </c>
      <c r="R615" s="3">
        <f>AVERAGE(Table2121418198598116[WR3 RecY])</f>
        <v>16.176470588235293</v>
      </c>
      <c r="S615" s="3">
        <f>AVERAGE(Table2121418198598116[WR4+ Recep])</f>
        <v>0.88235294117647056</v>
      </c>
      <c r="T615" s="3">
        <f>AVERAGE(Table2121418198598116[WR4+ RecY])</f>
        <v>10.529411764705882</v>
      </c>
      <c r="U615" s="3">
        <f>AVERAGE(Table2121418198598116[TE1 Recep])</f>
        <v>4.4705882352941178</v>
      </c>
      <c r="V615" s="3">
        <f>AVERAGE(Table2121418198598116[TE1 RecY])</f>
        <v>47.823529411764703</v>
      </c>
      <c r="W615" s="3">
        <f>AVERAGE(Table2121418198598116[TE2 Recep])</f>
        <v>1.7058823529411764</v>
      </c>
      <c r="X615" s="3">
        <f>AVERAGE(Table2121418198598116[TE2 RecY])</f>
        <v>15.705882352941176</v>
      </c>
      <c r="Y615" s="3">
        <f>AVERAGE(Table2121418198598116[QB TD])</f>
        <v>0.17647058823529413</v>
      </c>
      <c r="Z615" s="3">
        <f>AVERAGE(Table2121418198598116[RB1 TD])</f>
        <v>0.29411764705882354</v>
      </c>
      <c r="AA615" s="3">
        <f>AVERAGE(Table2121418198598116[RB2 TD])</f>
        <v>0.11764705882352941</v>
      </c>
      <c r="AB615" s="3">
        <f>AVERAGE(Table2121418198598116[WR1 TD])</f>
        <v>0.47058823529411764</v>
      </c>
      <c r="AC615" s="3">
        <f>AVERAGE(Table2121418198598116[WR2 TD])</f>
        <v>5.8823529411764705E-2</v>
      </c>
      <c r="AD615" s="3">
        <f>AVERAGE(Table2121418198598116[WR3 TD])</f>
        <v>0.17647058823529413</v>
      </c>
      <c r="AE615" s="3">
        <f>AVERAGE(Table2121418198598116[WR4+ TD])</f>
        <v>5.8823529411764705E-2</v>
      </c>
      <c r="AF615" s="3">
        <f>AVERAGE(Table2121418198598116[TE1 TD])</f>
        <v>0.11764705882352941</v>
      </c>
      <c r="AG615" s="3">
        <f>AVERAGE(Table2121418198598116[TE2 TD])</f>
        <v>0.23529411764705882</v>
      </c>
      <c r="AH615" s="3">
        <f>AVERAGE(Table2121418198598116[D/ST TD])</f>
        <v>0.11764705882352941</v>
      </c>
      <c r="AI615" s="3">
        <f>AVERAGE(Table2121418198598116[QB P+R])</f>
        <v>229.76470588235293</v>
      </c>
      <c r="AJ615" s="3">
        <f>AVERAGE(Table2121418198598116[RB R+R])</f>
        <v>110.52941176470588</v>
      </c>
    </row>
    <row r="617" spans="1:36" x14ac:dyDescent="0.35">
      <c r="A617" s="230" t="s">
        <v>53</v>
      </c>
      <c r="B617" s="230"/>
      <c r="C617" s="230"/>
      <c r="D617" s="230"/>
      <c r="E617" s="230"/>
      <c r="F617" s="230"/>
      <c r="G617" s="23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  <c r="AF617" s="230"/>
      <c r="AG617" s="230"/>
      <c r="AH617" s="230"/>
      <c r="AI617" s="230"/>
      <c r="AJ617" s="230"/>
    </row>
    <row r="618" spans="1:36" x14ac:dyDescent="0.35">
      <c r="A618" s="20" t="s">
        <v>63</v>
      </c>
      <c r="B618" s="6" t="s">
        <v>1</v>
      </c>
      <c r="C618" s="7" t="s">
        <v>18</v>
      </c>
      <c r="D618" s="8" t="s">
        <v>19</v>
      </c>
      <c r="E618" s="9" t="s">
        <v>20</v>
      </c>
      <c r="F618" s="10" t="s">
        <v>21</v>
      </c>
      <c r="G618" s="11" t="s">
        <v>22</v>
      </c>
      <c r="H618" s="12" t="s">
        <v>23</v>
      </c>
      <c r="I618" s="13" t="s">
        <v>667</v>
      </c>
      <c r="J618" s="13" t="s">
        <v>668</v>
      </c>
      <c r="K618" s="13" t="s">
        <v>665</v>
      </c>
      <c r="L618" s="13" t="s">
        <v>666</v>
      </c>
      <c r="M618" s="14" t="s">
        <v>2</v>
      </c>
      <c r="N618" s="14" t="s">
        <v>24</v>
      </c>
      <c r="O618" s="15" t="s">
        <v>3</v>
      </c>
      <c r="P618" s="15" t="s">
        <v>25</v>
      </c>
      <c r="Q618" s="16" t="s">
        <v>4</v>
      </c>
      <c r="R618" s="16" t="s">
        <v>26</v>
      </c>
      <c r="S618" s="17" t="s">
        <v>5</v>
      </c>
      <c r="T618" s="17" t="s">
        <v>27</v>
      </c>
      <c r="U618" s="18" t="s">
        <v>669</v>
      </c>
      <c r="V618" s="18" t="s">
        <v>670</v>
      </c>
      <c r="W618" s="18" t="s">
        <v>675</v>
      </c>
      <c r="X618" s="18" t="s">
        <v>671</v>
      </c>
      <c r="Y618" s="6" t="s">
        <v>6</v>
      </c>
      <c r="Z618" s="6" t="s">
        <v>7</v>
      </c>
      <c r="AA618" s="6" t="s">
        <v>674</v>
      </c>
      <c r="AB618" s="6" t="s">
        <v>8</v>
      </c>
      <c r="AC618" s="6" t="s">
        <v>9</v>
      </c>
      <c r="AD618" s="6" t="s">
        <v>10</v>
      </c>
      <c r="AE618" s="6" t="s">
        <v>11</v>
      </c>
      <c r="AF618" s="6" t="s">
        <v>673</v>
      </c>
      <c r="AG618" s="6" t="s">
        <v>672</v>
      </c>
      <c r="AH618" s="6" t="s">
        <v>12</v>
      </c>
      <c r="AI618" s="8" t="s">
        <v>14</v>
      </c>
      <c r="AJ618" s="11" t="s">
        <v>13</v>
      </c>
    </row>
    <row r="619" spans="1:36" x14ac:dyDescent="0.35">
      <c r="A619" s="19" t="s">
        <v>52</v>
      </c>
      <c r="B619" s="5">
        <v>1</v>
      </c>
      <c r="C619" s="4">
        <v>150</v>
      </c>
      <c r="D619" s="4">
        <v>0</v>
      </c>
      <c r="E619" s="4">
        <v>15</v>
      </c>
      <c r="F619" s="4">
        <v>20</v>
      </c>
      <c r="G619" s="4">
        <v>47</v>
      </c>
      <c r="H619" s="4">
        <v>2</v>
      </c>
      <c r="I619" s="4">
        <v>3</v>
      </c>
      <c r="J619" s="4">
        <v>4</v>
      </c>
      <c r="K619" s="4">
        <v>0</v>
      </c>
      <c r="L619" s="4">
        <v>0</v>
      </c>
      <c r="M619" s="4">
        <v>9</v>
      </c>
      <c r="N619" s="4">
        <v>124</v>
      </c>
      <c r="O619" s="4">
        <v>2</v>
      </c>
      <c r="P619" s="4">
        <v>15</v>
      </c>
      <c r="Q619" s="4">
        <v>0</v>
      </c>
      <c r="R619" s="4">
        <v>0</v>
      </c>
      <c r="S619" s="4">
        <v>0</v>
      </c>
      <c r="T619" s="4">
        <v>0</v>
      </c>
      <c r="U619" s="4">
        <v>1</v>
      </c>
      <c r="V619" s="4">
        <v>0</v>
      </c>
      <c r="W619" s="4">
        <v>1</v>
      </c>
      <c r="X619" s="4">
        <v>7</v>
      </c>
      <c r="Y619" s="4">
        <v>0</v>
      </c>
      <c r="Z619" s="4">
        <v>0</v>
      </c>
      <c r="AA619" s="4">
        <v>1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f>Table2121418198598117[[#This Row],[QB PY]]+Table2121418198598117[[#This Row],[QB RY]]</f>
        <v>165</v>
      </c>
      <c r="AJ619" s="4">
        <f>Table2121418198598117[[#This Row],[RB1 RY]]+Table2121418198598117[[#This Row],[RB2+ RY]]+Table2121418198598117[[#This Row],[RB1 RecY]]+Table2121418198598117[[#This Row],[RB2 RecY]]</f>
        <v>71</v>
      </c>
    </row>
    <row r="620" spans="1:36" x14ac:dyDescent="0.35">
      <c r="A620" s="19" t="s">
        <v>47</v>
      </c>
      <c r="B620" s="1">
        <v>2</v>
      </c>
      <c r="C620" s="2">
        <v>207</v>
      </c>
      <c r="D620" s="2">
        <v>3</v>
      </c>
      <c r="E620" s="2">
        <v>14</v>
      </c>
      <c r="F620" s="2">
        <v>99</v>
      </c>
      <c r="G620" s="2">
        <v>8</v>
      </c>
      <c r="H620" s="2">
        <v>0</v>
      </c>
      <c r="I620" s="2">
        <v>6</v>
      </c>
      <c r="J620" s="2">
        <v>21</v>
      </c>
      <c r="K620" s="2">
        <v>1</v>
      </c>
      <c r="L620" s="2">
        <v>2</v>
      </c>
      <c r="M620" s="2">
        <v>6</v>
      </c>
      <c r="N620" s="2">
        <v>54</v>
      </c>
      <c r="O620" s="2">
        <v>4</v>
      </c>
      <c r="P620" s="2">
        <v>52</v>
      </c>
      <c r="Q620" s="2">
        <v>2</v>
      </c>
      <c r="R620" s="2">
        <v>26</v>
      </c>
      <c r="S620" s="2">
        <v>1</v>
      </c>
      <c r="T620" s="2">
        <v>3</v>
      </c>
      <c r="U620" s="2">
        <v>5</v>
      </c>
      <c r="V620" s="2">
        <v>49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1</v>
      </c>
      <c r="AD620" s="2">
        <v>0</v>
      </c>
      <c r="AE620" s="2">
        <v>1</v>
      </c>
      <c r="AF620" s="2">
        <v>1</v>
      </c>
      <c r="AG620" s="2">
        <v>0</v>
      </c>
      <c r="AH620" s="2">
        <v>0</v>
      </c>
      <c r="AI620" s="4">
        <f>Table2121418198598117[[#This Row],[QB PY]]+Table2121418198598117[[#This Row],[QB RY]]</f>
        <v>221</v>
      </c>
      <c r="AJ620" s="4">
        <f>Table2121418198598117[[#This Row],[RB1 RY]]+Table2121418198598117[[#This Row],[RB2+ RY]]+Table2121418198598117[[#This Row],[RB1 RecY]]+Table2121418198598117[[#This Row],[RB2 RecY]]</f>
        <v>130</v>
      </c>
    </row>
    <row r="621" spans="1:36" x14ac:dyDescent="0.35">
      <c r="A621" s="19" t="s">
        <v>0</v>
      </c>
      <c r="B621" s="1">
        <v>3</v>
      </c>
      <c r="C621" s="2">
        <v>159</v>
      </c>
      <c r="D621" s="2">
        <v>1</v>
      </c>
      <c r="E621" s="2">
        <v>37</v>
      </c>
      <c r="F621" s="2">
        <v>22</v>
      </c>
      <c r="G621" s="2">
        <v>42</v>
      </c>
      <c r="H621" s="2">
        <v>5</v>
      </c>
      <c r="I621" s="2">
        <v>3</v>
      </c>
      <c r="J621" s="2">
        <v>15</v>
      </c>
      <c r="K621" s="2">
        <v>3</v>
      </c>
      <c r="L621" s="2">
        <v>9</v>
      </c>
      <c r="M621" s="2">
        <v>3</v>
      </c>
      <c r="N621" s="2">
        <v>44</v>
      </c>
      <c r="O621" s="2">
        <v>1</v>
      </c>
      <c r="P621" s="2">
        <v>5</v>
      </c>
      <c r="Q621" s="2">
        <v>2</v>
      </c>
      <c r="R621" s="2">
        <v>25</v>
      </c>
      <c r="S621" s="2">
        <v>2</v>
      </c>
      <c r="T621" s="2">
        <v>3</v>
      </c>
      <c r="U621" s="2">
        <v>5</v>
      </c>
      <c r="V621" s="2">
        <v>43</v>
      </c>
      <c r="W621" s="2">
        <v>3</v>
      </c>
      <c r="X621" s="2">
        <v>15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1</v>
      </c>
      <c r="AG621" s="2">
        <v>0</v>
      </c>
      <c r="AH621" s="2">
        <v>0</v>
      </c>
      <c r="AI621" s="4">
        <f>Table2121418198598117[[#This Row],[QB PY]]+Table2121418198598117[[#This Row],[QB RY]]</f>
        <v>196</v>
      </c>
      <c r="AJ621" s="4">
        <f>Table2121418198598117[[#This Row],[RB1 RY]]+Table2121418198598117[[#This Row],[RB2+ RY]]+Table2121418198598117[[#This Row],[RB1 RecY]]+Table2121418198598117[[#This Row],[RB2 RecY]]</f>
        <v>88</v>
      </c>
    </row>
    <row r="622" spans="1:36" x14ac:dyDescent="0.35">
      <c r="A622" s="19" t="s">
        <v>39</v>
      </c>
      <c r="B622" s="1">
        <v>4</v>
      </c>
      <c r="C622" s="2">
        <v>174</v>
      </c>
      <c r="D622" s="2">
        <v>1</v>
      </c>
      <c r="E622" s="2">
        <v>7</v>
      </c>
      <c r="F622" s="2">
        <v>124</v>
      </c>
      <c r="G622" s="2">
        <v>14</v>
      </c>
      <c r="H622" s="2">
        <v>6</v>
      </c>
      <c r="I622" s="2">
        <v>1</v>
      </c>
      <c r="J622" s="2">
        <v>1</v>
      </c>
      <c r="K622" s="2">
        <v>2</v>
      </c>
      <c r="L622" s="2">
        <v>15</v>
      </c>
      <c r="M622" s="2">
        <v>5</v>
      </c>
      <c r="N622" s="2">
        <v>49</v>
      </c>
      <c r="O622" s="2">
        <v>3</v>
      </c>
      <c r="P622" s="2">
        <v>42</v>
      </c>
      <c r="Q622" s="2">
        <v>0</v>
      </c>
      <c r="R622" s="2">
        <v>0</v>
      </c>
      <c r="S622" s="2">
        <v>1</v>
      </c>
      <c r="T622" s="2">
        <v>-1</v>
      </c>
      <c r="U622" s="2">
        <v>6</v>
      </c>
      <c r="V622" s="2">
        <v>45</v>
      </c>
      <c r="W622" s="2">
        <v>3</v>
      </c>
      <c r="X622" s="2">
        <v>23</v>
      </c>
      <c r="Y622" s="2">
        <v>0</v>
      </c>
      <c r="Z622" s="2">
        <v>1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1</v>
      </c>
      <c r="AH622" s="2">
        <v>1</v>
      </c>
      <c r="AI622" s="4">
        <f>Table2121418198598117[[#This Row],[QB PY]]+Table2121418198598117[[#This Row],[QB RY]]</f>
        <v>181</v>
      </c>
      <c r="AJ622" s="4">
        <f>Table2121418198598117[[#This Row],[RB1 RY]]+Table2121418198598117[[#This Row],[RB2+ RY]]+Table2121418198598117[[#This Row],[RB1 RecY]]+Table2121418198598117[[#This Row],[RB2 RecY]]</f>
        <v>154</v>
      </c>
    </row>
    <row r="623" spans="1:36" x14ac:dyDescent="0.35">
      <c r="A623" s="19" t="s">
        <v>42</v>
      </c>
      <c r="B623" s="1">
        <v>5</v>
      </c>
      <c r="C623" s="2">
        <v>389</v>
      </c>
      <c r="D623" s="2">
        <v>3</v>
      </c>
      <c r="E623" s="2">
        <v>0</v>
      </c>
      <c r="F623" s="2">
        <v>65</v>
      </c>
      <c r="G623" s="2">
        <v>13</v>
      </c>
      <c r="H623" s="2">
        <v>0</v>
      </c>
      <c r="I623" s="2">
        <v>8</v>
      </c>
      <c r="J623" s="2">
        <v>66</v>
      </c>
      <c r="K623" s="2">
        <v>0</v>
      </c>
      <c r="L623" s="2">
        <v>0</v>
      </c>
      <c r="M623" s="2">
        <v>10</v>
      </c>
      <c r="N623" s="2">
        <v>85</v>
      </c>
      <c r="O623" s="2">
        <v>5</v>
      </c>
      <c r="P623" s="2">
        <v>88</v>
      </c>
      <c r="Q623" s="2">
        <v>2</v>
      </c>
      <c r="R623" s="2">
        <v>33</v>
      </c>
      <c r="S623" s="2">
        <v>2</v>
      </c>
      <c r="T623" s="2">
        <v>72</v>
      </c>
      <c r="U623" s="2">
        <v>2</v>
      </c>
      <c r="V623" s="2">
        <v>24</v>
      </c>
      <c r="W623" s="2">
        <v>1</v>
      </c>
      <c r="X623" s="2">
        <v>21</v>
      </c>
      <c r="Y623" s="2">
        <v>0</v>
      </c>
      <c r="Z623" s="2">
        <v>2</v>
      </c>
      <c r="AA623" s="2">
        <v>0</v>
      </c>
      <c r="AB623" s="2">
        <v>1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4">
        <f>Table2121418198598117[[#This Row],[QB PY]]+Table2121418198598117[[#This Row],[QB RY]]</f>
        <v>389</v>
      </c>
      <c r="AJ623" s="4">
        <f>Table2121418198598117[[#This Row],[RB1 RY]]+Table2121418198598117[[#This Row],[RB2+ RY]]+Table2121418198598117[[#This Row],[RB1 RecY]]+Table2121418198598117[[#This Row],[RB2 RecY]]</f>
        <v>144</v>
      </c>
    </row>
    <row r="624" spans="1:36" x14ac:dyDescent="0.35">
      <c r="A624" s="19" t="s">
        <v>54</v>
      </c>
      <c r="B624" s="1">
        <v>6</v>
      </c>
      <c r="C624" s="2">
        <v>256</v>
      </c>
      <c r="D624" s="2">
        <v>2</v>
      </c>
      <c r="E624" s="2">
        <v>14</v>
      </c>
      <c r="F624" s="2">
        <v>65</v>
      </c>
      <c r="G624" s="2">
        <v>25</v>
      </c>
      <c r="H624" s="2">
        <v>0</v>
      </c>
      <c r="I624" s="2">
        <v>3</v>
      </c>
      <c r="J624" s="2">
        <v>21</v>
      </c>
      <c r="K624" s="2">
        <v>0</v>
      </c>
      <c r="L624" s="2">
        <v>0</v>
      </c>
      <c r="M624" s="2">
        <v>2</v>
      </c>
      <c r="N624" s="2">
        <v>24</v>
      </c>
      <c r="O624" s="2">
        <v>2</v>
      </c>
      <c r="P624" s="2">
        <v>51</v>
      </c>
      <c r="Q624" s="2">
        <v>4</v>
      </c>
      <c r="R624" s="2">
        <v>64</v>
      </c>
      <c r="S624" s="2">
        <v>1</v>
      </c>
      <c r="T624" s="2">
        <v>45</v>
      </c>
      <c r="U624" s="2">
        <v>5</v>
      </c>
      <c r="V624" s="2">
        <v>51</v>
      </c>
      <c r="W624" s="2">
        <v>0</v>
      </c>
      <c r="X624" s="2">
        <v>0</v>
      </c>
      <c r="Y624" s="2">
        <v>0</v>
      </c>
      <c r="Z624" s="2">
        <v>1</v>
      </c>
      <c r="AA624" s="2">
        <v>1</v>
      </c>
      <c r="AB624" s="2">
        <v>0</v>
      </c>
      <c r="AC624" s="2">
        <v>0</v>
      </c>
      <c r="AD624" s="2">
        <v>1</v>
      </c>
      <c r="AE624" s="2">
        <v>1</v>
      </c>
      <c r="AF624" s="2">
        <v>0</v>
      </c>
      <c r="AG624" s="2">
        <v>0</v>
      </c>
      <c r="AH624" s="2">
        <v>0</v>
      </c>
      <c r="AI624" s="4">
        <f>Table2121418198598117[[#This Row],[QB PY]]+Table2121418198598117[[#This Row],[QB RY]]</f>
        <v>270</v>
      </c>
      <c r="AJ624" s="4">
        <f>Table2121418198598117[[#This Row],[RB1 RY]]+Table2121418198598117[[#This Row],[RB2+ RY]]+Table2121418198598117[[#This Row],[RB1 RecY]]+Table2121418198598117[[#This Row],[RB2 RecY]]</f>
        <v>111</v>
      </c>
    </row>
    <row r="625" spans="1:36" x14ac:dyDescent="0.35">
      <c r="A625" s="19" t="s">
        <v>15</v>
      </c>
      <c r="B625" s="1">
        <v>7</v>
      </c>
      <c r="C625" s="2">
        <v>241</v>
      </c>
      <c r="D625" s="2">
        <v>1</v>
      </c>
      <c r="E625" s="2">
        <v>6</v>
      </c>
      <c r="F625" s="2">
        <v>40</v>
      </c>
      <c r="G625" s="2">
        <v>16</v>
      </c>
      <c r="H625" s="2">
        <v>0</v>
      </c>
      <c r="I625" s="2">
        <v>6</v>
      </c>
      <c r="J625" s="2">
        <v>52</v>
      </c>
      <c r="K625" s="2">
        <v>0</v>
      </c>
      <c r="L625" s="2">
        <v>0</v>
      </c>
      <c r="M625" s="2">
        <v>4</v>
      </c>
      <c r="N625" s="2">
        <v>42</v>
      </c>
      <c r="O625" s="2">
        <v>3</v>
      </c>
      <c r="P625" s="2">
        <v>68</v>
      </c>
      <c r="Q625" s="2">
        <v>1</v>
      </c>
      <c r="R625" s="2">
        <v>17</v>
      </c>
      <c r="S625" s="2">
        <v>0</v>
      </c>
      <c r="T625" s="2">
        <v>0</v>
      </c>
      <c r="U625" s="2">
        <v>7</v>
      </c>
      <c r="V625" s="2">
        <v>62</v>
      </c>
      <c r="W625" s="2">
        <v>0</v>
      </c>
      <c r="X625" s="2">
        <v>0</v>
      </c>
      <c r="Y625" s="2">
        <v>0</v>
      </c>
      <c r="Z625" s="2">
        <v>1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4">
        <f>Table2121418198598117[[#This Row],[QB PY]]+Table2121418198598117[[#This Row],[QB RY]]</f>
        <v>247</v>
      </c>
      <c r="AJ625" s="4">
        <f>Table2121418198598117[[#This Row],[RB1 RY]]+Table2121418198598117[[#This Row],[RB2+ RY]]+Table2121418198598117[[#This Row],[RB1 RecY]]+Table2121418198598117[[#This Row],[RB2 RecY]]</f>
        <v>108</v>
      </c>
    </row>
    <row r="626" spans="1:36" x14ac:dyDescent="0.35">
      <c r="A626" s="19" t="s">
        <v>37</v>
      </c>
      <c r="B626" s="1">
        <v>8</v>
      </c>
      <c r="C626" s="2">
        <v>318</v>
      </c>
      <c r="D626" s="2">
        <v>2</v>
      </c>
      <c r="E626" s="2">
        <v>30</v>
      </c>
      <c r="F626" s="2">
        <v>62</v>
      </c>
      <c r="G626" s="2">
        <v>65</v>
      </c>
      <c r="H626" s="2">
        <v>0</v>
      </c>
      <c r="I626" s="2">
        <v>4</v>
      </c>
      <c r="J626" s="2">
        <v>49</v>
      </c>
      <c r="K626" s="2">
        <v>3</v>
      </c>
      <c r="L626" s="2">
        <v>21</v>
      </c>
      <c r="M626" s="2">
        <v>4</v>
      </c>
      <c r="N626" s="2">
        <v>34</v>
      </c>
      <c r="O626" s="2">
        <v>5</v>
      </c>
      <c r="P626" s="2">
        <v>69</v>
      </c>
      <c r="Q626" s="2">
        <v>5</v>
      </c>
      <c r="R626" s="2">
        <v>63</v>
      </c>
      <c r="S626" s="2">
        <v>7</v>
      </c>
      <c r="T626" s="2">
        <v>58</v>
      </c>
      <c r="U626" s="2">
        <v>2</v>
      </c>
      <c r="V626" s="2">
        <v>24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1</v>
      </c>
      <c r="AC626" s="2">
        <v>1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4">
        <f>Table2121418198598117[[#This Row],[QB PY]]+Table2121418198598117[[#This Row],[QB RY]]</f>
        <v>348</v>
      </c>
      <c r="AJ626" s="4">
        <f>Table2121418198598117[[#This Row],[RB1 RY]]+Table2121418198598117[[#This Row],[RB2+ RY]]+Table2121418198598117[[#This Row],[RB1 RecY]]+Table2121418198598117[[#This Row],[RB2 RecY]]</f>
        <v>197</v>
      </c>
    </row>
    <row r="627" spans="1:36" x14ac:dyDescent="0.35">
      <c r="A627" s="19" t="s">
        <v>48</v>
      </c>
      <c r="B627" s="1">
        <v>9</v>
      </c>
      <c r="C627" s="2">
        <v>191</v>
      </c>
      <c r="D627" s="2">
        <v>2</v>
      </c>
      <c r="E627" s="2">
        <v>56</v>
      </c>
      <c r="F627" s="2">
        <v>43</v>
      </c>
      <c r="G627" s="2">
        <v>18</v>
      </c>
      <c r="H627" s="2">
        <v>0</v>
      </c>
      <c r="I627" s="2">
        <v>3</v>
      </c>
      <c r="J627" s="2">
        <v>19</v>
      </c>
      <c r="K627" s="2">
        <v>2</v>
      </c>
      <c r="L627" s="2">
        <v>8</v>
      </c>
      <c r="M627" s="2">
        <v>9</v>
      </c>
      <c r="N627" s="2">
        <v>46</v>
      </c>
      <c r="O627" s="2">
        <v>5</v>
      </c>
      <c r="P627" s="2">
        <v>62</v>
      </c>
      <c r="Q627" s="2">
        <v>1</v>
      </c>
      <c r="R627" s="2">
        <v>24</v>
      </c>
      <c r="S627" s="2">
        <v>1</v>
      </c>
      <c r="T627" s="2">
        <v>5</v>
      </c>
      <c r="U627" s="2">
        <v>3</v>
      </c>
      <c r="V627" s="2">
        <v>27</v>
      </c>
      <c r="W627" s="2">
        <v>0</v>
      </c>
      <c r="X627" s="2">
        <v>0</v>
      </c>
      <c r="Y627" s="2">
        <v>1</v>
      </c>
      <c r="Z627" s="2">
        <v>0</v>
      </c>
      <c r="AA627" s="2">
        <v>0</v>
      </c>
      <c r="AB627" s="2">
        <v>0</v>
      </c>
      <c r="AC627" s="2">
        <v>0</v>
      </c>
      <c r="AD627" s="2">
        <v>1</v>
      </c>
      <c r="AE627" s="2">
        <v>0</v>
      </c>
      <c r="AF627" s="2">
        <v>1</v>
      </c>
      <c r="AG627" s="2">
        <v>0</v>
      </c>
      <c r="AH627" s="2">
        <v>0</v>
      </c>
      <c r="AI627" s="4">
        <f>Table2121418198598117[[#This Row],[QB PY]]+Table2121418198598117[[#This Row],[QB RY]]</f>
        <v>247</v>
      </c>
      <c r="AJ627" s="4">
        <f>Table2121418198598117[[#This Row],[RB1 RY]]+Table2121418198598117[[#This Row],[RB2+ RY]]+Table2121418198598117[[#This Row],[RB1 RecY]]+Table2121418198598117[[#This Row],[RB2 RecY]]</f>
        <v>88</v>
      </c>
    </row>
    <row r="628" spans="1:36" x14ac:dyDescent="0.35">
      <c r="A628" s="19" t="s">
        <v>42</v>
      </c>
      <c r="B628" s="1">
        <v>10</v>
      </c>
      <c r="C628" s="2">
        <v>280</v>
      </c>
      <c r="D628" s="2">
        <v>4</v>
      </c>
      <c r="E628" s="2">
        <v>-3</v>
      </c>
      <c r="F628" s="2">
        <v>73</v>
      </c>
      <c r="G628" s="2">
        <v>56</v>
      </c>
      <c r="H628" s="2">
        <v>0</v>
      </c>
      <c r="I628" s="2">
        <v>2</v>
      </c>
      <c r="J628" s="2">
        <v>11</v>
      </c>
      <c r="K628" s="2">
        <v>0</v>
      </c>
      <c r="L628" s="2">
        <v>0</v>
      </c>
      <c r="M628" s="2">
        <v>5</v>
      </c>
      <c r="N628" s="2">
        <v>64</v>
      </c>
      <c r="O628" s="2">
        <v>6</v>
      </c>
      <c r="P628" s="2">
        <v>77</v>
      </c>
      <c r="Q628" s="2">
        <v>1</v>
      </c>
      <c r="R628" s="2">
        <v>14</v>
      </c>
      <c r="S628" s="2">
        <v>0</v>
      </c>
      <c r="T628" s="2">
        <v>0</v>
      </c>
      <c r="U628" s="2">
        <v>3</v>
      </c>
      <c r="V628" s="2">
        <v>33</v>
      </c>
      <c r="W628" s="2">
        <v>7</v>
      </c>
      <c r="X628" s="2">
        <v>81</v>
      </c>
      <c r="Y628" s="2">
        <v>0</v>
      </c>
      <c r="Z628" s="2">
        <v>2</v>
      </c>
      <c r="AA628" s="2">
        <v>0</v>
      </c>
      <c r="AB628" s="2">
        <v>1</v>
      </c>
      <c r="AC628" s="2">
        <v>1</v>
      </c>
      <c r="AD628" s="2">
        <v>0</v>
      </c>
      <c r="AE628" s="2">
        <v>0</v>
      </c>
      <c r="AF628" s="2">
        <v>0</v>
      </c>
      <c r="AG628" s="2">
        <v>2</v>
      </c>
      <c r="AH628" s="2">
        <v>0</v>
      </c>
      <c r="AI628" s="4">
        <f>Table2121418198598117[[#This Row],[QB PY]]+Table2121418198598117[[#This Row],[QB RY]]</f>
        <v>277</v>
      </c>
      <c r="AJ628" s="4">
        <f>Table2121418198598117[[#This Row],[RB1 RY]]+Table2121418198598117[[#This Row],[RB2+ RY]]+Table2121418198598117[[#This Row],[RB1 RecY]]+Table2121418198598117[[#This Row],[RB2 RecY]]</f>
        <v>140</v>
      </c>
    </row>
    <row r="629" spans="1:36" x14ac:dyDescent="0.35">
      <c r="A629" s="19" t="s">
        <v>0</v>
      </c>
      <c r="B629" s="1">
        <v>11</v>
      </c>
      <c r="C629" s="2">
        <v>452</v>
      </c>
      <c r="D629" s="2">
        <v>2</v>
      </c>
      <c r="E629" s="2">
        <v>-2</v>
      </c>
      <c r="F629" s="2">
        <v>24</v>
      </c>
      <c r="G629" s="2">
        <v>14</v>
      </c>
      <c r="H629" s="2">
        <v>0</v>
      </c>
      <c r="I629" s="2">
        <v>4</v>
      </c>
      <c r="J629" s="2">
        <v>21</v>
      </c>
      <c r="K629" s="2">
        <v>7</v>
      </c>
      <c r="L629" s="2">
        <v>34</v>
      </c>
      <c r="M629" s="2">
        <v>15</v>
      </c>
      <c r="N629" s="2">
        <v>185</v>
      </c>
      <c r="O629" s="2">
        <v>6</v>
      </c>
      <c r="P629" s="2">
        <v>66</v>
      </c>
      <c r="Q629" s="2">
        <v>2</v>
      </c>
      <c r="R629" s="2">
        <v>15</v>
      </c>
      <c r="S629" s="2">
        <v>1</v>
      </c>
      <c r="T629" s="2">
        <v>5</v>
      </c>
      <c r="U629" s="2">
        <v>10</v>
      </c>
      <c r="V629" s="2">
        <v>115</v>
      </c>
      <c r="W629" s="2">
        <v>2</v>
      </c>
      <c r="X629" s="2">
        <v>11</v>
      </c>
      <c r="Y629" s="2">
        <v>0</v>
      </c>
      <c r="Z629" s="2">
        <v>1</v>
      </c>
      <c r="AA629" s="2">
        <v>0</v>
      </c>
      <c r="AB629" s="2">
        <v>0</v>
      </c>
      <c r="AC629" s="2">
        <v>1</v>
      </c>
      <c r="AD629" s="2">
        <v>0</v>
      </c>
      <c r="AE629" s="2">
        <v>0</v>
      </c>
      <c r="AF629" s="2">
        <v>1</v>
      </c>
      <c r="AG629" s="2">
        <v>0</v>
      </c>
      <c r="AH629" s="2">
        <v>0</v>
      </c>
      <c r="AI629" s="4">
        <f>Table2121418198598117[[#This Row],[QB PY]]+Table2121418198598117[[#This Row],[QB RY]]</f>
        <v>450</v>
      </c>
      <c r="AJ629" s="4">
        <f>Table2121418198598117[[#This Row],[RB1 RY]]+Table2121418198598117[[#This Row],[RB2+ RY]]+Table2121418198598117[[#This Row],[RB1 RecY]]+Table2121418198598117[[#This Row],[RB2 RecY]]</f>
        <v>93</v>
      </c>
    </row>
    <row r="630" spans="1:36" x14ac:dyDescent="0.35">
      <c r="A630" s="19" t="s">
        <v>29</v>
      </c>
      <c r="B630" s="1">
        <v>12</v>
      </c>
      <c r="C630" s="2">
        <v>169</v>
      </c>
      <c r="D630" s="2">
        <v>1</v>
      </c>
      <c r="E630" s="2">
        <v>15</v>
      </c>
      <c r="F630" s="2">
        <v>38</v>
      </c>
      <c r="G630" s="2">
        <v>16</v>
      </c>
      <c r="H630" s="2">
        <v>0</v>
      </c>
      <c r="I630" s="2">
        <v>4</v>
      </c>
      <c r="J630" s="2">
        <v>36</v>
      </c>
      <c r="K630" s="2">
        <v>4</v>
      </c>
      <c r="L630" s="2">
        <v>27</v>
      </c>
      <c r="M630" s="2">
        <v>2</v>
      </c>
      <c r="N630" s="2">
        <v>35</v>
      </c>
      <c r="O630" s="2">
        <v>3</v>
      </c>
      <c r="P630" s="2">
        <v>22</v>
      </c>
      <c r="Q630" s="2">
        <v>3</v>
      </c>
      <c r="R630" s="2">
        <v>32</v>
      </c>
      <c r="S630" s="2">
        <v>1</v>
      </c>
      <c r="T630" s="2">
        <v>11</v>
      </c>
      <c r="U630" s="2">
        <v>1</v>
      </c>
      <c r="V630" s="2">
        <v>6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1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4">
        <f>Table2121418198598117[[#This Row],[QB PY]]+Table2121418198598117[[#This Row],[QB RY]]</f>
        <v>184</v>
      </c>
      <c r="AJ630" s="4">
        <f>Table2121418198598117[[#This Row],[RB1 RY]]+Table2121418198598117[[#This Row],[RB2+ RY]]+Table2121418198598117[[#This Row],[RB1 RecY]]+Table2121418198598117[[#This Row],[RB2 RecY]]</f>
        <v>117</v>
      </c>
    </row>
    <row r="631" spans="1:36" x14ac:dyDescent="0.35">
      <c r="A631" s="19" t="s">
        <v>32</v>
      </c>
      <c r="B631" s="1">
        <v>13</v>
      </c>
      <c r="C631" s="2">
        <v>149</v>
      </c>
      <c r="D631" s="2">
        <v>1</v>
      </c>
      <c r="E631" s="2">
        <v>6</v>
      </c>
      <c r="F631" s="2">
        <v>91</v>
      </c>
      <c r="G631" s="2">
        <v>23</v>
      </c>
      <c r="H631" s="2">
        <v>18</v>
      </c>
      <c r="I631" s="2">
        <v>3</v>
      </c>
      <c r="J631" s="2">
        <v>18</v>
      </c>
      <c r="K631" s="2">
        <v>3</v>
      </c>
      <c r="L631" s="2">
        <v>17</v>
      </c>
      <c r="M631" s="2">
        <v>3</v>
      </c>
      <c r="N631" s="2">
        <v>26</v>
      </c>
      <c r="O631" s="2">
        <v>0</v>
      </c>
      <c r="P631" s="2">
        <v>0</v>
      </c>
      <c r="Q631" s="2">
        <v>1</v>
      </c>
      <c r="R631" s="2">
        <v>18</v>
      </c>
      <c r="S631" s="2">
        <v>2</v>
      </c>
      <c r="T631" s="2">
        <v>23</v>
      </c>
      <c r="U631" s="2">
        <v>2</v>
      </c>
      <c r="V631" s="2">
        <v>4</v>
      </c>
      <c r="W631" s="2">
        <v>3</v>
      </c>
      <c r="X631" s="2">
        <v>43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1</v>
      </c>
      <c r="AH631" s="2">
        <v>0</v>
      </c>
      <c r="AI631" s="4">
        <f>Table2121418198598117[[#This Row],[QB PY]]+Table2121418198598117[[#This Row],[QB RY]]</f>
        <v>155</v>
      </c>
      <c r="AJ631" s="4">
        <f>Table2121418198598117[[#This Row],[RB1 RY]]+Table2121418198598117[[#This Row],[RB2+ RY]]+Table2121418198598117[[#This Row],[RB1 RecY]]+Table2121418198598117[[#This Row],[RB2 RecY]]</f>
        <v>149</v>
      </c>
    </row>
    <row r="632" spans="1:36" x14ac:dyDescent="0.35">
      <c r="A632" s="19" t="s">
        <v>650</v>
      </c>
      <c r="B632" s="1">
        <v>14</v>
      </c>
      <c r="C632" s="2" t="s">
        <v>697</v>
      </c>
      <c r="D632" s="2" t="s">
        <v>697</v>
      </c>
      <c r="E632" s="2" t="s">
        <v>697</v>
      </c>
      <c r="F632" s="2" t="s">
        <v>697</v>
      </c>
      <c r="G632" s="2" t="s">
        <v>697</v>
      </c>
      <c r="H632" s="2" t="s">
        <v>697</v>
      </c>
      <c r="I632" s="2" t="s">
        <v>697</v>
      </c>
      <c r="J632" s="2" t="s">
        <v>697</v>
      </c>
      <c r="K632" s="2" t="s">
        <v>697</v>
      </c>
      <c r="L632" s="2" t="s">
        <v>697</v>
      </c>
      <c r="M632" s="2" t="s">
        <v>697</v>
      </c>
      <c r="N632" s="2" t="s">
        <v>697</v>
      </c>
      <c r="O632" s="2" t="s">
        <v>697</v>
      </c>
      <c r="P632" s="2" t="s">
        <v>697</v>
      </c>
      <c r="Q632" s="2" t="s">
        <v>697</v>
      </c>
      <c r="R632" s="2" t="s">
        <v>697</v>
      </c>
      <c r="S632" s="2" t="s">
        <v>697</v>
      </c>
      <c r="T632" s="2" t="s">
        <v>697</v>
      </c>
      <c r="U632" s="2" t="s">
        <v>697</v>
      </c>
      <c r="V632" s="2" t="s">
        <v>697</v>
      </c>
      <c r="W632" s="2" t="s">
        <v>697</v>
      </c>
      <c r="X632" s="2" t="s">
        <v>697</v>
      </c>
      <c r="Y632" s="2" t="s">
        <v>697</v>
      </c>
      <c r="Z632" s="2" t="s">
        <v>697</v>
      </c>
      <c r="AA632" s="2" t="s">
        <v>697</v>
      </c>
      <c r="AB632" s="2" t="s">
        <v>697</v>
      </c>
      <c r="AC632" s="2" t="s">
        <v>697</v>
      </c>
      <c r="AD632" s="2" t="s">
        <v>697</v>
      </c>
      <c r="AE632" s="2" t="s">
        <v>697</v>
      </c>
      <c r="AF632" s="2" t="s">
        <v>697</v>
      </c>
      <c r="AG632" s="2" t="s">
        <v>697</v>
      </c>
      <c r="AH632" s="2" t="s">
        <v>697</v>
      </c>
      <c r="AI632" s="4" t="s">
        <v>697</v>
      </c>
      <c r="AJ632" s="4" t="s">
        <v>697</v>
      </c>
    </row>
    <row r="633" spans="1:36" x14ac:dyDescent="0.35">
      <c r="A633" s="19" t="s">
        <v>55</v>
      </c>
      <c r="B633" s="1">
        <v>15</v>
      </c>
      <c r="C633" s="2">
        <v>170</v>
      </c>
      <c r="D633" s="2">
        <v>2</v>
      </c>
      <c r="E633" s="2">
        <v>2</v>
      </c>
      <c r="F633" s="2">
        <v>104</v>
      </c>
      <c r="G633" s="2">
        <v>37</v>
      </c>
      <c r="H633" s="2">
        <v>-7</v>
      </c>
      <c r="I633" s="2">
        <v>1</v>
      </c>
      <c r="J633" s="2">
        <v>8</v>
      </c>
      <c r="K633" s="2">
        <v>2</v>
      </c>
      <c r="L633" s="2">
        <v>2</v>
      </c>
      <c r="M633" s="2">
        <v>1</v>
      </c>
      <c r="N633" s="2">
        <v>17</v>
      </c>
      <c r="O633" s="2">
        <v>4</v>
      </c>
      <c r="P633" s="2">
        <v>17</v>
      </c>
      <c r="Q633" s="2">
        <v>1</v>
      </c>
      <c r="R633" s="2">
        <v>43</v>
      </c>
      <c r="S633" s="2">
        <v>0</v>
      </c>
      <c r="T633" s="2">
        <v>0</v>
      </c>
      <c r="U633" s="2">
        <v>4</v>
      </c>
      <c r="V633" s="2">
        <v>33</v>
      </c>
      <c r="W633" s="2">
        <v>5</v>
      </c>
      <c r="X633" s="2">
        <v>50</v>
      </c>
      <c r="Y633" s="2">
        <v>0</v>
      </c>
      <c r="Z633" s="2">
        <v>1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2</v>
      </c>
      <c r="AH633" s="2">
        <v>0</v>
      </c>
      <c r="AI633" s="4">
        <f>Table2121418198598117[[#This Row],[QB PY]]+Table2121418198598117[[#This Row],[QB RY]]</f>
        <v>172</v>
      </c>
      <c r="AJ633" s="4">
        <f>Table2121418198598117[[#This Row],[RB1 RY]]+Table2121418198598117[[#This Row],[RB2+ RY]]+Table2121418198598117[[#This Row],[RB1 RecY]]+Table2121418198598117[[#This Row],[RB2 RecY]]</f>
        <v>151</v>
      </c>
    </row>
    <row r="634" spans="1:36" x14ac:dyDescent="0.35">
      <c r="A634" s="19" t="s">
        <v>38</v>
      </c>
      <c r="B634" s="1">
        <v>16</v>
      </c>
      <c r="C634" s="2">
        <v>277</v>
      </c>
      <c r="D634" s="2">
        <v>2</v>
      </c>
      <c r="E634" s="2">
        <v>0</v>
      </c>
      <c r="F634" s="2">
        <v>46</v>
      </c>
      <c r="G634" s="2">
        <v>9</v>
      </c>
      <c r="H634" s="2">
        <v>3</v>
      </c>
      <c r="I634" s="2">
        <v>3</v>
      </c>
      <c r="J634" s="2">
        <v>33</v>
      </c>
      <c r="K634" s="2">
        <v>1</v>
      </c>
      <c r="L634" s="2">
        <v>4</v>
      </c>
      <c r="M634" s="2">
        <v>4</v>
      </c>
      <c r="N634" s="2">
        <v>32</v>
      </c>
      <c r="O634" s="2">
        <v>4</v>
      </c>
      <c r="P634" s="2">
        <v>86</v>
      </c>
      <c r="Q634" s="2">
        <v>5</v>
      </c>
      <c r="R634" s="2">
        <v>65</v>
      </c>
      <c r="S634" s="2">
        <v>0</v>
      </c>
      <c r="T634" s="2">
        <v>0</v>
      </c>
      <c r="U634" s="2">
        <v>3</v>
      </c>
      <c r="V634" s="2">
        <v>30</v>
      </c>
      <c r="W634" s="2">
        <v>3</v>
      </c>
      <c r="X634" s="2">
        <v>27</v>
      </c>
      <c r="Y634" s="2">
        <v>0</v>
      </c>
      <c r="Z634" s="2">
        <v>1</v>
      </c>
      <c r="AA634" s="2">
        <v>0</v>
      </c>
      <c r="AB634" s="2">
        <v>0</v>
      </c>
      <c r="AC634" s="2">
        <v>2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4">
        <f>Table2121418198598117[[#This Row],[QB PY]]+Table2121418198598117[[#This Row],[QB RY]]</f>
        <v>277</v>
      </c>
      <c r="AJ634" s="4">
        <f>Table2121418198598117[[#This Row],[RB1 RY]]+Table2121418198598117[[#This Row],[RB2+ RY]]+Table2121418198598117[[#This Row],[RB1 RecY]]+Table2121418198598117[[#This Row],[RB2 RecY]]</f>
        <v>92</v>
      </c>
    </row>
    <row r="635" spans="1:36" x14ac:dyDescent="0.35">
      <c r="A635" s="19" t="s">
        <v>30</v>
      </c>
      <c r="B635" s="1">
        <v>17</v>
      </c>
      <c r="C635" s="2">
        <v>330</v>
      </c>
      <c r="D635" s="2">
        <v>2</v>
      </c>
      <c r="E635" s="2">
        <v>18</v>
      </c>
      <c r="F635" s="2">
        <v>54</v>
      </c>
      <c r="G635" s="2">
        <v>38</v>
      </c>
      <c r="H635" s="2">
        <v>0</v>
      </c>
      <c r="I635" s="2">
        <v>2</v>
      </c>
      <c r="J635" s="2">
        <v>25</v>
      </c>
      <c r="K635" s="2">
        <v>3</v>
      </c>
      <c r="L635" s="2">
        <v>9</v>
      </c>
      <c r="M635" s="2">
        <v>1</v>
      </c>
      <c r="N635" s="2">
        <v>7</v>
      </c>
      <c r="O635" s="2">
        <v>8</v>
      </c>
      <c r="P635" s="2">
        <v>138</v>
      </c>
      <c r="Q635" s="2">
        <v>2</v>
      </c>
      <c r="R635" s="2">
        <v>30</v>
      </c>
      <c r="S635" s="2">
        <v>0</v>
      </c>
      <c r="T635" s="2">
        <v>0</v>
      </c>
      <c r="U635" s="2">
        <v>6</v>
      </c>
      <c r="V635" s="2">
        <v>94</v>
      </c>
      <c r="W635" s="2">
        <v>3</v>
      </c>
      <c r="X635" s="2">
        <v>27</v>
      </c>
      <c r="Y635" s="2">
        <v>0</v>
      </c>
      <c r="Z635" s="2">
        <v>2</v>
      </c>
      <c r="AA635" s="2">
        <v>0</v>
      </c>
      <c r="AB635" s="2">
        <v>0</v>
      </c>
      <c r="AC635" s="2">
        <v>1</v>
      </c>
      <c r="AD635" s="2">
        <v>0</v>
      </c>
      <c r="AE635" s="2">
        <v>0</v>
      </c>
      <c r="AF635" s="2">
        <v>1</v>
      </c>
      <c r="AG635" s="2">
        <v>0</v>
      </c>
      <c r="AH635" s="2">
        <v>1</v>
      </c>
      <c r="AI635" s="4">
        <f>Table2121418198598117[[#This Row],[QB PY]]+Table2121418198598117[[#This Row],[QB RY]]</f>
        <v>348</v>
      </c>
      <c r="AJ635" s="4">
        <f>Table2121418198598117[[#This Row],[RB1 RY]]+Table2121418198598117[[#This Row],[RB2+ RY]]+Table2121418198598117[[#This Row],[RB1 RecY]]+Table2121418198598117[[#This Row],[RB2 RecY]]</f>
        <v>126</v>
      </c>
    </row>
    <row r="636" spans="1:36" x14ac:dyDescent="0.35">
      <c r="A636" s="19" t="s">
        <v>52</v>
      </c>
      <c r="B636" s="1">
        <v>18</v>
      </c>
      <c r="C636" s="2">
        <v>198</v>
      </c>
      <c r="D636" s="2">
        <v>0</v>
      </c>
      <c r="E636" s="2">
        <v>9</v>
      </c>
      <c r="F636" s="2">
        <v>97</v>
      </c>
      <c r="G636" s="2">
        <v>74</v>
      </c>
      <c r="H636" s="2">
        <v>0</v>
      </c>
      <c r="I636" s="2">
        <v>4</v>
      </c>
      <c r="J636" s="2">
        <v>36</v>
      </c>
      <c r="K636" s="2">
        <v>3</v>
      </c>
      <c r="L636" s="2">
        <v>23</v>
      </c>
      <c r="M636" s="2">
        <v>6</v>
      </c>
      <c r="N636" s="2">
        <v>84</v>
      </c>
      <c r="O636" s="2">
        <v>2</v>
      </c>
      <c r="P636" s="2">
        <v>29</v>
      </c>
      <c r="Q636" s="2">
        <v>1</v>
      </c>
      <c r="R636" s="2">
        <v>2</v>
      </c>
      <c r="S636" s="2">
        <v>0</v>
      </c>
      <c r="T636" s="2">
        <v>0</v>
      </c>
      <c r="U636" s="2">
        <v>2</v>
      </c>
      <c r="V636" s="2">
        <v>14</v>
      </c>
      <c r="W636" s="2">
        <v>2</v>
      </c>
      <c r="X636" s="2">
        <v>10</v>
      </c>
      <c r="Y636" s="2">
        <v>0</v>
      </c>
      <c r="Z636" s="2">
        <v>0</v>
      </c>
      <c r="AA636" s="2">
        <v>1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4">
        <f>Table2121418198598117[[#This Row],[QB PY]]+Table2121418198598117[[#This Row],[QB RY]]</f>
        <v>207</v>
      </c>
      <c r="AJ636" s="4">
        <f>Table2121418198598117[[#This Row],[RB1 RY]]+Table2121418198598117[[#This Row],[RB2+ RY]]+Table2121418198598117[[#This Row],[RB1 RecY]]+Table2121418198598117[[#This Row],[RB2 RecY]]</f>
        <v>230</v>
      </c>
    </row>
    <row r="637" spans="1:36" x14ac:dyDescent="0.35">
      <c r="B637" s="1" t="s">
        <v>57</v>
      </c>
      <c r="C637" s="3">
        <f>AVERAGE(Table2121418198598117[QB PY])</f>
        <v>241.76470588235293</v>
      </c>
      <c r="D637" s="3">
        <f>AVERAGE(Table2121418198598117[P TD])</f>
        <v>1.7058823529411764</v>
      </c>
      <c r="E637" s="3">
        <f>AVERAGE(Table2121418198598117[QB RY])</f>
        <v>13.176470588235293</v>
      </c>
      <c r="F637" s="3">
        <f>AVERAGE(Table2121418198598117[RB1 RY])</f>
        <v>62.764705882352942</v>
      </c>
      <c r="G637" s="3">
        <f>AVERAGE(Table2121418198598117[RB2+ RY])</f>
        <v>30.294117647058822</v>
      </c>
      <c r="H637" s="3">
        <f>AVERAGE(Table2121418198598117[WR RY])</f>
        <v>1.588235294117647</v>
      </c>
      <c r="I637" s="3">
        <f>AVERAGE(Table2121418198598117[RB1 Recep])</f>
        <v>3.5294117647058822</v>
      </c>
      <c r="J637" s="3">
        <f>AVERAGE(Table2121418198598117[RB1 RecY])</f>
        <v>25.647058823529413</v>
      </c>
      <c r="K637" s="3">
        <f>AVERAGE(Table2121418198598117[RB2 Recep])</f>
        <v>2</v>
      </c>
      <c r="L637" s="3">
        <f>AVERAGE(Table2121418198598117[RB2 RecY])</f>
        <v>10.058823529411764</v>
      </c>
      <c r="M637" s="3">
        <f>AVERAGE(Table2121418198598117[WR1 Recep])</f>
        <v>5.2352941176470589</v>
      </c>
      <c r="N637" s="3">
        <f>AVERAGE(Table2121418198598117[WR1 RecY])</f>
        <v>56</v>
      </c>
      <c r="O637" s="3">
        <f>AVERAGE(Table2121418198598117[WR2 Recep])</f>
        <v>3.7058823529411766</v>
      </c>
      <c r="P637" s="3">
        <f>AVERAGE(Table2121418198598117[WR2 RecY])</f>
        <v>52.176470588235297</v>
      </c>
      <c r="Q637" s="3">
        <f>AVERAGE(Table2121418198598117[WR3 Recep])</f>
        <v>1.9411764705882353</v>
      </c>
      <c r="R637" s="3">
        <f>AVERAGE(Table2121418198598117[WR3 RecY])</f>
        <v>27.705882352941178</v>
      </c>
      <c r="S637" s="3">
        <f>AVERAGE(Table2121418198598117[WR4+ Recep])</f>
        <v>1.1176470588235294</v>
      </c>
      <c r="T637" s="3">
        <f>AVERAGE(Table2121418198598117[WR4+ RecY])</f>
        <v>13.176470588235293</v>
      </c>
      <c r="U637" s="3">
        <f>AVERAGE(Table2121418198598117[TE1 Recep])</f>
        <v>3.9411764705882355</v>
      </c>
      <c r="V637" s="3">
        <f>AVERAGE(Table2121418198598117[TE1 RecY])</f>
        <v>38.470588235294116</v>
      </c>
      <c r="W637" s="3">
        <f>AVERAGE(Table2121418198598117[TE2 Recep])</f>
        <v>1.9411764705882353</v>
      </c>
      <c r="X637" s="3">
        <f>AVERAGE(Table2121418198598117[TE2 RecY])</f>
        <v>18.529411764705884</v>
      </c>
      <c r="Y637" s="3">
        <f>AVERAGE(Table2121418198598117[QB TD])</f>
        <v>5.8823529411764705E-2</v>
      </c>
      <c r="Z637" s="3">
        <f>AVERAGE(Table2121418198598117[RB1 TD])</f>
        <v>0.70588235294117652</v>
      </c>
      <c r="AA637" s="3">
        <f>AVERAGE(Table2121418198598117[RB2 TD])</f>
        <v>0.17647058823529413</v>
      </c>
      <c r="AB637" s="3">
        <f>AVERAGE(Table2121418198598117[WR1 TD])</f>
        <v>0.23529411764705882</v>
      </c>
      <c r="AC637" s="3">
        <f>AVERAGE(Table2121418198598117[WR2 TD])</f>
        <v>0.41176470588235292</v>
      </c>
      <c r="AD637" s="3">
        <f>AVERAGE(Table2121418198598117[WR3 TD])</f>
        <v>0.11764705882352941</v>
      </c>
      <c r="AE637" s="3">
        <f>AVERAGE(Table2121418198598117[WR4+ TD])</f>
        <v>0.11764705882352941</v>
      </c>
      <c r="AF637" s="3">
        <f>AVERAGE(Table2121418198598117[TE1 TD])</f>
        <v>0.29411764705882354</v>
      </c>
      <c r="AG637" s="3">
        <f>AVERAGE(Table2121418198598117[TE2 TD])</f>
        <v>0.35294117647058826</v>
      </c>
      <c r="AH637" s="3">
        <f>AVERAGE(Table2121418198598117[D/ST TD])</f>
        <v>0.11764705882352941</v>
      </c>
      <c r="AI637" s="3">
        <f>AVERAGE(Table2121418198598117[QB P+R])</f>
        <v>254.94117647058823</v>
      </c>
      <c r="AJ637" s="3">
        <f>AVERAGE(Table2121418198598117[RB R+R])</f>
        <v>128.76470588235293</v>
      </c>
    </row>
    <row r="639" spans="1:36" x14ac:dyDescent="0.35">
      <c r="A639" s="230" t="s">
        <v>54</v>
      </c>
      <c r="B639" s="230"/>
      <c r="C639" s="230"/>
      <c r="D639" s="230"/>
      <c r="E639" s="230"/>
      <c r="F639" s="230"/>
      <c r="G639" s="23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  <c r="AF639" s="230"/>
      <c r="AG639" s="230"/>
      <c r="AH639" s="230"/>
      <c r="AI639" s="230"/>
      <c r="AJ639" s="230"/>
    </row>
    <row r="640" spans="1:36" x14ac:dyDescent="0.35">
      <c r="A640" s="20" t="s">
        <v>63</v>
      </c>
      <c r="B640" s="6" t="s">
        <v>1</v>
      </c>
      <c r="C640" s="7" t="s">
        <v>18</v>
      </c>
      <c r="D640" s="8" t="s">
        <v>19</v>
      </c>
      <c r="E640" s="9" t="s">
        <v>20</v>
      </c>
      <c r="F640" s="10" t="s">
        <v>21</v>
      </c>
      <c r="G640" s="11" t="s">
        <v>22</v>
      </c>
      <c r="H640" s="12" t="s">
        <v>23</v>
      </c>
      <c r="I640" s="13" t="s">
        <v>667</v>
      </c>
      <c r="J640" s="13" t="s">
        <v>668</v>
      </c>
      <c r="K640" s="13" t="s">
        <v>665</v>
      </c>
      <c r="L640" s="13" t="s">
        <v>666</v>
      </c>
      <c r="M640" s="14" t="s">
        <v>2</v>
      </c>
      <c r="N640" s="14" t="s">
        <v>24</v>
      </c>
      <c r="O640" s="15" t="s">
        <v>3</v>
      </c>
      <c r="P640" s="15" t="s">
        <v>25</v>
      </c>
      <c r="Q640" s="16" t="s">
        <v>4</v>
      </c>
      <c r="R640" s="16" t="s">
        <v>26</v>
      </c>
      <c r="S640" s="17" t="s">
        <v>5</v>
      </c>
      <c r="T640" s="17" t="s">
        <v>27</v>
      </c>
      <c r="U640" s="18" t="s">
        <v>669</v>
      </c>
      <c r="V640" s="18" t="s">
        <v>670</v>
      </c>
      <c r="W640" s="18" t="s">
        <v>675</v>
      </c>
      <c r="X640" s="18" t="s">
        <v>671</v>
      </c>
      <c r="Y640" s="6" t="s">
        <v>6</v>
      </c>
      <c r="Z640" s="6" t="s">
        <v>7</v>
      </c>
      <c r="AA640" s="6" t="s">
        <v>674</v>
      </c>
      <c r="AB640" s="6" t="s">
        <v>8</v>
      </c>
      <c r="AC640" s="6" t="s">
        <v>9</v>
      </c>
      <c r="AD640" s="6" t="s">
        <v>10</v>
      </c>
      <c r="AE640" s="6" t="s">
        <v>11</v>
      </c>
      <c r="AF640" s="6" t="s">
        <v>673</v>
      </c>
      <c r="AG640" s="6" t="s">
        <v>672</v>
      </c>
      <c r="AH640" s="6" t="s">
        <v>12</v>
      </c>
      <c r="AI640" s="8" t="s">
        <v>14</v>
      </c>
      <c r="AJ640" s="11" t="s">
        <v>13</v>
      </c>
    </row>
    <row r="641" spans="1:36" x14ac:dyDescent="0.35">
      <c r="A641" s="19" t="s">
        <v>15</v>
      </c>
      <c r="B641" s="5">
        <v>1</v>
      </c>
      <c r="C641" s="4">
        <v>298</v>
      </c>
      <c r="D641" s="4">
        <v>1</v>
      </c>
      <c r="E641" s="4">
        <v>21</v>
      </c>
      <c r="F641" s="4">
        <v>24</v>
      </c>
      <c r="G641" s="4">
        <v>24</v>
      </c>
      <c r="H641" s="4">
        <v>0</v>
      </c>
      <c r="I641" s="4">
        <v>6</v>
      </c>
      <c r="J641" s="4">
        <v>100</v>
      </c>
      <c r="K641" s="4">
        <v>0</v>
      </c>
      <c r="L641" s="4">
        <v>0</v>
      </c>
      <c r="M641" s="4">
        <v>8</v>
      </c>
      <c r="N641" s="4">
        <v>55</v>
      </c>
      <c r="O641" s="4">
        <v>3</v>
      </c>
      <c r="P641" s="4">
        <v>51</v>
      </c>
      <c r="Q641" s="4">
        <v>3</v>
      </c>
      <c r="R641" s="4">
        <v>33</v>
      </c>
      <c r="S641" s="4">
        <v>0</v>
      </c>
      <c r="T641" s="4">
        <v>0</v>
      </c>
      <c r="U641" s="4">
        <v>7</v>
      </c>
      <c r="V641" s="4">
        <v>59</v>
      </c>
      <c r="W641" s="4">
        <v>0</v>
      </c>
      <c r="X641" s="4">
        <v>0</v>
      </c>
      <c r="Y641" s="4">
        <v>1</v>
      </c>
      <c r="Z641" s="4">
        <v>1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f>Table2121418198598118[[#This Row],[QB PY]]+Table2121418198598118[[#This Row],[QB RY]]</f>
        <v>319</v>
      </c>
      <c r="AJ641" s="4">
        <f>Table2121418198598118[[#This Row],[RB1 RY]]+Table2121418198598118[[#This Row],[RB2+ RY]]+Table2121418198598118[[#This Row],[RB1 RecY]]+Table2121418198598118[[#This Row],[RB2 RecY]]</f>
        <v>148</v>
      </c>
    </row>
    <row r="642" spans="1:36" x14ac:dyDescent="0.35">
      <c r="A642" s="19" t="s">
        <v>37</v>
      </c>
      <c r="B642" s="1">
        <v>2</v>
      </c>
      <c r="C642" s="2">
        <v>207</v>
      </c>
      <c r="D642" s="2">
        <v>1</v>
      </c>
      <c r="E642" s="2">
        <v>27</v>
      </c>
      <c r="F642" s="2">
        <v>43</v>
      </c>
      <c r="G642" s="2">
        <v>14</v>
      </c>
      <c r="H642" s="2">
        <v>0</v>
      </c>
      <c r="I642" s="2">
        <v>2</v>
      </c>
      <c r="J642" s="2">
        <v>29</v>
      </c>
      <c r="K642" s="2">
        <v>1</v>
      </c>
      <c r="L642" s="2">
        <v>37</v>
      </c>
      <c r="M642" s="2">
        <v>3</v>
      </c>
      <c r="N642" s="2">
        <v>52</v>
      </c>
      <c r="O642" s="2">
        <v>2</v>
      </c>
      <c r="P642" s="2">
        <v>29</v>
      </c>
      <c r="Q642" s="2">
        <v>1</v>
      </c>
      <c r="R642" s="2">
        <v>28</v>
      </c>
      <c r="S642" s="2">
        <v>1</v>
      </c>
      <c r="T642" s="2">
        <v>3</v>
      </c>
      <c r="U642" s="2">
        <v>3</v>
      </c>
      <c r="V642" s="2">
        <v>29</v>
      </c>
      <c r="W642" s="2">
        <v>0</v>
      </c>
      <c r="X642" s="2">
        <v>0</v>
      </c>
      <c r="Y642" s="2">
        <v>0</v>
      </c>
      <c r="Z642" s="2">
        <v>1</v>
      </c>
      <c r="AA642" s="2">
        <v>0</v>
      </c>
      <c r="AB642" s="2">
        <v>1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4">
        <f>Table2121418198598118[[#This Row],[QB PY]]+Table2121418198598118[[#This Row],[QB RY]]</f>
        <v>234</v>
      </c>
      <c r="AJ642" s="4">
        <f>Table2121418198598118[[#This Row],[RB1 RY]]+Table2121418198598118[[#This Row],[RB2+ RY]]+Table2121418198598118[[#This Row],[RB1 RecY]]+Table2121418198598118[[#This Row],[RB2 RecY]]</f>
        <v>123</v>
      </c>
    </row>
    <row r="643" spans="1:36" x14ac:dyDescent="0.35">
      <c r="A643" s="19" t="s">
        <v>49</v>
      </c>
      <c r="B643" s="1">
        <v>3</v>
      </c>
      <c r="C643" s="2">
        <v>197</v>
      </c>
      <c r="D643" s="2">
        <v>2</v>
      </c>
      <c r="E643" s="2">
        <v>48</v>
      </c>
      <c r="F643" s="2">
        <v>21</v>
      </c>
      <c r="G643" s="2">
        <v>30</v>
      </c>
      <c r="H643" s="2">
        <v>0</v>
      </c>
      <c r="I643" s="2">
        <v>4</v>
      </c>
      <c r="J643" s="2">
        <v>31</v>
      </c>
      <c r="K643" s="2">
        <v>2</v>
      </c>
      <c r="L643" s="2">
        <v>17</v>
      </c>
      <c r="M643" s="2">
        <v>10</v>
      </c>
      <c r="N643" s="2">
        <v>84</v>
      </c>
      <c r="O643" s="2">
        <v>2</v>
      </c>
      <c r="P643" s="2">
        <v>13</v>
      </c>
      <c r="Q643" s="2">
        <v>2</v>
      </c>
      <c r="R643" s="2">
        <v>32</v>
      </c>
      <c r="S643" s="2">
        <v>2</v>
      </c>
      <c r="T643" s="2">
        <v>2</v>
      </c>
      <c r="U643" s="2">
        <v>4</v>
      </c>
      <c r="V643" s="2">
        <v>18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1</v>
      </c>
      <c r="AC643" s="2">
        <v>1</v>
      </c>
      <c r="AD643" s="2">
        <v>0</v>
      </c>
      <c r="AE643" s="2">
        <v>0</v>
      </c>
      <c r="AF643" s="2">
        <v>0</v>
      </c>
      <c r="AG643" s="2">
        <v>0</v>
      </c>
      <c r="AH643" s="2">
        <v>1</v>
      </c>
      <c r="AI643" s="4">
        <f>Table2121418198598118[[#This Row],[QB PY]]+Table2121418198598118[[#This Row],[QB RY]]</f>
        <v>245</v>
      </c>
      <c r="AJ643" s="4">
        <f>Table2121418198598118[[#This Row],[RB1 RY]]+Table2121418198598118[[#This Row],[RB2+ RY]]+Table2121418198598118[[#This Row],[RB1 RecY]]+Table2121418198598118[[#This Row],[RB2 RecY]]</f>
        <v>99</v>
      </c>
    </row>
    <row r="644" spans="1:36" x14ac:dyDescent="0.35">
      <c r="A644" s="19" t="s">
        <v>50</v>
      </c>
      <c r="B644" s="1">
        <v>4</v>
      </c>
      <c r="C644" s="2">
        <v>130</v>
      </c>
      <c r="D644" s="2">
        <v>2</v>
      </c>
      <c r="E644" s="2">
        <v>62</v>
      </c>
      <c r="F644" s="2">
        <v>43</v>
      </c>
      <c r="G644" s="2">
        <v>17</v>
      </c>
      <c r="H644" s="2">
        <v>0</v>
      </c>
      <c r="I644" s="2">
        <v>4</v>
      </c>
      <c r="J644" s="2">
        <v>31</v>
      </c>
      <c r="K644" s="2">
        <v>0</v>
      </c>
      <c r="L644" s="2">
        <v>0</v>
      </c>
      <c r="M644" s="2">
        <v>2</v>
      </c>
      <c r="N644" s="2">
        <v>7</v>
      </c>
      <c r="O644" s="2">
        <v>2</v>
      </c>
      <c r="P644" s="2">
        <v>29</v>
      </c>
      <c r="Q644" s="2">
        <v>0</v>
      </c>
      <c r="R644" s="2">
        <v>0</v>
      </c>
      <c r="S644" s="2">
        <v>2</v>
      </c>
      <c r="T644" s="2">
        <v>10</v>
      </c>
      <c r="U644" s="2">
        <v>4</v>
      </c>
      <c r="V644" s="2">
        <v>37</v>
      </c>
      <c r="W644" s="2">
        <v>1</v>
      </c>
      <c r="X644" s="2">
        <v>16</v>
      </c>
      <c r="Y644" s="2">
        <v>0</v>
      </c>
      <c r="Z644" s="2">
        <v>1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2</v>
      </c>
      <c r="AG644" s="2">
        <v>0</v>
      </c>
      <c r="AH644" s="2">
        <v>1</v>
      </c>
      <c r="AI644" s="4">
        <f>Table2121418198598118[[#This Row],[QB PY]]+Table2121418198598118[[#This Row],[QB RY]]</f>
        <v>192</v>
      </c>
      <c r="AJ644" s="4">
        <f>Table2121418198598118[[#This Row],[RB1 RY]]+Table2121418198598118[[#This Row],[RB2+ RY]]+Table2121418198598118[[#This Row],[RB1 RecY]]+Table2121418198598118[[#This Row],[RB2 RecY]]</f>
        <v>91</v>
      </c>
    </row>
    <row r="645" spans="1:36" x14ac:dyDescent="0.35">
      <c r="A645" s="19" t="s">
        <v>52</v>
      </c>
      <c r="B645" s="1">
        <v>5</v>
      </c>
      <c r="C645" s="2">
        <v>341</v>
      </c>
      <c r="D645" s="2">
        <v>4</v>
      </c>
      <c r="E645" s="2">
        <v>0</v>
      </c>
      <c r="F645" s="2">
        <v>86</v>
      </c>
      <c r="G645" s="2">
        <v>36</v>
      </c>
      <c r="H645" s="2">
        <v>0</v>
      </c>
      <c r="I645" s="2">
        <v>1</v>
      </c>
      <c r="J645" s="2">
        <v>0</v>
      </c>
      <c r="K645" s="2">
        <v>1</v>
      </c>
      <c r="L645" s="2">
        <v>12</v>
      </c>
      <c r="M645" s="2">
        <v>8</v>
      </c>
      <c r="N645" s="2">
        <v>132</v>
      </c>
      <c r="O645" s="2">
        <v>6</v>
      </c>
      <c r="P645" s="2">
        <v>59</v>
      </c>
      <c r="Q645" s="2">
        <v>3</v>
      </c>
      <c r="R645" s="2">
        <v>39</v>
      </c>
      <c r="S645" s="2">
        <v>1</v>
      </c>
      <c r="T645" s="2">
        <v>36</v>
      </c>
      <c r="U645" s="2">
        <v>7</v>
      </c>
      <c r="V645" s="2">
        <v>53</v>
      </c>
      <c r="W645" s="2">
        <v>1</v>
      </c>
      <c r="X645" s="2">
        <v>10</v>
      </c>
      <c r="Y645" s="2">
        <v>0</v>
      </c>
      <c r="Z645" s="2">
        <v>0</v>
      </c>
      <c r="AA645" s="2">
        <v>1</v>
      </c>
      <c r="AB645" s="2">
        <v>1</v>
      </c>
      <c r="AC645" s="2">
        <v>0</v>
      </c>
      <c r="AD645" s="2">
        <v>1</v>
      </c>
      <c r="AE645" s="2">
        <v>0</v>
      </c>
      <c r="AF645" s="2">
        <v>2</v>
      </c>
      <c r="AG645" s="2">
        <v>0</v>
      </c>
      <c r="AH645" s="2">
        <v>0</v>
      </c>
      <c r="AI645" s="4">
        <f>Table2121418198598118[[#This Row],[QB PY]]+Table2121418198598118[[#This Row],[QB RY]]</f>
        <v>341</v>
      </c>
      <c r="AJ645" s="4">
        <f>Table2121418198598118[[#This Row],[RB1 RY]]+Table2121418198598118[[#This Row],[RB2+ RY]]+Table2121418198598118[[#This Row],[RB1 RecY]]+Table2121418198598118[[#This Row],[RB2 RecY]]</f>
        <v>134</v>
      </c>
    </row>
    <row r="646" spans="1:36" x14ac:dyDescent="0.35">
      <c r="A646" s="19" t="s">
        <v>53</v>
      </c>
      <c r="B646" s="1">
        <v>6</v>
      </c>
      <c r="C646" s="2">
        <v>347</v>
      </c>
      <c r="D646" s="2">
        <v>0</v>
      </c>
      <c r="E646" s="2">
        <v>13</v>
      </c>
      <c r="F646" s="2">
        <v>54</v>
      </c>
      <c r="G646" s="2">
        <v>0</v>
      </c>
      <c r="H646" s="2">
        <v>0</v>
      </c>
      <c r="I646" s="2">
        <v>7</v>
      </c>
      <c r="J646" s="2">
        <v>57</v>
      </c>
      <c r="K646" s="2">
        <v>4</v>
      </c>
      <c r="L646" s="2">
        <v>17</v>
      </c>
      <c r="M646" s="2">
        <v>5</v>
      </c>
      <c r="N646" s="2">
        <v>142</v>
      </c>
      <c r="O646" s="2">
        <v>2</v>
      </c>
      <c r="P646" s="2">
        <v>44</v>
      </c>
      <c r="Q646" s="2">
        <v>2</v>
      </c>
      <c r="R646" s="2">
        <v>22</v>
      </c>
      <c r="S646" s="2">
        <v>1</v>
      </c>
      <c r="T646" s="2">
        <v>7</v>
      </c>
      <c r="U646" s="2">
        <v>6</v>
      </c>
      <c r="V646" s="2">
        <v>58</v>
      </c>
      <c r="W646" s="2">
        <v>0</v>
      </c>
      <c r="X646" s="2">
        <v>0</v>
      </c>
      <c r="Y646" s="2">
        <v>0</v>
      </c>
      <c r="Z646" s="2">
        <v>1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4">
        <f>Table2121418198598118[[#This Row],[QB PY]]+Table2121418198598118[[#This Row],[QB RY]]</f>
        <v>360</v>
      </c>
      <c r="AJ646" s="4">
        <f>Table2121418198598118[[#This Row],[RB1 RY]]+Table2121418198598118[[#This Row],[RB2+ RY]]+Table2121418198598118[[#This Row],[RB1 RecY]]+Table2121418198598118[[#This Row],[RB2 RecY]]</f>
        <v>128</v>
      </c>
    </row>
    <row r="647" spans="1:36" x14ac:dyDescent="0.35">
      <c r="A647" s="19" t="s">
        <v>35</v>
      </c>
      <c r="B647" s="1">
        <v>7</v>
      </c>
      <c r="C647" s="2">
        <v>241</v>
      </c>
      <c r="D647" s="2">
        <v>1</v>
      </c>
      <c r="E647" s="2">
        <v>7</v>
      </c>
      <c r="F647" s="2">
        <v>136</v>
      </c>
      <c r="G647" s="2">
        <v>21</v>
      </c>
      <c r="H647" s="2">
        <v>0</v>
      </c>
      <c r="I647" s="2">
        <v>3</v>
      </c>
      <c r="J647" s="2">
        <v>82</v>
      </c>
      <c r="K647" s="2">
        <v>2</v>
      </c>
      <c r="L647" s="2">
        <v>18</v>
      </c>
      <c r="M647" s="2">
        <v>6</v>
      </c>
      <c r="N647" s="2">
        <v>86</v>
      </c>
      <c r="O647" s="2">
        <v>0</v>
      </c>
      <c r="P647" s="2">
        <v>0</v>
      </c>
      <c r="Q647" s="2">
        <v>3</v>
      </c>
      <c r="R647" s="2">
        <v>17</v>
      </c>
      <c r="S647" s="2">
        <v>0</v>
      </c>
      <c r="T647" s="2">
        <v>0</v>
      </c>
      <c r="U647" s="2">
        <v>3</v>
      </c>
      <c r="V647" s="2">
        <v>15</v>
      </c>
      <c r="W647" s="2">
        <v>3</v>
      </c>
      <c r="X647" s="2">
        <v>23</v>
      </c>
      <c r="Y647" s="2">
        <v>0</v>
      </c>
      <c r="Z647" s="2">
        <v>2</v>
      </c>
      <c r="AA647" s="2">
        <v>0</v>
      </c>
      <c r="AB647" s="2">
        <v>1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4">
        <f>Table2121418198598118[[#This Row],[QB PY]]+Table2121418198598118[[#This Row],[QB RY]]</f>
        <v>248</v>
      </c>
      <c r="AJ647" s="4">
        <f>Table2121418198598118[[#This Row],[RB1 RY]]+Table2121418198598118[[#This Row],[RB2+ RY]]+Table2121418198598118[[#This Row],[RB1 RecY]]+Table2121418198598118[[#This Row],[RB2 RecY]]</f>
        <v>257</v>
      </c>
    </row>
    <row r="648" spans="1:36" x14ac:dyDescent="0.35">
      <c r="A648" s="19" t="s">
        <v>47</v>
      </c>
      <c r="B648" s="1">
        <v>8</v>
      </c>
      <c r="C648" s="2">
        <v>264</v>
      </c>
      <c r="D648" s="2">
        <v>2</v>
      </c>
      <c r="E648" s="2">
        <v>30</v>
      </c>
      <c r="F648" s="2">
        <v>21</v>
      </c>
      <c r="G648" s="2">
        <v>0</v>
      </c>
      <c r="H648" s="2">
        <v>-3</v>
      </c>
      <c r="I648" s="2">
        <v>2</v>
      </c>
      <c r="J648" s="2">
        <v>24</v>
      </c>
      <c r="K648" s="2">
        <v>3</v>
      </c>
      <c r="L648" s="2">
        <v>11</v>
      </c>
      <c r="M648" s="2">
        <v>8</v>
      </c>
      <c r="N648" s="2">
        <v>63</v>
      </c>
      <c r="O648" s="2">
        <v>9</v>
      </c>
      <c r="P648" s="2">
        <v>75</v>
      </c>
      <c r="Q648" s="2">
        <v>3</v>
      </c>
      <c r="R648" s="2">
        <v>22</v>
      </c>
      <c r="S648" s="2">
        <v>1</v>
      </c>
      <c r="T648" s="2">
        <v>10</v>
      </c>
      <c r="U648" s="2">
        <v>5</v>
      </c>
      <c r="V648" s="2">
        <v>53</v>
      </c>
      <c r="W648" s="2">
        <v>1</v>
      </c>
      <c r="X648" s="2">
        <v>6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4">
        <f>Table2121418198598118[[#This Row],[QB PY]]+Table2121418198598118[[#This Row],[QB RY]]</f>
        <v>294</v>
      </c>
      <c r="AJ648" s="4">
        <f>Table2121418198598118[[#This Row],[RB1 RY]]+Table2121418198598118[[#This Row],[RB2+ RY]]+Table2121418198598118[[#This Row],[RB1 RecY]]+Table2121418198598118[[#This Row],[RB2 RecY]]</f>
        <v>56</v>
      </c>
    </row>
    <row r="649" spans="1:36" x14ac:dyDescent="0.35">
      <c r="A649" s="19" t="s">
        <v>650</v>
      </c>
      <c r="B649" s="1">
        <v>9</v>
      </c>
      <c r="C649" s="2" t="s">
        <v>697</v>
      </c>
      <c r="D649" s="2" t="s">
        <v>697</v>
      </c>
      <c r="E649" s="2" t="s">
        <v>697</v>
      </c>
      <c r="F649" s="2" t="s">
        <v>697</v>
      </c>
      <c r="G649" s="2" t="s">
        <v>697</v>
      </c>
      <c r="H649" s="2" t="s">
        <v>697</v>
      </c>
      <c r="I649" s="2" t="s">
        <v>697</v>
      </c>
      <c r="J649" s="2" t="s">
        <v>697</v>
      </c>
      <c r="K649" s="2" t="s">
        <v>697</v>
      </c>
      <c r="L649" s="2" t="s">
        <v>697</v>
      </c>
      <c r="M649" s="2" t="s">
        <v>697</v>
      </c>
      <c r="N649" s="2" t="s">
        <v>697</v>
      </c>
      <c r="O649" s="2" t="s">
        <v>697</v>
      </c>
      <c r="P649" s="2" t="s">
        <v>697</v>
      </c>
      <c r="Q649" s="2" t="s">
        <v>697</v>
      </c>
      <c r="R649" s="2" t="s">
        <v>697</v>
      </c>
      <c r="S649" s="2" t="s">
        <v>697</v>
      </c>
      <c r="T649" s="2" t="s">
        <v>697</v>
      </c>
      <c r="U649" s="2" t="s">
        <v>697</v>
      </c>
      <c r="V649" s="2" t="s">
        <v>697</v>
      </c>
      <c r="W649" s="2" t="s">
        <v>697</v>
      </c>
      <c r="X649" s="2" t="s">
        <v>697</v>
      </c>
      <c r="Y649" s="2" t="s">
        <v>697</v>
      </c>
      <c r="Z649" s="2" t="s">
        <v>697</v>
      </c>
      <c r="AA649" s="2" t="s">
        <v>697</v>
      </c>
      <c r="AB649" s="2" t="s">
        <v>697</v>
      </c>
      <c r="AC649" s="2" t="s">
        <v>697</v>
      </c>
      <c r="AD649" s="2" t="s">
        <v>697</v>
      </c>
      <c r="AE649" s="2" t="s">
        <v>697</v>
      </c>
      <c r="AF649" s="2" t="s">
        <v>697</v>
      </c>
      <c r="AG649" s="2" t="s">
        <v>697</v>
      </c>
      <c r="AH649" s="2" t="s">
        <v>697</v>
      </c>
      <c r="AI649" s="4" t="s">
        <v>697</v>
      </c>
      <c r="AJ649" s="4" t="s">
        <v>697</v>
      </c>
    </row>
    <row r="650" spans="1:36" x14ac:dyDescent="0.35">
      <c r="A650" s="19" t="s">
        <v>46</v>
      </c>
      <c r="B650" s="1">
        <v>10</v>
      </c>
      <c r="C650" s="2">
        <v>270</v>
      </c>
      <c r="D650" s="2">
        <v>2</v>
      </c>
      <c r="E650" s="2">
        <v>13</v>
      </c>
      <c r="F650" s="2">
        <v>147</v>
      </c>
      <c r="G650" s="2">
        <v>6</v>
      </c>
      <c r="H650" s="2">
        <v>0</v>
      </c>
      <c r="I650" s="2">
        <v>1</v>
      </c>
      <c r="J650" s="2">
        <v>3</v>
      </c>
      <c r="K650" s="2">
        <v>0</v>
      </c>
      <c r="L650" s="2">
        <v>0</v>
      </c>
      <c r="M650" s="2">
        <v>5</v>
      </c>
      <c r="N650" s="2">
        <v>40</v>
      </c>
      <c r="O650" s="2">
        <v>6</v>
      </c>
      <c r="P650" s="2">
        <v>106</v>
      </c>
      <c r="Q650" s="2">
        <v>2</v>
      </c>
      <c r="R650" s="2">
        <v>34</v>
      </c>
      <c r="S650" s="2">
        <v>1</v>
      </c>
      <c r="T650" s="2">
        <v>72</v>
      </c>
      <c r="U650" s="2">
        <v>1</v>
      </c>
      <c r="V650" s="2">
        <v>9</v>
      </c>
      <c r="W650" s="2">
        <v>0</v>
      </c>
      <c r="X650" s="2">
        <v>0</v>
      </c>
      <c r="Y650" s="2">
        <v>0</v>
      </c>
      <c r="Z650" s="2">
        <v>2</v>
      </c>
      <c r="AA650" s="2">
        <v>0</v>
      </c>
      <c r="AB650" s="2">
        <v>1</v>
      </c>
      <c r="AC650" s="2">
        <v>0</v>
      </c>
      <c r="AD650" s="2">
        <v>0</v>
      </c>
      <c r="AE650" s="2">
        <v>1</v>
      </c>
      <c r="AF650" s="2">
        <v>0</v>
      </c>
      <c r="AG650" s="2">
        <v>0</v>
      </c>
      <c r="AH650" s="2">
        <v>0</v>
      </c>
      <c r="AI650" s="4">
        <f>Table2121418198598118[[#This Row],[QB PY]]+Table2121418198598118[[#This Row],[QB RY]]</f>
        <v>283</v>
      </c>
      <c r="AJ650" s="4">
        <f>Table2121418198598118[[#This Row],[RB1 RY]]+Table2121418198598118[[#This Row],[RB2+ RY]]+Table2121418198598118[[#This Row],[RB1 RecY]]+Table2121418198598118[[#This Row],[RB2 RecY]]</f>
        <v>156</v>
      </c>
    </row>
    <row r="651" spans="1:36" x14ac:dyDescent="0.35">
      <c r="A651" s="19" t="s">
        <v>17</v>
      </c>
      <c r="B651" s="1">
        <v>11</v>
      </c>
      <c r="C651" s="2">
        <v>317</v>
      </c>
      <c r="D651" s="2">
        <v>3</v>
      </c>
      <c r="E651" s="2">
        <v>40</v>
      </c>
      <c r="F651" s="2">
        <v>48</v>
      </c>
      <c r="G651" s="2">
        <v>9</v>
      </c>
      <c r="H651" s="2">
        <v>0</v>
      </c>
      <c r="I651" s="2">
        <v>3</v>
      </c>
      <c r="J651" s="2">
        <v>66</v>
      </c>
      <c r="K651" s="2">
        <v>2</v>
      </c>
      <c r="L651" s="2">
        <v>61</v>
      </c>
      <c r="M651" s="2">
        <v>1</v>
      </c>
      <c r="N651" s="2">
        <v>-3</v>
      </c>
      <c r="O651" s="2">
        <v>4</v>
      </c>
      <c r="P651" s="2">
        <v>90</v>
      </c>
      <c r="Q651" s="2">
        <v>2</v>
      </c>
      <c r="R651" s="2">
        <v>17</v>
      </c>
      <c r="S651" s="2">
        <v>5</v>
      </c>
      <c r="T651" s="2">
        <v>59</v>
      </c>
      <c r="U651" s="2">
        <v>1</v>
      </c>
      <c r="V651" s="2">
        <v>23</v>
      </c>
      <c r="W651" s="2">
        <v>1</v>
      </c>
      <c r="X651" s="2">
        <v>4</v>
      </c>
      <c r="Y651" s="2">
        <v>3</v>
      </c>
      <c r="Z651" s="2">
        <v>1</v>
      </c>
      <c r="AA651" s="2">
        <v>1</v>
      </c>
      <c r="AB651" s="2">
        <v>0</v>
      </c>
      <c r="AC651" s="2">
        <v>1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4">
        <f>Table2121418198598118[[#This Row],[QB PY]]+Table2121418198598118[[#This Row],[QB RY]]</f>
        <v>357</v>
      </c>
      <c r="AJ651" s="4">
        <f>Table2121418198598118[[#This Row],[RB1 RY]]+Table2121418198598118[[#This Row],[RB2+ RY]]+Table2121418198598118[[#This Row],[RB1 RecY]]+Table2121418198598118[[#This Row],[RB2 RecY]]</f>
        <v>184</v>
      </c>
    </row>
    <row r="652" spans="1:36" x14ac:dyDescent="0.35">
      <c r="A652" s="19" t="s">
        <v>42</v>
      </c>
      <c r="B652" s="1">
        <v>12</v>
      </c>
      <c r="C652" s="2">
        <v>273</v>
      </c>
      <c r="D652" s="2">
        <v>3</v>
      </c>
      <c r="E652" s="2">
        <v>0</v>
      </c>
      <c r="F652" s="2">
        <v>46</v>
      </c>
      <c r="G652" s="2">
        <v>24</v>
      </c>
      <c r="H652" s="2">
        <v>0</v>
      </c>
      <c r="I652" s="2">
        <v>1</v>
      </c>
      <c r="J652" s="2">
        <v>2</v>
      </c>
      <c r="K652" s="2">
        <v>0</v>
      </c>
      <c r="L652" s="2">
        <v>0</v>
      </c>
      <c r="M652" s="2">
        <v>7</v>
      </c>
      <c r="N652" s="2">
        <v>97</v>
      </c>
      <c r="O652" s="2">
        <v>5</v>
      </c>
      <c r="P652" s="2">
        <v>62</v>
      </c>
      <c r="Q652" s="2">
        <v>3</v>
      </c>
      <c r="R652" s="2">
        <v>17</v>
      </c>
      <c r="S652" s="2">
        <v>2</v>
      </c>
      <c r="T652" s="2">
        <v>25</v>
      </c>
      <c r="U652" s="2">
        <v>4</v>
      </c>
      <c r="V652" s="2">
        <v>41</v>
      </c>
      <c r="W652" s="2">
        <v>3</v>
      </c>
      <c r="X652" s="2">
        <v>29</v>
      </c>
      <c r="Y652" s="2">
        <v>0</v>
      </c>
      <c r="Z652" s="2">
        <v>0</v>
      </c>
      <c r="AA652" s="2">
        <v>0</v>
      </c>
      <c r="AB652" s="2">
        <v>0</v>
      </c>
      <c r="AC652" s="2">
        <v>2</v>
      </c>
      <c r="AD652" s="2">
        <v>0</v>
      </c>
      <c r="AE652" s="2">
        <v>0</v>
      </c>
      <c r="AF652" s="2">
        <v>1</v>
      </c>
      <c r="AG652" s="2">
        <v>0</v>
      </c>
      <c r="AH652" s="2">
        <v>1</v>
      </c>
      <c r="AI652" s="4">
        <f>Table2121418198598118[[#This Row],[QB PY]]+Table2121418198598118[[#This Row],[QB RY]]</f>
        <v>273</v>
      </c>
      <c r="AJ652" s="4">
        <f>Table2121418198598118[[#This Row],[RB1 RY]]+Table2121418198598118[[#This Row],[RB2+ RY]]+Table2121418198598118[[#This Row],[RB1 RecY]]+Table2121418198598118[[#This Row],[RB2 RecY]]</f>
        <v>72</v>
      </c>
    </row>
    <row r="653" spans="1:36" x14ac:dyDescent="0.35">
      <c r="A653" s="19" t="s">
        <v>0</v>
      </c>
      <c r="B653" s="1">
        <v>13</v>
      </c>
      <c r="C653" s="2">
        <v>301</v>
      </c>
      <c r="D653" s="2">
        <v>2</v>
      </c>
      <c r="E653" s="2">
        <v>16</v>
      </c>
      <c r="F653" s="2">
        <v>62</v>
      </c>
      <c r="G653" s="2">
        <v>17</v>
      </c>
      <c r="H653" s="2">
        <v>0</v>
      </c>
      <c r="I653" s="2">
        <v>3</v>
      </c>
      <c r="J653" s="2">
        <v>36</v>
      </c>
      <c r="K653" s="2">
        <v>5</v>
      </c>
      <c r="L653" s="2">
        <v>47</v>
      </c>
      <c r="M653" s="2">
        <v>6</v>
      </c>
      <c r="N653" s="2">
        <v>69</v>
      </c>
      <c r="O653" s="2">
        <v>3</v>
      </c>
      <c r="P653" s="2">
        <v>36</v>
      </c>
      <c r="Q653" s="2">
        <v>2</v>
      </c>
      <c r="R653" s="2">
        <v>14</v>
      </c>
      <c r="S653" s="2">
        <v>0</v>
      </c>
      <c r="T653" s="2">
        <v>0</v>
      </c>
      <c r="U653" s="2">
        <v>8</v>
      </c>
      <c r="V653" s="2">
        <v>82</v>
      </c>
      <c r="W653" s="2">
        <v>2</v>
      </c>
      <c r="X653" s="2">
        <v>17</v>
      </c>
      <c r="Y653" s="2">
        <v>0</v>
      </c>
      <c r="Z653" s="2">
        <v>1</v>
      </c>
      <c r="AA653" s="2">
        <v>0</v>
      </c>
      <c r="AB653" s="2">
        <v>1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4">
        <f>Table2121418198598118[[#This Row],[QB PY]]+Table2121418198598118[[#This Row],[QB RY]]</f>
        <v>317</v>
      </c>
      <c r="AJ653" s="4">
        <f>Table2121418198598118[[#This Row],[RB1 RY]]+Table2121418198598118[[#This Row],[RB2+ RY]]+Table2121418198598118[[#This Row],[RB1 RecY]]+Table2121418198598118[[#This Row],[RB2 RecY]]</f>
        <v>162</v>
      </c>
    </row>
    <row r="654" spans="1:36" x14ac:dyDescent="0.35">
      <c r="A654" s="19" t="s">
        <v>47</v>
      </c>
      <c r="B654" s="1">
        <v>14</v>
      </c>
      <c r="C654" s="2">
        <v>144</v>
      </c>
      <c r="D654" s="2">
        <v>0</v>
      </c>
      <c r="E654" s="2">
        <v>54</v>
      </c>
      <c r="F654" s="2">
        <v>70</v>
      </c>
      <c r="G654" s="2">
        <v>15</v>
      </c>
      <c r="H654" s="2">
        <v>0</v>
      </c>
      <c r="I654" s="2">
        <v>1</v>
      </c>
      <c r="J654" s="2">
        <v>14</v>
      </c>
      <c r="K654" s="2">
        <v>1</v>
      </c>
      <c r="L654" s="2">
        <v>6</v>
      </c>
      <c r="M654" s="2">
        <v>3</v>
      </c>
      <c r="N654" s="2">
        <v>30</v>
      </c>
      <c r="O654" s="2">
        <v>3</v>
      </c>
      <c r="P654" s="2">
        <v>40</v>
      </c>
      <c r="Q654" s="2">
        <v>0</v>
      </c>
      <c r="R654" s="2">
        <v>0</v>
      </c>
      <c r="S654" s="2">
        <v>0</v>
      </c>
      <c r="T654" s="2">
        <v>0</v>
      </c>
      <c r="U654" s="2">
        <v>4</v>
      </c>
      <c r="V654" s="2">
        <v>38</v>
      </c>
      <c r="W654" s="2">
        <v>1</v>
      </c>
      <c r="X654" s="2">
        <v>16</v>
      </c>
      <c r="Y654" s="2">
        <v>2</v>
      </c>
      <c r="Z654" s="2">
        <v>1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4">
        <f>Table2121418198598118[[#This Row],[QB PY]]+Table2121418198598118[[#This Row],[QB RY]]</f>
        <v>198</v>
      </c>
      <c r="AJ654" s="4">
        <f>Table2121418198598118[[#This Row],[RB1 RY]]+Table2121418198598118[[#This Row],[RB2+ RY]]+Table2121418198598118[[#This Row],[RB1 RecY]]+Table2121418198598118[[#This Row],[RB2 RecY]]</f>
        <v>105</v>
      </c>
    </row>
    <row r="655" spans="1:36" x14ac:dyDescent="0.35">
      <c r="A655" s="19" t="s">
        <v>15</v>
      </c>
      <c r="B655" s="1">
        <v>15</v>
      </c>
      <c r="C655" s="2">
        <v>373</v>
      </c>
      <c r="D655" s="2">
        <v>3</v>
      </c>
      <c r="E655" s="2">
        <v>0</v>
      </c>
      <c r="F655" s="2">
        <v>93</v>
      </c>
      <c r="G655" s="2">
        <v>18</v>
      </c>
      <c r="H655" s="2">
        <v>0</v>
      </c>
      <c r="I655" s="2">
        <v>8</v>
      </c>
      <c r="J655" s="2">
        <v>82</v>
      </c>
      <c r="K655" s="2">
        <v>0</v>
      </c>
      <c r="L655" s="2">
        <v>0</v>
      </c>
      <c r="M655" s="2">
        <v>3</v>
      </c>
      <c r="N655" s="2">
        <v>35</v>
      </c>
      <c r="O655" s="2">
        <v>6</v>
      </c>
      <c r="P655" s="2">
        <v>78</v>
      </c>
      <c r="Q655" s="2">
        <v>0</v>
      </c>
      <c r="R655" s="2">
        <v>0</v>
      </c>
      <c r="S655" s="2">
        <v>0</v>
      </c>
      <c r="T655" s="2">
        <v>0</v>
      </c>
      <c r="U655" s="2">
        <v>11</v>
      </c>
      <c r="V655" s="2">
        <v>166</v>
      </c>
      <c r="W655" s="2">
        <v>2</v>
      </c>
      <c r="X655" s="2">
        <v>12</v>
      </c>
      <c r="Y655" s="2">
        <v>0</v>
      </c>
      <c r="Z655" s="2">
        <v>1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3</v>
      </c>
      <c r="AG655" s="2">
        <v>0</v>
      </c>
      <c r="AH655" s="2">
        <v>0</v>
      </c>
      <c r="AI655" s="4">
        <f>Table2121418198598118[[#This Row],[QB PY]]+Table2121418198598118[[#This Row],[QB RY]]</f>
        <v>373</v>
      </c>
      <c r="AJ655" s="4">
        <f>Table2121418198598118[[#This Row],[RB1 RY]]+Table2121418198598118[[#This Row],[RB2+ RY]]+Table2121418198598118[[#This Row],[RB1 RecY]]+Table2121418198598118[[#This Row],[RB2 RecY]]</f>
        <v>193</v>
      </c>
    </row>
    <row r="656" spans="1:36" x14ac:dyDescent="0.35">
      <c r="A656" s="19" t="s">
        <v>29</v>
      </c>
      <c r="B656" s="1">
        <v>16</v>
      </c>
      <c r="C656" s="2">
        <v>191</v>
      </c>
      <c r="D656" s="2">
        <v>2</v>
      </c>
      <c r="E656" s="2">
        <v>20</v>
      </c>
      <c r="F656" s="2">
        <v>29</v>
      </c>
      <c r="G656" s="2">
        <v>27</v>
      </c>
      <c r="H656" s="2">
        <v>25</v>
      </c>
      <c r="I656" s="2">
        <v>4</v>
      </c>
      <c r="J656" s="2">
        <v>14</v>
      </c>
      <c r="K656" s="2">
        <v>1</v>
      </c>
      <c r="L656" s="2">
        <v>7</v>
      </c>
      <c r="M656" s="2">
        <v>6</v>
      </c>
      <c r="N656" s="2">
        <v>73</v>
      </c>
      <c r="O656" s="2">
        <v>3</v>
      </c>
      <c r="P656" s="2">
        <v>47</v>
      </c>
      <c r="Q656" s="2">
        <v>1</v>
      </c>
      <c r="R656" s="2">
        <v>12</v>
      </c>
      <c r="S656" s="2">
        <v>0</v>
      </c>
      <c r="T656" s="2">
        <v>0</v>
      </c>
      <c r="U656" s="2">
        <v>2</v>
      </c>
      <c r="V656" s="2">
        <v>9</v>
      </c>
      <c r="W656" s="2">
        <v>4</v>
      </c>
      <c r="X656" s="2">
        <v>29</v>
      </c>
      <c r="Y656" s="2">
        <v>0</v>
      </c>
      <c r="Z656" s="2">
        <v>0</v>
      </c>
      <c r="AA656" s="2">
        <v>0</v>
      </c>
      <c r="AB656" s="2">
        <v>1</v>
      </c>
      <c r="AC656" s="2">
        <v>0</v>
      </c>
      <c r="AD656" s="2">
        <v>0</v>
      </c>
      <c r="AE656" s="2">
        <v>0</v>
      </c>
      <c r="AF656" s="2">
        <v>1</v>
      </c>
      <c r="AG656" s="2">
        <v>0</v>
      </c>
      <c r="AH656" s="2">
        <v>0</v>
      </c>
      <c r="AI656" s="4">
        <f>Table2121418198598118[[#This Row],[QB PY]]+Table2121418198598118[[#This Row],[QB RY]]</f>
        <v>211</v>
      </c>
      <c r="AJ656" s="4">
        <f>Table2121418198598118[[#This Row],[RB1 RY]]+Table2121418198598118[[#This Row],[RB2+ RY]]+Table2121418198598118[[#This Row],[RB1 RecY]]+Table2121418198598118[[#This Row],[RB2 RecY]]</f>
        <v>77</v>
      </c>
    </row>
    <row r="657" spans="1:36" x14ac:dyDescent="0.35">
      <c r="A657" s="19" t="s">
        <v>44</v>
      </c>
      <c r="B657" s="1">
        <v>17</v>
      </c>
      <c r="C657" s="2">
        <v>172</v>
      </c>
      <c r="D657" s="2">
        <v>2</v>
      </c>
      <c r="E657" s="2">
        <v>5</v>
      </c>
      <c r="F657" s="2">
        <v>83</v>
      </c>
      <c r="G657" s="2">
        <v>56</v>
      </c>
      <c r="H657" s="2">
        <v>1</v>
      </c>
      <c r="I657" s="2">
        <v>3</v>
      </c>
      <c r="J657" s="2">
        <v>29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>
        <v>4</v>
      </c>
      <c r="Q657" s="2">
        <v>1</v>
      </c>
      <c r="R657" s="2">
        <v>8</v>
      </c>
      <c r="S657" s="2">
        <v>1</v>
      </c>
      <c r="T657" s="2">
        <v>63</v>
      </c>
      <c r="U657" s="2">
        <v>1</v>
      </c>
      <c r="V657" s="2">
        <v>0</v>
      </c>
      <c r="W657" s="2">
        <v>7</v>
      </c>
      <c r="X657" s="2">
        <v>68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1</v>
      </c>
      <c r="AF657" s="2">
        <v>0</v>
      </c>
      <c r="AG657" s="2">
        <v>1</v>
      </c>
      <c r="AH657" s="2">
        <v>0</v>
      </c>
      <c r="AI657" s="4">
        <f>Table2121418198598118[[#This Row],[QB PY]]+Table2121418198598118[[#This Row],[QB RY]]</f>
        <v>177</v>
      </c>
      <c r="AJ657" s="4">
        <f>Table2121418198598118[[#This Row],[RB1 RY]]+Table2121418198598118[[#This Row],[RB2+ RY]]+Table2121418198598118[[#This Row],[RB1 RecY]]+Table2121418198598118[[#This Row],[RB2 RecY]]</f>
        <v>168</v>
      </c>
    </row>
    <row r="658" spans="1:36" x14ac:dyDescent="0.35">
      <c r="A658" s="19" t="s">
        <v>29</v>
      </c>
      <c r="B658" s="1">
        <v>18</v>
      </c>
      <c r="C658" s="2">
        <v>266</v>
      </c>
      <c r="D658" s="2">
        <v>2</v>
      </c>
      <c r="E658" s="2">
        <v>-1</v>
      </c>
      <c r="F658" s="2">
        <v>10</v>
      </c>
      <c r="G658" s="2">
        <v>10</v>
      </c>
      <c r="H658" s="2">
        <v>0</v>
      </c>
      <c r="I658" s="2">
        <v>2</v>
      </c>
      <c r="J658" s="2">
        <v>20</v>
      </c>
      <c r="K658" s="2">
        <v>1</v>
      </c>
      <c r="L658" s="2">
        <v>7</v>
      </c>
      <c r="M658" s="2">
        <v>4</v>
      </c>
      <c r="N658" s="2">
        <v>85</v>
      </c>
      <c r="O658" s="2">
        <v>6</v>
      </c>
      <c r="P658" s="2">
        <v>47</v>
      </c>
      <c r="Q658" s="2">
        <v>3</v>
      </c>
      <c r="R658" s="2">
        <v>22</v>
      </c>
      <c r="S658" s="2">
        <v>1</v>
      </c>
      <c r="T658" s="2">
        <v>15</v>
      </c>
      <c r="U658" s="2">
        <v>3</v>
      </c>
      <c r="V658" s="2">
        <v>38</v>
      </c>
      <c r="W658" s="2">
        <v>3</v>
      </c>
      <c r="X658" s="2">
        <v>32</v>
      </c>
      <c r="Y658" s="2">
        <v>0</v>
      </c>
      <c r="Z658" s="2">
        <v>0</v>
      </c>
      <c r="AA658" s="2">
        <v>0</v>
      </c>
      <c r="AB658" s="2">
        <v>0</v>
      </c>
      <c r="AC658" s="2">
        <v>1</v>
      </c>
      <c r="AD658" s="2">
        <v>0</v>
      </c>
      <c r="AE658" s="2">
        <v>0</v>
      </c>
      <c r="AF658" s="2">
        <v>1</v>
      </c>
      <c r="AG658" s="2">
        <v>0</v>
      </c>
      <c r="AH658" s="2">
        <v>0</v>
      </c>
      <c r="AI658" s="4">
        <f>Table2121418198598118[[#This Row],[QB PY]]+Table2121418198598118[[#This Row],[QB RY]]</f>
        <v>265</v>
      </c>
      <c r="AJ658" s="4">
        <f>Table2121418198598118[[#This Row],[RB1 RY]]+Table2121418198598118[[#This Row],[RB2+ RY]]+Table2121418198598118[[#This Row],[RB1 RecY]]+Table2121418198598118[[#This Row],[RB2 RecY]]</f>
        <v>47</v>
      </c>
    </row>
    <row r="659" spans="1:36" x14ac:dyDescent="0.35">
      <c r="B659" s="1" t="s">
        <v>57</v>
      </c>
      <c r="C659" s="3">
        <f>AVERAGE(Table2121418198598118[QB PY])</f>
        <v>254.8235294117647</v>
      </c>
      <c r="D659" s="3">
        <f>AVERAGE(Table2121418198598118[P TD])</f>
        <v>1.8823529411764706</v>
      </c>
      <c r="E659" s="3">
        <f>AVERAGE(Table2121418198598118[QB RY])</f>
        <v>20.882352941176471</v>
      </c>
      <c r="F659" s="3">
        <f>AVERAGE(Table2121418198598118[RB1 RY])</f>
        <v>59.764705882352942</v>
      </c>
      <c r="G659" s="3">
        <f>AVERAGE(Table2121418198598118[RB2+ RY])</f>
        <v>19.058823529411764</v>
      </c>
      <c r="H659" s="3">
        <f>AVERAGE(Table2121418198598118[WR RY])</f>
        <v>1.3529411764705883</v>
      </c>
      <c r="I659" s="3">
        <f>AVERAGE(Table2121418198598118[RB1 Recep])</f>
        <v>3.2352941176470589</v>
      </c>
      <c r="J659" s="3">
        <f>AVERAGE(Table2121418198598118[RB1 RecY])</f>
        <v>36.470588235294116</v>
      </c>
      <c r="K659" s="3">
        <f>AVERAGE(Table2121418198598118[RB2 Recep])</f>
        <v>1.3529411764705883</v>
      </c>
      <c r="L659" s="3">
        <f>AVERAGE(Table2121418198598118[RB2 RecY])</f>
        <v>14.117647058823529</v>
      </c>
      <c r="M659" s="3">
        <f>AVERAGE(Table2121418198598118[WR1 Recep])</f>
        <v>5</v>
      </c>
      <c r="N659" s="3">
        <f>AVERAGE(Table2121418198598118[WR1 RecY])</f>
        <v>61.588235294117645</v>
      </c>
      <c r="O659" s="3">
        <f>AVERAGE(Table2121418198598118[WR2 Recep])</f>
        <v>3.7058823529411766</v>
      </c>
      <c r="P659" s="3">
        <f>AVERAGE(Table2121418198598118[WR2 RecY])</f>
        <v>47.647058823529413</v>
      </c>
      <c r="Q659" s="3">
        <f>AVERAGE(Table2121418198598118[WR3 Recep])</f>
        <v>1.8235294117647058</v>
      </c>
      <c r="R659" s="3">
        <f>AVERAGE(Table2121418198598118[WR3 RecY])</f>
        <v>18.647058823529413</v>
      </c>
      <c r="S659" s="3">
        <f>AVERAGE(Table2121418198598118[WR4+ Recep])</f>
        <v>1.0588235294117647</v>
      </c>
      <c r="T659" s="3">
        <f>AVERAGE(Table2121418198598118[WR4+ RecY])</f>
        <v>17.764705882352942</v>
      </c>
      <c r="U659" s="3">
        <f>AVERAGE(Table2121418198598118[TE1 Recep])</f>
        <v>4.3529411764705879</v>
      </c>
      <c r="V659" s="3">
        <f>AVERAGE(Table2121418198598118[TE1 RecY])</f>
        <v>42.823529411764703</v>
      </c>
      <c r="W659" s="3">
        <f>AVERAGE(Table2121418198598118[TE2 Recep])</f>
        <v>1.7058823529411764</v>
      </c>
      <c r="X659" s="3">
        <f>AVERAGE(Table2121418198598118[TE2 RecY])</f>
        <v>15.411764705882353</v>
      </c>
      <c r="Y659" s="3">
        <f>AVERAGE(Table2121418198598118[QB TD])</f>
        <v>0.35294117647058826</v>
      </c>
      <c r="Z659" s="3">
        <f>AVERAGE(Table2121418198598118[RB1 TD])</f>
        <v>0.70588235294117652</v>
      </c>
      <c r="AA659" s="3">
        <f>AVERAGE(Table2121418198598118[RB2 TD])</f>
        <v>0.11764705882352941</v>
      </c>
      <c r="AB659" s="3">
        <f>AVERAGE(Table2121418198598118[WR1 TD])</f>
        <v>0.41176470588235292</v>
      </c>
      <c r="AC659" s="3">
        <f>AVERAGE(Table2121418198598118[WR2 TD])</f>
        <v>0.29411764705882354</v>
      </c>
      <c r="AD659" s="3">
        <f>AVERAGE(Table2121418198598118[WR3 TD])</f>
        <v>5.8823529411764705E-2</v>
      </c>
      <c r="AE659" s="3">
        <f>AVERAGE(Table2121418198598118[WR4+ TD])</f>
        <v>0.11764705882352941</v>
      </c>
      <c r="AF659" s="3">
        <f>AVERAGE(Table2121418198598118[TE1 TD])</f>
        <v>0.58823529411764708</v>
      </c>
      <c r="AG659" s="3">
        <f>AVERAGE(Table2121418198598118[TE2 TD])</f>
        <v>5.8823529411764705E-2</v>
      </c>
      <c r="AH659" s="3">
        <f>AVERAGE(Table2121418198598118[D/ST TD])</f>
        <v>0.17647058823529413</v>
      </c>
      <c r="AI659" s="3">
        <f>AVERAGE(Table2121418198598118[QB P+R])</f>
        <v>275.70588235294116</v>
      </c>
      <c r="AJ659" s="3">
        <f>AVERAGE(Table2121418198598118[RB R+R])</f>
        <v>129.41176470588235</v>
      </c>
    </row>
    <row r="661" spans="1:36" x14ac:dyDescent="0.35">
      <c r="A661" s="230" t="s">
        <v>55</v>
      </c>
      <c r="B661" s="230"/>
      <c r="C661" s="230"/>
      <c r="D661" s="230"/>
      <c r="E661" s="230"/>
      <c r="F661" s="230"/>
      <c r="G661" s="23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  <c r="AF661" s="230"/>
      <c r="AG661" s="230"/>
      <c r="AH661" s="230"/>
      <c r="AI661" s="230"/>
      <c r="AJ661" s="230"/>
    </row>
    <row r="662" spans="1:36" x14ac:dyDescent="0.35">
      <c r="A662" s="20" t="s">
        <v>63</v>
      </c>
      <c r="B662" s="6" t="s">
        <v>1</v>
      </c>
      <c r="C662" s="7" t="s">
        <v>18</v>
      </c>
      <c r="D662" s="8" t="s">
        <v>19</v>
      </c>
      <c r="E662" s="9" t="s">
        <v>20</v>
      </c>
      <c r="F662" s="10" t="s">
        <v>21</v>
      </c>
      <c r="G662" s="11" t="s">
        <v>22</v>
      </c>
      <c r="H662" s="12" t="s">
        <v>23</v>
      </c>
      <c r="I662" s="13" t="s">
        <v>667</v>
      </c>
      <c r="J662" s="13" t="s">
        <v>668</v>
      </c>
      <c r="K662" s="13" t="s">
        <v>665</v>
      </c>
      <c r="L662" s="13" t="s">
        <v>666</v>
      </c>
      <c r="M662" s="14" t="s">
        <v>2</v>
      </c>
      <c r="N662" s="14" t="s">
        <v>24</v>
      </c>
      <c r="O662" s="15" t="s">
        <v>3</v>
      </c>
      <c r="P662" s="15" t="s">
        <v>25</v>
      </c>
      <c r="Q662" s="16" t="s">
        <v>4</v>
      </c>
      <c r="R662" s="16" t="s">
        <v>26</v>
      </c>
      <c r="S662" s="17" t="s">
        <v>5</v>
      </c>
      <c r="T662" s="17" t="s">
        <v>27</v>
      </c>
      <c r="U662" s="18" t="s">
        <v>669</v>
      </c>
      <c r="V662" s="18" t="s">
        <v>670</v>
      </c>
      <c r="W662" s="18" t="s">
        <v>675</v>
      </c>
      <c r="X662" s="18" t="s">
        <v>671</v>
      </c>
      <c r="Y662" s="6" t="s">
        <v>6</v>
      </c>
      <c r="Z662" s="6" t="s">
        <v>7</v>
      </c>
      <c r="AA662" s="6" t="s">
        <v>674</v>
      </c>
      <c r="AB662" s="6" t="s">
        <v>8</v>
      </c>
      <c r="AC662" s="6" t="s">
        <v>9</v>
      </c>
      <c r="AD662" s="6" t="s">
        <v>10</v>
      </c>
      <c r="AE662" s="6" t="s">
        <v>11</v>
      </c>
      <c r="AF662" s="6" t="s">
        <v>673</v>
      </c>
      <c r="AG662" s="6" t="s">
        <v>672</v>
      </c>
      <c r="AH662" s="6" t="s">
        <v>12</v>
      </c>
      <c r="AI662" s="8" t="s">
        <v>14</v>
      </c>
      <c r="AJ662" s="11" t="s">
        <v>13</v>
      </c>
    </row>
    <row r="663" spans="1:36" x14ac:dyDescent="0.35">
      <c r="A663" s="19" t="s">
        <v>34</v>
      </c>
      <c r="B663" s="5">
        <v>1</v>
      </c>
      <c r="C663" s="4">
        <v>176</v>
      </c>
      <c r="D663" s="4">
        <v>1</v>
      </c>
      <c r="E663" s="4">
        <v>18</v>
      </c>
      <c r="F663" s="4">
        <v>63</v>
      </c>
      <c r="G663" s="4">
        <v>70</v>
      </c>
      <c r="H663" s="4">
        <v>0</v>
      </c>
      <c r="I663" s="4">
        <v>2</v>
      </c>
      <c r="J663" s="4">
        <v>5</v>
      </c>
      <c r="K663" s="4">
        <v>4</v>
      </c>
      <c r="L663" s="4">
        <v>19</v>
      </c>
      <c r="M663" s="4">
        <v>6</v>
      </c>
      <c r="N663" s="4">
        <v>61</v>
      </c>
      <c r="O663" s="4">
        <v>3</v>
      </c>
      <c r="P663" s="4">
        <v>12</v>
      </c>
      <c r="Q663" s="4">
        <v>4</v>
      </c>
      <c r="R663" s="4">
        <v>44</v>
      </c>
      <c r="S663" s="4">
        <v>1</v>
      </c>
      <c r="T663" s="4">
        <v>3</v>
      </c>
      <c r="U663" s="4">
        <v>3</v>
      </c>
      <c r="V663" s="4">
        <v>21</v>
      </c>
      <c r="W663" s="4">
        <v>2</v>
      </c>
      <c r="X663" s="4">
        <v>11</v>
      </c>
      <c r="Y663" s="4">
        <v>0</v>
      </c>
      <c r="Z663" s="4">
        <v>1</v>
      </c>
      <c r="AA663" s="4">
        <v>0</v>
      </c>
      <c r="AB663" s="4">
        <v>1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f>Table2121418198598119[[#This Row],[QB PY]]+Table2121418198598119[[#This Row],[QB RY]]</f>
        <v>194</v>
      </c>
      <c r="AJ663" s="4">
        <f>Table2121418198598119[[#This Row],[RB1 RY]]+Table2121418198598119[[#This Row],[RB2+ RY]]+Table2121418198598119[[#This Row],[RB1 RecY]]+Table2121418198598119[[#This Row],[RB2 RecY]]</f>
        <v>157</v>
      </c>
    </row>
    <row r="664" spans="1:36" x14ac:dyDescent="0.35">
      <c r="A664" s="19" t="s">
        <v>42</v>
      </c>
      <c r="B664" s="1">
        <v>2</v>
      </c>
      <c r="C664" s="2">
        <v>298</v>
      </c>
      <c r="D664" s="2">
        <v>2</v>
      </c>
      <c r="E664" s="2">
        <v>-6</v>
      </c>
      <c r="F664" s="2">
        <v>66</v>
      </c>
      <c r="G664" s="2">
        <v>44</v>
      </c>
      <c r="H664" s="2">
        <v>45</v>
      </c>
      <c r="I664" s="2">
        <v>2</v>
      </c>
      <c r="J664" s="2">
        <v>14</v>
      </c>
      <c r="K664" s="2">
        <v>0</v>
      </c>
      <c r="L664" s="2">
        <v>0</v>
      </c>
      <c r="M664" s="2">
        <v>8</v>
      </c>
      <c r="N664" s="2">
        <v>91</v>
      </c>
      <c r="O664" s="2">
        <v>6</v>
      </c>
      <c r="P664" s="2">
        <v>106</v>
      </c>
      <c r="Q664" s="2">
        <v>2</v>
      </c>
      <c r="R664" s="2">
        <v>42</v>
      </c>
      <c r="S664" s="2">
        <v>0</v>
      </c>
      <c r="T664" s="2">
        <v>0</v>
      </c>
      <c r="U664" s="2">
        <v>4</v>
      </c>
      <c r="V664" s="2">
        <v>37</v>
      </c>
      <c r="W664" s="2">
        <v>1</v>
      </c>
      <c r="X664" s="2">
        <v>8</v>
      </c>
      <c r="Y664" s="2">
        <v>0</v>
      </c>
      <c r="Z664" s="2">
        <v>0</v>
      </c>
      <c r="AA664" s="2">
        <v>1</v>
      </c>
      <c r="AB664" s="2">
        <v>1</v>
      </c>
      <c r="AC664" s="2">
        <v>1</v>
      </c>
      <c r="AD664" s="2">
        <v>0</v>
      </c>
      <c r="AE664" s="2">
        <v>0</v>
      </c>
      <c r="AF664" s="2">
        <v>0</v>
      </c>
      <c r="AG664" s="2">
        <v>1</v>
      </c>
      <c r="AH664" s="2">
        <v>0</v>
      </c>
      <c r="AI664" s="4">
        <f>Table2121418198598119[[#This Row],[QB PY]]+Table2121418198598119[[#This Row],[QB RY]]</f>
        <v>292</v>
      </c>
      <c r="AJ664" s="4">
        <f>Table2121418198598119[[#This Row],[RB1 RY]]+Table2121418198598119[[#This Row],[RB2+ RY]]+Table2121418198598119[[#This Row],[RB1 RecY]]+Table2121418198598119[[#This Row],[RB2 RecY]]</f>
        <v>124</v>
      </c>
    </row>
    <row r="665" spans="1:36" x14ac:dyDescent="0.35">
      <c r="A665" s="19" t="s">
        <v>38</v>
      </c>
      <c r="B665" s="1">
        <v>3</v>
      </c>
      <c r="C665" s="2">
        <v>228</v>
      </c>
      <c r="D665" s="2">
        <v>1</v>
      </c>
      <c r="E665" s="2">
        <v>26</v>
      </c>
      <c r="F665" s="2">
        <v>102</v>
      </c>
      <c r="G665" s="2">
        <v>9</v>
      </c>
      <c r="H665" s="2">
        <v>0</v>
      </c>
      <c r="I665" s="2">
        <v>3</v>
      </c>
      <c r="J665" s="2">
        <v>16</v>
      </c>
      <c r="K665" s="2">
        <v>0</v>
      </c>
      <c r="L665" s="2">
        <v>0</v>
      </c>
      <c r="M665" s="2">
        <v>5</v>
      </c>
      <c r="N665" s="2">
        <v>73</v>
      </c>
      <c r="O665" s="2">
        <v>2</v>
      </c>
      <c r="P665" s="2">
        <v>34</v>
      </c>
      <c r="Q665" s="2">
        <v>4</v>
      </c>
      <c r="R665" s="2">
        <v>67</v>
      </c>
      <c r="S665" s="2">
        <v>0</v>
      </c>
      <c r="T665" s="2">
        <v>0</v>
      </c>
      <c r="U665" s="2">
        <v>3</v>
      </c>
      <c r="V665" s="2">
        <v>38</v>
      </c>
      <c r="W665" s="2">
        <v>0</v>
      </c>
      <c r="X665" s="2">
        <v>0</v>
      </c>
      <c r="Y665" s="2">
        <v>0</v>
      </c>
      <c r="Z665" s="2">
        <v>3</v>
      </c>
      <c r="AA665" s="2">
        <v>0</v>
      </c>
      <c r="AB665" s="2">
        <v>1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1</v>
      </c>
      <c r="AI665" s="4">
        <f>Table2121418198598119[[#This Row],[QB PY]]+Table2121418198598119[[#This Row],[QB RY]]</f>
        <v>254</v>
      </c>
      <c r="AJ665" s="4">
        <f>Table2121418198598119[[#This Row],[RB1 RY]]+Table2121418198598119[[#This Row],[RB2+ RY]]+Table2121418198598119[[#This Row],[RB1 RecY]]+Table2121418198598119[[#This Row],[RB2 RecY]]</f>
        <v>127</v>
      </c>
    </row>
    <row r="666" spans="1:36" x14ac:dyDescent="0.35">
      <c r="A666" s="19" t="s">
        <v>37</v>
      </c>
      <c r="B666" s="1">
        <v>4</v>
      </c>
      <c r="C666" s="2">
        <v>233</v>
      </c>
      <c r="D666" s="2">
        <v>2</v>
      </c>
      <c r="E666" s="2">
        <v>11</v>
      </c>
      <c r="F666" s="2">
        <v>69</v>
      </c>
      <c r="G666" s="2">
        <v>47</v>
      </c>
      <c r="H666" s="2">
        <v>2</v>
      </c>
      <c r="I666" s="2">
        <v>4</v>
      </c>
      <c r="J666" s="2">
        <v>50</v>
      </c>
      <c r="K666" s="2">
        <v>2</v>
      </c>
      <c r="L666" s="2">
        <v>15</v>
      </c>
      <c r="M666" s="2">
        <v>4</v>
      </c>
      <c r="N666" s="2">
        <v>79</v>
      </c>
      <c r="O666" s="2">
        <v>3</v>
      </c>
      <c r="P666" s="2">
        <v>20</v>
      </c>
      <c r="Q666" s="2">
        <v>1</v>
      </c>
      <c r="R666" s="2">
        <v>24</v>
      </c>
      <c r="S666" s="2">
        <v>3</v>
      </c>
      <c r="T666" s="2">
        <v>15</v>
      </c>
      <c r="U666" s="2">
        <v>5</v>
      </c>
      <c r="V666" s="2">
        <v>30</v>
      </c>
      <c r="W666" s="2">
        <v>0</v>
      </c>
      <c r="X666" s="2">
        <v>0</v>
      </c>
      <c r="Y666" s="2">
        <v>0</v>
      </c>
      <c r="Z666" s="2">
        <v>2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0</v>
      </c>
      <c r="AG666" s="2">
        <v>0</v>
      </c>
      <c r="AH666" s="2">
        <v>0</v>
      </c>
      <c r="AI666" s="4">
        <f>Table2121418198598119[[#This Row],[QB PY]]+Table2121418198598119[[#This Row],[QB RY]]</f>
        <v>244</v>
      </c>
      <c r="AJ666" s="4">
        <f>Table2121418198598119[[#This Row],[RB1 RY]]+Table2121418198598119[[#This Row],[RB2+ RY]]+Table2121418198598119[[#This Row],[RB1 RecY]]+Table2121418198598119[[#This Row],[RB2 RecY]]</f>
        <v>181</v>
      </c>
    </row>
    <row r="667" spans="1:36" x14ac:dyDescent="0.35">
      <c r="A667" s="19" t="s">
        <v>0</v>
      </c>
      <c r="B667" s="1">
        <v>5</v>
      </c>
      <c r="C667" s="2">
        <v>220</v>
      </c>
      <c r="D667" s="2">
        <v>0</v>
      </c>
      <c r="E667" s="2">
        <v>25</v>
      </c>
      <c r="F667" s="2">
        <v>51</v>
      </c>
      <c r="G667" s="2">
        <v>92</v>
      </c>
      <c r="H667" s="2">
        <v>0</v>
      </c>
      <c r="I667" s="2">
        <v>5</v>
      </c>
      <c r="J667" s="2">
        <v>22</v>
      </c>
      <c r="K667" s="2">
        <v>1</v>
      </c>
      <c r="L667" s="2">
        <v>13</v>
      </c>
      <c r="M667" s="2">
        <v>4</v>
      </c>
      <c r="N667" s="2">
        <v>98</v>
      </c>
      <c r="O667" s="2">
        <v>2</v>
      </c>
      <c r="P667" s="2">
        <v>16</v>
      </c>
      <c r="Q667" s="2">
        <v>2</v>
      </c>
      <c r="R667" s="2">
        <v>8</v>
      </c>
      <c r="S667" s="2">
        <v>2</v>
      </c>
      <c r="T667" s="2">
        <v>12</v>
      </c>
      <c r="U667" s="2">
        <v>5</v>
      </c>
      <c r="V667" s="2">
        <v>41</v>
      </c>
      <c r="W667" s="2">
        <v>2</v>
      </c>
      <c r="X667" s="2">
        <v>10</v>
      </c>
      <c r="Y667" s="2">
        <v>1</v>
      </c>
      <c r="Z667" s="2">
        <v>1</v>
      </c>
      <c r="AA667" s="2">
        <v>1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4">
        <f>Table2121418198598119[[#This Row],[QB PY]]+Table2121418198598119[[#This Row],[QB RY]]</f>
        <v>245</v>
      </c>
      <c r="AJ667" s="4">
        <f>Table2121418198598119[[#This Row],[RB1 RY]]+Table2121418198598119[[#This Row],[RB2+ RY]]+Table2121418198598119[[#This Row],[RB1 RecY]]+Table2121418198598119[[#This Row],[RB2 RecY]]</f>
        <v>178</v>
      </c>
    </row>
    <row r="668" spans="1:36" x14ac:dyDescent="0.35">
      <c r="A668" s="19" t="s">
        <v>43</v>
      </c>
      <c r="B668" s="1">
        <v>6</v>
      </c>
      <c r="C668" s="2">
        <v>174</v>
      </c>
      <c r="D668" s="2">
        <v>1</v>
      </c>
      <c r="E668" s="2">
        <v>-3</v>
      </c>
      <c r="F668" s="2">
        <v>75</v>
      </c>
      <c r="G668" s="2">
        <v>-4</v>
      </c>
      <c r="H668" s="2">
        <v>0</v>
      </c>
      <c r="I668" s="2">
        <v>2</v>
      </c>
      <c r="J668" s="2">
        <v>11</v>
      </c>
      <c r="K668" s="2">
        <v>0</v>
      </c>
      <c r="L668" s="2">
        <v>0</v>
      </c>
      <c r="M668" s="2">
        <v>4</v>
      </c>
      <c r="N668" s="2">
        <v>39</v>
      </c>
      <c r="O668" s="2">
        <v>5</v>
      </c>
      <c r="P668" s="2">
        <v>70</v>
      </c>
      <c r="Q668" s="2">
        <v>0</v>
      </c>
      <c r="R668" s="2">
        <v>0</v>
      </c>
      <c r="S668" s="2">
        <v>0</v>
      </c>
      <c r="T668" s="2">
        <v>0</v>
      </c>
      <c r="U668" s="2">
        <v>5</v>
      </c>
      <c r="V668" s="2">
        <v>50</v>
      </c>
      <c r="W668" s="2">
        <v>1</v>
      </c>
      <c r="X668" s="2">
        <v>4</v>
      </c>
      <c r="Y668" s="2">
        <v>0</v>
      </c>
      <c r="Z668" s="2">
        <v>1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</v>
      </c>
      <c r="AG668" s="2">
        <v>0</v>
      </c>
      <c r="AH668" s="2">
        <v>0</v>
      </c>
      <c r="AI668" s="4">
        <f>Table2121418198598119[[#This Row],[QB PY]]+Table2121418198598119[[#This Row],[QB RY]]</f>
        <v>171</v>
      </c>
      <c r="AJ668" s="4">
        <f>Table2121418198598119[[#This Row],[RB1 RY]]+Table2121418198598119[[#This Row],[RB2+ RY]]+Table2121418198598119[[#This Row],[RB1 RecY]]+Table2121418198598119[[#This Row],[RB2 RecY]]</f>
        <v>82</v>
      </c>
    </row>
    <row r="669" spans="1:36" x14ac:dyDescent="0.35">
      <c r="A669" s="19" t="s">
        <v>46</v>
      </c>
      <c r="B669" s="1">
        <v>7</v>
      </c>
      <c r="C669" s="2">
        <v>234</v>
      </c>
      <c r="D669" s="2">
        <v>2</v>
      </c>
      <c r="E669" s="2">
        <v>60</v>
      </c>
      <c r="F669" s="2">
        <v>88</v>
      </c>
      <c r="G669" s="2">
        <v>23</v>
      </c>
      <c r="H669" s="2">
        <v>4</v>
      </c>
      <c r="I669" s="2">
        <v>2</v>
      </c>
      <c r="J669" s="2">
        <v>0</v>
      </c>
      <c r="K669" s="2">
        <v>0</v>
      </c>
      <c r="L669" s="2">
        <v>0</v>
      </c>
      <c r="M669" s="2">
        <v>7</v>
      </c>
      <c r="N669" s="2">
        <v>69</v>
      </c>
      <c r="O669" s="2">
        <v>2</v>
      </c>
      <c r="P669" s="2">
        <v>55</v>
      </c>
      <c r="Q669" s="2">
        <v>2</v>
      </c>
      <c r="R669" s="2">
        <v>49</v>
      </c>
      <c r="S669" s="2">
        <v>3</v>
      </c>
      <c r="T669" s="2">
        <v>17</v>
      </c>
      <c r="U669" s="2">
        <v>4</v>
      </c>
      <c r="V669" s="2">
        <v>33</v>
      </c>
      <c r="W669" s="2">
        <v>2</v>
      </c>
      <c r="X669" s="2">
        <v>11</v>
      </c>
      <c r="Y669" s="2">
        <v>0</v>
      </c>
      <c r="Z669" s="2">
        <v>1</v>
      </c>
      <c r="AA669" s="2">
        <v>0</v>
      </c>
      <c r="AB669" s="2">
        <v>0</v>
      </c>
      <c r="AC669" s="2">
        <v>1</v>
      </c>
      <c r="AD669" s="2">
        <v>0</v>
      </c>
      <c r="AE669" s="2">
        <v>0</v>
      </c>
      <c r="AF669" s="2">
        <v>0</v>
      </c>
      <c r="AG669" s="2">
        <v>1</v>
      </c>
      <c r="AH669" s="2">
        <v>1</v>
      </c>
      <c r="AI669" s="4">
        <f>Table2121418198598119[[#This Row],[QB PY]]+Table2121418198598119[[#This Row],[QB RY]]</f>
        <v>294</v>
      </c>
      <c r="AJ669" s="4">
        <f>Table2121418198598119[[#This Row],[RB1 RY]]+Table2121418198598119[[#This Row],[RB2+ RY]]+Table2121418198598119[[#This Row],[RB1 RecY]]+Table2121418198598119[[#This Row],[RB2 RecY]]</f>
        <v>111</v>
      </c>
    </row>
    <row r="670" spans="1:36" x14ac:dyDescent="0.35">
      <c r="A670" s="19" t="s">
        <v>38</v>
      </c>
      <c r="B670" s="1">
        <v>8</v>
      </c>
      <c r="C670" s="2">
        <v>272</v>
      </c>
      <c r="D670" s="2">
        <v>3</v>
      </c>
      <c r="E670" s="2">
        <v>4</v>
      </c>
      <c r="F670" s="2">
        <v>153</v>
      </c>
      <c r="G670" s="2">
        <v>7</v>
      </c>
      <c r="H670" s="2">
        <v>0</v>
      </c>
      <c r="I670" s="2">
        <v>2</v>
      </c>
      <c r="J670" s="2">
        <v>21</v>
      </c>
      <c r="K670" s="2">
        <v>1</v>
      </c>
      <c r="L670" s="2">
        <v>3</v>
      </c>
      <c r="M670" s="2">
        <v>8</v>
      </c>
      <c r="N670" s="2">
        <v>95</v>
      </c>
      <c r="O670" s="2">
        <v>2</v>
      </c>
      <c r="P670" s="2">
        <v>69</v>
      </c>
      <c r="Q670" s="2">
        <v>3</v>
      </c>
      <c r="R670" s="2">
        <v>39</v>
      </c>
      <c r="S670" s="2">
        <v>1</v>
      </c>
      <c r="T670" s="2">
        <v>-8</v>
      </c>
      <c r="U670" s="2">
        <v>4</v>
      </c>
      <c r="V670" s="2">
        <v>53</v>
      </c>
      <c r="W670" s="2">
        <v>0</v>
      </c>
      <c r="X670" s="2">
        <v>0</v>
      </c>
      <c r="Y670" s="2">
        <v>0</v>
      </c>
      <c r="Z670" s="2">
        <v>3</v>
      </c>
      <c r="AA670" s="2">
        <v>0</v>
      </c>
      <c r="AB670" s="2">
        <v>1</v>
      </c>
      <c r="AC670" s="2">
        <v>0</v>
      </c>
      <c r="AD670" s="2">
        <v>1</v>
      </c>
      <c r="AE670" s="2">
        <v>0</v>
      </c>
      <c r="AF670" s="2">
        <v>0</v>
      </c>
      <c r="AG670" s="2">
        <v>0</v>
      </c>
      <c r="AH670" s="2">
        <v>0</v>
      </c>
      <c r="AI670" s="4">
        <f>Table2121418198598119[[#This Row],[QB PY]]+Table2121418198598119[[#This Row],[QB RY]]</f>
        <v>276</v>
      </c>
      <c r="AJ670" s="4">
        <f>Table2121418198598119[[#This Row],[RB1 RY]]+Table2121418198598119[[#This Row],[RB2+ RY]]+Table2121418198598119[[#This Row],[RB1 RecY]]+Table2121418198598119[[#This Row],[RB2 RecY]]</f>
        <v>184</v>
      </c>
    </row>
    <row r="671" spans="1:36" x14ac:dyDescent="0.35">
      <c r="A671" s="19" t="s">
        <v>41</v>
      </c>
      <c r="B671" s="1">
        <v>9</v>
      </c>
      <c r="C671" s="2">
        <v>250</v>
      </c>
      <c r="D671" s="2">
        <v>2</v>
      </c>
      <c r="E671" s="2">
        <v>57</v>
      </c>
      <c r="F671" s="2">
        <v>30</v>
      </c>
      <c r="G671" s="2">
        <v>44</v>
      </c>
      <c r="H671" s="2">
        <v>0</v>
      </c>
      <c r="I671" s="2">
        <v>0</v>
      </c>
      <c r="J671" s="2">
        <v>0</v>
      </c>
      <c r="K671" s="2">
        <v>1</v>
      </c>
      <c r="L671" s="2">
        <v>2</v>
      </c>
      <c r="M671" s="2">
        <v>4</v>
      </c>
      <c r="N671" s="2">
        <v>56</v>
      </c>
      <c r="O671" s="2">
        <v>4</v>
      </c>
      <c r="P671" s="2">
        <v>53</v>
      </c>
      <c r="Q671" s="2">
        <v>2</v>
      </c>
      <c r="R671" s="2">
        <v>41</v>
      </c>
      <c r="S671" s="2">
        <v>2</v>
      </c>
      <c r="T671" s="2">
        <v>18</v>
      </c>
      <c r="U671" s="2">
        <v>5</v>
      </c>
      <c r="V671" s="2">
        <v>68</v>
      </c>
      <c r="W671" s="2">
        <v>1</v>
      </c>
      <c r="X671" s="2">
        <v>12</v>
      </c>
      <c r="Y671" s="2">
        <v>1</v>
      </c>
      <c r="Z671" s="2">
        <v>0</v>
      </c>
      <c r="AA671" s="2">
        <v>1</v>
      </c>
      <c r="AB671" s="2">
        <v>0</v>
      </c>
      <c r="AC671" s="2">
        <v>1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4">
        <f>Table2121418198598119[[#This Row],[QB PY]]+Table2121418198598119[[#This Row],[QB RY]]</f>
        <v>307</v>
      </c>
      <c r="AJ671" s="4">
        <f>Table2121418198598119[[#This Row],[RB1 RY]]+Table2121418198598119[[#This Row],[RB2+ RY]]+Table2121418198598119[[#This Row],[RB1 RecY]]+Table2121418198598119[[#This Row],[RB2 RecY]]</f>
        <v>76</v>
      </c>
    </row>
    <row r="672" spans="1:36" x14ac:dyDescent="0.35">
      <c r="A672" s="19" t="s">
        <v>650</v>
      </c>
      <c r="B672" s="1">
        <v>10</v>
      </c>
      <c r="C672" s="2" t="s">
        <v>697</v>
      </c>
      <c r="D672" s="2" t="s">
        <v>697</v>
      </c>
      <c r="E672" s="2" t="s">
        <v>697</v>
      </c>
      <c r="F672" s="2" t="s">
        <v>697</v>
      </c>
      <c r="G672" s="2" t="s">
        <v>697</v>
      </c>
      <c r="H672" s="2" t="s">
        <v>697</v>
      </c>
      <c r="I672" s="2" t="s">
        <v>697</v>
      </c>
      <c r="J672" s="2" t="s">
        <v>697</v>
      </c>
      <c r="K672" s="2" t="s">
        <v>697</v>
      </c>
      <c r="L672" s="2" t="s">
        <v>697</v>
      </c>
      <c r="M672" s="2" t="s">
        <v>697</v>
      </c>
      <c r="N672" s="2" t="s">
        <v>697</v>
      </c>
      <c r="O672" s="2" t="s">
        <v>697</v>
      </c>
      <c r="P672" s="2" t="s">
        <v>697</v>
      </c>
      <c r="Q672" s="2" t="s">
        <v>697</v>
      </c>
      <c r="R672" s="2" t="s">
        <v>697</v>
      </c>
      <c r="S672" s="2" t="s">
        <v>697</v>
      </c>
      <c r="T672" s="2" t="s">
        <v>697</v>
      </c>
      <c r="U672" s="2" t="s">
        <v>697</v>
      </c>
      <c r="V672" s="2" t="s">
        <v>697</v>
      </c>
      <c r="W672" s="2" t="s">
        <v>697</v>
      </c>
      <c r="X672" s="2" t="s">
        <v>697</v>
      </c>
      <c r="Y672" s="2" t="s">
        <v>697</v>
      </c>
      <c r="Z672" s="2" t="s">
        <v>697</v>
      </c>
      <c r="AA672" s="2" t="s">
        <v>697</v>
      </c>
      <c r="AB672" s="2" t="s">
        <v>697</v>
      </c>
      <c r="AC672" s="2" t="s">
        <v>697</v>
      </c>
      <c r="AD672" s="2" t="s">
        <v>697</v>
      </c>
      <c r="AE672" s="2" t="s">
        <v>697</v>
      </c>
      <c r="AF672" s="2" t="s">
        <v>697</v>
      </c>
      <c r="AG672" s="2" t="s">
        <v>697</v>
      </c>
      <c r="AH672" s="2" t="s">
        <v>697</v>
      </c>
      <c r="AI672" s="4" t="s">
        <v>697</v>
      </c>
      <c r="AJ672" s="4" t="s">
        <v>697</v>
      </c>
    </row>
    <row r="673" spans="1:36" x14ac:dyDescent="0.35">
      <c r="A673" s="19" t="s">
        <v>37</v>
      </c>
      <c r="B673" s="1">
        <v>11</v>
      </c>
      <c r="C673" s="2">
        <v>274</v>
      </c>
      <c r="D673" s="2">
        <v>1</v>
      </c>
      <c r="E673" s="2">
        <v>14</v>
      </c>
      <c r="F673" s="2">
        <v>44</v>
      </c>
      <c r="G673" s="2">
        <v>17</v>
      </c>
      <c r="H673" s="2">
        <v>0</v>
      </c>
      <c r="I673" s="2">
        <v>1</v>
      </c>
      <c r="J673" s="2">
        <v>7</v>
      </c>
      <c r="K673" s="2">
        <v>1</v>
      </c>
      <c r="L673" s="2">
        <v>9</v>
      </c>
      <c r="M673" s="2">
        <v>9</v>
      </c>
      <c r="N673" s="2">
        <v>92</v>
      </c>
      <c r="O673" s="2">
        <v>4</v>
      </c>
      <c r="P673" s="2">
        <v>55</v>
      </c>
      <c r="Q673" s="2">
        <v>1</v>
      </c>
      <c r="R673" s="2">
        <v>6</v>
      </c>
      <c r="S673" s="2">
        <v>4</v>
      </c>
      <c r="T673" s="2">
        <v>54</v>
      </c>
      <c r="U673" s="2">
        <v>6</v>
      </c>
      <c r="V673" s="2">
        <v>51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1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4">
        <f>Table2121418198598119[[#This Row],[QB PY]]+Table2121418198598119[[#This Row],[QB RY]]</f>
        <v>288</v>
      </c>
      <c r="AJ673" s="4">
        <f>Table2121418198598119[[#This Row],[RB1 RY]]+Table2121418198598119[[#This Row],[RB2+ RY]]+Table2121418198598119[[#This Row],[RB1 RecY]]+Table2121418198598119[[#This Row],[RB2 RecY]]</f>
        <v>77</v>
      </c>
    </row>
    <row r="674" spans="1:36" x14ac:dyDescent="0.35">
      <c r="A674" s="19" t="s">
        <v>52</v>
      </c>
      <c r="B674" s="1">
        <v>12</v>
      </c>
      <c r="C674" s="2">
        <v>244</v>
      </c>
      <c r="D674" s="2">
        <v>2</v>
      </c>
      <c r="E674" s="2">
        <v>-1</v>
      </c>
      <c r="F674" s="2">
        <v>71</v>
      </c>
      <c r="G674" s="2">
        <v>35</v>
      </c>
      <c r="H674" s="2">
        <v>9</v>
      </c>
      <c r="I674" s="2">
        <v>3</v>
      </c>
      <c r="J674" s="2">
        <v>30</v>
      </c>
      <c r="K674" s="2">
        <v>0</v>
      </c>
      <c r="L674" s="2">
        <v>0</v>
      </c>
      <c r="M674" s="2">
        <v>8</v>
      </c>
      <c r="N674" s="2">
        <v>167</v>
      </c>
      <c r="O674" s="2">
        <v>2</v>
      </c>
      <c r="P674" s="2">
        <v>24</v>
      </c>
      <c r="Q674" s="2">
        <v>0</v>
      </c>
      <c r="R674" s="2">
        <v>0</v>
      </c>
      <c r="S674" s="2">
        <v>0</v>
      </c>
      <c r="T674" s="2">
        <v>0</v>
      </c>
      <c r="U674" s="2">
        <v>2</v>
      </c>
      <c r="V674" s="2">
        <v>18</v>
      </c>
      <c r="W674" s="2">
        <v>1</v>
      </c>
      <c r="X674" s="2">
        <v>5</v>
      </c>
      <c r="Y674" s="2">
        <v>0</v>
      </c>
      <c r="Z674" s="2">
        <v>0</v>
      </c>
      <c r="AA674" s="2">
        <v>1</v>
      </c>
      <c r="AB674" s="2">
        <v>2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4">
        <f>Table2121418198598119[[#This Row],[QB PY]]+Table2121418198598119[[#This Row],[QB RY]]</f>
        <v>243</v>
      </c>
      <c r="AJ674" s="4">
        <f>Table2121418198598119[[#This Row],[RB1 RY]]+Table2121418198598119[[#This Row],[RB2+ RY]]+Table2121418198598119[[#This Row],[RB1 RecY]]+Table2121418198598119[[#This Row],[RB2 RecY]]</f>
        <v>136</v>
      </c>
    </row>
    <row r="675" spans="1:36" x14ac:dyDescent="0.35">
      <c r="A675" s="19" t="s">
        <v>39</v>
      </c>
      <c r="B675" s="1">
        <v>13</v>
      </c>
      <c r="C675" s="2">
        <v>229</v>
      </c>
      <c r="D675" s="2">
        <v>2</v>
      </c>
      <c r="E675" s="2">
        <v>22</v>
      </c>
      <c r="F675" s="2">
        <v>28</v>
      </c>
      <c r="G675" s="2">
        <v>17</v>
      </c>
      <c r="H675" s="2">
        <v>3</v>
      </c>
      <c r="I675" s="2">
        <v>1</v>
      </c>
      <c r="J675" s="2">
        <v>13</v>
      </c>
      <c r="K675" s="2">
        <v>1</v>
      </c>
      <c r="L675" s="2">
        <v>2</v>
      </c>
      <c r="M675" s="2">
        <v>2</v>
      </c>
      <c r="N675" s="2">
        <v>28</v>
      </c>
      <c r="O675" s="2">
        <v>6</v>
      </c>
      <c r="P675" s="2">
        <v>90</v>
      </c>
      <c r="Q675" s="2">
        <v>1</v>
      </c>
      <c r="R675" s="2">
        <v>26</v>
      </c>
      <c r="S675" s="2">
        <v>1</v>
      </c>
      <c r="T675" s="2">
        <v>11</v>
      </c>
      <c r="U675" s="2">
        <v>3</v>
      </c>
      <c r="V675" s="2">
        <v>45</v>
      </c>
      <c r="W675" s="2">
        <v>1</v>
      </c>
      <c r="X675" s="2">
        <v>14</v>
      </c>
      <c r="Y675" s="2">
        <v>0</v>
      </c>
      <c r="Z675" s="2">
        <v>0</v>
      </c>
      <c r="AA675" s="2">
        <v>1</v>
      </c>
      <c r="AB675" s="2">
        <v>0</v>
      </c>
      <c r="AC675" s="2">
        <v>1</v>
      </c>
      <c r="AD675" s="2">
        <v>0</v>
      </c>
      <c r="AE675" s="2">
        <v>0</v>
      </c>
      <c r="AF675" s="2">
        <v>1</v>
      </c>
      <c r="AG675" s="2">
        <v>0</v>
      </c>
      <c r="AH675" s="2">
        <v>0</v>
      </c>
      <c r="AI675" s="4">
        <f>Table2121418198598119[[#This Row],[QB PY]]+Table2121418198598119[[#This Row],[QB RY]]</f>
        <v>251</v>
      </c>
      <c r="AJ675" s="4">
        <f>Table2121418198598119[[#This Row],[RB1 RY]]+Table2121418198598119[[#This Row],[RB2+ RY]]+Table2121418198598119[[#This Row],[RB1 RecY]]+Table2121418198598119[[#This Row],[RB2 RecY]]</f>
        <v>60</v>
      </c>
    </row>
    <row r="676" spans="1:36" x14ac:dyDescent="0.35">
      <c r="A676" s="19" t="s">
        <v>32</v>
      </c>
      <c r="B676" s="1">
        <v>14</v>
      </c>
      <c r="C676" s="2">
        <v>364</v>
      </c>
      <c r="D676" s="2">
        <v>3</v>
      </c>
      <c r="E676" s="2">
        <v>29</v>
      </c>
      <c r="F676" s="2">
        <v>26</v>
      </c>
      <c r="G676" s="2">
        <v>4</v>
      </c>
      <c r="H676" s="2">
        <v>-2</v>
      </c>
      <c r="I676" s="2">
        <v>1</v>
      </c>
      <c r="J676" s="2">
        <v>58</v>
      </c>
      <c r="K676" s="2">
        <v>7</v>
      </c>
      <c r="L676" s="2">
        <v>74</v>
      </c>
      <c r="M676" s="2">
        <v>3</v>
      </c>
      <c r="N676" s="2">
        <v>76</v>
      </c>
      <c r="O676" s="2">
        <v>1</v>
      </c>
      <c r="P676" s="2">
        <v>23</v>
      </c>
      <c r="Q676" s="2">
        <v>0</v>
      </c>
      <c r="R676" s="2">
        <v>0</v>
      </c>
      <c r="S676" s="2">
        <v>2</v>
      </c>
      <c r="T676" s="2">
        <v>18</v>
      </c>
      <c r="U676" s="2">
        <v>8</v>
      </c>
      <c r="V676" s="2">
        <v>114</v>
      </c>
      <c r="W676" s="2">
        <v>1</v>
      </c>
      <c r="X676" s="2">
        <v>1</v>
      </c>
      <c r="Y676" s="2">
        <v>1</v>
      </c>
      <c r="Z676" s="2">
        <v>0</v>
      </c>
      <c r="AA676" s="2">
        <v>0</v>
      </c>
      <c r="AB676" s="2">
        <v>1</v>
      </c>
      <c r="AC676" s="2">
        <v>0</v>
      </c>
      <c r="AD676" s="2">
        <v>0</v>
      </c>
      <c r="AE676" s="2">
        <v>0</v>
      </c>
      <c r="AF676" s="2">
        <v>1</v>
      </c>
      <c r="AG676" s="2">
        <v>1</v>
      </c>
      <c r="AH676" s="2">
        <v>0</v>
      </c>
      <c r="AI676" s="4">
        <f>Table2121418198598119[[#This Row],[QB PY]]+Table2121418198598119[[#This Row],[QB RY]]</f>
        <v>393</v>
      </c>
      <c r="AJ676" s="4">
        <f>Table2121418198598119[[#This Row],[RB1 RY]]+Table2121418198598119[[#This Row],[RB2+ RY]]+Table2121418198598119[[#This Row],[RB1 RecY]]+Table2121418198598119[[#This Row],[RB2 RecY]]</f>
        <v>162</v>
      </c>
    </row>
    <row r="677" spans="1:36" x14ac:dyDescent="0.35">
      <c r="A677" s="19" t="s">
        <v>53</v>
      </c>
      <c r="B677" s="1">
        <v>15</v>
      </c>
      <c r="C677" s="2">
        <v>295</v>
      </c>
      <c r="D677" s="2">
        <v>3</v>
      </c>
      <c r="E677" s="2">
        <v>44</v>
      </c>
      <c r="F677" s="2">
        <v>73</v>
      </c>
      <c r="G677" s="2">
        <v>21</v>
      </c>
      <c r="H677" s="2">
        <v>0</v>
      </c>
      <c r="I677" s="2">
        <v>1</v>
      </c>
      <c r="J677" s="2">
        <v>14</v>
      </c>
      <c r="K677" s="2">
        <v>1</v>
      </c>
      <c r="L677" s="2">
        <v>7</v>
      </c>
      <c r="M677" s="2">
        <v>3</v>
      </c>
      <c r="N677" s="2">
        <v>37</v>
      </c>
      <c r="O677" s="2">
        <v>6</v>
      </c>
      <c r="P677" s="2">
        <v>96</v>
      </c>
      <c r="Q677" s="2">
        <v>2</v>
      </c>
      <c r="R677" s="2">
        <v>17</v>
      </c>
      <c r="S677" s="2">
        <v>2</v>
      </c>
      <c r="T677" s="2">
        <v>36</v>
      </c>
      <c r="U677" s="2">
        <v>8</v>
      </c>
      <c r="V677" s="2">
        <v>88</v>
      </c>
      <c r="W677" s="2">
        <v>0</v>
      </c>
      <c r="X677" s="2">
        <v>0</v>
      </c>
      <c r="Y677" s="2">
        <v>0</v>
      </c>
      <c r="Z677" s="2">
        <v>1</v>
      </c>
      <c r="AA677" s="2">
        <v>0</v>
      </c>
      <c r="AB677" s="2">
        <v>2</v>
      </c>
      <c r="AC677" s="2">
        <v>0</v>
      </c>
      <c r="AD677" s="2">
        <v>0</v>
      </c>
      <c r="AE677" s="2">
        <v>0</v>
      </c>
      <c r="AF677" s="2">
        <v>1</v>
      </c>
      <c r="AG677" s="2">
        <v>0</v>
      </c>
      <c r="AH677" s="2">
        <v>0</v>
      </c>
      <c r="AI677" s="4">
        <f>Table2121418198598119[[#This Row],[QB PY]]+Table2121418198598119[[#This Row],[QB RY]]</f>
        <v>339</v>
      </c>
      <c r="AJ677" s="4">
        <f>Table2121418198598119[[#This Row],[RB1 RY]]+Table2121418198598119[[#This Row],[RB2+ RY]]+Table2121418198598119[[#This Row],[RB1 RecY]]+Table2121418198598119[[#This Row],[RB2 RecY]]</f>
        <v>115</v>
      </c>
    </row>
    <row r="678" spans="1:36" x14ac:dyDescent="0.35">
      <c r="A678" s="19" t="s">
        <v>40</v>
      </c>
      <c r="B678" s="1">
        <v>16</v>
      </c>
      <c r="C678" s="2">
        <v>126</v>
      </c>
      <c r="D678" s="2">
        <v>0</v>
      </c>
      <c r="E678" s="2">
        <v>15</v>
      </c>
      <c r="F678" s="2">
        <v>34</v>
      </c>
      <c r="G678" s="2">
        <v>2</v>
      </c>
      <c r="H678" s="2">
        <v>0</v>
      </c>
      <c r="I678" s="2">
        <v>6</v>
      </c>
      <c r="J678" s="2">
        <v>41</v>
      </c>
      <c r="K678" s="2">
        <v>1</v>
      </c>
      <c r="L678" s="2">
        <v>4</v>
      </c>
      <c r="M678" s="2">
        <v>2</v>
      </c>
      <c r="N678" s="2">
        <v>41</v>
      </c>
      <c r="O678" s="2">
        <v>3</v>
      </c>
      <c r="P678" s="2">
        <v>22</v>
      </c>
      <c r="Q678" s="2">
        <v>1</v>
      </c>
      <c r="R678" s="2">
        <v>12</v>
      </c>
      <c r="S678" s="2">
        <v>0</v>
      </c>
      <c r="T678" s="2">
        <v>0</v>
      </c>
      <c r="U678" s="2">
        <v>1</v>
      </c>
      <c r="V678" s="2">
        <v>6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4">
        <f>Table2121418198598119[[#This Row],[QB PY]]+Table2121418198598119[[#This Row],[QB RY]]</f>
        <v>141</v>
      </c>
      <c r="AJ678" s="4">
        <f>Table2121418198598119[[#This Row],[RB1 RY]]+Table2121418198598119[[#This Row],[RB2+ RY]]+Table2121418198598119[[#This Row],[RB1 RecY]]+Table2121418198598119[[#This Row],[RB2 RecY]]</f>
        <v>81</v>
      </c>
    </row>
    <row r="679" spans="1:36" x14ac:dyDescent="0.35">
      <c r="A679" s="19" t="s">
        <v>47</v>
      </c>
      <c r="B679" s="1">
        <v>17</v>
      </c>
      <c r="C679" s="2">
        <v>333</v>
      </c>
      <c r="D679" s="2">
        <v>2</v>
      </c>
      <c r="E679" s="2">
        <v>6</v>
      </c>
      <c r="F679" s="2">
        <v>94</v>
      </c>
      <c r="G679" s="2">
        <v>3</v>
      </c>
      <c r="H679" s="2">
        <v>0</v>
      </c>
      <c r="I679" s="2">
        <v>1</v>
      </c>
      <c r="J679" s="2">
        <v>4</v>
      </c>
      <c r="K679" s="2">
        <v>0</v>
      </c>
      <c r="L679" s="2">
        <v>0</v>
      </c>
      <c r="M679" s="2">
        <v>8</v>
      </c>
      <c r="N679" s="2">
        <v>119</v>
      </c>
      <c r="O679" s="2">
        <v>4</v>
      </c>
      <c r="P679" s="2">
        <v>52</v>
      </c>
      <c r="Q679" s="2">
        <v>3</v>
      </c>
      <c r="R679" s="2">
        <v>53</v>
      </c>
      <c r="S679" s="2">
        <v>0</v>
      </c>
      <c r="T679" s="2">
        <v>0</v>
      </c>
      <c r="U679" s="2">
        <v>4</v>
      </c>
      <c r="V679" s="2">
        <v>95</v>
      </c>
      <c r="W679" s="2">
        <v>2</v>
      </c>
      <c r="X679" s="2">
        <v>10</v>
      </c>
      <c r="Y679" s="2">
        <v>0</v>
      </c>
      <c r="Z679" s="2">
        <v>1</v>
      </c>
      <c r="AA679" s="2">
        <v>0</v>
      </c>
      <c r="AB679" s="2">
        <v>1</v>
      </c>
      <c r="AC679" s="2">
        <v>1</v>
      </c>
      <c r="AD679" s="2">
        <v>0</v>
      </c>
      <c r="AE679" s="2">
        <v>0</v>
      </c>
      <c r="AF679" s="2">
        <v>0</v>
      </c>
      <c r="AG679" s="2">
        <v>0</v>
      </c>
      <c r="AH679" s="2">
        <v>1</v>
      </c>
      <c r="AI679" s="4">
        <f>Table2121418198598119[[#This Row],[QB PY]]+Table2121418198598119[[#This Row],[QB RY]]</f>
        <v>339</v>
      </c>
      <c r="AJ679" s="4">
        <f>Table2121418198598119[[#This Row],[RB1 RY]]+Table2121418198598119[[#This Row],[RB2+ RY]]+Table2121418198598119[[#This Row],[RB1 RecY]]+Table2121418198598119[[#This Row],[RB2 RecY]]</f>
        <v>101</v>
      </c>
    </row>
    <row r="680" spans="1:36" x14ac:dyDescent="0.35">
      <c r="A680" s="19" t="s">
        <v>39</v>
      </c>
      <c r="B680" s="1">
        <v>18</v>
      </c>
      <c r="C680" s="2">
        <v>271</v>
      </c>
      <c r="D680" s="2">
        <v>3</v>
      </c>
      <c r="E680" s="2">
        <v>9</v>
      </c>
      <c r="F680" s="2">
        <v>32</v>
      </c>
      <c r="G680" s="2">
        <v>23</v>
      </c>
      <c r="H680" s="2">
        <v>0</v>
      </c>
      <c r="I680" s="2">
        <v>1</v>
      </c>
      <c r="J680" s="2">
        <v>6</v>
      </c>
      <c r="K680" s="2">
        <v>0</v>
      </c>
      <c r="L680" s="2">
        <v>0</v>
      </c>
      <c r="M680" s="2">
        <v>3</v>
      </c>
      <c r="N680" s="2">
        <v>49</v>
      </c>
      <c r="O680" s="2">
        <v>5</v>
      </c>
      <c r="P680" s="2">
        <v>44</v>
      </c>
      <c r="Q680" s="2">
        <v>5</v>
      </c>
      <c r="R680" s="2">
        <v>87</v>
      </c>
      <c r="S680" s="2">
        <v>2</v>
      </c>
      <c r="T680" s="2">
        <v>12</v>
      </c>
      <c r="U680" s="2">
        <v>6</v>
      </c>
      <c r="V680" s="2">
        <v>52</v>
      </c>
      <c r="W680" s="2">
        <v>2</v>
      </c>
      <c r="X680" s="2">
        <v>21</v>
      </c>
      <c r="Y680" s="2">
        <v>0</v>
      </c>
      <c r="Z680" s="2">
        <v>0</v>
      </c>
      <c r="AA680" s="2">
        <v>1</v>
      </c>
      <c r="AB680" s="2">
        <v>0</v>
      </c>
      <c r="AC680" s="2">
        <v>0</v>
      </c>
      <c r="AD680" s="2">
        <v>1</v>
      </c>
      <c r="AE680" s="2">
        <v>0</v>
      </c>
      <c r="AF680" s="2">
        <v>1</v>
      </c>
      <c r="AG680" s="2">
        <v>1</v>
      </c>
      <c r="AH680" s="2">
        <v>1</v>
      </c>
      <c r="AI680" s="4">
        <f>Table2121418198598119[[#This Row],[QB PY]]+Table2121418198598119[[#This Row],[QB RY]]</f>
        <v>280</v>
      </c>
      <c r="AJ680" s="4">
        <f>Table2121418198598119[[#This Row],[RB1 RY]]+Table2121418198598119[[#This Row],[RB2+ RY]]+Table2121418198598119[[#This Row],[RB1 RecY]]+Table2121418198598119[[#This Row],[RB2 RecY]]</f>
        <v>61</v>
      </c>
    </row>
    <row r="681" spans="1:36" x14ac:dyDescent="0.35">
      <c r="B681" s="1" t="s">
        <v>57</v>
      </c>
      <c r="C681" s="3">
        <f>AVERAGE(Table2121418198598119[QB PY])</f>
        <v>248.29411764705881</v>
      </c>
      <c r="D681" s="3">
        <f>AVERAGE(Table2121418198598119[P TD])</f>
        <v>1.7647058823529411</v>
      </c>
      <c r="E681" s="3">
        <f>AVERAGE(Table2121418198598119[QB RY])</f>
        <v>19.411764705882351</v>
      </c>
      <c r="F681" s="3">
        <f>AVERAGE(Table2121418198598119[RB1 RY])</f>
        <v>64.647058823529406</v>
      </c>
      <c r="G681" s="3">
        <f>AVERAGE(Table2121418198598119[RB2+ RY])</f>
        <v>26.705882352941178</v>
      </c>
      <c r="H681" s="3">
        <f>AVERAGE(Table2121418198598119[WR RY])</f>
        <v>3.5882352941176472</v>
      </c>
      <c r="I681" s="3">
        <f>AVERAGE(Table2121418198598119[RB1 Recep])</f>
        <v>2.1764705882352939</v>
      </c>
      <c r="J681" s="3">
        <f>AVERAGE(Table2121418198598119[RB1 RecY])</f>
        <v>18.352941176470587</v>
      </c>
      <c r="K681" s="3">
        <f>AVERAGE(Table2121418198598119[RB2 Recep])</f>
        <v>1.1764705882352942</v>
      </c>
      <c r="L681" s="3">
        <f>AVERAGE(Table2121418198598119[RB2 RecY])</f>
        <v>8.7058823529411757</v>
      </c>
      <c r="M681" s="3">
        <f>AVERAGE(Table2121418198598119[WR1 Recep])</f>
        <v>5.1764705882352944</v>
      </c>
      <c r="N681" s="3">
        <f>AVERAGE(Table2121418198598119[WR1 RecY])</f>
        <v>74.705882352941174</v>
      </c>
      <c r="O681" s="3">
        <f>AVERAGE(Table2121418198598119[WR2 Recep])</f>
        <v>3.5294117647058822</v>
      </c>
      <c r="P681" s="3">
        <f>AVERAGE(Table2121418198598119[WR2 RecY])</f>
        <v>49.470588235294116</v>
      </c>
      <c r="Q681" s="3">
        <f>AVERAGE(Table2121418198598119[WR3 Recep])</f>
        <v>1.9411764705882353</v>
      </c>
      <c r="R681" s="3">
        <f>AVERAGE(Table2121418198598119[WR3 RecY])</f>
        <v>30.294117647058822</v>
      </c>
      <c r="S681" s="3">
        <f>AVERAGE(Table2121418198598119[WR4+ Recep])</f>
        <v>1.3529411764705883</v>
      </c>
      <c r="T681" s="3">
        <f>AVERAGE(Table2121418198598119[WR4+ RecY])</f>
        <v>11.058823529411764</v>
      </c>
      <c r="U681" s="3">
        <f>AVERAGE(Table2121418198598119[TE1 Recep])</f>
        <v>4.4705882352941178</v>
      </c>
      <c r="V681" s="3">
        <f>AVERAGE(Table2121418198598119[TE1 RecY])</f>
        <v>49.411764705882355</v>
      </c>
      <c r="W681" s="3">
        <f>AVERAGE(Table2121418198598119[TE2 Recep])</f>
        <v>0.94117647058823528</v>
      </c>
      <c r="X681" s="3">
        <f>AVERAGE(Table2121418198598119[TE2 RecY])</f>
        <v>6.2941176470588234</v>
      </c>
      <c r="Y681" s="3">
        <f>AVERAGE(Table2121418198598119[QB TD])</f>
        <v>0.17647058823529413</v>
      </c>
      <c r="Z681" s="3">
        <f>AVERAGE(Table2121418198598119[RB1 TD])</f>
        <v>0.82352941176470584</v>
      </c>
      <c r="AA681" s="3">
        <f>AVERAGE(Table2121418198598119[RB2 TD])</f>
        <v>0.35294117647058826</v>
      </c>
      <c r="AB681" s="3">
        <f>AVERAGE(Table2121418198598119[WR1 TD])</f>
        <v>0.6470588235294118</v>
      </c>
      <c r="AC681" s="3">
        <f>AVERAGE(Table2121418198598119[WR2 TD])</f>
        <v>0.29411764705882354</v>
      </c>
      <c r="AD681" s="3">
        <f>AVERAGE(Table2121418198598119[WR3 TD])</f>
        <v>0.17647058823529413</v>
      </c>
      <c r="AE681" s="3">
        <f>AVERAGE(Table2121418198598119[WR4+ TD])</f>
        <v>0</v>
      </c>
      <c r="AF681" s="3">
        <f>AVERAGE(Table2121418198598119[TE1 TD])</f>
        <v>0.29411764705882354</v>
      </c>
      <c r="AG681" s="3">
        <f>AVERAGE(Table2121418198598119[TE2 TD])</f>
        <v>0.23529411764705882</v>
      </c>
      <c r="AH681" s="3">
        <f>AVERAGE(Table2121418198598119[D/ST TD])</f>
        <v>0.23529411764705882</v>
      </c>
      <c r="AI681" s="3">
        <f>AVERAGE(Table2121418198598119[QB P+R])</f>
        <v>267.70588235294116</v>
      </c>
      <c r="AJ681" s="3">
        <f>AVERAGE(Table2121418198598119[RB R+R])</f>
        <v>118.41176470588235</v>
      </c>
    </row>
    <row r="683" spans="1:36" x14ac:dyDescent="0.35">
      <c r="A683" s="230" t="s">
        <v>56</v>
      </c>
      <c r="B683" s="230"/>
      <c r="C683" s="230"/>
      <c r="D683" s="230"/>
      <c r="E683" s="230"/>
      <c r="F683" s="230"/>
      <c r="G683" s="23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  <c r="AF683" s="230"/>
      <c r="AG683" s="230"/>
      <c r="AH683" s="230"/>
      <c r="AI683" s="230"/>
      <c r="AJ683" s="230"/>
    </row>
    <row r="684" spans="1:36" x14ac:dyDescent="0.35">
      <c r="A684" s="20" t="s">
        <v>63</v>
      </c>
      <c r="B684" s="6" t="s">
        <v>1</v>
      </c>
      <c r="C684" s="7" t="s">
        <v>18</v>
      </c>
      <c r="D684" s="8" t="s">
        <v>19</v>
      </c>
      <c r="E684" s="9" t="s">
        <v>20</v>
      </c>
      <c r="F684" s="10" t="s">
        <v>21</v>
      </c>
      <c r="G684" s="11" t="s">
        <v>22</v>
      </c>
      <c r="H684" s="12" t="s">
        <v>23</v>
      </c>
      <c r="I684" s="13" t="s">
        <v>667</v>
      </c>
      <c r="J684" s="13" t="s">
        <v>668</v>
      </c>
      <c r="K684" s="13" t="s">
        <v>665</v>
      </c>
      <c r="L684" s="13" t="s">
        <v>666</v>
      </c>
      <c r="M684" s="14" t="s">
        <v>2</v>
      </c>
      <c r="N684" s="14" t="s">
        <v>24</v>
      </c>
      <c r="O684" s="15" t="s">
        <v>3</v>
      </c>
      <c r="P684" s="15" t="s">
        <v>25</v>
      </c>
      <c r="Q684" s="16" t="s">
        <v>4</v>
      </c>
      <c r="R684" s="16" t="s">
        <v>26</v>
      </c>
      <c r="S684" s="17" t="s">
        <v>5</v>
      </c>
      <c r="T684" s="17" t="s">
        <v>27</v>
      </c>
      <c r="U684" s="18" t="s">
        <v>669</v>
      </c>
      <c r="V684" s="18" t="s">
        <v>670</v>
      </c>
      <c r="W684" s="18" t="s">
        <v>675</v>
      </c>
      <c r="X684" s="18" t="s">
        <v>671</v>
      </c>
      <c r="Y684" s="6" t="s">
        <v>6</v>
      </c>
      <c r="Z684" s="6" t="s">
        <v>7</v>
      </c>
      <c r="AA684" s="6" t="s">
        <v>674</v>
      </c>
      <c r="AB684" s="6" t="s">
        <v>8</v>
      </c>
      <c r="AC684" s="6" t="s">
        <v>9</v>
      </c>
      <c r="AD684" s="6" t="s">
        <v>10</v>
      </c>
      <c r="AE684" s="6" t="s">
        <v>11</v>
      </c>
      <c r="AF684" s="6" t="s">
        <v>673</v>
      </c>
      <c r="AG684" s="6" t="s">
        <v>672</v>
      </c>
      <c r="AH684" s="6" t="s">
        <v>12</v>
      </c>
      <c r="AI684" s="8" t="s">
        <v>14</v>
      </c>
      <c r="AJ684" s="11" t="s">
        <v>13</v>
      </c>
    </row>
    <row r="685" spans="1:36" x14ac:dyDescent="0.35">
      <c r="A685" s="19" t="s">
        <v>48</v>
      </c>
      <c r="B685" s="5">
        <v>1</v>
      </c>
      <c r="C685" s="4">
        <v>168</v>
      </c>
      <c r="D685" s="4">
        <v>0</v>
      </c>
      <c r="E685" s="4">
        <v>44</v>
      </c>
      <c r="F685" s="4">
        <v>24</v>
      </c>
      <c r="G685" s="4">
        <v>6</v>
      </c>
      <c r="H685" s="4">
        <v>0</v>
      </c>
      <c r="I685" s="4">
        <v>2</v>
      </c>
      <c r="J685" s="4">
        <v>11</v>
      </c>
      <c r="K685" s="4">
        <v>2</v>
      </c>
      <c r="L685" s="4">
        <v>12</v>
      </c>
      <c r="M685" s="4">
        <v>5</v>
      </c>
      <c r="N685" s="4">
        <v>71</v>
      </c>
      <c r="O685" s="4">
        <v>6</v>
      </c>
      <c r="P685" s="4">
        <v>55</v>
      </c>
      <c r="Q685" s="4">
        <v>0</v>
      </c>
      <c r="R685" s="4">
        <v>0</v>
      </c>
      <c r="S685" s="4">
        <v>0</v>
      </c>
      <c r="T685" s="4">
        <v>0</v>
      </c>
      <c r="U685" s="4">
        <v>1</v>
      </c>
      <c r="V685" s="4">
        <v>5</v>
      </c>
      <c r="W685" s="4">
        <v>1</v>
      </c>
      <c r="X685" s="4">
        <v>14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f>Table2121418198598121[[#This Row],[QB PY]]+Table2121418198598121[[#This Row],[QB RY]]</f>
        <v>212</v>
      </c>
      <c r="AJ685" s="4">
        <f>Table2121418198598121[[#This Row],[RB1 RY]]+Table2121418198598121[[#This Row],[RB2+ RY]]+Table2121418198598121[[#This Row],[RB1 RecY]]+Table2121418198598121[[#This Row],[RB2 RecY]]</f>
        <v>53</v>
      </c>
    </row>
    <row r="686" spans="1:36" x14ac:dyDescent="0.35">
      <c r="A686" s="19" t="s">
        <v>36</v>
      </c>
      <c r="B686" s="1">
        <v>2</v>
      </c>
      <c r="C686" s="2">
        <v>292</v>
      </c>
      <c r="D686" s="2">
        <v>2</v>
      </c>
      <c r="E686" s="2">
        <v>12</v>
      </c>
      <c r="F686" s="2">
        <v>84</v>
      </c>
      <c r="G686" s="2">
        <v>0</v>
      </c>
      <c r="H686" s="2">
        <v>39</v>
      </c>
      <c r="I686" s="2">
        <v>0</v>
      </c>
      <c r="J686" s="2">
        <v>0</v>
      </c>
      <c r="K686" s="2">
        <v>3</v>
      </c>
      <c r="L686" s="2">
        <v>27</v>
      </c>
      <c r="M686" s="2">
        <v>3</v>
      </c>
      <c r="N686" s="2">
        <v>28</v>
      </c>
      <c r="O686" s="2">
        <v>4</v>
      </c>
      <c r="P686" s="2">
        <v>44</v>
      </c>
      <c r="Q686" s="2">
        <v>0</v>
      </c>
      <c r="R686" s="2">
        <v>0</v>
      </c>
      <c r="S686" s="2">
        <v>1</v>
      </c>
      <c r="T686" s="2">
        <v>37</v>
      </c>
      <c r="U686" s="2">
        <v>6</v>
      </c>
      <c r="V686" s="2">
        <v>124</v>
      </c>
      <c r="W686" s="2">
        <v>2</v>
      </c>
      <c r="X686" s="2">
        <v>32</v>
      </c>
      <c r="Y686" s="2">
        <v>0</v>
      </c>
      <c r="Z686" s="2">
        <v>1</v>
      </c>
      <c r="AA686" s="2">
        <v>0</v>
      </c>
      <c r="AB686" s="2">
        <v>1</v>
      </c>
      <c r="AC686" s="2">
        <v>0</v>
      </c>
      <c r="AD686" s="2">
        <v>0</v>
      </c>
      <c r="AE686" s="2">
        <v>0</v>
      </c>
      <c r="AF686" s="2">
        <v>1</v>
      </c>
      <c r="AG686" s="2">
        <v>0</v>
      </c>
      <c r="AH686" s="2">
        <v>0</v>
      </c>
      <c r="AI686" s="4">
        <f>Table2121418198598121[[#This Row],[QB PY]]+Table2121418198598121[[#This Row],[QB RY]]</f>
        <v>304</v>
      </c>
      <c r="AJ686" s="4">
        <f>Table2121418198598121[[#This Row],[RB1 RY]]+Table2121418198598121[[#This Row],[RB2+ RY]]+Table2121418198598121[[#This Row],[RB1 RecY]]+Table2121418198598121[[#This Row],[RB2 RecY]]</f>
        <v>111</v>
      </c>
    </row>
    <row r="687" spans="1:36" x14ac:dyDescent="0.35">
      <c r="A687" s="19" t="s">
        <v>43</v>
      </c>
      <c r="B687" s="1">
        <v>3</v>
      </c>
      <c r="C687" s="2">
        <v>289</v>
      </c>
      <c r="D687" s="2">
        <v>3</v>
      </c>
      <c r="E687" s="2">
        <v>5</v>
      </c>
      <c r="F687" s="2">
        <v>63</v>
      </c>
      <c r="G687" s="2">
        <v>21</v>
      </c>
      <c r="H687" s="2">
        <v>4</v>
      </c>
      <c r="I687" s="2">
        <v>0</v>
      </c>
      <c r="J687" s="2">
        <v>0</v>
      </c>
      <c r="K687" s="2">
        <v>1</v>
      </c>
      <c r="L687" s="2">
        <v>4</v>
      </c>
      <c r="M687" s="2">
        <v>3</v>
      </c>
      <c r="N687" s="2">
        <v>63</v>
      </c>
      <c r="O687" s="2">
        <v>8</v>
      </c>
      <c r="P687" s="2">
        <v>145</v>
      </c>
      <c r="Q687" s="2">
        <v>2</v>
      </c>
      <c r="R687" s="2">
        <v>29</v>
      </c>
      <c r="S687" s="2">
        <v>1</v>
      </c>
      <c r="T687" s="2">
        <v>10</v>
      </c>
      <c r="U687" s="2">
        <v>4</v>
      </c>
      <c r="V687" s="2">
        <v>38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3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4">
        <f>Table2121418198598121[[#This Row],[QB PY]]+Table2121418198598121[[#This Row],[QB RY]]</f>
        <v>294</v>
      </c>
      <c r="AJ687" s="4">
        <f>Table2121418198598121[[#This Row],[RB1 RY]]+Table2121418198598121[[#This Row],[RB2+ RY]]+Table2121418198598121[[#This Row],[RB1 RecY]]+Table2121418198598121[[#This Row],[RB2 RecY]]</f>
        <v>88</v>
      </c>
    </row>
    <row r="688" spans="1:36" x14ac:dyDescent="0.35">
      <c r="A688" s="19" t="s">
        <v>15</v>
      </c>
      <c r="B688" s="1">
        <v>4</v>
      </c>
      <c r="C688" s="2">
        <v>313</v>
      </c>
      <c r="D688" s="2">
        <v>2</v>
      </c>
      <c r="E688" s="2">
        <v>2</v>
      </c>
      <c r="F688" s="2">
        <v>75</v>
      </c>
      <c r="G688" s="2">
        <v>51</v>
      </c>
      <c r="H688" s="2">
        <v>0</v>
      </c>
      <c r="I688" s="2">
        <v>4</v>
      </c>
      <c r="J688" s="2">
        <v>106</v>
      </c>
      <c r="K688" s="2">
        <v>0</v>
      </c>
      <c r="L688" s="2">
        <v>0</v>
      </c>
      <c r="M688" s="2">
        <v>8</v>
      </c>
      <c r="N688" s="2">
        <v>110</v>
      </c>
      <c r="O688" s="2">
        <v>1</v>
      </c>
      <c r="P688" s="2">
        <v>15</v>
      </c>
      <c r="Q688" s="2">
        <v>1</v>
      </c>
      <c r="R688" s="2">
        <v>-7</v>
      </c>
      <c r="S688" s="2">
        <v>1</v>
      </c>
      <c r="T688" s="2">
        <v>19</v>
      </c>
      <c r="U688" s="2">
        <v>5</v>
      </c>
      <c r="V688" s="2">
        <v>70</v>
      </c>
      <c r="W688" s="2">
        <v>0</v>
      </c>
      <c r="X688" s="2">
        <v>0</v>
      </c>
      <c r="Y688" s="2">
        <v>0</v>
      </c>
      <c r="Z688" s="2">
        <v>1</v>
      </c>
      <c r="AA688" s="2">
        <v>1</v>
      </c>
      <c r="AB688" s="2">
        <v>1</v>
      </c>
      <c r="AC688" s="2">
        <v>0</v>
      </c>
      <c r="AD688" s="2">
        <v>0</v>
      </c>
      <c r="AE688" s="2">
        <v>0</v>
      </c>
      <c r="AF688" s="2">
        <v>1</v>
      </c>
      <c r="AG688" s="2">
        <v>0</v>
      </c>
      <c r="AH688" s="2">
        <v>0</v>
      </c>
      <c r="AI688" s="4">
        <f>Table2121418198598121[[#This Row],[QB PY]]+Table2121418198598121[[#This Row],[QB RY]]</f>
        <v>315</v>
      </c>
      <c r="AJ688" s="4">
        <f>Table2121418198598121[[#This Row],[RB1 RY]]+Table2121418198598121[[#This Row],[RB2+ RY]]+Table2121418198598121[[#This Row],[RB1 RecY]]+Table2121418198598121[[#This Row],[RB2 RecY]]</f>
        <v>232</v>
      </c>
    </row>
    <row r="689" spans="1:36" x14ac:dyDescent="0.35">
      <c r="A689" s="19" t="s">
        <v>41</v>
      </c>
      <c r="B689" s="1">
        <v>5</v>
      </c>
      <c r="C689" s="2">
        <v>210</v>
      </c>
      <c r="D689" s="2">
        <v>1</v>
      </c>
      <c r="E689" s="2">
        <v>71</v>
      </c>
      <c r="F689" s="2">
        <v>44</v>
      </c>
      <c r="G689" s="2">
        <v>31</v>
      </c>
      <c r="H689" s="2">
        <v>9</v>
      </c>
      <c r="I689" s="2">
        <v>6</v>
      </c>
      <c r="J689" s="2">
        <v>26</v>
      </c>
      <c r="K689" s="2">
        <v>2</v>
      </c>
      <c r="L689" s="2">
        <v>3</v>
      </c>
      <c r="M689" s="2">
        <v>5</v>
      </c>
      <c r="N689" s="2">
        <v>39</v>
      </c>
      <c r="O689" s="2">
        <v>4</v>
      </c>
      <c r="P689" s="2">
        <v>40</v>
      </c>
      <c r="Q689" s="2">
        <v>5</v>
      </c>
      <c r="R689" s="2">
        <v>58</v>
      </c>
      <c r="S689" s="2">
        <v>0</v>
      </c>
      <c r="T689" s="2">
        <v>0</v>
      </c>
      <c r="U689" s="2">
        <v>2</v>
      </c>
      <c r="V689" s="2">
        <v>30</v>
      </c>
      <c r="W689" s="2">
        <v>1</v>
      </c>
      <c r="X689" s="2">
        <v>14</v>
      </c>
      <c r="Y689" s="2">
        <v>0</v>
      </c>
      <c r="Z689" s="2">
        <v>0</v>
      </c>
      <c r="AA689" s="2">
        <v>0</v>
      </c>
      <c r="AB689" s="2">
        <v>1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4">
        <f>Table2121418198598121[[#This Row],[QB PY]]+Table2121418198598121[[#This Row],[QB RY]]</f>
        <v>281</v>
      </c>
      <c r="AJ689" s="4">
        <f>Table2121418198598121[[#This Row],[RB1 RY]]+Table2121418198598121[[#This Row],[RB2+ RY]]+Table2121418198598121[[#This Row],[RB1 RecY]]+Table2121418198598121[[#This Row],[RB2 RecY]]</f>
        <v>104</v>
      </c>
    </row>
    <row r="690" spans="1:36" x14ac:dyDescent="0.35">
      <c r="A690" s="19" t="s">
        <v>30</v>
      </c>
      <c r="B690" s="1">
        <v>6</v>
      </c>
      <c r="C690" s="2">
        <v>252</v>
      </c>
      <c r="D690" s="2">
        <v>1</v>
      </c>
      <c r="E690" s="2">
        <v>-2</v>
      </c>
      <c r="F690" s="2">
        <v>108</v>
      </c>
      <c r="G690" s="2">
        <v>25</v>
      </c>
      <c r="H690" s="2">
        <v>14</v>
      </c>
      <c r="I690" s="2">
        <v>2</v>
      </c>
      <c r="J690" s="2">
        <v>67</v>
      </c>
      <c r="K690" s="2">
        <v>1</v>
      </c>
      <c r="L690" s="2">
        <v>25</v>
      </c>
      <c r="M690" s="2">
        <v>3</v>
      </c>
      <c r="N690" s="2">
        <v>42</v>
      </c>
      <c r="O690" s="2">
        <v>2</v>
      </c>
      <c r="P690" s="2">
        <v>32</v>
      </c>
      <c r="Q690" s="2">
        <v>2</v>
      </c>
      <c r="R690" s="2">
        <v>24</v>
      </c>
      <c r="S690" s="2">
        <v>4</v>
      </c>
      <c r="T690" s="2">
        <v>51</v>
      </c>
      <c r="U690" s="2">
        <v>2</v>
      </c>
      <c r="V690" s="2">
        <v>11</v>
      </c>
      <c r="W690" s="2">
        <v>1</v>
      </c>
      <c r="X690" s="2">
        <v>0</v>
      </c>
      <c r="Y690" s="2">
        <v>1</v>
      </c>
      <c r="Z690" s="2">
        <v>1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4">
        <f>Table2121418198598121[[#This Row],[QB PY]]+Table2121418198598121[[#This Row],[QB RY]]</f>
        <v>250</v>
      </c>
      <c r="AJ690" s="4">
        <f>Table2121418198598121[[#This Row],[RB1 RY]]+Table2121418198598121[[#This Row],[RB2+ RY]]+Table2121418198598121[[#This Row],[RB1 RecY]]+Table2121418198598121[[#This Row],[RB2 RecY]]</f>
        <v>225</v>
      </c>
    </row>
    <row r="691" spans="1:36" x14ac:dyDescent="0.35">
      <c r="A691" s="19" t="s">
        <v>33</v>
      </c>
      <c r="B691" s="1">
        <v>7</v>
      </c>
      <c r="C691" s="2">
        <v>264</v>
      </c>
      <c r="D691" s="2">
        <v>3</v>
      </c>
      <c r="E691" s="2">
        <v>7</v>
      </c>
      <c r="F691" s="2">
        <v>116</v>
      </c>
      <c r="G691" s="2">
        <v>29</v>
      </c>
      <c r="H691" s="2">
        <v>0</v>
      </c>
      <c r="I691" s="2">
        <v>1</v>
      </c>
      <c r="J691" s="2">
        <v>2</v>
      </c>
      <c r="K691" s="2">
        <v>2</v>
      </c>
      <c r="L691" s="2">
        <v>8</v>
      </c>
      <c r="M691" s="2">
        <v>5</v>
      </c>
      <c r="N691" s="2">
        <v>110</v>
      </c>
      <c r="O691" s="2">
        <v>4</v>
      </c>
      <c r="P691" s="2">
        <v>82</v>
      </c>
      <c r="Q691" s="2">
        <v>1</v>
      </c>
      <c r="R691" s="2">
        <v>16</v>
      </c>
      <c r="S691" s="2">
        <v>1</v>
      </c>
      <c r="T691" s="2">
        <v>17</v>
      </c>
      <c r="U691" s="2">
        <v>7</v>
      </c>
      <c r="V691" s="2">
        <v>29</v>
      </c>
      <c r="W691" s="2">
        <v>0</v>
      </c>
      <c r="X691" s="2">
        <v>0</v>
      </c>
      <c r="Y691" s="2">
        <v>0</v>
      </c>
      <c r="Z691" s="2">
        <v>1</v>
      </c>
      <c r="AA691" s="2">
        <v>0</v>
      </c>
      <c r="AB691" s="2">
        <v>1</v>
      </c>
      <c r="AC691" s="2">
        <v>0</v>
      </c>
      <c r="AD691" s="2">
        <v>0</v>
      </c>
      <c r="AE691" s="2">
        <v>0</v>
      </c>
      <c r="AF691" s="2">
        <v>2</v>
      </c>
      <c r="AG691" s="2">
        <v>0</v>
      </c>
      <c r="AH691" s="2">
        <v>1</v>
      </c>
      <c r="AI691" s="4">
        <f>Table2121418198598121[[#This Row],[QB PY]]+Table2121418198598121[[#This Row],[QB RY]]</f>
        <v>271</v>
      </c>
      <c r="AJ691" s="4">
        <f>Table2121418198598121[[#This Row],[RB1 RY]]+Table2121418198598121[[#This Row],[RB2+ RY]]+Table2121418198598121[[#This Row],[RB1 RecY]]+Table2121418198598121[[#This Row],[RB2 RecY]]</f>
        <v>155</v>
      </c>
    </row>
    <row r="692" spans="1:36" x14ac:dyDescent="0.35">
      <c r="A692" s="19" t="s">
        <v>40</v>
      </c>
      <c r="B692" s="1">
        <v>8</v>
      </c>
      <c r="C692" s="2">
        <v>299</v>
      </c>
      <c r="D692" s="2">
        <v>3</v>
      </c>
      <c r="E692" s="2">
        <v>30</v>
      </c>
      <c r="F692" s="2">
        <v>58</v>
      </c>
      <c r="G692" s="2">
        <v>48</v>
      </c>
      <c r="H692" s="2">
        <v>12</v>
      </c>
      <c r="I692" s="2">
        <v>1</v>
      </c>
      <c r="J692" s="2">
        <v>2</v>
      </c>
      <c r="K692" s="2">
        <v>0</v>
      </c>
      <c r="L692" s="2">
        <v>0</v>
      </c>
      <c r="M692" s="2">
        <v>9</v>
      </c>
      <c r="N692" s="2">
        <v>93</v>
      </c>
      <c r="O692" s="2">
        <v>5</v>
      </c>
      <c r="P692" s="2">
        <v>53</v>
      </c>
      <c r="Q692" s="2">
        <v>0</v>
      </c>
      <c r="R692" s="2">
        <v>0</v>
      </c>
      <c r="S692" s="2">
        <v>2</v>
      </c>
      <c r="T692" s="2">
        <v>29</v>
      </c>
      <c r="U692" s="2">
        <v>6</v>
      </c>
      <c r="V692" s="2">
        <v>99</v>
      </c>
      <c r="W692" s="2">
        <v>2</v>
      </c>
      <c r="X692" s="2">
        <v>23</v>
      </c>
      <c r="Y692" s="2">
        <v>0</v>
      </c>
      <c r="Z692" s="2">
        <v>0</v>
      </c>
      <c r="AA692" s="2">
        <v>2</v>
      </c>
      <c r="AB692" s="2">
        <v>1</v>
      </c>
      <c r="AC692" s="2">
        <v>0</v>
      </c>
      <c r="AD692" s="2">
        <v>0</v>
      </c>
      <c r="AE692" s="2">
        <v>0</v>
      </c>
      <c r="AF692" s="2">
        <v>1</v>
      </c>
      <c r="AG692" s="2">
        <v>0</v>
      </c>
      <c r="AH692" s="2">
        <v>0</v>
      </c>
      <c r="AI692" s="4">
        <f>Table2121418198598121[[#This Row],[QB PY]]+Table2121418198598121[[#This Row],[QB RY]]</f>
        <v>329</v>
      </c>
      <c r="AJ692" s="4">
        <f>Table2121418198598121[[#This Row],[RB1 RY]]+Table2121418198598121[[#This Row],[RB2+ RY]]+Table2121418198598121[[#This Row],[RB1 RecY]]+Table2121418198598121[[#This Row],[RB2 RecY]]</f>
        <v>108</v>
      </c>
    </row>
    <row r="693" spans="1:36" x14ac:dyDescent="0.35">
      <c r="A693" s="19" t="s">
        <v>52</v>
      </c>
      <c r="B693" s="1">
        <v>9</v>
      </c>
      <c r="C693" s="2">
        <v>330</v>
      </c>
      <c r="D693" s="2">
        <v>4</v>
      </c>
      <c r="E693" s="2">
        <v>0</v>
      </c>
      <c r="F693" s="2">
        <v>42</v>
      </c>
      <c r="G693" s="2">
        <v>34</v>
      </c>
      <c r="H693" s="2">
        <v>12</v>
      </c>
      <c r="I693" s="2">
        <v>2</v>
      </c>
      <c r="J693" s="2">
        <v>19</v>
      </c>
      <c r="K693" s="2">
        <v>1</v>
      </c>
      <c r="L693" s="2">
        <v>21</v>
      </c>
      <c r="M693" s="2">
        <v>8</v>
      </c>
      <c r="N693" s="2">
        <v>129</v>
      </c>
      <c r="O693" s="2">
        <v>4</v>
      </c>
      <c r="P693" s="2">
        <v>48</v>
      </c>
      <c r="Q693" s="2">
        <v>1</v>
      </c>
      <c r="R693" s="2">
        <v>60</v>
      </c>
      <c r="S693" s="2">
        <v>0</v>
      </c>
      <c r="T693" s="2">
        <v>0</v>
      </c>
      <c r="U693" s="2">
        <v>3</v>
      </c>
      <c r="V693" s="2">
        <v>24</v>
      </c>
      <c r="W693" s="2">
        <v>2</v>
      </c>
      <c r="X693" s="2">
        <v>29</v>
      </c>
      <c r="Y693" s="2">
        <v>0</v>
      </c>
      <c r="Z693" s="2">
        <v>0</v>
      </c>
      <c r="AA693" s="2">
        <v>0</v>
      </c>
      <c r="AB693" s="2">
        <v>0</v>
      </c>
      <c r="AC693" s="2">
        <v>2</v>
      </c>
      <c r="AD693" s="2">
        <v>1</v>
      </c>
      <c r="AE693" s="2">
        <v>0</v>
      </c>
      <c r="AF693" s="2">
        <v>1</v>
      </c>
      <c r="AG693" s="2">
        <v>1</v>
      </c>
      <c r="AH693" s="2">
        <v>0</v>
      </c>
      <c r="AI693" s="4">
        <f>Table2121418198598121[[#This Row],[QB PY]]+Table2121418198598121[[#This Row],[QB RY]]</f>
        <v>330</v>
      </c>
      <c r="AJ693" s="4">
        <f>Table2121418198598121[[#This Row],[RB1 RY]]+Table2121418198598121[[#This Row],[RB2+ RY]]+Table2121418198598121[[#This Row],[RB1 RecY]]+Table2121418198598121[[#This Row],[RB2 RecY]]</f>
        <v>116</v>
      </c>
    </row>
    <row r="694" spans="1:36" x14ac:dyDescent="0.35">
      <c r="A694" s="19" t="s">
        <v>35</v>
      </c>
      <c r="B694" s="1">
        <v>10</v>
      </c>
      <c r="C694" s="2">
        <v>320</v>
      </c>
      <c r="D694" s="2">
        <v>3</v>
      </c>
      <c r="E694" s="2">
        <v>-1</v>
      </c>
      <c r="F694" s="2">
        <v>142</v>
      </c>
      <c r="G694" s="2">
        <v>72</v>
      </c>
      <c r="H694" s="2">
        <v>10</v>
      </c>
      <c r="I694" s="2">
        <v>3</v>
      </c>
      <c r="J694" s="2">
        <v>30</v>
      </c>
      <c r="K694" s="2">
        <v>1</v>
      </c>
      <c r="L694" s="2">
        <v>0</v>
      </c>
      <c r="M694" s="2">
        <v>5</v>
      </c>
      <c r="N694" s="2">
        <v>58</v>
      </c>
      <c r="O694" s="2">
        <v>6</v>
      </c>
      <c r="P694" s="2">
        <v>119</v>
      </c>
      <c r="Q694" s="2">
        <v>4</v>
      </c>
      <c r="R694" s="2">
        <v>49</v>
      </c>
      <c r="S694" s="2">
        <v>1</v>
      </c>
      <c r="T694" s="2">
        <v>11</v>
      </c>
      <c r="U694" s="2">
        <v>5</v>
      </c>
      <c r="V694" s="2">
        <v>53</v>
      </c>
      <c r="W694" s="2">
        <v>0</v>
      </c>
      <c r="X694" s="2">
        <v>0</v>
      </c>
      <c r="Y694" s="2">
        <v>0</v>
      </c>
      <c r="Z694" s="2">
        <v>3</v>
      </c>
      <c r="AA694" s="2">
        <v>0</v>
      </c>
      <c r="AB694" s="2">
        <v>1</v>
      </c>
      <c r="AC694" s="2">
        <v>1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4">
        <f>Table2121418198598121[[#This Row],[QB PY]]+Table2121418198598121[[#This Row],[QB RY]]</f>
        <v>319</v>
      </c>
      <c r="AJ694" s="4">
        <f>Table2121418198598121[[#This Row],[RB1 RY]]+Table2121418198598121[[#This Row],[RB2+ RY]]+Table2121418198598121[[#This Row],[RB1 RecY]]+Table2121418198598121[[#This Row],[RB2 RecY]]</f>
        <v>244</v>
      </c>
    </row>
    <row r="695" spans="1:36" x14ac:dyDescent="0.35">
      <c r="A695" s="19" t="s">
        <v>44</v>
      </c>
      <c r="B695" s="1">
        <v>11</v>
      </c>
      <c r="C695" s="2">
        <v>171</v>
      </c>
      <c r="D695" s="2">
        <v>0</v>
      </c>
      <c r="E695" s="2">
        <v>0</v>
      </c>
      <c r="F695" s="2">
        <v>120</v>
      </c>
      <c r="G695" s="2">
        <v>49</v>
      </c>
      <c r="H695" s="2">
        <v>0</v>
      </c>
      <c r="I695" s="2">
        <v>5</v>
      </c>
      <c r="J695" s="2">
        <v>45</v>
      </c>
      <c r="K695" s="2">
        <v>0</v>
      </c>
      <c r="L695" s="2">
        <v>0</v>
      </c>
      <c r="M695" s="2">
        <v>3</v>
      </c>
      <c r="N695" s="2">
        <v>52</v>
      </c>
      <c r="O695" s="2">
        <v>3</v>
      </c>
      <c r="P695" s="2">
        <v>42</v>
      </c>
      <c r="Q695" s="2">
        <v>0</v>
      </c>
      <c r="R695" s="2">
        <v>0</v>
      </c>
      <c r="S695" s="2">
        <v>0</v>
      </c>
      <c r="T695" s="2">
        <v>0</v>
      </c>
      <c r="U695" s="2">
        <v>2</v>
      </c>
      <c r="V695" s="2">
        <v>18</v>
      </c>
      <c r="W695" s="2">
        <v>1</v>
      </c>
      <c r="X695" s="2">
        <v>14</v>
      </c>
      <c r="Y695" s="2">
        <v>0</v>
      </c>
      <c r="Z695" s="2">
        <v>0</v>
      </c>
      <c r="AA695" s="2">
        <v>1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4">
        <f>Table2121418198598121[[#This Row],[QB PY]]+Table2121418198598121[[#This Row],[QB RY]]</f>
        <v>171</v>
      </c>
      <c r="AJ695" s="4">
        <f>Table2121418198598121[[#This Row],[RB1 RY]]+Table2121418198598121[[#This Row],[RB2+ RY]]+Table2121418198598121[[#This Row],[RB1 RecY]]+Table2121418198598121[[#This Row],[RB2 RecY]]</f>
        <v>214</v>
      </c>
    </row>
    <row r="696" spans="1:36" x14ac:dyDescent="0.35">
      <c r="A696" s="19" t="s">
        <v>650</v>
      </c>
      <c r="B696" s="1">
        <v>12</v>
      </c>
      <c r="C696" s="2" t="s">
        <v>697</v>
      </c>
      <c r="D696" s="2" t="s">
        <v>697</v>
      </c>
      <c r="E696" s="2" t="s">
        <v>697</v>
      </c>
      <c r="F696" s="2" t="s">
        <v>697</v>
      </c>
      <c r="G696" s="2" t="s">
        <v>697</v>
      </c>
      <c r="H696" s="2" t="s">
        <v>697</v>
      </c>
      <c r="I696" s="2" t="s">
        <v>697</v>
      </c>
      <c r="J696" s="2" t="s">
        <v>697</v>
      </c>
      <c r="K696" s="2" t="s">
        <v>697</v>
      </c>
      <c r="L696" s="2" t="s">
        <v>697</v>
      </c>
      <c r="M696" s="2" t="s">
        <v>697</v>
      </c>
      <c r="N696" s="2" t="s">
        <v>697</v>
      </c>
      <c r="O696" s="2" t="s">
        <v>697</v>
      </c>
      <c r="P696" s="2" t="s">
        <v>697</v>
      </c>
      <c r="Q696" s="2" t="s">
        <v>697</v>
      </c>
      <c r="R696" s="2" t="s">
        <v>697</v>
      </c>
      <c r="S696" s="2" t="s">
        <v>697</v>
      </c>
      <c r="T696" s="2" t="s">
        <v>697</v>
      </c>
      <c r="U696" s="2" t="s">
        <v>697</v>
      </c>
      <c r="V696" s="2" t="s">
        <v>697</v>
      </c>
      <c r="W696" s="2" t="s">
        <v>697</v>
      </c>
      <c r="X696" s="2" t="s">
        <v>697</v>
      </c>
      <c r="Y696" s="2" t="s">
        <v>697</v>
      </c>
      <c r="Z696" s="2" t="s">
        <v>697</v>
      </c>
      <c r="AA696" s="2" t="s">
        <v>697</v>
      </c>
      <c r="AB696" s="2" t="s">
        <v>697</v>
      </c>
      <c r="AC696" s="2" t="s">
        <v>697</v>
      </c>
      <c r="AD696" s="2" t="s">
        <v>697</v>
      </c>
      <c r="AE696" s="2" t="s">
        <v>697</v>
      </c>
      <c r="AF696" s="2" t="s">
        <v>697</v>
      </c>
      <c r="AG696" s="2" t="s">
        <v>697</v>
      </c>
      <c r="AH696" s="2" t="s">
        <v>697</v>
      </c>
      <c r="AI696" s="4" t="s">
        <v>697</v>
      </c>
      <c r="AJ696" s="4" t="s">
        <v>697</v>
      </c>
    </row>
    <row r="697" spans="1:36" x14ac:dyDescent="0.35">
      <c r="A697" s="19" t="s">
        <v>34</v>
      </c>
      <c r="B697" s="1">
        <v>13</v>
      </c>
      <c r="C697" s="2">
        <v>321</v>
      </c>
      <c r="D697" s="2">
        <v>1</v>
      </c>
      <c r="E697" s="2">
        <v>16</v>
      </c>
      <c r="F697" s="2">
        <v>35</v>
      </c>
      <c r="G697" s="2">
        <v>27</v>
      </c>
      <c r="H697" s="2">
        <v>9</v>
      </c>
      <c r="I697" s="2">
        <v>3</v>
      </c>
      <c r="J697" s="2">
        <v>27</v>
      </c>
      <c r="K697" s="2">
        <v>5</v>
      </c>
      <c r="L697" s="2">
        <v>35</v>
      </c>
      <c r="M697" s="2">
        <v>5</v>
      </c>
      <c r="N697" s="2">
        <v>62</v>
      </c>
      <c r="O697" s="2">
        <v>2</v>
      </c>
      <c r="P697" s="2">
        <v>21</v>
      </c>
      <c r="Q697" s="2">
        <v>3</v>
      </c>
      <c r="R697" s="2">
        <v>42</v>
      </c>
      <c r="S697" s="2">
        <v>2</v>
      </c>
      <c r="T697" s="2">
        <v>8</v>
      </c>
      <c r="U697" s="2">
        <v>6</v>
      </c>
      <c r="V697" s="2">
        <v>79</v>
      </c>
      <c r="W697" s="2">
        <v>3</v>
      </c>
      <c r="X697" s="2">
        <v>47</v>
      </c>
      <c r="Y697" s="2">
        <v>0</v>
      </c>
      <c r="Z697" s="2">
        <v>2</v>
      </c>
      <c r="AA697" s="2">
        <v>0</v>
      </c>
      <c r="AB697" s="2">
        <v>1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4">
        <f>Table2121418198598121[[#This Row],[QB PY]]+Table2121418198598121[[#This Row],[QB RY]]</f>
        <v>337</v>
      </c>
      <c r="AJ697" s="4">
        <f>Table2121418198598121[[#This Row],[RB1 RY]]+Table2121418198598121[[#This Row],[RB2+ RY]]+Table2121418198598121[[#This Row],[RB1 RecY]]+Table2121418198598121[[#This Row],[RB2 RecY]]</f>
        <v>124</v>
      </c>
    </row>
    <row r="698" spans="1:36" x14ac:dyDescent="0.35">
      <c r="A698" s="19" t="s">
        <v>45</v>
      </c>
      <c r="B698" s="1">
        <v>14</v>
      </c>
      <c r="C698" s="2">
        <v>163</v>
      </c>
      <c r="D698" s="2">
        <v>3</v>
      </c>
      <c r="E698" s="2">
        <v>19</v>
      </c>
      <c r="F698" s="2">
        <v>76</v>
      </c>
      <c r="G698" s="2">
        <v>67</v>
      </c>
      <c r="H698" s="2">
        <v>0</v>
      </c>
      <c r="I698" s="2">
        <v>0</v>
      </c>
      <c r="J698" s="2">
        <v>0</v>
      </c>
      <c r="K698" s="2">
        <v>1</v>
      </c>
      <c r="L698" s="2">
        <v>5</v>
      </c>
      <c r="M698" s="2">
        <v>2</v>
      </c>
      <c r="N698" s="2">
        <v>11</v>
      </c>
      <c r="O698" s="2">
        <v>4</v>
      </c>
      <c r="P698" s="2">
        <v>62</v>
      </c>
      <c r="Q698" s="2">
        <v>3</v>
      </c>
      <c r="R698" s="2">
        <v>30</v>
      </c>
      <c r="S698" s="2">
        <v>1</v>
      </c>
      <c r="T698" s="2">
        <v>10</v>
      </c>
      <c r="U698" s="2">
        <v>2</v>
      </c>
      <c r="V698" s="2">
        <v>12</v>
      </c>
      <c r="W698" s="2">
        <v>3</v>
      </c>
      <c r="X698" s="2">
        <v>33</v>
      </c>
      <c r="Y698" s="2">
        <v>0</v>
      </c>
      <c r="Z698" s="2">
        <v>0</v>
      </c>
      <c r="AA698" s="2">
        <v>1</v>
      </c>
      <c r="AB698" s="2">
        <v>0</v>
      </c>
      <c r="AC698" s="2">
        <v>0</v>
      </c>
      <c r="AD698" s="2">
        <v>0</v>
      </c>
      <c r="AE698" s="2">
        <v>0</v>
      </c>
      <c r="AF698" s="2">
        <v>1</v>
      </c>
      <c r="AG698" s="2">
        <v>2</v>
      </c>
      <c r="AH698" s="2">
        <v>0</v>
      </c>
      <c r="AI698" s="4">
        <f>Table2121418198598121[[#This Row],[QB PY]]+Table2121418198598121[[#This Row],[QB RY]]</f>
        <v>182</v>
      </c>
      <c r="AJ698" s="4">
        <f>Table2121418198598121[[#This Row],[RB1 RY]]+Table2121418198598121[[#This Row],[RB2+ RY]]+Table2121418198598121[[#This Row],[RB1 RecY]]+Table2121418198598121[[#This Row],[RB2 RecY]]</f>
        <v>148</v>
      </c>
    </row>
    <row r="699" spans="1:36" x14ac:dyDescent="0.35">
      <c r="A699" s="19" t="s">
        <v>48</v>
      </c>
      <c r="B699" s="1">
        <v>15</v>
      </c>
      <c r="C699" s="2">
        <v>246</v>
      </c>
      <c r="D699" s="2">
        <v>2</v>
      </c>
      <c r="E699" s="2">
        <v>63</v>
      </c>
      <c r="F699" s="2">
        <v>70</v>
      </c>
      <c r="G699" s="2">
        <v>13</v>
      </c>
      <c r="H699" s="2">
        <v>0</v>
      </c>
      <c r="I699" s="2">
        <v>3</v>
      </c>
      <c r="J699" s="2">
        <v>27</v>
      </c>
      <c r="K699" s="2">
        <v>1</v>
      </c>
      <c r="L699" s="2">
        <v>1</v>
      </c>
      <c r="M699" s="2">
        <v>5</v>
      </c>
      <c r="N699" s="2">
        <v>54</v>
      </c>
      <c r="O699" s="2">
        <v>4</v>
      </c>
      <c r="P699" s="2">
        <v>53</v>
      </c>
      <c r="Q699" s="2">
        <v>1</v>
      </c>
      <c r="R699" s="2">
        <v>4</v>
      </c>
      <c r="S699" s="2">
        <v>0</v>
      </c>
      <c r="T699" s="2">
        <v>0</v>
      </c>
      <c r="U699" s="2">
        <v>3</v>
      </c>
      <c r="V699" s="2">
        <v>72</v>
      </c>
      <c r="W699" s="2">
        <v>3</v>
      </c>
      <c r="X699" s="2">
        <v>35</v>
      </c>
      <c r="Y699" s="2">
        <v>0</v>
      </c>
      <c r="Z699" s="2">
        <v>2</v>
      </c>
      <c r="AA699" s="2">
        <v>0</v>
      </c>
      <c r="AB699" s="2">
        <v>1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4">
        <f>Table2121418198598121[[#This Row],[QB PY]]+Table2121418198598121[[#This Row],[QB RY]]</f>
        <v>309</v>
      </c>
      <c r="AJ699" s="4">
        <f>Table2121418198598121[[#This Row],[RB1 RY]]+Table2121418198598121[[#This Row],[RB2+ RY]]+Table2121418198598121[[#This Row],[RB1 RecY]]+Table2121418198598121[[#This Row],[RB2 RecY]]</f>
        <v>111</v>
      </c>
    </row>
    <row r="700" spans="1:36" x14ac:dyDescent="0.35">
      <c r="A700" s="19" t="s">
        <v>50</v>
      </c>
      <c r="B700" s="1">
        <v>16</v>
      </c>
      <c r="C700" s="2">
        <v>185</v>
      </c>
      <c r="D700" s="2">
        <v>2</v>
      </c>
      <c r="E700" s="2">
        <v>38</v>
      </c>
      <c r="F700" s="2">
        <v>132</v>
      </c>
      <c r="G700" s="2">
        <v>37</v>
      </c>
      <c r="H700" s="2">
        <v>0</v>
      </c>
      <c r="I700" s="2">
        <v>0</v>
      </c>
      <c r="J700" s="2">
        <v>0</v>
      </c>
      <c r="K700" s="2">
        <v>1</v>
      </c>
      <c r="L700" s="2">
        <v>3</v>
      </c>
      <c r="M700" s="2">
        <v>9</v>
      </c>
      <c r="N700" s="2">
        <v>95</v>
      </c>
      <c r="O700" s="2">
        <v>6</v>
      </c>
      <c r="P700" s="2">
        <v>42</v>
      </c>
      <c r="Q700" s="2">
        <v>3</v>
      </c>
      <c r="R700" s="2">
        <v>13</v>
      </c>
      <c r="S700" s="2">
        <v>0</v>
      </c>
      <c r="T700" s="2">
        <v>0</v>
      </c>
      <c r="U700" s="2">
        <v>3</v>
      </c>
      <c r="V700" s="2">
        <v>32</v>
      </c>
      <c r="W700" s="2">
        <v>0</v>
      </c>
      <c r="X700" s="2">
        <v>0</v>
      </c>
      <c r="Y700" s="2">
        <v>0</v>
      </c>
      <c r="Z700" s="2">
        <v>1</v>
      </c>
      <c r="AA700" s="2">
        <v>1</v>
      </c>
      <c r="AB700" s="2">
        <v>0</v>
      </c>
      <c r="AC700" s="2">
        <v>1</v>
      </c>
      <c r="AD700" s="2">
        <v>0</v>
      </c>
      <c r="AE700" s="2">
        <v>0</v>
      </c>
      <c r="AF700" s="2">
        <v>1</v>
      </c>
      <c r="AG700" s="2">
        <v>0</v>
      </c>
      <c r="AH700" s="2">
        <v>0</v>
      </c>
      <c r="AI700" s="4">
        <f>Table2121418198598121[[#This Row],[QB PY]]+Table2121418198598121[[#This Row],[QB RY]]</f>
        <v>223</v>
      </c>
      <c r="AJ700" s="4">
        <f>Table2121418198598121[[#This Row],[RB1 RY]]+Table2121418198598121[[#This Row],[RB2+ RY]]+Table2121418198598121[[#This Row],[RB1 RecY]]+Table2121418198598121[[#This Row],[RB2 RecY]]</f>
        <v>172</v>
      </c>
    </row>
    <row r="701" spans="1:36" x14ac:dyDescent="0.35">
      <c r="A701" s="19" t="s">
        <v>33</v>
      </c>
      <c r="B701" s="1">
        <v>17</v>
      </c>
      <c r="C701" s="2">
        <v>307</v>
      </c>
      <c r="D701" s="2">
        <v>2</v>
      </c>
      <c r="E701" s="2">
        <v>24</v>
      </c>
      <c r="F701" s="2">
        <v>103</v>
      </c>
      <c r="G701" s="2">
        <v>84</v>
      </c>
      <c r="H701" s="2">
        <v>0</v>
      </c>
      <c r="I701" s="2">
        <v>0</v>
      </c>
      <c r="J701" s="2">
        <v>0</v>
      </c>
      <c r="K701" s="2">
        <v>1</v>
      </c>
      <c r="L701" s="2">
        <v>14</v>
      </c>
      <c r="M701" s="2">
        <v>5</v>
      </c>
      <c r="N701" s="2">
        <v>46</v>
      </c>
      <c r="O701" s="2">
        <v>4</v>
      </c>
      <c r="P701" s="2">
        <v>78</v>
      </c>
      <c r="Q701" s="2">
        <v>4</v>
      </c>
      <c r="R701" s="2">
        <v>31</v>
      </c>
      <c r="S701" s="2">
        <v>1</v>
      </c>
      <c r="T701" s="2">
        <v>86</v>
      </c>
      <c r="U701" s="2">
        <v>1</v>
      </c>
      <c r="V701" s="2">
        <v>6</v>
      </c>
      <c r="W701" s="2">
        <v>3</v>
      </c>
      <c r="X701" s="2">
        <v>46</v>
      </c>
      <c r="Y701" s="2">
        <v>0</v>
      </c>
      <c r="Z701" s="2">
        <v>1</v>
      </c>
      <c r="AA701" s="2">
        <v>0</v>
      </c>
      <c r="AB701" s="2">
        <v>0</v>
      </c>
      <c r="AC701" s="2">
        <v>0</v>
      </c>
      <c r="AD701" s="2">
        <v>0</v>
      </c>
      <c r="AE701" s="2">
        <v>1</v>
      </c>
      <c r="AF701" s="2">
        <v>1</v>
      </c>
      <c r="AG701" s="2">
        <v>0</v>
      </c>
      <c r="AH701" s="2">
        <v>0</v>
      </c>
      <c r="AI701" s="4">
        <f>Table2121418198598121[[#This Row],[QB PY]]+Table2121418198598121[[#This Row],[QB RY]]</f>
        <v>331</v>
      </c>
      <c r="AJ701" s="4">
        <f>Table2121418198598121[[#This Row],[RB1 RY]]+Table2121418198598121[[#This Row],[RB2+ RY]]+Table2121418198598121[[#This Row],[RB1 RecY]]+Table2121418198598121[[#This Row],[RB2 RecY]]</f>
        <v>201</v>
      </c>
    </row>
    <row r="702" spans="1:36" x14ac:dyDescent="0.35">
      <c r="A702" s="19" t="s">
        <v>50</v>
      </c>
      <c r="B702" s="1">
        <v>18</v>
      </c>
      <c r="C702" s="2">
        <v>241</v>
      </c>
      <c r="D702" s="2">
        <v>1</v>
      </c>
      <c r="E702" s="2">
        <v>3</v>
      </c>
      <c r="F702" s="2">
        <v>75</v>
      </c>
      <c r="G702" s="2">
        <v>2</v>
      </c>
      <c r="H702" s="2">
        <v>0</v>
      </c>
      <c r="I702" s="2">
        <v>1</v>
      </c>
      <c r="J702" s="2">
        <v>31</v>
      </c>
      <c r="K702" s="2">
        <v>3</v>
      </c>
      <c r="L702" s="2">
        <v>14</v>
      </c>
      <c r="M702" s="2">
        <v>3</v>
      </c>
      <c r="N702" s="2">
        <v>52</v>
      </c>
      <c r="O702" s="2">
        <v>3</v>
      </c>
      <c r="P702" s="2">
        <v>40</v>
      </c>
      <c r="Q702" s="2">
        <v>3</v>
      </c>
      <c r="R702" s="2">
        <v>33</v>
      </c>
      <c r="S702" s="2">
        <v>2</v>
      </c>
      <c r="T702" s="2">
        <v>20</v>
      </c>
      <c r="U702" s="2">
        <v>2</v>
      </c>
      <c r="V702" s="2">
        <v>21</v>
      </c>
      <c r="W702" s="2">
        <v>4</v>
      </c>
      <c r="X702" s="2">
        <v>30</v>
      </c>
      <c r="Y702" s="2">
        <v>0</v>
      </c>
      <c r="Z702" s="2">
        <v>1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</v>
      </c>
      <c r="AG702" s="2">
        <v>0</v>
      </c>
      <c r="AH702" s="2">
        <v>0</v>
      </c>
      <c r="AI702" s="4">
        <f>Table2121418198598121[[#This Row],[QB PY]]+Table2121418198598121[[#This Row],[QB RY]]</f>
        <v>244</v>
      </c>
      <c r="AJ702" s="4">
        <f>Table2121418198598121[[#This Row],[RB1 RY]]+Table2121418198598121[[#This Row],[RB2+ RY]]+Table2121418198598121[[#This Row],[RB1 RecY]]+Table2121418198598121[[#This Row],[RB2 RecY]]</f>
        <v>122</v>
      </c>
    </row>
    <row r="703" spans="1:36" x14ac:dyDescent="0.35">
      <c r="B703" s="1" t="s">
        <v>57</v>
      </c>
      <c r="C703" s="3">
        <f>AVERAGE(Table2121418198598121[QB PY])</f>
        <v>257.11764705882354</v>
      </c>
      <c r="D703" s="3">
        <f>AVERAGE(Table2121418198598121[P TD])</f>
        <v>1.9411764705882353</v>
      </c>
      <c r="E703" s="3">
        <f>AVERAGE(Table2121418198598121[QB RY])</f>
        <v>19.470588235294116</v>
      </c>
      <c r="F703" s="3">
        <f>AVERAGE(Table2121418198598121[RB1 RY])</f>
        <v>80.411764705882348</v>
      </c>
      <c r="G703" s="3">
        <f>AVERAGE(Table2121418198598121[RB2+ RY])</f>
        <v>35.058823529411768</v>
      </c>
      <c r="H703" s="3">
        <f>AVERAGE(Table2121418198598121[WR RY])</f>
        <v>6.4117647058823533</v>
      </c>
      <c r="I703" s="3">
        <f>AVERAGE(Table2121418198598121[RB1 Recep])</f>
        <v>1.9411764705882353</v>
      </c>
      <c r="J703" s="3">
        <f>AVERAGE(Table2121418198598121[RB1 RecY])</f>
        <v>23.117647058823529</v>
      </c>
      <c r="K703" s="3">
        <f>AVERAGE(Table2121418198598121[RB2 Recep])</f>
        <v>1.4705882352941178</v>
      </c>
      <c r="L703" s="3">
        <f>AVERAGE(Table2121418198598121[RB2 RecY])</f>
        <v>10.117647058823529</v>
      </c>
      <c r="M703" s="3">
        <f>AVERAGE(Table2121418198598121[WR1 Recep])</f>
        <v>5.0588235294117645</v>
      </c>
      <c r="N703" s="3">
        <f>AVERAGE(Table2121418198598121[WR1 RecY])</f>
        <v>65.588235294117652</v>
      </c>
      <c r="O703" s="3">
        <f>AVERAGE(Table2121418198598121[WR2 Recep])</f>
        <v>4.117647058823529</v>
      </c>
      <c r="P703" s="3">
        <f>AVERAGE(Table2121418198598121[WR2 RecY])</f>
        <v>57.117647058823529</v>
      </c>
      <c r="Q703" s="3">
        <f>AVERAGE(Table2121418198598121[WR3 Recep])</f>
        <v>1.9411764705882353</v>
      </c>
      <c r="R703" s="3">
        <f>AVERAGE(Table2121418198598121[WR3 RecY])</f>
        <v>22.470588235294116</v>
      </c>
      <c r="S703" s="3">
        <f>AVERAGE(Table2121418198598121[WR4+ Recep])</f>
        <v>1</v>
      </c>
      <c r="T703" s="3">
        <f>AVERAGE(Table2121418198598121[WR4+ RecY])</f>
        <v>17.529411764705884</v>
      </c>
      <c r="U703" s="3">
        <f>AVERAGE(Table2121418198598121[TE1 Recep])</f>
        <v>3.5294117647058822</v>
      </c>
      <c r="V703" s="3">
        <f>AVERAGE(Table2121418198598121[TE1 RecY])</f>
        <v>42.529411764705884</v>
      </c>
      <c r="W703" s="3">
        <f>AVERAGE(Table2121418198598121[TE2 Recep])</f>
        <v>1.5294117647058822</v>
      </c>
      <c r="X703" s="3">
        <f>AVERAGE(Table2121418198598121[TE2 RecY])</f>
        <v>18.647058823529413</v>
      </c>
      <c r="Y703" s="3">
        <f>AVERAGE(Table2121418198598121[QB TD])</f>
        <v>5.8823529411764705E-2</v>
      </c>
      <c r="Z703" s="3">
        <f>AVERAGE(Table2121418198598121[RB1 TD])</f>
        <v>0.82352941176470584</v>
      </c>
      <c r="AA703" s="3">
        <f>AVERAGE(Table2121418198598121[RB2 TD])</f>
        <v>0.35294117647058826</v>
      </c>
      <c r="AB703" s="3">
        <f>AVERAGE(Table2121418198598121[WR1 TD])</f>
        <v>0.47058823529411764</v>
      </c>
      <c r="AC703" s="3">
        <f>AVERAGE(Table2121418198598121[WR2 TD])</f>
        <v>0.41176470588235292</v>
      </c>
      <c r="AD703" s="3">
        <f>AVERAGE(Table2121418198598121[WR3 TD])</f>
        <v>5.8823529411764705E-2</v>
      </c>
      <c r="AE703" s="3">
        <f>AVERAGE(Table2121418198598121[WR4+ TD])</f>
        <v>5.8823529411764705E-2</v>
      </c>
      <c r="AF703" s="3">
        <f>AVERAGE(Table2121418198598121[TE1 TD])</f>
        <v>0.58823529411764708</v>
      </c>
      <c r="AG703" s="3">
        <f>AVERAGE(Table2121418198598121[TE2 TD])</f>
        <v>0.17647058823529413</v>
      </c>
      <c r="AH703" s="3">
        <f>AVERAGE(Table2121418198598121[D/ST TD])</f>
        <v>5.8823529411764705E-2</v>
      </c>
      <c r="AI703" s="3">
        <f>AVERAGE(Table2121418198598121[QB P+R])</f>
        <v>276.58823529411762</v>
      </c>
      <c r="AJ703" s="3">
        <f>AVERAGE(Table2121418198598121[RB R+R])</f>
        <v>148.70588235294119</v>
      </c>
    </row>
  </sheetData>
  <mergeCells count="32">
    <mergeCell ref="A661:AJ661"/>
    <mergeCell ref="A683:AJ683"/>
    <mergeCell ref="A595:AJ595"/>
    <mergeCell ref="A617:AJ617"/>
    <mergeCell ref="A463:AJ463"/>
    <mergeCell ref="A485:AJ485"/>
    <mergeCell ref="A507:AJ507"/>
    <mergeCell ref="A529:AJ529"/>
    <mergeCell ref="A551:AJ551"/>
    <mergeCell ref="A573:AJ573"/>
    <mergeCell ref="A639:AJ639"/>
    <mergeCell ref="A133:AJ133"/>
    <mergeCell ref="A155:AJ155"/>
    <mergeCell ref="A177:AJ177"/>
    <mergeCell ref="A199:AJ199"/>
    <mergeCell ref="A221:AJ221"/>
    <mergeCell ref="A243:AJ243"/>
    <mergeCell ref="A265:AJ265"/>
    <mergeCell ref="A287:AJ287"/>
    <mergeCell ref="A309:AJ309"/>
    <mergeCell ref="A331:AJ331"/>
    <mergeCell ref="A353:AJ353"/>
    <mergeCell ref="A375:AJ375"/>
    <mergeCell ref="A397:AJ397"/>
    <mergeCell ref="A419:AJ419"/>
    <mergeCell ref="A441:AJ441"/>
    <mergeCell ref="A111:AJ111"/>
    <mergeCell ref="A1:AJ1"/>
    <mergeCell ref="A23:AJ23"/>
    <mergeCell ref="A45:AJ45"/>
    <mergeCell ref="A67:AJ67"/>
    <mergeCell ref="A89:AJ89"/>
  </mergeCells>
  <phoneticPr fontId="5" type="noConversion"/>
  <conditionalFormatting sqref="A1 A377:A394 A465:A482">
    <cfRule type="cellIs" dxfId="1980" priority="6659" operator="equal">
      <formula>"MIN"</formula>
    </cfRule>
    <cfRule type="cellIs" dxfId="1979" priority="6658" operator="equal">
      <formula>"NE"</formula>
    </cfRule>
    <cfRule type="cellIs" dxfId="1978" priority="6657" operator="equal">
      <formula>"LV"</formula>
    </cfRule>
  </conditionalFormatting>
  <conditionalFormatting sqref="A1 A377:A394">
    <cfRule type="cellIs" dxfId="1977" priority="6671" operator="equal">
      <formula>"LAR"</formula>
    </cfRule>
    <cfRule type="cellIs" dxfId="1976" priority="6670" operator="equal">
      <formula>"LAC"</formula>
    </cfRule>
    <cfRule type="cellIs" dxfId="1975" priority="6669" operator="equal">
      <formula>"SEA"</formula>
    </cfRule>
    <cfRule type="cellIs" dxfId="1974" priority="6668" operator="equal">
      <formula>"NYJ"</formula>
    </cfRule>
    <cfRule type="cellIs" dxfId="1973" priority="6667" operator="equal">
      <formula>"CLE"</formula>
    </cfRule>
    <cfRule type="cellIs" dxfId="1972" priority="6666" operator="equal">
      <formula>"TB"</formula>
    </cfRule>
    <cfRule type="cellIs" dxfId="1971" priority="6665" operator="equal">
      <formula>"TEN"</formula>
    </cfRule>
    <cfRule type="cellIs" dxfId="1970" priority="6664" operator="equal">
      <formula>"NO"</formula>
    </cfRule>
    <cfRule type="cellIs" dxfId="1969" priority="6663" operator="equal">
      <formula>"NYG"</formula>
    </cfRule>
    <cfRule type="cellIs" dxfId="1968" priority="6661" operator="equal">
      <formula>"DEN"</formula>
    </cfRule>
    <cfRule type="cellIs" dxfId="1967" priority="6660" operator="equal">
      <formula>"PIT"</formula>
    </cfRule>
    <cfRule type="cellIs" dxfId="1966" priority="6684" operator="equal">
      <formula>"IND"</formula>
    </cfRule>
    <cfRule type="cellIs" dxfId="1965" priority="6677" operator="equal">
      <formula>"SF"</formula>
    </cfRule>
    <cfRule type="cellIs" dxfId="1964" priority="6685" operator="equal">
      <formula>"KC"</formula>
    </cfRule>
    <cfRule type="cellIs" dxfId="1963" priority="6683" operator="equal">
      <formula>"HOU"</formula>
    </cfRule>
    <cfRule type="cellIs" dxfId="1962" priority="6682" operator="equal">
      <formula>"ARI"</formula>
    </cfRule>
    <cfRule type="cellIs" dxfId="1961" priority="6681" operator="equal">
      <formula>"CIN"</formula>
    </cfRule>
    <cfRule type="cellIs" dxfId="1960" priority="6680" operator="equal">
      <formula>"DAL"</formula>
    </cfRule>
    <cfRule type="cellIs" dxfId="1959" priority="6679" operator="equal">
      <formula>"GB"</formula>
    </cfRule>
    <cfRule type="cellIs" dxfId="1958" priority="6672" operator="equal">
      <formula>"ATL"</formula>
    </cfRule>
    <cfRule type="cellIs" dxfId="1957" priority="6688" operator="equal">
      <formula>"BUF"</formula>
    </cfRule>
    <cfRule type="cellIs" dxfId="1956" priority="6678" operator="equal">
      <formula>"WAS"</formula>
    </cfRule>
    <cfRule type="cellIs" dxfId="1955" priority="6687" operator="equal">
      <formula>"PHI"</formula>
    </cfRule>
    <cfRule type="cellIs" dxfId="1954" priority="6676" operator="equal">
      <formula>"DET"</formula>
    </cfRule>
    <cfRule type="cellIs" dxfId="1953" priority="6675" operator="equal">
      <formula>"MIA"</formula>
    </cfRule>
    <cfRule type="cellIs" dxfId="1952" priority="6674" operator="equal">
      <formula>"CHI"</formula>
    </cfRule>
    <cfRule type="cellIs" dxfId="1951" priority="6662" operator="equal">
      <formula>"CAR"</formula>
    </cfRule>
    <cfRule type="cellIs" dxfId="1950" priority="6673" operator="equal">
      <formula>"JAX"</formula>
    </cfRule>
    <cfRule type="cellIs" dxfId="1949" priority="6686" operator="equal">
      <formula>"BAL"</formula>
    </cfRule>
  </conditionalFormatting>
  <conditionalFormatting sqref="A3:A20 A333:A350">
    <cfRule type="cellIs" dxfId="1948" priority="4289" operator="equal">
      <formula>"DEN"</formula>
    </cfRule>
    <cfRule type="cellIs" dxfId="1947" priority="4313" operator="equal">
      <formula>"KC"</formula>
    </cfRule>
    <cfRule type="cellIs" dxfId="1946" priority="4297" operator="equal">
      <formula>"SEA"</formula>
    </cfRule>
    <cfRule type="cellIs" dxfId="1945" priority="4298" operator="equal">
      <formula>"LAC"</formula>
    </cfRule>
    <cfRule type="cellIs" dxfId="1944" priority="4285" operator="equal">
      <formula>"LV"</formula>
    </cfRule>
    <cfRule type="cellIs" dxfId="1943" priority="4286" operator="equal">
      <formula>"NE"</formula>
    </cfRule>
    <cfRule type="cellIs" dxfId="1942" priority="4287" operator="equal">
      <formula>"MIN"</formula>
    </cfRule>
    <cfRule type="cellIs" dxfId="1941" priority="4288" operator="equal">
      <formula>"PIT"</formula>
    </cfRule>
    <cfRule type="cellIs" dxfId="1940" priority="4290" operator="equal">
      <formula>"CAR"</formula>
    </cfRule>
    <cfRule type="cellIs" dxfId="1939" priority="4291" operator="equal">
      <formula>"NYG"</formula>
    </cfRule>
    <cfRule type="cellIs" dxfId="1938" priority="4292" operator="equal">
      <formula>"NO"</formula>
    </cfRule>
    <cfRule type="cellIs" dxfId="1937" priority="4314" operator="equal">
      <formula>"BAL"</formula>
    </cfRule>
    <cfRule type="cellIs" dxfId="1936" priority="4315" operator="equal">
      <formula>"PHI"</formula>
    </cfRule>
    <cfRule type="cellIs" dxfId="1935" priority="4316" operator="equal">
      <formula>"BUF"</formula>
    </cfRule>
    <cfRule type="cellIs" dxfId="1934" priority="4302" operator="equal">
      <formula>"CHI"</formula>
    </cfRule>
    <cfRule type="cellIs" dxfId="1933" priority="4300" operator="equal">
      <formula>"ATL"</formula>
    </cfRule>
    <cfRule type="cellIs" dxfId="1932" priority="4299" operator="equal">
      <formula>"LAR"</formula>
    </cfRule>
    <cfRule type="cellIs" dxfId="1931" priority="4293" operator="equal">
      <formula>"TEN"</formula>
    </cfRule>
    <cfRule type="cellIs" dxfId="1930" priority="4294" operator="equal">
      <formula>"TB"</formula>
    </cfRule>
    <cfRule type="cellIs" dxfId="1929" priority="4295" operator="equal">
      <formula>"CLE"</formula>
    </cfRule>
    <cfRule type="cellIs" dxfId="1928" priority="4296" operator="equal">
      <formula>"NYJ"</formula>
    </cfRule>
    <cfRule type="cellIs" dxfId="1927" priority="4301" operator="equal">
      <formula>"JAX"</formula>
    </cfRule>
    <cfRule type="cellIs" dxfId="1926" priority="4303" operator="equal">
      <formula>"MIA"</formula>
    </cfRule>
    <cfRule type="cellIs" dxfId="1925" priority="4304" operator="equal">
      <formula>"DET"</formula>
    </cfRule>
    <cfRule type="cellIs" dxfId="1924" priority="4305" operator="equal">
      <formula>"SF"</formula>
    </cfRule>
    <cfRule type="cellIs" dxfId="1923" priority="4306" operator="equal">
      <formula>"WAS"</formula>
    </cfRule>
    <cfRule type="cellIs" dxfId="1922" priority="4307" operator="equal">
      <formula>"GB"</formula>
    </cfRule>
    <cfRule type="cellIs" dxfId="1921" priority="4308" operator="equal">
      <formula>"DAL"</formula>
    </cfRule>
    <cfRule type="cellIs" dxfId="1920" priority="4309" operator="equal">
      <formula>"CIN"</formula>
    </cfRule>
    <cfRule type="cellIs" dxfId="1919" priority="4310" operator="equal">
      <formula>"ARI"</formula>
    </cfRule>
    <cfRule type="cellIs" dxfId="1918" priority="4311" operator="equal">
      <formula>"HOU"</formula>
    </cfRule>
    <cfRule type="cellIs" dxfId="1917" priority="4312" operator="equal">
      <formula>"IND"</formula>
    </cfRule>
  </conditionalFormatting>
  <conditionalFormatting sqref="A23">
    <cfRule type="cellIs" dxfId="1916" priority="6208" operator="equal">
      <formula>"BUF"</formula>
    </cfRule>
    <cfRule type="cellIs" dxfId="1915" priority="6207" operator="equal">
      <formula>"PHI"</formula>
    </cfRule>
    <cfRule type="cellIs" dxfId="1914" priority="6191" operator="equal">
      <formula>"LAR"</formula>
    </cfRule>
    <cfRule type="cellIs" dxfId="1913" priority="6189" operator="equal">
      <formula>"SEA"</formula>
    </cfRule>
    <cfRule type="cellIs" dxfId="1912" priority="6192" operator="equal">
      <formula>"ATL"</formula>
    </cfRule>
    <cfRule type="cellIs" dxfId="1911" priority="6188" operator="equal">
      <formula>"NYJ"</formula>
    </cfRule>
    <cfRule type="cellIs" dxfId="1910" priority="6190" operator="equal">
      <formula>"LAC"</formula>
    </cfRule>
    <cfRule type="cellIs" dxfId="1909" priority="6193" operator="equal">
      <formula>"JAX"</formula>
    </cfRule>
    <cfRule type="cellIs" dxfId="1908" priority="6184" operator="equal">
      <formula>"NO"</formula>
    </cfRule>
    <cfRule type="cellIs" dxfId="1907" priority="6183" operator="equal">
      <formula>"NYG"</formula>
    </cfRule>
    <cfRule type="cellIs" dxfId="1906" priority="6182" operator="equal">
      <formula>"CAR"</formula>
    </cfRule>
    <cfRule type="cellIs" dxfId="1905" priority="6181" operator="equal">
      <formula>"DEN"</formula>
    </cfRule>
    <cfRule type="cellIs" dxfId="1904" priority="6180" operator="equal">
      <formula>"PIT"</formula>
    </cfRule>
    <cfRule type="cellIs" dxfId="1903" priority="6179" operator="equal">
      <formula>"MIN"</formula>
    </cfRule>
    <cfRule type="cellIs" dxfId="1902" priority="6178" operator="equal">
      <formula>"NE"</formula>
    </cfRule>
    <cfRule type="cellIs" dxfId="1901" priority="6177" operator="equal">
      <formula>"LV"</formula>
    </cfRule>
    <cfRule type="cellIs" dxfId="1900" priority="6194" operator="equal">
      <formula>"CHI"</formula>
    </cfRule>
    <cfRule type="cellIs" dxfId="1899" priority="6195" operator="equal">
      <formula>"MIA"</formula>
    </cfRule>
    <cfRule type="cellIs" dxfId="1898" priority="6187" operator="equal">
      <formula>"CLE"</formula>
    </cfRule>
    <cfRule type="cellIs" dxfId="1897" priority="6201" operator="equal">
      <formula>"CIN"</formula>
    </cfRule>
    <cfRule type="cellIs" dxfId="1896" priority="6196" operator="equal">
      <formula>"DET"</formula>
    </cfRule>
    <cfRule type="cellIs" dxfId="1895" priority="6198" operator="equal">
      <formula>"WAS"</formula>
    </cfRule>
    <cfRule type="cellIs" dxfId="1894" priority="6199" operator="equal">
      <formula>"GB"</formula>
    </cfRule>
    <cfRule type="cellIs" dxfId="1893" priority="6200" operator="equal">
      <formula>"DAL"</formula>
    </cfRule>
    <cfRule type="cellIs" dxfId="1892" priority="6185" operator="equal">
      <formula>"TEN"</formula>
    </cfRule>
    <cfRule type="cellIs" dxfId="1891" priority="6203" operator="equal">
      <formula>"HOU"</formula>
    </cfRule>
    <cfRule type="cellIs" dxfId="1890" priority="6202" operator="equal">
      <formula>"ARI"</formula>
    </cfRule>
    <cfRule type="cellIs" dxfId="1889" priority="6197" operator="equal">
      <formula>"SF"</formula>
    </cfRule>
    <cfRule type="cellIs" dxfId="1888" priority="6204" operator="equal">
      <formula>"IND"</formula>
    </cfRule>
    <cfRule type="cellIs" dxfId="1887" priority="6205" operator="equal">
      <formula>"KC"</formula>
    </cfRule>
    <cfRule type="cellIs" dxfId="1886" priority="6206" operator="equal">
      <formula>"BAL"</formula>
    </cfRule>
    <cfRule type="cellIs" dxfId="1885" priority="6186" operator="equal">
      <formula>"TB"</formula>
    </cfRule>
  </conditionalFormatting>
  <conditionalFormatting sqref="A25:A42">
    <cfRule type="cellIs" dxfId="1884" priority="2257" operator="equal">
      <formula>"SF"</formula>
    </cfRule>
    <cfRule type="cellIs" dxfId="1883" priority="2262" operator="equal">
      <formula>"ARI"</formula>
    </cfRule>
    <cfRule type="cellIs" dxfId="1882" priority="2263" operator="equal">
      <formula>"HOU"</formula>
    </cfRule>
    <cfRule type="cellIs" dxfId="1881" priority="2264" operator="equal">
      <formula>"IND"</formula>
    </cfRule>
    <cfRule type="cellIs" dxfId="1880" priority="2265" operator="equal">
      <formula>"KC"</formula>
    </cfRule>
    <cfRule type="cellIs" dxfId="1879" priority="2266" operator="equal">
      <formula>"BAL"</formula>
    </cfRule>
    <cfRule type="cellIs" dxfId="1878" priority="2267" operator="equal">
      <formula>"PHI"</formula>
    </cfRule>
    <cfRule type="cellIs" dxfId="1877" priority="2268" operator="equal">
      <formula>"BUF"</formula>
    </cfRule>
    <cfRule type="cellIs" dxfId="1876" priority="2258" operator="equal">
      <formula>"WAS"</formula>
    </cfRule>
    <cfRule type="cellIs" dxfId="1875" priority="2259" operator="equal">
      <formula>"GB"</formula>
    </cfRule>
    <cfRule type="cellIs" dxfId="1874" priority="2261" operator="equal">
      <formula>"CIN"</formula>
    </cfRule>
    <cfRule type="cellIs" dxfId="1873" priority="2240" operator="equal">
      <formula>"PIT"</formula>
    </cfRule>
    <cfRule type="cellIs" dxfId="1872" priority="2241" operator="equal">
      <formula>"DEN"</formula>
    </cfRule>
    <cfRule type="cellIs" dxfId="1871" priority="2242" operator="equal">
      <formula>"CAR"</formula>
    </cfRule>
    <cfRule type="cellIs" dxfId="1870" priority="2243" operator="equal">
      <formula>"NYG"</formula>
    </cfRule>
    <cfRule type="cellIs" dxfId="1869" priority="2244" operator="equal">
      <formula>"NO"</formula>
    </cfRule>
    <cfRule type="cellIs" dxfId="1868" priority="2245" operator="equal">
      <formula>"TEN"</formula>
    </cfRule>
    <cfRule type="cellIs" dxfId="1867" priority="2246" operator="equal">
      <formula>"TB"</formula>
    </cfRule>
    <cfRule type="cellIs" dxfId="1866" priority="2247" operator="equal">
      <formula>"CLE"</formula>
    </cfRule>
    <cfRule type="cellIs" dxfId="1865" priority="2248" operator="equal">
      <formula>"NYJ"</formula>
    </cfRule>
    <cfRule type="cellIs" dxfId="1864" priority="4221" operator="equal">
      <formula>"LV"</formula>
    </cfRule>
    <cfRule type="cellIs" dxfId="1863" priority="4222" operator="equal">
      <formula>"NE"</formula>
    </cfRule>
    <cfRule type="cellIs" dxfId="1862" priority="4223" operator="equal">
      <formula>"MIN"</formula>
    </cfRule>
    <cfRule type="cellIs" dxfId="1861" priority="2260" operator="equal">
      <formula>"DAL"</formula>
    </cfRule>
    <cfRule type="cellIs" dxfId="1860" priority="2249" operator="equal">
      <formula>"SEA"</formula>
    </cfRule>
    <cfRule type="cellIs" dxfId="1859" priority="2250" operator="equal">
      <formula>"LAC"</formula>
    </cfRule>
    <cfRule type="cellIs" dxfId="1858" priority="2251" operator="equal">
      <formula>"LAR"</formula>
    </cfRule>
    <cfRule type="cellIs" dxfId="1857" priority="2252" operator="equal">
      <formula>"ATL"</formula>
    </cfRule>
    <cfRule type="cellIs" dxfId="1856" priority="2253" operator="equal">
      <formula>"JAX"</formula>
    </cfRule>
    <cfRule type="cellIs" dxfId="1855" priority="2254" operator="equal">
      <formula>"CHI"</formula>
    </cfRule>
    <cfRule type="cellIs" dxfId="1854" priority="2255" operator="equal">
      <formula>"MIA"</formula>
    </cfRule>
    <cfRule type="cellIs" dxfId="1853" priority="2256" operator="equal">
      <formula>"DET"</formula>
    </cfRule>
  </conditionalFormatting>
  <conditionalFormatting sqref="A45">
    <cfRule type="cellIs" dxfId="1852" priority="6131" operator="equal">
      <formula>"LAR"</formula>
    </cfRule>
    <cfRule type="cellIs" dxfId="1851" priority="6130" operator="equal">
      <formula>"LAC"</formula>
    </cfRule>
    <cfRule type="cellIs" dxfId="1850" priority="6129" operator="equal">
      <formula>"SEA"</formula>
    </cfRule>
    <cfRule type="cellIs" dxfId="1849" priority="6128" operator="equal">
      <formula>"NYJ"</formula>
    </cfRule>
    <cfRule type="cellIs" dxfId="1848" priority="6127" operator="equal">
      <formula>"CLE"</formula>
    </cfRule>
    <cfRule type="cellIs" dxfId="1847" priority="6126" operator="equal">
      <formula>"TB"</formula>
    </cfRule>
    <cfRule type="cellIs" dxfId="1846" priority="6125" operator="equal">
      <formula>"TEN"</formula>
    </cfRule>
    <cfRule type="cellIs" dxfId="1845" priority="6124" operator="equal">
      <formula>"NO"</formula>
    </cfRule>
    <cfRule type="cellIs" dxfId="1844" priority="6123" operator="equal">
      <formula>"NYG"</formula>
    </cfRule>
    <cfRule type="cellIs" dxfId="1843" priority="6122" operator="equal">
      <formula>"CAR"</formula>
    </cfRule>
    <cfRule type="cellIs" dxfId="1842" priority="6121" operator="equal">
      <formula>"DEN"</formula>
    </cfRule>
    <cfRule type="cellIs" dxfId="1841" priority="6141" operator="equal">
      <formula>"CIN"</formula>
    </cfRule>
    <cfRule type="cellIs" dxfId="1840" priority="6119" operator="equal">
      <formula>"MIN"</formula>
    </cfRule>
    <cfRule type="cellIs" dxfId="1839" priority="6118" operator="equal">
      <formula>"NE"</formula>
    </cfRule>
    <cfRule type="cellIs" dxfId="1838" priority="6117" operator="equal">
      <formula>"LV"</formula>
    </cfRule>
    <cfRule type="cellIs" dxfId="1837" priority="6147" operator="equal">
      <formula>"PHI"</formula>
    </cfRule>
    <cfRule type="cellIs" dxfId="1836" priority="6132" operator="equal">
      <formula>"ATL"</formula>
    </cfRule>
    <cfRule type="cellIs" dxfId="1835" priority="6146" operator="equal">
      <formula>"BAL"</formula>
    </cfRule>
    <cfRule type="cellIs" dxfId="1834" priority="6145" operator="equal">
      <formula>"KC"</formula>
    </cfRule>
    <cfRule type="cellIs" dxfId="1833" priority="6144" operator="equal">
      <formula>"IND"</formula>
    </cfRule>
    <cfRule type="cellIs" dxfId="1832" priority="6143" operator="equal">
      <formula>"HOU"</formula>
    </cfRule>
    <cfRule type="cellIs" dxfId="1831" priority="6142" operator="equal">
      <formula>"ARI"</formula>
    </cfRule>
    <cfRule type="cellIs" dxfId="1830" priority="6148" operator="equal">
      <formula>"BUF"</formula>
    </cfRule>
    <cfRule type="cellIs" dxfId="1829" priority="6140" operator="equal">
      <formula>"DAL"</formula>
    </cfRule>
    <cfRule type="cellIs" dxfId="1828" priority="6139" operator="equal">
      <formula>"GB"</formula>
    </cfRule>
    <cfRule type="cellIs" dxfId="1827" priority="6138" operator="equal">
      <formula>"WAS"</formula>
    </cfRule>
    <cfRule type="cellIs" dxfId="1826" priority="6137" operator="equal">
      <formula>"SF"</formula>
    </cfRule>
    <cfRule type="cellIs" dxfId="1825" priority="6136" operator="equal">
      <formula>"DET"</formula>
    </cfRule>
    <cfRule type="cellIs" dxfId="1824" priority="6135" operator="equal">
      <formula>"MIA"</formula>
    </cfRule>
    <cfRule type="cellIs" dxfId="1823" priority="6134" operator="equal">
      <formula>"CHI"</formula>
    </cfRule>
    <cfRule type="cellIs" dxfId="1822" priority="6133" operator="equal">
      <formula>"JAX"</formula>
    </cfRule>
    <cfRule type="cellIs" dxfId="1821" priority="6120" operator="equal">
      <formula>"PIT"</formula>
    </cfRule>
  </conditionalFormatting>
  <conditionalFormatting sqref="A47:A64">
    <cfRule type="cellIs" dxfId="1820" priority="33" operator="equal">
      <formula>"PIT"</formula>
    </cfRule>
    <cfRule type="cellIs" dxfId="1819" priority="34" operator="equal">
      <formula>"DEN"</formula>
    </cfRule>
    <cfRule type="cellIs" dxfId="1818" priority="35" operator="equal">
      <formula>"CAR"</formula>
    </cfRule>
    <cfRule type="cellIs" dxfId="1817" priority="36" operator="equal">
      <formula>"NYG"</formula>
    </cfRule>
    <cfRule type="cellIs" dxfId="1816" priority="37" operator="equal">
      <formula>"NO"</formula>
    </cfRule>
    <cfRule type="cellIs" dxfId="1815" priority="38" operator="equal">
      <formula>"TEN"</formula>
    </cfRule>
    <cfRule type="cellIs" dxfId="1814" priority="39" operator="equal">
      <formula>"TB"</formula>
    </cfRule>
    <cfRule type="cellIs" dxfId="1813" priority="40" operator="equal">
      <formula>"CLE"</formula>
    </cfRule>
    <cfRule type="cellIs" dxfId="1812" priority="41" operator="equal">
      <formula>"NYJ"</formula>
    </cfRule>
    <cfRule type="cellIs" dxfId="1811" priority="42" operator="equal">
      <formula>"SEA"</formula>
    </cfRule>
    <cfRule type="cellIs" dxfId="1810" priority="43" operator="equal">
      <formula>"LAC"</formula>
    </cfRule>
    <cfRule type="cellIs" dxfId="1809" priority="44" operator="equal">
      <formula>"LAR"</formula>
    </cfRule>
    <cfRule type="cellIs" dxfId="1808" priority="45" operator="equal">
      <formula>"ATL"</formula>
    </cfRule>
    <cfRule type="cellIs" dxfId="1807" priority="46" operator="equal">
      <formula>"JAX"</formula>
    </cfRule>
    <cfRule type="cellIs" dxfId="1806" priority="47" operator="equal">
      <formula>"CHI"</formula>
    </cfRule>
    <cfRule type="cellIs" dxfId="1805" priority="48" operator="equal">
      <formula>"MIA"</formula>
    </cfRule>
    <cfRule type="cellIs" dxfId="1804" priority="49" operator="equal">
      <formula>"DET"</formula>
    </cfRule>
    <cfRule type="cellIs" dxfId="1803" priority="50" operator="equal">
      <formula>"SF"</formula>
    </cfRule>
    <cfRule type="cellIs" dxfId="1802" priority="51" operator="equal">
      <formula>"WAS"</formula>
    </cfRule>
    <cfRule type="cellIs" dxfId="1801" priority="52" operator="equal">
      <formula>"GB"</formula>
    </cfRule>
    <cfRule type="cellIs" dxfId="1800" priority="53" operator="equal">
      <formula>"DAL"</formula>
    </cfRule>
    <cfRule type="cellIs" dxfId="1799" priority="54" operator="equal">
      <formula>"CIN"</formula>
    </cfRule>
    <cfRule type="cellIs" dxfId="1798" priority="55" operator="equal">
      <formula>"ARI"</formula>
    </cfRule>
    <cfRule type="cellIs" dxfId="1797" priority="56" operator="equal">
      <formula>"HOU"</formula>
    </cfRule>
    <cfRule type="cellIs" dxfId="1796" priority="57" operator="equal">
      <formula>"IND"</formula>
    </cfRule>
    <cfRule type="cellIs" dxfId="1795" priority="58" operator="equal">
      <formula>"KC"</formula>
    </cfRule>
    <cfRule type="cellIs" dxfId="1794" priority="59" operator="equal">
      <formula>"BAL"</formula>
    </cfRule>
    <cfRule type="cellIs" dxfId="1793" priority="60" operator="equal">
      <formula>"PHI"</formula>
    </cfRule>
    <cfRule type="cellIs" dxfId="1792" priority="61" operator="equal">
      <formula>"BUF"</formula>
    </cfRule>
    <cfRule type="cellIs" dxfId="1791" priority="62" operator="equal">
      <formula>"LV"</formula>
    </cfRule>
    <cfRule type="cellIs" dxfId="1790" priority="63" operator="equal">
      <formula>"NE"</formula>
    </cfRule>
    <cfRule type="cellIs" dxfId="1789" priority="64" operator="equal">
      <formula>"MIN"</formula>
    </cfRule>
  </conditionalFormatting>
  <conditionalFormatting sqref="A67">
    <cfRule type="cellIs" dxfId="1788" priority="6088" operator="equal">
      <formula>"BUF"</formula>
    </cfRule>
    <cfRule type="cellIs" dxfId="1787" priority="6072" operator="equal">
      <formula>"ATL"</formula>
    </cfRule>
    <cfRule type="cellIs" dxfId="1786" priority="6071" operator="equal">
      <formula>"LAR"</formula>
    </cfRule>
    <cfRule type="cellIs" dxfId="1785" priority="6070" operator="equal">
      <formula>"LAC"</formula>
    </cfRule>
    <cfRule type="cellIs" dxfId="1784" priority="6069" operator="equal">
      <formula>"SEA"</formula>
    </cfRule>
    <cfRule type="cellIs" dxfId="1783" priority="6068" operator="equal">
      <formula>"NYJ"</formula>
    </cfRule>
    <cfRule type="cellIs" dxfId="1782" priority="6067" operator="equal">
      <formula>"CLE"</formula>
    </cfRule>
    <cfRule type="cellIs" dxfId="1781" priority="6066" operator="equal">
      <formula>"TB"</formula>
    </cfRule>
    <cfRule type="cellIs" dxfId="1780" priority="6065" operator="equal">
      <formula>"TEN"</formula>
    </cfRule>
    <cfRule type="cellIs" dxfId="1779" priority="6064" operator="equal">
      <formula>"NO"</formula>
    </cfRule>
    <cfRule type="cellIs" dxfId="1778" priority="6063" operator="equal">
      <formula>"NYG"</formula>
    </cfRule>
    <cfRule type="cellIs" dxfId="1777" priority="6062" operator="equal">
      <formula>"CAR"</formula>
    </cfRule>
    <cfRule type="cellIs" dxfId="1776" priority="6061" operator="equal">
      <formula>"DEN"</formula>
    </cfRule>
    <cfRule type="cellIs" dxfId="1775" priority="6060" operator="equal">
      <formula>"PIT"</formula>
    </cfRule>
    <cfRule type="cellIs" dxfId="1774" priority="6059" operator="equal">
      <formula>"MIN"</formula>
    </cfRule>
    <cfRule type="cellIs" dxfId="1773" priority="6058" operator="equal">
      <formula>"NE"</formula>
    </cfRule>
    <cfRule type="cellIs" dxfId="1772" priority="6057" operator="equal">
      <formula>"LV"</formula>
    </cfRule>
    <cfRule type="cellIs" dxfId="1771" priority="6087" operator="equal">
      <formula>"PHI"</formula>
    </cfRule>
    <cfRule type="cellIs" dxfId="1770" priority="6073" operator="equal">
      <formula>"JAX"</formula>
    </cfRule>
    <cfRule type="cellIs" dxfId="1769" priority="6080" operator="equal">
      <formula>"DAL"</formula>
    </cfRule>
    <cfRule type="cellIs" dxfId="1768" priority="6086" operator="equal">
      <formula>"BAL"</formula>
    </cfRule>
    <cfRule type="cellIs" dxfId="1767" priority="6085" operator="equal">
      <formula>"KC"</formula>
    </cfRule>
    <cfRule type="cellIs" dxfId="1766" priority="6084" operator="equal">
      <formula>"IND"</formula>
    </cfRule>
    <cfRule type="cellIs" dxfId="1765" priority="6083" operator="equal">
      <formula>"HOU"</formula>
    </cfRule>
    <cfRule type="cellIs" dxfId="1764" priority="6082" operator="equal">
      <formula>"ARI"</formula>
    </cfRule>
    <cfRule type="cellIs" dxfId="1763" priority="6081" operator="equal">
      <formula>"CIN"</formula>
    </cfRule>
    <cfRule type="cellIs" dxfId="1762" priority="6079" operator="equal">
      <formula>"GB"</formula>
    </cfRule>
    <cfRule type="cellIs" dxfId="1761" priority="6078" operator="equal">
      <formula>"WAS"</formula>
    </cfRule>
    <cfRule type="cellIs" dxfId="1760" priority="6077" operator="equal">
      <formula>"SF"</formula>
    </cfRule>
    <cfRule type="cellIs" dxfId="1759" priority="6076" operator="equal">
      <formula>"DET"</formula>
    </cfRule>
    <cfRule type="cellIs" dxfId="1758" priority="6075" operator="equal">
      <formula>"MIA"</formula>
    </cfRule>
    <cfRule type="cellIs" dxfId="1757" priority="6074" operator="equal">
      <formula>"CHI"</formula>
    </cfRule>
  </conditionalFormatting>
  <conditionalFormatting sqref="A69:A86">
    <cfRule type="cellIs" dxfId="1756" priority="763" operator="equal">
      <formula>"ARI"</formula>
    </cfRule>
    <cfRule type="cellIs" dxfId="1755" priority="762" operator="equal">
      <formula>"CIN"</formula>
    </cfRule>
    <cfRule type="cellIs" dxfId="1754" priority="761" operator="equal">
      <formula>"DAL"</formula>
    </cfRule>
    <cfRule type="cellIs" dxfId="1753" priority="760" operator="equal">
      <formula>"GB"</formula>
    </cfRule>
    <cfRule type="cellIs" dxfId="1752" priority="759" operator="equal">
      <formula>"WAS"</formula>
    </cfRule>
    <cfRule type="cellIs" dxfId="1751" priority="758" operator="equal">
      <formula>"SF"</formula>
    </cfRule>
    <cfRule type="cellIs" dxfId="1750" priority="757" operator="equal">
      <formula>"DET"</formula>
    </cfRule>
    <cfRule type="cellIs" dxfId="1749" priority="756" operator="equal">
      <formula>"MIA"</formula>
    </cfRule>
    <cfRule type="cellIs" dxfId="1748" priority="755" operator="equal">
      <formula>"CHI"</formula>
    </cfRule>
    <cfRule type="cellIs" dxfId="1747" priority="754" operator="equal">
      <formula>"JAX"</formula>
    </cfRule>
    <cfRule type="cellIs" dxfId="1746" priority="753" operator="equal">
      <formula>"ATL"</formula>
    </cfRule>
    <cfRule type="cellIs" dxfId="1745" priority="752" operator="equal">
      <formula>"LAR"</formula>
    </cfRule>
    <cfRule type="cellIs" dxfId="1744" priority="741" operator="equal">
      <formula>"PIT"</formula>
    </cfRule>
    <cfRule type="cellIs" dxfId="1743" priority="750" operator="equal">
      <formula>"SEA"</formula>
    </cfRule>
    <cfRule type="cellIs" dxfId="1742" priority="749" operator="equal">
      <formula>"NYJ"</formula>
    </cfRule>
    <cfRule type="cellIs" dxfId="1741" priority="746" operator="equal">
      <formula>"TEN"</formula>
    </cfRule>
    <cfRule type="cellIs" dxfId="1740" priority="747" operator="equal">
      <formula>"TB"</formula>
    </cfRule>
    <cfRule type="cellIs" dxfId="1739" priority="745" operator="equal">
      <formula>"NO"</formula>
    </cfRule>
    <cfRule type="cellIs" dxfId="1738" priority="744" operator="equal">
      <formula>"NYG"</formula>
    </cfRule>
    <cfRule type="cellIs" dxfId="1737" priority="743" operator="equal">
      <formula>"CAR"</formula>
    </cfRule>
    <cfRule type="cellIs" dxfId="1736" priority="742" operator="equal">
      <formula>"DEN"</formula>
    </cfRule>
    <cfRule type="cellIs" dxfId="1735" priority="772" operator="equal">
      <formula>"MIN"</formula>
    </cfRule>
    <cfRule type="cellIs" dxfId="1734" priority="771" operator="equal">
      <formula>"NE"</formula>
    </cfRule>
    <cfRule type="cellIs" dxfId="1733" priority="748" operator="equal">
      <formula>"CLE"</formula>
    </cfRule>
    <cfRule type="cellIs" dxfId="1732" priority="770" operator="equal">
      <formula>"LV"</formula>
    </cfRule>
    <cfRule type="cellIs" dxfId="1731" priority="769" operator="equal">
      <formula>"BUF"</formula>
    </cfRule>
    <cfRule type="cellIs" dxfId="1730" priority="768" operator="equal">
      <formula>"PHI"</formula>
    </cfRule>
    <cfRule type="cellIs" dxfId="1729" priority="767" operator="equal">
      <formula>"BAL"</formula>
    </cfRule>
    <cfRule type="cellIs" dxfId="1728" priority="766" operator="equal">
      <formula>"KC"</formula>
    </cfRule>
    <cfRule type="cellIs" dxfId="1727" priority="765" operator="equal">
      <formula>"IND"</formula>
    </cfRule>
    <cfRule type="cellIs" dxfId="1726" priority="751" operator="equal">
      <formula>"LAC"</formula>
    </cfRule>
    <cfRule type="cellIs" dxfId="1725" priority="764" operator="equal">
      <formula>"HOU"</formula>
    </cfRule>
  </conditionalFormatting>
  <conditionalFormatting sqref="A89">
    <cfRule type="cellIs" dxfId="1724" priority="6012" operator="equal">
      <formula>"ATL"</formula>
    </cfRule>
    <cfRule type="cellIs" dxfId="1723" priority="6013" operator="equal">
      <formula>"JAX"</formula>
    </cfRule>
    <cfRule type="cellIs" dxfId="1722" priority="6014" operator="equal">
      <formula>"CHI"</formula>
    </cfRule>
    <cfRule type="cellIs" dxfId="1721" priority="6015" operator="equal">
      <formula>"MIA"</formula>
    </cfRule>
    <cfRule type="cellIs" dxfId="1720" priority="6016" operator="equal">
      <formula>"DET"</formula>
    </cfRule>
    <cfRule type="cellIs" dxfId="1719" priority="6017" operator="equal">
      <formula>"SF"</formula>
    </cfRule>
    <cfRule type="cellIs" dxfId="1718" priority="6018" operator="equal">
      <formula>"WAS"</formula>
    </cfRule>
    <cfRule type="cellIs" dxfId="1717" priority="6019" operator="equal">
      <formula>"GB"</formula>
    </cfRule>
    <cfRule type="cellIs" dxfId="1716" priority="6020" operator="equal">
      <formula>"DAL"</formula>
    </cfRule>
    <cfRule type="cellIs" dxfId="1715" priority="6021" operator="equal">
      <formula>"CIN"</formula>
    </cfRule>
    <cfRule type="cellIs" dxfId="1714" priority="6022" operator="equal">
      <formula>"ARI"</formula>
    </cfRule>
    <cfRule type="cellIs" dxfId="1713" priority="6023" operator="equal">
      <formula>"HOU"</formula>
    </cfRule>
    <cfRule type="cellIs" dxfId="1712" priority="6024" operator="equal">
      <formula>"IND"</formula>
    </cfRule>
    <cfRule type="cellIs" dxfId="1711" priority="6025" operator="equal">
      <formula>"KC"</formula>
    </cfRule>
    <cfRule type="cellIs" dxfId="1710" priority="6026" operator="equal">
      <formula>"BAL"</formula>
    </cfRule>
    <cfRule type="cellIs" dxfId="1709" priority="6027" operator="equal">
      <formula>"PHI"</formula>
    </cfRule>
    <cfRule type="cellIs" dxfId="1708" priority="6028" operator="equal">
      <formula>"BUF"</formula>
    </cfRule>
    <cfRule type="cellIs" dxfId="1707" priority="5997" operator="equal">
      <formula>"LV"</formula>
    </cfRule>
    <cfRule type="cellIs" dxfId="1706" priority="5998" operator="equal">
      <formula>"NE"</formula>
    </cfRule>
    <cfRule type="cellIs" dxfId="1705" priority="5999" operator="equal">
      <formula>"MIN"</formula>
    </cfRule>
    <cfRule type="cellIs" dxfId="1704" priority="6000" operator="equal">
      <formula>"PIT"</formula>
    </cfRule>
    <cfRule type="cellIs" dxfId="1703" priority="6001" operator="equal">
      <formula>"DEN"</formula>
    </cfRule>
    <cfRule type="cellIs" dxfId="1702" priority="6002" operator="equal">
      <formula>"CAR"</formula>
    </cfRule>
    <cfRule type="cellIs" dxfId="1701" priority="6003" operator="equal">
      <formula>"NYG"</formula>
    </cfRule>
    <cfRule type="cellIs" dxfId="1700" priority="6004" operator="equal">
      <formula>"NO"</formula>
    </cfRule>
    <cfRule type="cellIs" dxfId="1699" priority="6005" operator="equal">
      <formula>"TEN"</formula>
    </cfRule>
    <cfRule type="cellIs" dxfId="1698" priority="6006" operator="equal">
      <formula>"TB"</formula>
    </cfRule>
    <cfRule type="cellIs" dxfId="1697" priority="6007" operator="equal">
      <formula>"CLE"</formula>
    </cfRule>
    <cfRule type="cellIs" dxfId="1696" priority="6008" operator="equal">
      <formula>"NYJ"</formula>
    </cfRule>
    <cfRule type="cellIs" dxfId="1695" priority="6009" operator="equal">
      <formula>"SEA"</formula>
    </cfRule>
    <cfRule type="cellIs" dxfId="1694" priority="6010" operator="equal">
      <formula>"LAC"</formula>
    </cfRule>
    <cfRule type="cellIs" dxfId="1693" priority="6011" operator="equal">
      <formula>"LAR"</formula>
    </cfRule>
  </conditionalFormatting>
  <conditionalFormatting sqref="A91:A108">
    <cfRule type="cellIs" dxfId="1692" priority="822" operator="equal">
      <formula>"CIN"</formula>
    </cfRule>
    <cfRule type="cellIs" dxfId="1691" priority="819" operator="equal">
      <formula>"WAS"</formula>
    </cfRule>
    <cfRule type="cellIs" dxfId="1690" priority="820" operator="equal">
      <formula>"GB"</formula>
    </cfRule>
    <cfRule type="cellIs" dxfId="1689" priority="821" operator="equal">
      <formula>"DAL"</formula>
    </cfRule>
    <cfRule type="cellIs" dxfId="1688" priority="825" operator="equal">
      <formula>"IND"</formula>
    </cfRule>
    <cfRule type="cellIs" dxfId="1687" priority="823" operator="equal">
      <formula>"ARI"</formula>
    </cfRule>
    <cfRule type="cellIs" dxfId="1686" priority="824" operator="equal">
      <formula>"HOU"</formula>
    </cfRule>
    <cfRule type="cellIs" dxfId="1685" priority="801" operator="equal">
      <formula>"PIT"</formula>
    </cfRule>
    <cfRule type="cellIs" dxfId="1684" priority="802" operator="equal">
      <formula>"DEN"</formula>
    </cfRule>
    <cfRule type="cellIs" dxfId="1683" priority="803" operator="equal">
      <formula>"CAR"</formula>
    </cfRule>
    <cfRule type="cellIs" dxfId="1682" priority="804" operator="equal">
      <formula>"NYG"</formula>
    </cfRule>
    <cfRule type="cellIs" dxfId="1681" priority="805" operator="equal">
      <formula>"NO"</formula>
    </cfRule>
    <cfRule type="cellIs" dxfId="1680" priority="806" operator="equal">
      <formula>"TEN"</formula>
    </cfRule>
    <cfRule type="cellIs" dxfId="1679" priority="807" operator="equal">
      <formula>"TB"</formula>
    </cfRule>
    <cfRule type="cellIs" dxfId="1678" priority="808" operator="equal">
      <formula>"CLE"</formula>
    </cfRule>
    <cfRule type="cellIs" dxfId="1677" priority="809" operator="equal">
      <formula>"NYJ"</formula>
    </cfRule>
    <cfRule type="cellIs" dxfId="1676" priority="810" operator="equal">
      <formula>"SEA"</formula>
    </cfRule>
    <cfRule type="cellIs" dxfId="1675" priority="811" operator="equal">
      <formula>"LAC"</formula>
    </cfRule>
    <cfRule type="cellIs" dxfId="1674" priority="812" operator="equal">
      <formula>"LAR"</formula>
    </cfRule>
    <cfRule type="cellIs" dxfId="1673" priority="813" operator="equal">
      <formula>"ATL"</formula>
    </cfRule>
    <cfRule type="cellIs" dxfId="1672" priority="814" operator="equal">
      <formula>"JAX"</formula>
    </cfRule>
    <cfRule type="cellIs" dxfId="1671" priority="815" operator="equal">
      <formula>"CHI"</formula>
    </cfRule>
    <cfRule type="cellIs" dxfId="1670" priority="816" operator="equal">
      <formula>"MIA"</formula>
    </cfRule>
    <cfRule type="cellIs" dxfId="1669" priority="817" operator="equal">
      <formula>"DET"</formula>
    </cfRule>
    <cfRule type="cellIs" dxfId="1668" priority="818" operator="equal">
      <formula>"SF"</formula>
    </cfRule>
    <cfRule type="cellIs" dxfId="1667" priority="826" operator="equal">
      <formula>"KC"</formula>
    </cfRule>
    <cfRule type="cellIs" dxfId="1666" priority="827" operator="equal">
      <formula>"BAL"</formula>
    </cfRule>
    <cfRule type="cellIs" dxfId="1665" priority="828" operator="equal">
      <formula>"PHI"</formula>
    </cfRule>
    <cfRule type="cellIs" dxfId="1664" priority="829" operator="equal">
      <formula>"BUF"</formula>
    </cfRule>
    <cfRule type="cellIs" dxfId="1663" priority="830" operator="equal">
      <formula>"LV"</formula>
    </cfRule>
    <cfRule type="cellIs" dxfId="1662" priority="831" operator="equal">
      <formula>"NE"</formula>
    </cfRule>
    <cfRule type="cellIs" dxfId="1661" priority="832" operator="equal">
      <formula>"MIN"</formula>
    </cfRule>
  </conditionalFormatting>
  <conditionalFormatting sqref="A111">
    <cfRule type="cellIs" dxfId="1660" priority="5952" operator="equal">
      <formula>"ATL"</formula>
    </cfRule>
    <cfRule type="cellIs" dxfId="1659" priority="5951" operator="equal">
      <formula>"LAR"</formula>
    </cfRule>
    <cfRule type="cellIs" dxfId="1658" priority="5950" operator="equal">
      <formula>"LAC"</formula>
    </cfRule>
    <cfRule type="cellIs" dxfId="1657" priority="5949" operator="equal">
      <formula>"SEA"</formula>
    </cfRule>
    <cfRule type="cellIs" dxfId="1656" priority="5948" operator="equal">
      <formula>"NYJ"</formula>
    </cfRule>
    <cfRule type="cellIs" dxfId="1655" priority="5947" operator="equal">
      <formula>"CLE"</formula>
    </cfRule>
    <cfRule type="cellIs" dxfId="1654" priority="5946" operator="equal">
      <formula>"TB"</formula>
    </cfRule>
    <cfRule type="cellIs" dxfId="1653" priority="5953" operator="equal">
      <formula>"JAX"</formula>
    </cfRule>
    <cfRule type="cellIs" dxfId="1652" priority="5945" operator="equal">
      <formula>"TEN"</formula>
    </cfRule>
    <cfRule type="cellIs" dxfId="1651" priority="5944" operator="equal">
      <formula>"NO"</formula>
    </cfRule>
    <cfRule type="cellIs" dxfId="1650" priority="5943" operator="equal">
      <formula>"NYG"</formula>
    </cfRule>
    <cfRule type="cellIs" dxfId="1649" priority="5942" operator="equal">
      <formula>"CAR"</formula>
    </cfRule>
    <cfRule type="cellIs" dxfId="1648" priority="5941" operator="equal">
      <formula>"DEN"</formula>
    </cfRule>
    <cfRule type="cellIs" dxfId="1647" priority="5940" operator="equal">
      <formula>"PIT"</formula>
    </cfRule>
    <cfRule type="cellIs" dxfId="1646" priority="5939" operator="equal">
      <formula>"MIN"</formula>
    </cfRule>
    <cfRule type="cellIs" dxfId="1645" priority="5938" operator="equal">
      <formula>"NE"</formula>
    </cfRule>
    <cfRule type="cellIs" dxfId="1644" priority="5937" operator="equal">
      <formula>"LV"</formula>
    </cfRule>
    <cfRule type="cellIs" dxfId="1643" priority="5968" operator="equal">
      <formula>"BUF"</formula>
    </cfRule>
    <cfRule type="cellIs" dxfId="1642" priority="5954" operator="equal">
      <formula>"CHI"</formula>
    </cfRule>
    <cfRule type="cellIs" dxfId="1641" priority="5955" operator="equal">
      <formula>"MIA"</formula>
    </cfRule>
    <cfRule type="cellIs" dxfId="1640" priority="5956" operator="equal">
      <formula>"DET"</formula>
    </cfRule>
    <cfRule type="cellIs" dxfId="1639" priority="5957" operator="equal">
      <formula>"SF"</formula>
    </cfRule>
    <cfRule type="cellIs" dxfId="1638" priority="5958" operator="equal">
      <formula>"WAS"</formula>
    </cfRule>
    <cfRule type="cellIs" dxfId="1637" priority="5959" operator="equal">
      <formula>"GB"</formula>
    </cfRule>
    <cfRule type="cellIs" dxfId="1636" priority="5960" operator="equal">
      <formula>"DAL"</formula>
    </cfRule>
    <cfRule type="cellIs" dxfId="1635" priority="5961" operator="equal">
      <formula>"CIN"</formula>
    </cfRule>
    <cfRule type="cellIs" dxfId="1634" priority="5962" operator="equal">
      <formula>"ARI"</formula>
    </cfRule>
    <cfRule type="cellIs" dxfId="1633" priority="5963" operator="equal">
      <formula>"HOU"</formula>
    </cfRule>
    <cfRule type="cellIs" dxfId="1632" priority="5964" operator="equal">
      <formula>"IND"</formula>
    </cfRule>
    <cfRule type="cellIs" dxfId="1631" priority="5965" operator="equal">
      <formula>"KC"</formula>
    </cfRule>
    <cfRule type="cellIs" dxfId="1630" priority="5966" operator="equal">
      <formula>"BAL"</formula>
    </cfRule>
    <cfRule type="cellIs" dxfId="1629" priority="5967" operator="equal">
      <formula>"PHI"</formula>
    </cfRule>
  </conditionalFormatting>
  <conditionalFormatting sqref="A113:A130">
    <cfRule type="cellIs" dxfId="1628" priority="880" operator="equal">
      <formula>"GB"</formula>
    </cfRule>
    <cfRule type="cellIs" dxfId="1627" priority="881" operator="equal">
      <formula>"DAL"</formula>
    </cfRule>
    <cfRule type="cellIs" dxfId="1626" priority="882" operator="equal">
      <formula>"CIN"</formula>
    </cfRule>
    <cfRule type="cellIs" dxfId="1625" priority="883" operator="equal">
      <formula>"ARI"</formula>
    </cfRule>
    <cfRule type="cellIs" dxfId="1624" priority="884" operator="equal">
      <formula>"HOU"</formula>
    </cfRule>
    <cfRule type="cellIs" dxfId="1623" priority="885" operator="equal">
      <formula>"IND"</formula>
    </cfRule>
    <cfRule type="cellIs" dxfId="1622" priority="886" operator="equal">
      <formula>"KC"</formula>
    </cfRule>
    <cfRule type="cellIs" dxfId="1621" priority="887" operator="equal">
      <formula>"BAL"</formula>
    </cfRule>
    <cfRule type="cellIs" dxfId="1620" priority="888" operator="equal">
      <formula>"PHI"</formula>
    </cfRule>
    <cfRule type="cellIs" dxfId="1619" priority="889" operator="equal">
      <formula>"BUF"</formula>
    </cfRule>
    <cfRule type="cellIs" dxfId="1618" priority="890" operator="equal">
      <formula>"LV"</formula>
    </cfRule>
    <cfRule type="cellIs" dxfId="1617" priority="891" operator="equal">
      <formula>"NE"</formula>
    </cfRule>
    <cfRule type="cellIs" dxfId="1616" priority="892" operator="equal">
      <formula>"MIN"</formula>
    </cfRule>
    <cfRule type="cellIs" dxfId="1615" priority="861" operator="equal">
      <formula>"PIT"</formula>
    </cfRule>
    <cfRule type="cellIs" dxfId="1614" priority="862" operator="equal">
      <formula>"DEN"</formula>
    </cfRule>
    <cfRule type="cellIs" dxfId="1613" priority="863" operator="equal">
      <formula>"CAR"</formula>
    </cfRule>
    <cfRule type="cellIs" dxfId="1612" priority="864" operator="equal">
      <formula>"NYG"</formula>
    </cfRule>
    <cfRule type="cellIs" dxfId="1611" priority="865" operator="equal">
      <formula>"NO"</formula>
    </cfRule>
    <cfRule type="cellIs" dxfId="1610" priority="866" operator="equal">
      <formula>"TEN"</formula>
    </cfRule>
    <cfRule type="cellIs" dxfId="1609" priority="867" operator="equal">
      <formula>"TB"</formula>
    </cfRule>
    <cfRule type="cellIs" dxfId="1608" priority="868" operator="equal">
      <formula>"CLE"</formula>
    </cfRule>
    <cfRule type="cellIs" dxfId="1607" priority="869" operator="equal">
      <formula>"NYJ"</formula>
    </cfRule>
    <cfRule type="cellIs" dxfId="1606" priority="870" operator="equal">
      <formula>"SEA"</formula>
    </cfRule>
    <cfRule type="cellIs" dxfId="1605" priority="871" operator="equal">
      <formula>"LAC"</formula>
    </cfRule>
    <cfRule type="cellIs" dxfId="1604" priority="872" operator="equal">
      <formula>"LAR"</formula>
    </cfRule>
    <cfRule type="cellIs" dxfId="1603" priority="873" operator="equal">
      <formula>"ATL"</formula>
    </cfRule>
    <cfRule type="cellIs" dxfId="1602" priority="874" operator="equal">
      <formula>"JAX"</formula>
    </cfRule>
    <cfRule type="cellIs" dxfId="1601" priority="875" operator="equal">
      <formula>"CHI"</formula>
    </cfRule>
    <cfRule type="cellIs" dxfId="1600" priority="876" operator="equal">
      <formula>"MIA"</formula>
    </cfRule>
    <cfRule type="cellIs" dxfId="1599" priority="877" operator="equal">
      <formula>"DET"</formula>
    </cfRule>
    <cfRule type="cellIs" dxfId="1598" priority="878" operator="equal">
      <formula>"SF"</formula>
    </cfRule>
    <cfRule type="cellIs" dxfId="1597" priority="879" operator="equal">
      <formula>"WAS"</formula>
    </cfRule>
  </conditionalFormatting>
  <conditionalFormatting sqref="A133">
    <cfRule type="cellIs" dxfId="1596" priority="5908" operator="equal">
      <formula>"BUF"</formula>
    </cfRule>
    <cfRule type="cellIs" dxfId="1595" priority="5907" operator="equal">
      <formula>"PHI"</formula>
    </cfRule>
    <cfRule type="cellIs" dxfId="1594" priority="5905" operator="equal">
      <formula>"KC"</formula>
    </cfRule>
    <cfRule type="cellIs" dxfId="1593" priority="5904" operator="equal">
      <formula>"IND"</formula>
    </cfRule>
    <cfRule type="cellIs" dxfId="1592" priority="5903" operator="equal">
      <formula>"HOU"</formula>
    </cfRule>
    <cfRule type="cellIs" dxfId="1591" priority="5902" operator="equal">
      <formula>"ARI"</formula>
    </cfRule>
    <cfRule type="cellIs" dxfId="1590" priority="5901" operator="equal">
      <formula>"CIN"</formula>
    </cfRule>
    <cfRule type="cellIs" dxfId="1589" priority="5900" operator="equal">
      <formula>"DAL"</formula>
    </cfRule>
    <cfRule type="cellIs" dxfId="1588" priority="5897" operator="equal">
      <formula>"SF"</formula>
    </cfRule>
    <cfRule type="cellIs" dxfId="1587" priority="5906" operator="equal">
      <formula>"BAL"</formula>
    </cfRule>
    <cfRule type="cellIs" dxfId="1586" priority="5896" operator="equal">
      <formula>"DET"</formula>
    </cfRule>
    <cfRule type="cellIs" dxfId="1585" priority="5877" operator="equal">
      <formula>"LV"</formula>
    </cfRule>
    <cfRule type="cellIs" dxfId="1584" priority="5878" operator="equal">
      <formula>"NE"</formula>
    </cfRule>
    <cfRule type="cellIs" dxfId="1583" priority="5879" operator="equal">
      <formula>"MIN"</formula>
    </cfRule>
    <cfRule type="cellIs" dxfId="1582" priority="5880" operator="equal">
      <formula>"PIT"</formula>
    </cfRule>
    <cfRule type="cellIs" dxfId="1581" priority="5881" operator="equal">
      <formula>"DEN"</formula>
    </cfRule>
    <cfRule type="cellIs" dxfId="1580" priority="5882" operator="equal">
      <formula>"CAR"</formula>
    </cfRule>
    <cfRule type="cellIs" dxfId="1579" priority="5898" operator="equal">
      <formula>"WAS"</formula>
    </cfRule>
    <cfRule type="cellIs" dxfId="1578" priority="5899" operator="equal">
      <formula>"GB"</formula>
    </cfRule>
    <cfRule type="cellIs" dxfId="1577" priority="5884" operator="equal">
      <formula>"NO"</formula>
    </cfRule>
    <cfRule type="cellIs" dxfId="1576" priority="5889" operator="equal">
      <formula>"SEA"</formula>
    </cfRule>
    <cfRule type="cellIs" dxfId="1575" priority="5888" operator="equal">
      <formula>"NYJ"</formula>
    </cfRule>
    <cfRule type="cellIs" dxfId="1574" priority="5887" operator="equal">
      <formula>"CLE"</formula>
    </cfRule>
    <cfRule type="cellIs" dxfId="1573" priority="5886" operator="equal">
      <formula>"TB"</formula>
    </cfRule>
    <cfRule type="cellIs" dxfId="1572" priority="5883" operator="equal">
      <formula>"NYG"</formula>
    </cfRule>
    <cfRule type="cellIs" dxfId="1571" priority="5885" operator="equal">
      <formula>"TEN"</formula>
    </cfRule>
    <cfRule type="cellIs" dxfId="1570" priority="5890" operator="equal">
      <formula>"LAC"</formula>
    </cfRule>
    <cfRule type="cellIs" dxfId="1569" priority="5891" operator="equal">
      <formula>"LAR"</formula>
    </cfRule>
    <cfRule type="cellIs" dxfId="1568" priority="5892" operator="equal">
      <formula>"ATL"</formula>
    </cfRule>
    <cfRule type="cellIs" dxfId="1567" priority="5893" operator="equal">
      <formula>"JAX"</formula>
    </cfRule>
    <cfRule type="cellIs" dxfId="1566" priority="5894" operator="equal">
      <formula>"CHI"</formula>
    </cfRule>
    <cfRule type="cellIs" dxfId="1565" priority="5895" operator="equal">
      <formula>"MIA"</formula>
    </cfRule>
  </conditionalFormatting>
  <conditionalFormatting sqref="A135:A152">
    <cfRule type="cellIs" dxfId="1564" priority="943" operator="equal">
      <formula>"ARI"</formula>
    </cfRule>
    <cfRule type="cellIs" dxfId="1563" priority="942" operator="equal">
      <formula>"CIN"</formula>
    </cfRule>
    <cfRule type="cellIs" dxfId="1562" priority="941" operator="equal">
      <formula>"DAL"</formula>
    </cfRule>
    <cfRule type="cellIs" dxfId="1561" priority="940" operator="equal">
      <formula>"GB"</formula>
    </cfRule>
    <cfRule type="cellIs" dxfId="1560" priority="939" operator="equal">
      <formula>"WAS"</formula>
    </cfRule>
    <cfRule type="cellIs" dxfId="1559" priority="938" operator="equal">
      <formula>"SF"</formula>
    </cfRule>
    <cfRule type="cellIs" dxfId="1558" priority="944" operator="equal">
      <formula>"HOU"</formula>
    </cfRule>
    <cfRule type="cellIs" dxfId="1557" priority="937" operator="equal">
      <formula>"DET"</formula>
    </cfRule>
    <cfRule type="cellIs" dxfId="1556" priority="936" operator="equal">
      <formula>"MIA"</formula>
    </cfRule>
    <cfRule type="cellIs" dxfId="1555" priority="935" operator="equal">
      <formula>"CHI"</formula>
    </cfRule>
    <cfRule type="cellIs" dxfId="1554" priority="934" operator="equal">
      <formula>"JAX"</formula>
    </cfRule>
    <cfRule type="cellIs" dxfId="1553" priority="933" operator="equal">
      <formula>"ATL"</formula>
    </cfRule>
    <cfRule type="cellIs" dxfId="1552" priority="932" operator="equal">
      <formula>"LAR"</formula>
    </cfRule>
    <cfRule type="cellIs" dxfId="1551" priority="931" operator="equal">
      <formula>"LAC"</formula>
    </cfRule>
    <cfRule type="cellIs" dxfId="1550" priority="929" operator="equal">
      <formula>"NYJ"</formula>
    </cfRule>
    <cfRule type="cellIs" dxfId="1549" priority="928" operator="equal">
      <formula>"CLE"</formula>
    </cfRule>
    <cfRule type="cellIs" dxfId="1548" priority="927" operator="equal">
      <formula>"TB"</formula>
    </cfRule>
    <cfRule type="cellIs" dxfId="1547" priority="926" operator="equal">
      <formula>"TEN"</formula>
    </cfRule>
    <cfRule type="cellIs" dxfId="1546" priority="925" operator="equal">
      <formula>"NO"</formula>
    </cfRule>
    <cfRule type="cellIs" dxfId="1545" priority="924" operator="equal">
      <formula>"NYG"</formula>
    </cfRule>
    <cfRule type="cellIs" dxfId="1544" priority="923" operator="equal">
      <formula>"CAR"</formula>
    </cfRule>
    <cfRule type="cellIs" dxfId="1543" priority="921" operator="equal">
      <formula>"PIT"</formula>
    </cfRule>
    <cfRule type="cellIs" dxfId="1542" priority="922" operator="equal">
      <formula>"DEN"</formula>
    </cfRule>
    <cfRule type="cellIs" dxfId="1541" priority="930" operator="equal">
      <formula>"SEA"</formula>
    </cfRule>
    <cfRule type="cellIs" dxfId="1540" priority="945" operator="equal">
      <formula>"IND"</formula>
    </cfRule>
    <cfRule type="cellIs" dxfId="1539" priority="946" operator="equal">
      <formula>"KC"</formula>
    </cfRule>
    <cfRule type="cellIs" dxfId="1538" priority="947" operator="equal">
      <formula>"BAL"</formula>
    </cfRule>
    <cfRule type="cellIs" dxfId="1537" priority="948" operator="equal">
      <formula>"PHI"</formula>
    </cfRule>
    <cfRule type="cellIs" dxfId="1536" priority="949" operator="equal">
      <formula>"BUF"</formula>
    </cfRule>
    <cfRule type="cellIs" dxfId="1535" priority="950" operator="equal">
      <formula>"LV"</formula>
    </cfRule>
    <cfRule type="cellIs" dxfId="1534" priority="951" operator="equal">
      <formula>"NE"</formula>
    </cfRule>
    <cfRule type="cellIs" dxfId="1533" priority="952" operator="equal">
      <formula>"MIN"</formula>
    </cfRule>
  </conditionalFormatting>
  <conditionalFormatting sqref="A155">
    <cfRule type="cellIs" dxfId="1532" priority="5821" operator="equal">
      <formula>"DEN"</formula>
    </cfRule>
    <cfRule type="cellIs" dxfId="1531" priority="5848" operator="equal">
      <formula>"BUF"</formula>
    </cfRule>
    <cfRule type="cellIs" dxfId="1530" priority="5847" operator="equal">
      <formula>"PHI"</formula>
    </cfRule>
    <cfRule type="cellIs" dxfId="1529" priority="5846" operator="equal">
      <formula>"BAL"</formula>
    </cfRule>
    <cfRule type="cellIs" dxfId="1528" priority="5845" operator="equal">
      <formula>"KC"</formula>
    </cfRule>
    <cfRule type="cellIs" dxfId="1527" priority="5844" operator="equal">
      <formula>"IND"</formula>
    </cfRule>
    <cfRule type="cellIs" dxfId="1526" priority="5843" operator="equal">
      <formula>"HOU"</formula>
    </cfRule>
    <cfRule type="cellIs" dxfId="1525" priority="5842" operator="equal">
      <formula>"ARI"</formula>
    </cfRule>
    <cfRule type="cellIs" dxfId="1524" priority="5841" operator="equal">
      <formula>"CIN"</formula>
    </cfRule>
    <cfRule type="cellIs" dxfId="1523" priority="5840" operator="equal">
      <formula>"DAL"</formula>
    </cfRule>
    <cfRule type="cellIs" dxfId="1522" priority="5839" operator="equal">
      <formula>"GB"</formula>
    </cfRule>
    <cfRule type="cellIs" dxfId="1521" priority="5838" operator="equal">
      <formula>"WAS"</formula>
    </cfRule>
    <cfRule type="cellIs" dxfId="1520" priority="5837" operator="equal">
      <formula>"SF"</formula>
    </cfRule>
    <cfRule type="cellIs" dxfId="1519" priority="5836" operator="equal">
      <formula>"DET"</formula>
    </cfRule>
    <cfRule type="cellIs" dxfId="1518" priority="5835" operator="equal">
      <formula>"MIA"</formula>
    </cfRule>
    <cfRule type="cellIs" dxfId="1517" priority="5834" operator="equal">
      <formula>"CHI"</formula>
    </cfRule>
    <cfRule type="cellIs" dxfId="1516" priority="5825" operator="equal">
      <formula>"TEN"</formula>
    </cfRule>
    <cfRule type="cellIs" dxfId="1515" priority="5817" operator="equal">
      <formula>"LV"</formula>
    </cfRule>
    <cfRule type="cellIs" dxfId="1514" priority="5818" operator="equal">
      <formula>"NE"</formula>
    </cfRule>
    <cfRule type="cellIs" dxfId="1513" priority="5819" operator="equal">
      <formula>"MIN"</formula>
    </cfRule>
    <cfRule type="cellIs" dxfId="1512" priority="5820" operator="equal">
      <formula>"PIT"</formula>
    </cfRule>
    <cfRule type="cellIs" dxfId="1511" priority="5824" operator="equal">
      <formula>"NO"</formula>
    </cfRule>
    <cfRule type="cellIs" dxfId="1510" priority="5823" operator="equal">
      <formula>"NYG"</formula>
    </cfRule>
    <cfRule type="cellIs" dxfId="1509" priority="5822" operator="equal">
      <formula>"CAR"</formula>
    </cfRule>
    <cfRule type="cellIs" dxfId="1508" priority="5833" operator="equal">
      <formula>"JAX"</formula>
    </cfRule>
    <cfRule type="cellIs" dxfId="1507" priority="5832" operator="equal">
      <formula>"ATL"</formula>
    </cfRule>
    <cfRule type="cellIs" dxfId="1506" priority="5831" operator="equal">
      <formula>"LAR"</formula>
    </cfRule>
    <cfRule type="cellIs" dxfId="1505" priority="5830" operator="equal">
      <formula>"LAC"</formula>
    </cfRule>
    <cfRule type="cellIs" dxfId="1504" priority="5829" operator="equal">
      <formula>"SEA"</formula>
    </cfRule>
    <cfRule type="cellIs" dxfId="1503" priority="5828" operator="equal">
      <formula>"NYJ"</formula>
    </cfRule>
    <cfRule type="cellIs" dxfId="1502" priority="5827" operator="equal">
      <formula>"CLE"</formula>
    </cfRule>
    <cfRule type="cellIs" dxfId="1501" priority="5826" operator="equal">
      <formula>"TB"</formula>
    </cfRule>
  </conditionalFormatting>
  <conditionalFormatting sqref="A157:A174">
    <cfRule type="cellIs" dxfId="1500" priority="997" operator="equal">
      <formula>"DET"</formula>
    </cfRule>
    <cfRule type="cellIs" dxfId="1499" priority="998" operator="equal">
      <formula>"SF"</formula>
    </cfRule>
    <cfRule type="cellIs" dxfId="1498" priority="999" operator="equal">
      <formula>"WAS"</formula>
    </cfRule>
    <cfRule type="cellIs" dxfId="1497" priority="1000" operator="equal">
      <formula>"GB"</formula>
    </cfRule>
    <cfRule type="cellIs" dxfId="1496" priority="1001" operator="equal">
      <formula>"DAL"</formula>
    </cfRule>
    <cfRule type="cellIs" dxfId="1495" priority="1002" operator="equal">
      <formula>"CIN"</formula>
    </cfRule>
    <cfRule type="cellIs" dxfId="1494" priority="1003" operator="equal">
      <formula>"ARI"</formula>
    </cfRule>
    <cfRule type="cellIs" dxfId="1493" priority="1004" operator="equal">
      <formula>"HOU"</formula>
    </cfRule>
    <cfRule type="cellIs" dxfId="1492" priority="1005" operator="equal">
      <formula>"IND"</formula>
    </cfRule>
    <cfRule type="cellIs" dxfId="1491" priority="1007" operator="equal">
      <formula>"BAL"</formula>
    </cfRule>
    <cfRule type="cellIs" dxfId="1490" priority="1008" operator="equal">
      <formula>"PHI"</formula>
    </cfRule>
    <cfRule type="cellIs" dxfId="1489" priority="1009" operator="equal">
      <formula>"BUF"</formula>
    </cfRule>
    <cfRule type="cellIs" dxfId="1488" priority="1010" operator="equal">
      <formula>"LV"</formula>
    </cfRule>
    <cfRule type="cellIs" dxfId="1487" priority="1011" operator="equal">
      <formula>"NE"</formula>
    </cfRule>
    <cfRule type="cellIs" dxfId="1486" priority="1012" operator="equal">
      <formula>"MIN"</formula>
    </cfRule>
    <cfRule type="cellIs" dxfId="1485" priority="1006" operator="equal">
      <formula>"KC"</formula>
    </cfRule>
    <cfRule type="cellIs" dxfId="1484" priority="988" operator="equal">
      <formula>"CLE"</formula>
    </cfRule>
    <cfRule type="cellIs" dxfId="1483" priority="987" operator="equal">
      <formula>"TB"</formula>
    </cfRule>
    <cfRule type="cellIs" dxfId="1482" priority="981" operator="equal">
      <formula>"PIT"</formula>
    </cfRule>
    <cfRule type="cellIs" dxfId="1481" priority="982" operator="equal">
      <formula>"DEN"</formula>
    </cfRule>
    <cfRule type="cellIs" dxfId="1480" priority="983" operator="equal">
      <formula>"CAR"</formula>
    </cfRule>
    <cfRule type="cellIs" dxfId="1479" priority="984" operator="equal">
      <formula>"NYG"</formula>
    </cfRule>
    <cfRule type="cellIs" dxfId="1478" priority="985" operator="equal">
      <formula>"NO"</formula>
    </cfRule>
    <cfRule type="cellIs" dxfId="1477" priority="986" operator="equal">
      <formula>"TEN"</formula>
    </cfRule>
    <cfRule type="cellIs" dxfId="1476" priority="989" operator="equal">
      <formula>"NYJ"</formula>
    </cfRule>
    <cfRule type="cellIs" dxfId="1475" priority="990" operator="equal">
      <formula>"SEA"</formula>
    </cfRule>
    <cfRule type="cellIs" dxfId="1474" priority="991" operator="equal">
      <formula>"LAC"</formula>
    </cfRule>
    <cfRule type="cellIs" dxfId="1473" priority="992" operator="equal">
      <formula>"LAR"</formula>
    </cfRule>
    <cfRule type="cellIs" dxfId="1472" priority="993" operator="equal">
      <formula>"ATL"</formula>
    </cfRule>
    <cfRule type="cellIs" dxfId="1471" priority="994" operator="equal">
      <formula>"JAX"</formula>
    </cfRule>
    <cfRule type="cellIs" dxfId="1470" priority="995" operator="equal">
      <formula>"CHI"</formula>
    </cfRule>
    <cfRule type="cellIs" dxfId="1469" priority="996" operator="equal">
      <formula>"MIA"</formula>
    </cfRule>
  </conditionalFormatting>
  <conditionalFormatting sqref="A177">
    <cfRule type="cellIs" dxfId="1468" priority="5772" operator="equal">
      <formula>"ATL"</formula>
    </cfRule>
    <cfRule type="cellIs" dxfId="1467" priority="5771" operator="equal">
      <formula>"LAR"</formula>
    </cfRule>
    <cfRule type="cellIs" dxfId="1466" priority="5770" operator="equal">
      <formula>"LAC"</formula>
    </cfRule>
    <cfRule type="cellIs" dxfId="1465" priority="5769" operator="equal">
      <formula>"SEA"</formula>
    </cfRule>
    <cfRule type="cellIs" dxfId="1464" priority="5768" operator="equal">
      <formula>"NYJ"</formula>
    </cfRule>
    <cfRule type="cellIs" dxfId="1463" priority="5767" operator="equal">
      <formula>"CLE"</formula>
    </cfRule>
    <cfRule type="cellIs" dxfId="1462" priority="5766" operator="equal">
      <formula>"TB"</formula>
    </cfRule>
    <cfRule type="cellIs" dxfId="1461" priority="5765" operator="equal">
      <formula>"TEN"</formula>
    </cfRule>
    <cfRule type="cellIs" dxfId="1460" priority="5764" operator="equal">
      <formula>"NO"</formula>
    </cfRule>
    <cfRule type="cellIs" dxfId="1459" priority="5763" operator="equal">
      <formula>"NYG"</formula>
    </cfRule>
    <cfRule type="cellIs" dxfId="1458" priority="5762" operator="equal">
      <formula>"CAR"</formula>
    </cfRule>
    <cfRule type="cellIs" dxfId="1457" priority="5761" operator="equal">
      <formula>"DEN"</formula>
    </cfRule>
    <cfRule type="cellIs" dxfId="1456" priority="5760" operator="equal">
      <formula>"PIT"</formula>
    </cfRule>
    <cfRule type="cellIs" dxfId="1455" priority="5759" operator="equal">
      <formula>"MIN"</formula>
    </cfRule>
    <cfRule type="cellIs" dxfId="1454" priority="5758" operator="equal">
      <formula>"NE"</formula>
    </cfRule>
    <cfRule type="cellIs" dxfId="1453" priority="5757" operator="equal">
      <formula>"LV"</formula>
    </cfRule>
    <cfRule type="cellIs" dxfId="1452" priority="5777" operator="equal">
      <formula>"SF"</formula>
    </cfRule>
    <cfRule type="cellIs" dxfId="1451" priority="5788" operator="equal">
      <formula>"BUF"</formula>
    </cfRule>
    <cfRule type="cellIs" dxfId="1450" priority="5787" operator="equal">
      <formula>"PHI"</formula>
    </cfRule>
    <cfRule type="cellIs" dxfId="1449" priority="5786" operator="equal">
      <formula>"BAL"</formula>
    </cfRule>
    <cfRule type="cellIs" dxfId="1448" priority="5785" operator="equal">
      <formula>"KC"</formula>
    </cfRule>
    <cfRule type="cellIs" dxfId="1447" priority="5784" operator="equal">
      <formula>"IND"</formula>
    </cfRule>
    <cfRule type="cellIs" dxfId="1446" priority="5783" operator="equal">
      <formula>"HOU"</formula>
    </cfRule>
    <cfRule type="cellIs" dxfId="1445" priority="5782" operator="equal">
      <formula>"ARI"</formula>
    </cfRule>
    <cfRule type="cellIs" dxfId="1444" priority="5781" operator="equal">
      <formula>"CIN"</formula>
    </cfRule>
    <cfRule type="cellIs" dxfId="1443" priority="5780" operator="equal">
      <formula>"DAL"</formula>
    </cfRule>
    <cfRule type="cellIs" dxfId="1442" priority="5779" operator="equal">
      <formula>"GB"</formula>
    </cfRule>
    <cfRule type="cellIs" dxfId="1441" priority="5778" operator="equal">
      <formula>"WAS"</formula>
    </cfRule>
    <cfRule type="cellIs" dxfId="1440" priority="5776" operator="equal">
      <formula>"DET"</formula>
    </cfRule>
    <cfRule type="cellIs" dxfId="1439" priority="5775" operator="equal">
      <formula>"MIA"</formula>
    </cfRule>
    <cfRule type="cellIs" dxfId="1438" priority="5774" operator="equal">
      <formula>"CHI"</formula>
    </cfRule>
    <cfRule type="cellIs" dxfId="1437" priority="5773" operator="equal">
      <formula>"JAX"</formula>
    </cfRule>
  </conditionalFormatting>
  <conditionalFormatting sqref="A179:A196">
    <cfRule type="cellIs" dxfId="1436" priority="3775" operator="equal">
      <formula>"MIN"</formula>
    </cfRule>
    <cfRule type="cellIs" dxfId="1435" priority="2086" operator="equal">
      <formula>"TB"</formula>
    </cfRule>
    <cfRule type="cellIs" dxfId="1434" priority="2087" operator="equal">
      <formula>"CLE"</formula>
    </cfRule>
    <cfRule type="cellIs" dxfId="1433" priority="2088" operator="equal">
      <formula>"NYJ"</formula>
    </cfRule>
    <cfRule type="cellIs" dxfId="1432" priority="2089" operator="equal">
      <formula>"SEA"</formula>
    </cfRule>
    <cfRule type="cellIs" dxfId="1431" priority="2090" operator="equal">
      <formula>"LAC"</formula>
    </cfRule>
    <cfRule type="cellIs" dxfId="1430" priority="2091" operator="equal">
      <formula>"LAR"</formula>
    </cfRule>
    <cfRule type="cellIs" dxfId="1429" priority="2092" operator="equal">
      <formula>"ATL"</formula>
    </cfRule>
    <cfRule type="cellIs" dxfId="1428" priority="2093" operator="equal">
      <formula>"JAX"</formula>
    </cfRule>
    <cfRule type="cellIs" dxfId="1427" priority="2094" operator="equal">
      <formula>"CHI"</formula>
    </cfRule>
    <cfRule type="cellIs" dxfId="1426" priority="2095" operator="equal">
      <formula>"MIA"</formula>
    </cfRule>
    <cfRule type="cellIs" dxfId="1425" priority="2097" operator="equal">
      <formula>"SF"</formula>
    </cfRule>
    <cfRule type="cellIs" dxfId="1424" priority="2080" operator="equal">
      <formula>"PIT"</formula>
    </cfRule>
    <cfRule type="cellIs" dxfId="1423" priority="2106" operator="equal">
      <formula>"BAL"</formula>
    </cfRule>
    <cfRule type="cellIs" dxfId="1422" priority="2107" operator="equal">
      <formula>"PHI"</formula>
    </cfRule>
    <cfRule type="cellIs" dxfId="1421" priority="3773" operator="equal">
      <formula>"LV"</formula>
    </cfRule>
    <cfRule type="cellIs" dxfId="1420" priority="3774" operator="equal">
      <formula>"NE"</formula>
    </cfRule>
    <cfRule type="cellIs" dxfId="1419" priority="2108" operator="equal">
      <formula>"BUF"</formula>
    </cfRule>
    <cfRule type="cellIs" dxfId="1418" priority="2098" operator="equal">
      <formula>"WAS"</formula>
    </cfRule>
    <cfRule type="cellIs" dxfId="1417" priority="2099" operator="equal">
      <formula>"GB"</formula>
    </cfRule>
    <cfRule type="cellIs" dxfId="1416" priority="2100" operator="equal">
      <formula>"DAL"</formula>
    </cfRule>
    <cfRule type="cellIs" dxfId="1415" priority="2101" operator="equal">
      <formula>"CIN"</formula>
    </cfRule>
    <cfRule type="cellIs" dxfId="1414" priority="2102" operator="equal">
      <formula>"ARI"</formula>
    </cfRule>
    <cfRule type="cellIs" dxfId="1413" priority="2103" operator="equal">
      <formula>"HOU"</formula>
    </cfRule>
    <cfRule type="cellIs" dxfId="1412" priority="2104" operator="equal">
      <formula>"IND"</formula>
    </cfRule>
    <cfRule type="cellIs" dxfId="1411" priority="2105" operator="equal">
      <formula>"KC"</formula>
    </cfRule>
    <cfRule type="cellIs" dxfId="1410" priority="2096" operator="equal">
      <formula>"DET"</formula>
    </cfRule>
    <cfRule type="cellIs" dxfId="1409" priority="2081" operator="equal">
      <formula>"DEN"</formula>
    </cfRule>
    <cfRule type="cellIs" dxfId="1408" priority="2082" operator="equal">
      <formula>"CAR"</formula>
    </cfRule>
    <cfRule type="cellIs" dxfId="1407" priority="2083" operator="equal">
      <formula>"NYG"</formula>
    </cfRule>
    <cfRule type="cellIs" dxfId="1406" priority="2084" operator="equal">
      <formula>"NO"</formula>
    </cfRule>
    <cfRule type="cellIs" dxfId="1405" priority="2085" operator="equal">
      <formula>"TEN"</formula>
    </cfRule>
  </conditionalFormatting>
  <conditionalFormatting sqref="A199">
    <cfRule type="cellIs" dxfId="1404" priority="5697" operator="equal">
      <formula>"LV"</formula>
    </cfRule>
    <cfRule type="cellIs" dxfId="1403" priority="5714" operator="equal">
      <formula>"CHI"</formula>
    </cfRule>
    <cfRule type="cellIs" dxfId="1402" priority="5721" operator="equal">
      <formula>"CIN"</formula>
    </cfRule>
    <cfRule type="cellIs" dxfId="1401" priority="5720" operator="equal">
      <formula>"DAL"</formula>
    </cfRule>
    <cfRule type="cellIs" dxfId="1400" priority="5719" operator="equal">
      <formula>"GB"</formula>
    </cfRule>
    <cfRule type="cellIs" dxfId="1399" priority="5718" operator="equal">
      <formula>"WAS"</formula>
    </cfRule>
    <cfRule type="cellIs" dxfId="1398" priority="5717" operator="equal">
      <formula>"SF"</formula>
    </cfRule>
    <cfRule type="cellIs" dxfId="1397" priority="5716" operator="equal">
      <formula>"DET"</formula>
    </cfRule>
    <cfRule type="cellIs" dxfId="1396" priority="5715" operator="equal">
      <formula>"MIA"</formula>
    </cfRule>
    <cfRule type="cellIs" dxfId="1395" priority="5713" operator="equal">
      <formula>"JAX"</formula>
    </cfRule>
    <cfRule type="cellIs" dxfId="1394" priority="5712" operator="equal">
      <formula>"ATL"</formula>
    </cfRule>
    <cfRule type="cellIs" dxfId="1393" priority="5711" operator="equal">
      <formula>"LAR"</formula>
    </cfRule>
    <cfRule type="cellIs" dxfId="1392" priority="5710" operator="equal">
      <formula>"LAC"</formula>
    </cfRule>
    <cfRule type="cellIs" dxfId="1391" priority="5709" operator="equal">
      <formula>"SEA"</formula>
    </cfRule>
    <cfRule type="cellIs" dxfId="1390" priority="5708" operator="equal">
      <formula>"NYJ"</formula>
    </cfRule>
    <cfRule type="cellIs" dxfId="1389" priority="5724" operator="equal">
      <formula>"IND"</formula>
    </cfRule>
    <cfRule type="cellIs" dxfId="1388" priority="5707" operator="equal">
      <formula>"CLE"</formula>
    </cfRule>
    <cfRule type="cellIs" dxfId="1387" priority="5706" operator="equal">
      <formula>"TB"</formula>
    </cfRule>
    <cfRule type="cellIs" dxfId="1386" priority="5705" operator="equal">
      <formula>"TEN"</formula>
    </cfRule>
    <cfRule type="cellIs" dxfId="1385" priority="5704" operator="equal">
      <formula>"NO"</formula>
    </cfRule>
    <cfRule type="cellIs" dxfId="1384" priority="5703" operator="equal">
      <formula>"NYG"</formula>
    </cfRule>
    <cfRule type="cellIs" dxfId="1383" priority="5702" operator="equal">
      <formula>"CAR"</formula>
    </cfRule>
    <cfRule type="cellIs" dxfId="1382" priority="5701" operator="equal">
      <formula>"DEN"</formula>
    </cfRule>
    <cfRule type="cellIs" dxfId="1381" priority="5700" operator="equal">
      <formula>"PIT"</formula>
    </cfRule>
    <cfRule type="cellIs" dxfId="1380" priority="5698" operator="equal">
      <formula>"NE"</formula>
    </cfRule>
    <cfRule type="cellIs" dxfId="1379" priority="5699" operator="equal">
      <formula>"MIN"</formula>
    </cfRule>
    <cfRule type="cellIs" dxfId="1378" priority="5728" operator="equal">
      <formula>"BUF"</formula>
    </cfRule>
    <cfRule type="cellIs" dxfId="1377" priority="5727" operator="equal">
      <formula>"PHI"</formula>
    </cfRule>
    <cfRule type="cellIs" dxfId="1376" priority="5726" operator="equal">
      <formula>"BAL"</formula>
    </cfRule>
    <cfRule type="cellIs" dxfId="1375" priority="5725" operator="equal">
      <formula>"KC"</formula>
    </cfRule>
    <cfRule type="cellIs" dxfId="1374" priority="5723" operator="equal">
      <formula>"HOU"</formula>
    </cfRule>
    <cfRule type="cellIs" dxfId="1373" priority="5722" operator="equal">
      <formula>"ARI"</formula>
    </cfRule>
  </conditionalFormatting>
  <conditionalFormatting sqref="A201:A218">
    <cfRule type="cellIs" dxfId="1372" priority="11" operator="equal">
      <formula>"LAC"</formula>
    </cfRule>
    <cfRule type="cellIs" dxfId="1371" priority="9" operator="equal">
      <formula>"NYJ"</formula>
    </cfRule>
    <cfRule type="cellIs" dxfId="1370" priority="10" operator="equal">
      <formula>"SEA"</formula>
    </cfRule>
    <cfRule type="cellIs" dxfId="1369" priority="18" operator="equal">
      <formula>"SF"</formula>
    </cfRule>
    <cfRule type="cellIs" dxfId="1368" priority="12" operator="equal">
      <formula>"LAR"</formula>
    </cfRule>
    <cfRule type="cellIs" dxfId="1367" priority="13" operator="equal">
      <formula>"ATL"</formula>
    </cfRule>
    <cfRule type="cellIs" dxfId="1366" priority="14" operator="equal">
      <formula>"JAX"</formula>
    </cfRule>
    <cfRule type="cellIs" dxfId="1365" priority="15" operator="equal">
      <formula>"CHI"</formula>
    </cfRule>
    <cfRule type="cellIs" dxfId="1364" priority="5" operator="equal">
      <formula>"NO"</formula>
    </cfRule>
    <cfRule type="cellIs" dxfId="1363" priority="16" operator="equal">
      <formula>"MIA"</formula>
    </cfRule>
    <cfRule type="cellIs" dxfId="1362" priority="17" operator="equal">
      <formula>"DET"</formula>
    </cfRule>
    <cfRule type="cellIs" dxfId="1361" priority="4" operator="equal">
      <formula>"NYG"</formula>
    </cfRule>
    <cfRule type="cellIs" dxfId="1360" priority="6" operator="equal">
      <formula>"TEN"</formula>
    </cfRule>
    <cfRule type="cellIs" dxfId="1359" priority="7" operator="equal">
      <formula>"TB"</formula>
    </cfRule>
    <cfRule type="cellIs" dxfId="1358" priority="3" operator="equal">
      <formula>"CAR"</formula>
    </cfRule>
    <cfRule type="cellIs" dxfId="1357" priority="2" operator="equal">
      <formula>"DEN"</formula>
    </cfRule>
    <cfRule type="cellIs" dxfId="1356" priority="1" operator="equal">
      <formula>"PIT"</formula>
    </cfRule>
    <cfRule type="cellIs" dxfId="1355" priority="32" operator="equal">
      <formula>"MIN"</formula>
    </cfRule>
    <cfRule type="cellIs" dxfId="1354" priority="25" operator="equal">
      <formula>"IND"</formula>
    </cfRule>
    <cfRule type="cellIs" dxfId="1353" priority="31" operator="equal">
      <formula>"NE"</formula>
    </cfRule>
    <cfRule type="cellIs" dxfId="1352" priority="30" operator="equal">
      <formula>"LV"</formula>
    </cfRule>
    <cfRule type="cellIs" dxfId="1351" priority="29" operator="equal">
      <formula>"BUF"</formula>
    </cfRule>
    <cfRule type="cellIs" dxfId="1350" priority="28" operator="equal">
      <formula>"PHI"</formula>
    </cfRule>
    <cfRule type="cellIs" dxfId="1349" priority="27" operator="equal">
      <formula>"BAL"</formula>
    </cfRule>
    <cfRule type="cellIs" dxfId="1348" priority="26" operator="equal">
      <formula>"KC"</formula>
    </cfRule>
    <cfRule type="cellIs" dxfId="1347" priority="24" operator="equal">
      <formula>"HOU"</formula>
    </cfRule>
    <cfRule type="cellIs" dxfId="1346" priority="8" operator="equal">
      <formula>"CLE"</formula>
    </cfRule>
    <cfRule type="cellIs" dxfId="1345" priority="23" operator="equal">
      <formula>"ARI"</formula>
    </cfRule>
    <cfRule type="cellIs" dxfId="1344" priority="22" operator="equal">
      <formula>"CIN"</formula>
    </cfRule>
    <cfRule type="cellIs" dxfId="1343" priority="21" operator="equal">
      <formula>"DAL"</formula>
    </cfRule>
    <cfRule type="cellIs" dxfId="1342" priority="20" operator="equal">
      <formula>"GB"</formula>
    </cfRule>
    <cfRule type="cellIs" dxfId="1341" priority="19" operator="equal">
      <formula>"WAS"</formula>
    </cfRule>
  </conditionalFormatting>
  <conditionalFormatting sqref="A221">
    <cfRule type="cellIs" dxfId="1340" priority="5668" operator="equal">
      <formula>"BUF"</formula>
    </cfRule>
    <cfRule type="cellIs" dxfId="1339" priority="5667" operator="equal">
      <formula>"PHI"</formula>
    </cfRule>
    <cfRule type="cellIs" dxfId="1338" priority="5666" operator="equal">
      <formula>"BAL"</formula>
    </cfRule>
    <cfRule type="cellIs" dxfId="1337" priority="5645" operator="equal">
      <formula>"TEN"</formula>
    </cfRule>
    <cfRule type="cellIs" dxfId="1336" priority="5646" operator="equal">
      <formula>"TB"</formula>
    </cfRule>
    <cfRule type="cellIs" dxfId="1335" priority="5647" operator="equal">
      <formula>"CLE"</formula>
    </cfRule>
    <cfRule type="cellIs" dxfId="1334" priority="5652" operator="equal">
      <formula>"ATL"</formula>
    </cfRule>
    <cfRule type="cellIs" dxfId="1333" priority="5653" operator="equal">
      <formula>"JAX"</formula>
    </cfRule>
    <cfRule type="cellIs" dxfId="1332" priority="5654" operator="equal">
      <formula>"CHI"</formula>
    </cfRule>
    <cfRule type="cellIs" dxfId="1331" priority="5655" operator="equal">
      <formula>"MIA"</formula>
    </cfRule>
    <cfRule type="cellIs" dxfId="1330" priority="5665" operator="equal">
      <formula>"KC"</formula>
    </cfRule>
    <cfRule type="cellIs" dxfId="1329" priority="5656" operator="equal">
      <formula>"DET"</formula>
    </cfRule>
    <cfRule type="cellIs" dxfId="1328" priority="5658" operator="equal">
      <formula>"WAS"</formula>
    </cfRule>
    <cfRule type="cellIs" dxfId="1327" priority="5657" operator="equal">
      <formula>"SF"</formula>
    </cfRule>
    <cfRule type="cellIs" dxfId="1326" priority="5664" operator="equal">
      <formula>"IND"</formula>
    </cfRule>
    <cfRule type="cellIs" dxfId="1325" priority="5663" operator="equal">
      <formula>"HOU"</formula>
    </cfRule>
    <cfRule type="cellIs" dxfId="1324" priority="5662" operator="equal">
      <formula>"ARI"</formula>
    </cfRule>
    <cfRule type="cellIs" dxfId="1323" priority="5661" operator="equal">
      <formula>"CIN"</formula>
    </cfRule>
    <cfRule type="cellIs" dxfId="1322" priority="5649" operator="equal">
      <formula>"SEA"</formula>
    </cfRule>
    <cfRule type="cellIs" dxfId="1321" priority="5650" operator="equal">
      <formula>"LAC"</formula>
    </cfRule>
    <cfRule type="cellIs" dxfId="1320" priority="5648" operator="equal">
      <formula>"NYJ"</formula>
    </cfRule>
    <cfRule type="cellIs" dxfId="1319" priority="5660" operator="equal">
      <formula>"DAL"</formula>
    </cfRule>
    <cfRule type="cellIs" dxfId="1318" priority="5637" operator="equal">
      <formula>"LV"</formula>
    </cfRule>
    <cfRule type="cellIs" dxfId="1317" priority="5639" operator="equal">
      <formula>"MIN"</formula>
    </cfRule>
    <cfRule type="cellIs" dxfId="1316" priority="5659" operator="equal">
      <formula>"GB"</formula>
    </cfRule>
    <cfRule type="cellIs" dxfId="1315" priority="5651" operator="equal">
      <formula>"LAR"</formula>
    </cfRule>
    <cfRule type="cellIs" dxfId="1314" priority="5642" operator="equal">
      <formula>"CAR"</formula>
    </cfRule>
    <cfRule type="cellIs" dxfId="1313" priority="5643" operator="equal">
      <formula>"NYG"</formula>
    </cfRule>
    <cfRule type="cellIs" dxfId="1312" priority="5641" operator="equal">
      <formula>"DEN"</formula>
    </cfRule>
    <cfRule type="cellIs" dxfId="1311" priority="5640" operator="equal">
      <formula>"PIT"</formula>
    </cfRule>
    <cfRule type="cellIs" dxfId="1310" priority="5644" operator="equal">
      <formula>"NO"</formula>
    </cfRule>
    <cfRule type="cellIs" dxfId="1309" priority="5638" operator="equal">
      <formula>"NE"</formula>
    </cfRule>
  </conditionalFormatting>
  <conditionalFormatting sqref="A223:A240">
    <cfRule type="cellIs" dxfId="1308" priority="1064" operator="equal">
      <formula>"HOU"</formula>
    </cfRule>
    <cfRule type="cellIs" dxfId="1307" priority="1041" operator="equal">
      <formula>"PIT"</formula>
    </cfRule>
    <cfRule type="cellIs" dxfId="1306" priority="1042" operator="equal">
      <formula>"DEN"</formula>
    </cfRule>
    <cfRule type="cellIs" dxfId="1305" priority="1043" operator="equal">
      <formula>"CAR"</formula>
    </cfRule>
    <cfRule type="cellIs" dxfId="1304" priority="1044" operator="equal">
      <formula>"NYG"</formula>
    </cfRule>
    <cfRule type="cellIs" dxfId="1303" priority="1045" operator="equal">
      <formula>"NO"</formula>
    </cfRule>
    <cfRule type="cellIs" dxfId="1302" priority="1046" operator="equal">
      <formula>"TEN"</formula>
    </cfRule>
    <cfRule type="cellIs" dxfId="1301" priority="1047" operator="equal">
      <formula>"TB"</formula>
    </cfRule>
    <cfRule type="cellIs" dxfId="1300" priority="1048" operator="equal">
      <formula>"CLE"</formula>
    </cfRule>
    <cfRule type="cellIs" dxfId="1299" priority="1049" operator="equal">
      <formula>"NYJ"</formula>
    </cfRule>
    <cfRule type="cellIs" dxfId="1298" priority="1050" operator="equal">
      <formula>"SEA"</formula>
    </cfRule>
    <cfRule type="cellIs" dxfId="1297" priority="1066" operator="equal">
      <formula>"KC"</formula>
    </cfRule>
    <cfRule type="cellIs" dxfId="1296" priority="1051" operator="equal">
      <formula>"LAC"</formula>
    </cfRule>
    <cfRule type="cellIs" dxfId="1295" priority="1052" operator="equal">
      <formula>"LAR"</formula>
    </cfRule>
    <cfRule type="cellIs" dxfId="1294" priority="1053" operator="equal">
      <formula>"ATL"</formula>
    </cfRule>
    <cfRule type="cellIs" dxfId="1293" priority="1054" operator="equal">
      <formula>"JAX"</formula>
    </cfRule>
    <cfRule type="cellIs" dxfId="1292" priority="1055" operator="equal">
      <formula>"CHI"</formula>
    </cfRule>
    <cfRule type="cellIs" dxfId="1291" priority="1056" operator="equal">
      <formula>"MIA"</formula>
    </cfRule>
    <cfRule type="cellIs" dxfId="1290" priority="1057" operator="equal">
      <formula>"DET"</formula>
    </cfRule>
    <cfRule type="cellIs" dxfId="1289" priority="1058" operator="equal">
      <formula>"SF"</formula>
    </cfRule>
    <cfRule type="cellIs" dxfId="1288" priority="1059" operator="equal">
      <formula>"WAS"</formula>
    </cfRule>
    <cfRule type="cellIs" dxfId="1287" priority="1060" operator="equal">
      <formula>"GB"</formula>
    </cfRule>
    <cfRule type="cellIs" dxfId="1286" priority="1061" operator="equal">
      <formula>"DAL"</formula>
    </cfRule>
    <cfRule type="cellIs" dxfId="1285" priority="1062" operator="equal">
      <formula>"CIN"</formula>
    </cfRule>
    <cfRule type="cellIs" dxfId="1284" priority="1063" operator="equal">
      <formula>"ARI"</formula>
    </cfRule>
    <cfRule type="cellIs" dxfId="1283" priority="1065" operator="equal">
      <formula>"IND"</formula>
    </cfRule>
    <cfRule type="cellIs" dxfId="1282" priority="1067" operator="equal">
      <formula>"BAL"</formula>
    </cfRule>
    <cfRule type="cellIs" dxfId="1281" priority="1068" operator="equal">
      <formula>"PHI"</formula>
    </cfRule>
    <cfRule type="cellIs" dxfId="1280" priority="1069" operator="equal">
      <formula>"BUF"</formula>
    </cfRule>
    <cfRule type="cellIs" dxfId="1279" priority="1070" operator="equal">
      <formula>"LV"</formula>
    </cfRule>
    <cfRule type="cellIs" dxfId="1278" priority="1071" operator="equal">
      <formula>"NE"</formula>
    </cfRule>
    <cfRule type="cellIs" dxfId="1277" priority="1072" operator="equal">
      <formula>"MIN"</formula>
    </cfRule>
  </conditionalFormatting>
  <conditionalFormatting sqref="A243">
    <cfRule type="cellIs" dxfId="1276" priority="5603" operator="equal">
      <formula>"HOU"</formula>
    </cfRule>
    <cfRule type="cellIs" dxfId="1275" priority="5592" operator="equal">
      <formula>"ATL"</formula>
    </cfRule>
    <cfRule type="cellIs" dxfId="1274" priority="5593" operator="equal">
      <formula>"JAX"</formula>
    </cfRule>
    <cfRule type="cellIs" dxfId="1273" priority="5594" operator="equal">
      <formula>"CHI"</formula>
    </cfRule>
    <cfRule type="cellIs" dxfId="1272" priority="5595" operator="equal">
      <formula>"MIA"</formula>
    </cfRule>
    <cfRule type="cellIs" dxfId="1271" priority="5596" operator="equal">
      <formula>"DET"</formula>
    </cfRule>
    <cfRule type="cellIs" dxfId="1270" priority="5597" operator="equal">
      <formula>"SF"</formula>
    </cfRule>
    <cfRule type="cellIs" dxfId="1269" priority="5598" operator="equal">
      <formula>"WAS"</formula>
    </cfRule>
    <cfRule type="cellIs" dxfId="1268" priority="5599" operator="equal">
      <formula>"GB"</formula>
    </cfRule>
    <cfRule type="cellIs" dxfId="1267" priority="5600" operator="equal">
      <formula>"DAL"</formula>
    </cfRule>
    <cfRule type="cellIs" dxfId="1266" priority="5601" operator="equal">
      <formula>"CIN"</formula>
    </cfRule>
    <cfRule type="cellIs" dxfId="1265" priority="5602" operator="equal">
      <formula>"ARI"</formula>
    </cfRule>
    <cfRule type="cellIs" dxfId="1264" priority="5590" operator="equal">
      <formula>"LAC"</formula>
    </cfRule>
    <cfRule type="cellIs" dxfId="1263" priority="5604" operator="equal">
      <formula>"IND"</formula>
    </cfRule>
    <cfRule type="cellIs" dxfId="1262" priority="5605" operator="equal">
      <formula>"KC"</formula>
    </cfRule>
    <cfRule type="cellIs" dxfId="1261" priority="5606" operator="equal">
      <formula>"BAL"</formula>
    </cfRule>
    <cfRule type="cellIs" dxfId="1260" priority="5607" operator="equal">
      <formula>"PHI"</formula>
    </cfRule>
    <cfRule type="cellIs" dxfId="1259" priority="5608" operator="equal">
      <formula>"BUF"</formula>
    </cfRule>
    <cfRule type="cellIs" dxfId="1258" priority="5589" operator="equal">
      <formula>"SEA"</formula>
    </cfRule>
    <cfRule type="cellIs" dxfId="1257" priority="5588" operator="equal">
      <formula>"NYJ"</formula>
    </cfRule>
    <cfRule type="cellIs" dxfId="1256" priority="5587" operator="equal">
      <formula>"CLE"</formula>
    </cfRule>
    <cfRule type="cellIs" dxfId="1255" priority="5586" operator="equal">
      <formula>"TB"</formula>
    </cfRule>
    <cfRule type="cellIs" dxfId="1254" priority="5585" operator="equal">
      <formula>"TEN"</formula>
    </cfRule>
    <cfRule type="cellIs" dxfId="1253" priority="5584" operator="equal">
      <formula>"NO"</formula>
    </cfRule>
    <cfRule type="cellIs" dxfId="1252" priority="5583" operator="equal">
      <formula>"NYG"</formula>
    </cfRule>
    <cfRule type="cellIs" dxfId="1251" priority="5582" operator="equal">
      <formula>"CAR"</formula>
    </cfRule>
    <cfRule type="cellIs" dxfId="1250" priority="5581" operator="equal">
      <formula>"DEN"</formula>
    </cfRule>
    <cfRule type="cellIs" dxfId="1249" priority="5580" operator="equal">
      <formula>"PIT"</formula>
    </cfRule>
    <cfRule type="cellIs" dxfId="1248" priority="5579" operator="equal">
      <formula>"MIN"</formula>
    </cfRule>
    <cfRule type="cellIs" dxfId="1247" priority="5577" operator="equal">
      <formula>"LV"</formula>
    </cfRule>
    <cfRule type="cellIs" dxfId="1246" priority="5578" operator="equal">
      <formula>"NE"</formula>
    </cfRule>
    <cfRule type="cellIs" dxfId="1245" priority="5591" operator="equal">
      <formula>"LAR"</formula>
    </cfRule>
  </conditionalFormatting>
  <conditionalFormatting sqref="A245:A262">
    <cfRule type="cellIs" dxfId="1244" priority="3600" operator="equal">
      <formula>"DET"</formula>
    </cfRule>
    <cfRule type="cellIs" dxfId="1243" priority="3612" operator="equal">
      <formula>"BUF"</formula>
    </cfRule>
    <cfRule type="cellIs" dxfId="1242" priority="3611" operator="equal">
      <formula>"PHI"</formula>
    </cfRule>
    <cfRule type="cellIs" dxfId="1241" priority="3610" operator="equal">
      <formula>"BAL"</formula>
    </cfRule>
    <cfRule type="cellIs" dxfId="1240" priority="3609" operator="equal">
      <formula>"KC"</formula>
    </cfRule>
    <cfRule type="cellIs" dxfId="1239" priority="3608" operator="equal">
      <formula>"IND"</formula>
    </cfRule>
    <cfRule type="cellIs" dxfId="1238" priority="3607" operator="equal">
      <formula>"HOU"</formula>
    </cfRule>
    <cfRule type="cellIs" dxfId="1237" priority="3606" operator="equal">
      <formula>"ARI"</formula>
    </cfRule>
    <cfRule type="cellIs" dxfId="1236" priority="3605" operator="equal">
      <formula>"CIN"</formula>
    </cfRule>
    <cfRule type="cellIs" dxfId="1235" priority="3604" operator="equal">
      <formula>"DAL"</formula>
    </cfRule>
    <cfRule type="cellIs" dxfId="1234" priority="3603" operator="equal">
      <formula>"GB"</formula>
    </cfRule>
    <cfRule type="cellIs" dxfId="1233" priority="3602" operator="equal">
      <formula>"WAS"</formula>
    </cfRule>
    <cfRule type="cellIs" dxfId="1232" priority="3601" operator="equal">
      <formula>"SF"</formula>
    </cfRule>
    <cfRule type="cellIs" dxfId="1231" priority="3599" operator="equal">
      <formula>"MIA"</formula>
    </cfRule>
    <cfRule type="cellIs" dxfId="1230" priority="3598" operator="equal">
      <formula>"CHI"</formula>
    </cfRule>
    <cfRule type="cellIs" dxfId="1229" priority="3597" operator="equal">
      <formula>"JAX"</formula>
    </cfRule>
    <cfRule type="cellIs" dxfId="1228" priority="3596" operator="equal">
      <formula>"ATL"</formula>
    </cfRule>
    <cfRule type="cellIs" dxfId="1227" priority="3595" operator="equal">
      <formula>"LAR"</formula>
    </cfRule>
    <cfRule type="cellIs" dxfId="1226" priority="3594" operator="equal">
      <formula>"LAC"</formula>
    </cfRule>
    <cfRule type="cellIs" dxfId="1225" priority="3593" operator="equal">
      <formula>"SEA"</formula>
    </cfRule>
    <cfRule type="cellIs" dxfId="1224" priority="3592" operator="equal">
      <formula>"NYJ"</formula>
    </cfRule>
    <cfRule type="cellIs" dxfId="1223" priority="3591" operator="equal">
      <formula>"CLE"</formula>
    </cfRule>
    <cfRule type="cellIs" dxfId="1222" priority="3590" operator="equal">
      <formula>"TB"</formula>
    </cfRule>
    <cfRule type="cellIs" dxfId="1221" priority="3589" operator="equal">
      <formula>"TEN"</formula>
    </cfRule>
    <cfRule type="cellIs" dxfId="1220" priority="3588" operator="equal">
      <formula>"NO"</formula>
    </cfRule>
    <cfRule type="cellIs" dxfId="1219" priority="3587" operator="equal">
      <formula>"NYG"</formula>
    </cfRule>
    <cfRule type="cellIs" dxfId="1218" priority="3586" operator="equal">
      <formula>"CAR"</formula>
    </cfRule>
    <cfRule type="cellIs" dxfId="1217" priority="3585" operator="equal">
      <formula>"DEN"</formula>
    </cfRule>
    <cfRule type="cellIs" dxfId="1216" priority="3584" operator="equal">
      <formula>"PIT"</formula>
    </cfRule>
    <cfRule type="cellIs" dxfId="1215" priority="3583" operator="equal">
      <formula>"MIN"</formula>
    </cfRule>
    <cfRule type="cellIs" dxfId="1214" priority="3582" operator="equal">
      <formula>"NE"</formula>
    </cfRule>
    <cfRule type="cellIs" dxfId="1213" priority="3581" operator="equal">
      <formula>"LV"</formula>
    </cfRule>
  </conditionalFormatting>
  <conditionalFormatting sqref="A265">
    <cfRule type="cellIs" dxfId="1212" priority="5547" operator="equal">
      <formula>"PHI"</formula>
    </cfRule>
    <cfRule type="cellIs" dxfId="1211" priority="5532" operator="equal">
      <formula>"ATL"</formula>
    </cfRule>
    <cfRule type="cellIs" dxfId="1210" priority="5533" operator="equal">
      <formula>"JAX"</formula>
    </cfRule>
    <cfRule type="cellIs" dxfId="1209" priority="5534" operator="equal">
      <formula>"CHI"</formula>
    </cfRule>
    <cfRule type="cellIs" dxfId="1208" priority="5535" operator="equal">
      <formula>"MIA"</formula>
    </cfRule>
    <cfRule type="cellIs" dxfId="1207" priority="5536" operator="equal">
      <formula>"DET"</formula>
    </cfRule>
    <cfRule type="cellIs" dxfId="1206" priority="5537" operator="equal">
      <formula>"SF"</formula>
    </cfRule>
    <cfRule type="cellIs" dxfId="1205" priority="5517" operator="equal">
      <formula>"LV"</formula>
    </cfRule>
    <cfRule type="cellIs" dxfId="1204" priority="5539" operator="equal">
      <formula>"GB"</formula>
    </cfRule>
    <cfRule type="cellIs" dxfId="1203" priority="5540" operator="equal">
      <formula>"DAL"</formula>
    </cfRule>
    <cfRule type="cellIs" dxfId="1202" priority="5541" operator="equal">
      <formula>"CIN"</formula>
    </cfRule>
    <cfRule type="cellIs" dxfId="1201" priority="5542" operator="equal">
      <formula>"ARI"</formula>
    </cfRule>
    <cfRule type="cellIs" dxfId="1200" priority="5543" operator="equal">
      <formula>"HOU"</formula>
    </cfRule>
    <cfRule type="cellIs" dxfId="1199" priority="5544" operator="equal">
      <formula>"IND"</formula>
    </cfRule>
    <cfRule type="cellIs" dxfId="1198" priority="5545" operator="equal">
      <formula>"KC"</formula>
    </cfRule>
    <cfRule type="cellIs" dxfId="1197" priority="5546" operator="equal">
      <formula>"BAL"</formula>
    </cfRule>
    <cfRule type="cellIs" dxfId="1196" priority="5530" operator="equal">
      <formula>"LAC"</formula>
    </cfRule>
    <cfRule type="cellIs" dxfId="1195" priority="5548" operator="equal">
      <formula>"BUF"</formula>
    </cfRule>
    <cfRule type="cellIs" dxfId="1194" priority="5518" operator="equal">
      <formula>"NE"</formula>
    </cfRule>
    <cfRule type="cellIs" dxfId="1193" priority="5531" operator="equal">
      <formula>"LAR"</formula>
    </cfRule>
    <cfRule type="cellIs" dxfId="1192" priority="5519" operator="equal">
      <formula>"MIN"</formula>
    </cfRule>
    <cfRule type="cellIs" dxfId="1191" priority="5520" operator="equal">
      <formula>"PIT"</formula>
    </cfRule>
    <cfRule type="cellIs" dxfId="1190" priority="5521" operator="equal">
      <formula>"DEN"</formula>
    </cfRule>
    <cfRule type="cellIs" dxfId="1189" priority="5522" operator="equal">
      <formula>"CAR"</formula>
    </cfRule>
    <cfRule type="cellIs" dxfId="1188" priority="5523" operator="equal">
      <formula>"NYG"</formula>
    </cfRule>
    <cfRule type="cellIs" dxfId="1187" priority="5524" operator="equal">
      <formula>"NO"</formula>
    </cfRule>
    <cfRule type="cellIs" dxfId="1186" priority="5525" operator="equal">
      <formula>"TEN"</formula>
    </cfRule>
    <cfRule type="cellIs" dxfId="1185" priority="5526" operator="equal">
      <formula>"TB"</formula>
    </cfRule>
    <cfRule type="cellIs" dxfId="1184" priority="5527" operator="equal">
      <formula>"CLE"</formula>
    </cfRule>
    <cfRule type="cellIs" dxfId="1183" priority="5528" operator="equal">
      <formula>"NYJ"</formula>
    </cfRule>
    <cfRule type="cellIs" dxfId="1182" priority="5529" operator="equal">
      <formula>"SEA"</formula>
    </cfRule>
    <cfRule type="cellIs" dxfId="1181" priority="5538" operator="equal">
      <formula>"WAS"</formula>
    </cfRule>
  </conditionalFormatting>
  <conditionalFormatting sqref="A267:A284">
    <cfRule type="cellIs" dxfId="1180" priority="3542" operator="equal">
      <formula>"ARI"</formula>
    </cfRule>
    <cfRule type="cellIs" dxfId="1179" priority="3543" operator="equal">
      <formula>"HOU"</formula>
    </cfRule>
    <cfRule type="cellIs" dxfId="1178" priority="3544" operator="equal">
      <formula>"IND"</formula>
    </cfRule>
    <cfRule type="cellIs" dxfId="1177" priority="3548" operator="equal">
      <formula>"BUF"</formula>
    </cfRule>
    <cfRule type="cellIs" dxfId="1176" priority="3545" operator="equal">
      <formula>"KC"</formula>
    </cfRule>
    <cfRule type="cellIs" dxfId="1175" priority="3546" operator="equal">
      <formula>"BAL"</formula>
    </cfRule>
    <cfRule type="cellIs" dxfId="1174" priority="3547" operator="equal">
      <formula>"PHI"</formula>
    </cfRule>
    <cfRule type="cellIs" dxfId="1173" priority="3517" operator="equal">
      <formula>"LV"</formula>
    </cfRule>
    <cfRule type="cellIs" dxfId="1172" priority="3518" operator="equal">
      <formula>"NE"</formula>
    </cfRule>
    <cfRule type="cellIs" dxfId="1171" priority="3519" operator="equal">
      <formula>"MIN"</formula>
    </cfRule>
    <cfRule type="cellIs" dxfId="1170" priority="3520" operator="equal">
      <formula>"PIT"</formula>
    </cfRule>
    <cfRule type="cellIs" dxfId="1169" priority="3521" operator="equal">
      <formula>"DEN"</formula>
    </cfRule>
    <cfRule type="cellIs" dxfId="1168" priority="3522" operator="equal">
      <formula>"CAR"</formula>
    </cfRule>
    <cfRule type="cellIs" dxfId="1167" priority="3523" operator="equal">
      <formula>"NYG"</formula>
    </cfRule>
    <cfRule type="cellIs" dxfId="1166" priority="3524" operator="equal">
      <formula>"NO"</formula>
    </cfRule>
    <cfRule type="cellIs" dxfId="1165" priority="3525" operator="equal">
      <formula>"TEN"</formula>
    </cfRule>
    <cfRule type="cellIs" dxfId="1164" priority="3526" operator="equal">
      <formula>"TB"</formula>
    </cfRule>
    <cfRule type="cellIs" dxfId="1163" priority="3527" operator="equal">
      <formula>"CLE"</formula>
    </cfRule>
    <cfRule type="cellIs" dxfId="1162" priority="3528" operator="equal">
      <formula>"NYJ"</formula>
    </cfRule>
    <cfRule type="cellIs" dxfId="1161" priority="3529" operator="equal">
      <formula>"SEA"</formula>
    </cfRule>
    <cfRule type="cellIs" dxfId="1160" priority="3530" operator="equal">
      <formula>"LAC"</formula>
    </cfRule>
    <cfRule type="cellIs" dxfId="1159" priority="3531" operator="equal">
      <formula>"LAR"</formula>
    </cfRule>
    <cfRule type="cellIs" dxfId="1158" priority="3532" operator="equal">
      <formula>"ATL"</formula>
    </cfRule>
    <cfRule type="cellIs" dxfId="1157" priority="3533" operator="equal">
      <formula>"JAX"</formula>
    </cfRule>
    <cfRule type="cellIs" dxfId="1156" priority="3534" operator="equal">
      <formula>"CHI"</formula>
    </cfRule>
    <cfRule type="cellIs" dxfId="1155" priority="3535" operator="equal">
      <formula>"MIA"</formula>
    </cfRule>
    <cfRule type="cellIs" dxfId="1154" priority="3536" operator="equal">
      <formula>"DET"</formula>
    </cfRule>
    <cfRule type="cellIs" dxfId="1153" priority="3537" operator="equal">
      <formula>"SF"</formula>
    </cfRule>
    <cfRule type="cellIs" dxfId="1152" priority="3538" operator="equal">
      <formula>"WAS"</formula>
    </cfRule>
    <cfRule type="cellIs" dxfId="1151" priority="3539" operator="equal">
      <formula>"GB"</formula>
    </cfRule>
    <cfRule type="cellIs" dxfId="1150" priority="3540" operator="equal">
      <formula>"DAL"</formula>
    </cfRule>
    <cfRule type="cellIs" dxfId="1149" priority="3541" operator="equal">
      <formula>"CIN"</formula>
    </cfRule>
  </conditionalFormatting>
  <conditionalFormatting sqref="A287">
    <cfRule type="cellIs" dxfId="1148" priority="5467" operator="equal">
      <formula>"CLE"</formula>
    </cfRule>
    <cfRule type="cellIs" dxfId="1147" priority="5466" operator="equal">
      <formula>"TB"</formula>
    </cfRule>
    <cfRule type="cellIs" dxfId="1146" priority="5465" operator="equal">
      <formula>"TEN"</formula>
    </cfRule>
    <cfRule type="cellIs" dxfId="1145" priority="5464" operator="equal">
      <formula>"NO"</formula>
    </cfRule>
    <cfRule type="cellIs" dxfId="1144" priority="5463" operator="equal">
      <formula>"NYG"</formula>
    </cfRule>
    <cfRule type="cellIs" dxfId="1143" priority="5462" operator="equal">
      <formula>"CAR"</formula>
    </cfRule>
    <cfRule type="cellIs" dxfId="1142" priority="5461" operator="equal">
      <formula>"DEN"</formula>
    </cfRule>
    <cfRule type="cellIs" dxfId="1141" priority="5460" operator="equal">
      <formula>"PIT"</formula>
    </cfRule>
    <cfRule type="cellIs" dxfId="1140" priority="5459" operator="equal">
      <formula>"MIN"</formula>
    </cfRule>
    <cfRule type="cellIs" dxfId="1139" priority="5458" operator="equal">
      <formula>"NE"</formula>
    </cfRule>
    <cfRule type="cellIs" dxfId="1138" priority="5457" operator="equal">
      <formula>"LV"</formula>
    </cfRule>
    <cfRule type="cellIs" dxfId="1137" priority="5476" operator="equal">
      <formula>"DET"</formula>
    </cfRule>
    <cfRule type="cellIs" dxfId="1136" priority="5477" operator="equal">
      <formula>"SF"</formula>
    </cfRule>
    <cfRule type="cellIs" dxfId="1135" priority="5478" operator="equal">
      <formula>"WAS"</formula>
    </cfRule>
    <cfRule type="cellIs" dxfId="1134" priority="5479" operator="equal">
      <formula>"GB"</formula>
    </cfRule>
    <cfRule type="cellIs" dxfId="1133" priority="5484" operator="equal">
      <formula>"IND"</formula>
    </cfRule>
    <cfRule type="cellIs" dxfId="1132" priority="5480" operator="equal">
      <formula>"DAL"</formula>
    </cfRule>
    <cfRule type="cellIs" dxfId="1131" priority="5481" operator="equal">
      <formula>"CIN"</formula>
    </cfRule>
    <cfRule type="cellIs" dxfId="1130" priority="5482" operator="equal">
      <formula>"ARI"</formula>
    </cfRule>
    <cfRule type="cellIs" dxfId="1129" priority="5483" operator="equal">
      <formula>"HOU"</formula>
    </cfRule>
    <cfRule type="cellIs" dxfId="1128" priority="5485" operator="equal">
      <formula>"KC"</formula>
    </cfRule>
    <cfRule type="cellIs" dxfId="1127" priority="5486" operator="equal">
      <formula>"BAL"</formula>
    </cfRule>
    <cfRule type="cellIs" dxfId="1126" priority="5487" operator="equal">
      <formula>"PHI"</formula>
    </cfRule>
    <cfRule type="cellIs" dxfId="1125" priority="5488" operator="equal">
      <formula>"BUF"</formula>
    </cfRule>
    <cfRule type="cellIs" dxfId="1124" priority="5471" operator="equal">
      <formula>"LAR"</formula>
    </cfRule>
    <cfRule type="cellIs" dxfId="1123" priority="5468" operator="equal">
      <formula>"NYJ"</formula>
    </cfRule>
    <cfRule type="cellIs" dxfId="1122" priority="5469" operator="equal">
      <formula>"SEA"</formula>
    </cfRule>
    <cfRule type="cellIs" dxfId="1121" priority="5470" operator="equal">
      <formula>"LAC"</formula>
    </cfRule>
    <cfRule type="cellIs" dxfId="1120" priority="5472" operator="equal">
      <formula>"ATL"</formula>
    </cfRule>
    <cfRule type="cellIs" dxfId="1119" priority="5473" operator="equal">
      <formula>"JAX"</formula>
    </cfRule>
    <cfRule type="cellIs" dxfId="1118" priority="5474" operator="equal">
      <formula>"CHI"</formula>
    </cfRule>
    <cfRule type="cellIs" dxfId="1117" priority="5475" operator="equal">
      <formula>"MIA"</formula>
    </cfRule>
  </conditionalFormatting>
  <conditionalFormatting sqref="A289:A306">
    <cfRule type="cellIs" dxfId="1116" priority="2068" operator="equal">
      <formula>"DAL"</formula>
    </cfRule>
    <cfRule type="cellIs" dxfId="1115" priority="2050" operator="equal">
      <formula>"CAR"</formula>
    </cfRule>
    <cfRule type="cellIs" dxfId="1114" priority="2067" operator="equal">
      <formula>"GB"</formula>
    </cfRule>
    <cfRule type="cellIs" dxfId="1113" priority="2066" operator="equal">
      <formula>"WAS"</formula>
    </cfRule>
    <cfRule type="cellIs" dxfId="1112" priority="2065" operator="equal">
      <formula>"SF"</formula>
    </cfRule>
    <cfRule type="cellIs" dxfId="1111" priority="2064" operator="equal">
      <formula>"DET"</formula>
    </cfRule>
    <cfRule type="cellIs" dxfId="1110" priority="3454" operator="equal">
      <formula>"NE"</formula>
    </cfRule>
    <cfRule type="cellIs" dxfId="1109" priority="3453" operator="equal">
      <formula>"LV"</formula>
    </cfRule>
    <cfRule type="cellIs" dxfId="1108" priority="2063" operator="equal">
      <formula>"MIA"</formula>
    </cfRule>
    <cfRule type="cellIs" dxfId="1107" priority="2062" operator="equal">
      <formula>"CHI"</formula>
    </cfRule>
    <cfRule type="cellIs" dxfId="1106" priority="2061" operator="equal">
      <formula>"JAX"</formula>
    </cfRule>
    <cfRule type="cellIs" dxfId="1105" priority="2060" operator="equal">
      <formula>"ATL"</formula>
    </cfRule>
    <cfRule type="cellIs" dxfId="1104" priority="2059" operator="equal">
      <formula>"LAR"</formula>
    </cfRule>
    <cfRule type="cellIs" dxfId="1103" priority="2058" operator="equal">
      <formula>"LAC"</formula>
    </cfRule>
    <cfRule type="cellIs" dxfId="1102" priority="2048" operator="equal">
      <formula>"PIT"</formula>
    </cfRule>
    <cfRule type="cellIs" dxfId="1101" priority="2049" operator="equal">
      <formula>"DEN"</formula>
    </cfRule>
    <cfRule type="cellIs" dxfId="1100" priority="2070" operator="equal">
      <formula>"ARI"</formula>
    </cfRule>
    <cfRule type="cellIs" dxfId="1099" priority="2051" operator="equal">
      <formula>"NYG"</formula>
    </cfRule>
    <cfRule type="cellIs" dxfId="1098" priority="2052" operator="equal">
      <formula>"NO"</formula>
    </cfRule>
    <cfRule type="cellIs" dxfId="1097" priority="2053" operator="equal">
      <formula>"TEN"</formula>
    </cfRule>
    <cfRule type="cellIs" dxfId="1096" priority="2054" operator="equal">
      <formula>"TB"</formula>
    </cfRule>
    <cfRule type="cellIs" dxfId="1095" priority="2055" operator="equal">
      <formula>"CLE"</formula>
    </cfRule>
    <cfRule type="cellIs" dxfId="1094" priority="2056" operator="equal">
      <formula>"NYJ"</formula>
    </cfRule>
    <cfRule type="cellIs" dxfId="1093" priority="3455" operator="equal">
      <formula>"MIN"</formula>
    </cfRule>
    <cfRule type="cellIs" dxfId="1092" priority="2057" operator="equal">
      <formula>"SEA"</formula>
    </cfRule>
    <cfRule type="cellIs" dxfId="1091" priority="2076" operator="equal">
      <formula>"BUF"</formula>
    </cfRule>
    <cfRule type="cellIs" dxfId="1090" priority="2075" operator="equal">
      <formula>"PHI"</formula>
    </cfRule>
    <cfRule type="cellIs" dxfId="1089" priority="2074" operator="equal">
      <formula>"BAL"</formula>
    </cfRule>
    <cfRule type="cellIs" dxfId="1088" priority="2073" operator="equal">
      <formula>"KC"</formula>
    </cfRule>
    <cfRule type="cellIs" dxfId="1087" priority="2072" operator="equal">
      <formula>"IND"</formula>
    </cfRule>
    <cfRule type="cellIs" dxfId="1086" priority="2071" operator="equal">
      <formula>"HOU"</formula>
    </cfRule>
    <cfRule type="cellIs" dxfId="1085" priority="2069" operator="equal">
      <formula>"CIN"</formula>
    </cfRule>
  </conditionalFormatting>
  <conditionalFormatting sqref="A309">
    <cfRule type="cellIs" dxfId="1084" priority="5428" operator="equal">
      <formula>"BUF"</formula>
    </cfRule>
    <cfRule type="cellIs" dxfId="1083" priority="5426" operator="equal">
      <formula>"BAL"</formula>
    </cfRule>
    <cfRule type="cellIs" dxfId="1082" priority="5425" operator="equal">
      <formula>"KC"</formula>
    </cfRule>
    <cfRule type="cellIs" dxfId="1081" priority="5424" operator="equal">
      <formula>"IND"</formula>
    </cfRule>
    <cfRule type="cellIs" dxfId="1080" priority="5423" operator="equal">
      <formula>"HOU"</formula>
    </cfRule>
    <cfRule type="cellIs" dxfId="1079" priority="5422" operator="equal">
      <formula>"ARI"</formula>
    </cfRule>
    <cfRule type="cellIs" dxfId="1078" priority="5421" operator="equal">
      <formula>"CIN"</formula>
    </cfRule>
    <cfRule type="cellIs" dxfId="1077" priority="5420" operator="equal">
      <formula>"DAL"</formula>
    </cfRule>
    <cfRule type="cellIs" dxfId="1076" priority="5419" operator="equal">
      <formula>"GB"</formula>
    </cfRule>
    <cfRule type="cellIs" dxfId="1075" priority="5418" operator="equal">
      <formula>"WAS"</formula>
    </cfRule>
    <cfRule type="cellIs" dxfId="1074" priority="5417" operator="equal">
      <formula>"SF"</formula>
    </cfRule>
    <cfRule type="cellIs" dxfId="1073" priority="5415" operator="equal">
      <formula>"MIA"</formula>
    </cfRule>
    <cfRule type="cellIs" dxfId="1072" priority="5416" operator="equal">
      <formula>"DET"</formula>
    </cfRule>
    <cfRule type="cellIs" dxfId="1071" priority="5397" operator="equal">
      <formula>"LV"</formula>
    </cfRule>
    <cfRule type="cellIs" dxfId="1070" priority="5398" operator="equal">
      <formula>"NE"</formula>
    </cfRule>
    <cfRule type="cellIs" dxfId="1069" priority="5399" operator="equal">
      <formula>"MIN"</formula>
    </cfRule>
    <cfRule type="cellIs" dxfId="1068" priority="5404" operator="equal">
      <formula>"NO"</formula>
    </cfRule>
    <cfRule type="cellIs" dxfId="1067" priority="5400" operator="equal">
      <formula>"PIT"</formula>
    </cfRule>
    <cfRule type="cellIs" dxfId="1066" priority="5401" operator="equal">
      <formula>"DEN"</formula>
    </cfRule>
    <cfRule type="cellIs" dxfId="1065" priority="5427" operator="equal">
      <formula>"PHI"</formula>
    </cfRule>
    <cfRule type="cellIs" dxfId="1064" priority="5402" operator="equal">
      <formula>"CAR"</formula>
    </cfRule>
    <cfRule type="cellIs" dxfId="1063" priority="5403" operator="equal">
      <formula>"NYG"</formula>
    </cfRule>
    <cfRule type="cellIs" dxfId="1062" priority="5405" operator="equal">
      <formula>"TEN"</formula>
    </cfRule>
    <cfRule type="cellIs" dxfId="1061" priority="5406" operator="equal">
      <formula>"TB"</formula>
    </cfRule>
    <cfRule type="cellIs" dxfId="1060" priority="5407" operator="equal">
      <formula>"CLE"</formula>
    </cfRule>
    <cfRule type="cellIs" dxfId="1059" priority="5408" operator="equal">
      <formula>"NYJ"</formula>
    </cfRule>
    <cfRule type="cellIs" dxfId="1058" priority="5410" operator="equal">
      <formula>"LAC"</formula>
    </cfRule>
    <cfRule type="cellIs" dxfId="1057" priority="5411" operator="equal">
      <formula>"LAR"</formula>
    </cfRule>
    <cfRule type="cellIs" dxfId="1056" priority="5412" operator="equal">
      <formula>"ATL"</formula>
    </cfRule>
    <cfRule type="cellIs" dxfId="1055" priority="5413" operator="equal">
      <formula>"JAX"</formula>
    </cfRule>
    <cfRule type="cellIs" dxfId="1054" priority="5409" operator="equal">
      <formula>"SEA"</formula>
    </cfRule>
    <cfRule type="cellIs" dxfId="1053" priority="5414" operator="equal">
      <formula>"CHI"</formula>
    </cfRule>
  </conditionalFormatting>
  <conditionalFormatting sqref="A311:A328">
    <cfRule type="cellIs" dxfId="1052" priority="2039" operator="equal">
      <formula>"HOU"</formula>
    </cfRule>
    <cfRule type="cellIs" dxfId="1051" priority="2040" operator="equal">
      <formula>"IND"</formula>
    </cfRule>
    <cfRule type="cellIs" dxfId="1050" priority="2041" operator="equal">
      <formula>"KC"</formula>
    </cfRule>
    <cfRule type="cellIs" dxfId="1049" priority="2042" operator="equal">
      <formula>"BAL"</formula>
    </cfRule>
    <cfRule type="cellIs" dxfId="1048" priority="2043" operator="equal">
      <formula>"PHI"</formula>
    </cfRule>
    <cfRule type="cellIs" dxfId="1047" priority="2044" operator="equal">
      <formula>"BUF"</formula>
    </cfRule>
    <cfRule type="cellIs" dxfId="1046" priority="3389" operator="equal">
      <formula>"LV"</formula>
    </cfRule>
    <cfRule type="cellIs" dxfId="1045" priority="3390" operator="equal">
      <formula>"NE"</formula>
    </cfRule>
    <cfRule type="cellIs" dxfId="1044" priority="3391" operator="equal">
      <formula>"MIN"</formula>
    </cfRule>
    <cfRule type="cellIs" dxfId="1043" priority="2016" operator="equal">
      <formula>"PIT"</formula>
    </cfRule>
    <cfRule type="cellIs" dxfId="1042" priority="2017" operator="equal">
      <formula>"DEN"</formula>
    </cfRule>
    <cfRule type="cellIs" dxfId="1041" priority="2018" operator="equal">
      <formula>"CAR"</formula>
    </cfRule>
    <cfRule type="cellIs" dxfId="1040" priority="2019" operator="equal">
      <formula>"NYG"</formula>
    </cfRule>
    <cfRule type="cellIs" dxfId="1039" priority="2020" operator="equal">
      <formula>"NO"</formula>
    </cfRule>
    <cfRule type="cellIs" dxfId="1038" priority="2021" operator="equal">
      <formula>"TEN"</formula>
    </cfRule>
    <cfRule type="cellIs" dxfId="1037" priority="2022" operator="equal">
      <formula>"TB"</formula>
    </cfRule>
    <cfRule type="cellIs" dxfId="1036" priority="2023" operator="equal">
      <formula>"CLE"</formula>
    </cfRule>
    <cfRule type="cellIs" dxfId="1035" priority="2024" operator="equal">
      <formula>"NYJ"</formula>
    </cfRule>
    <cfRule type="cellIs" dxfId="1034" priority="2025" operator="equal">
      <formula>"SEA"</formula>
    </cfRule>
    <cfRule type="cellIs" dxfId="1033" priority="2026" operator="equal">
      <formula>"LAC"</formula>
    </cfRule>
    <cfRule type="cellIs" dxfId="1032" priority="2027" operator="equal">
      <formula>"LAR"</formula>
    </cfRule>
    <cfRule type="cellIs" dxfId="1031" priority="2028" operator="equal">
      <formula>"ATL"</formula>
    </cfRule>
    <cfRule type="cellIs" dxfId="1030" priority="2029" operator="equal">
      <formula>"JAX"</formula>
    </cfRule>
    <cfRule type="cellIs" dxfId="1029" priority="2030" operator="equal">
      <formula>"CHI"</formula>
    </cfRule>
    <cfRule type="cellIs" dxfId="1028" priority="2031" operator="equal">
      <formula>"MIA"</formula>
    </cfRule>
    <cfRule type="cellIs" dxfId="1027" priority="2032" operator="equal">
      <formula>"DET"</formula>
    </cfRule>
    <cfRule type="cellIs" dxfId="1026" priority="2033" operator="equal">
      <formula>"SF"</formula>
    </cfRule>
    <cfRule type="cellIs" dxfId="1025" priority="2034" operator="equal">
      <formula>"WAS"</formula>
    </cfRule>
    <cfRule type="cellIs" dxfId="1024" priority="2035" operator="equal">
      <formula>"GB"</formula>
    </cfRule>
    <cfRule type="cellIs" dxfId="1023" priority="2036" operator="equal">
      <formula>"DAL"</formula>
    </cfRule>
    <cfRule type="cellIs" dxfId="1022" priority="2037" operator="equal">
      <formula>"CIN"</formula>
    </cfRule>
    <cfRule type="cellIs" dxfId="1021" priority="2038" operator="equal">
      <formula>"ARI"</formula>
    </cfRule>
  </conditionalFormatting>
  <conditionalFormatting sqref="A331">
    <cfRule type="cellIs" dxfId="1020" priority="5345" operator="equal">
      <formula>"TEN"</formula>
    </cfRule>
    <cfRule type="cellIs" dxfId="1019" priority="5347" operator="equal">
      <formula>"CLE"</formula>
    </cfRule>
    <cfRule type="cellIs" dxfId="1018" priority="5348" operator="equal">
      <formula>"NYJ"</formula>
    </cfRule>
    <cfRule type="cellIs" dxfId="1017" priority="5337" operator="equal">
      <formula>"LV"</formula>
    </cfRule>
    <cfRule type="cellIs" dxfId="1016" priority="5338" operator="equal">
      <formula>"NE"</formula>
    </cfRule>
    <cfRule type="cellIs" dxfId="1015" priority="5339" operator="equal">
      <formula>"MIN"</formula>
    </cfRule>
    <cfRule type="cellIs" dxfId="1014" priority="5340" operator="equal">
      <formula>"PIT"</formula>
    </cfRule>
    <cfRule type="cellIs" dxfId="1013" priority="5349" operator="equal">
      <formula>"SEA"</formula>
    </cfRule>
    <cfRule type="cellIs" dxfId="1012" priority="5354" operator="equal">
      <formula>"CHI"</formula>
    </cfRule>
    <cfRule type="cellIs" dxfId="1011" priority="5353" operator="equal">
      <formula>"JAX"</formula>
    </cfRule>
    <cfRule type="cellIs" dxfId="1010" priority="5350" operator="equal">
      <formula>"LAC"</formula>
    </cfRule>
    <cfRule type="cellIs" dxfId="1009" priority="5360" operator="equal">
      <formula>"DAL"</formula>
    </cfRule>
    <cfRule type="cellIs" dxfId="1008" priority="5361" operator="equal">
      <formula>"CIN"</formula>
    </cfRule>
    <cfRule type="cellIs" dxfId="1007" priority="5362" operator="equal">
      <formula>"ARI"</formula>
    </cfRule>
    <cfRule type="cellIs" dxfId="1006" priority="5341" operator="equal">
      <formula>"DEN"</formula>
    </cfRule>
    <cfRule type="cellIs" dxfId="1005" priority="5363" operator="equal">
      <formula>"HOU"</formula>
    </cfRule>
    <cfRule type="cellIs" dxfId="1004" priority="5351" operator="equal">
      <formula>"LAR"</formula>
    </cfRule>
    <cfRule type="cellIs" dxfId="1003" priority="5342" operator="equal">
      <formula>"CAR"</formula>
    </cfRule>
    <cfRule type="cellIs" dxfId="1002" priority="5343" operator="equal">
      <formula>"NYG"</formula>
    </cfRule>
    <cfRule type="cellIs" dxfId="1001" priority="5364" operator="equal">
      <formula>"IND"</formula>
    </cfRule>
    <cfRule type="cellIs" dxfId="1000" priority="5359" operator="equal">
      <formula>"GB"</formula>
    </cfRule>
    <cfRule type="cellIs" dxfId="999" priority="5358" operator="equal">
      <formula>"WAS"</formula>
    </cfRule>
    <cfRule type="cellIs" dxfId="998" priority="5357" operator="equal">
      <formula>"SF"</formula>
    </cfRule>
    <cfRule type="cellIs" dxfId="997" priority="5356" operator="equal">
      <formula>"DET"</formula>
    </cfRule>
    <cfRule type="cellIs" dxfId="996" priority="5355" operator="equal">
      <formula>"MIA"</formula>
    </cfRule>
    <cfRule type="cellIs" dxfId="995" priority="5365" operator="equal">
      <formula>"KC"</formula>
    </cfRule>
    <cfRule type="cellIs" dxfId="994" priority="5366" operator="equal">
      <formula>"BAL"</formula>
    </cfRule>
    <cfRule type="cellIs" dxfId="993" priority="5367" operator="equal">
      <formula>"PHI"</formula>
    </cfRule>
    <cfRule type="cellIs" dxfId="992" priority="5368" operator="equal">
      <formula>"BUF"</formula>
    </cfRule>
    <cfRule type="cellIs" dxfId="991" priority="5352" operator="equal">
      <formula>"ATL"</formula>
    </cfRule>
    <cfRule type="cellIs" dxfId="990" priority="5344" operator="equal">
      <formula>"NO"</formula>
    </cfRule>
    <cfRule type="cellIs" dxfId="989" priority="5346" operator="equal">
      <formula>"TB"</formula>
    </cfRule>
  </conditionalFormatting>
  <conditionalFormatting sqref="A353">
    <cfRule type="cellIs" dxfId="988" priority="5295" operator="equal">
      <formula>"MIA"</formula>
    </cfRule>
    <cfRule type="cellIs" dxfId="987" priority="5305" operator="equal">
      <formula>"KC"</formula>
    </cfRule>
    <cfRule type="cellIs" dxfId="986" priority="5306" operator="equal">
      <formula>"BAL"</formula>
    </cfRule>
    <cfRule type="cellIs" dxfId="985" priority="5283" operator="equal">
      <formula>"NYG"</formula>
    </cfRule>
    <cfRule type="cellIs" dxfId="984" priority="5277" operator="equal">
      <formula>"LV"</formula>
    </cfRule>
    <cfRule type="cellIs" dxfId="983" priority="5278" operator="equal">
      <formula>"NE"</formula>
    </cfRule>
    <cfRule type="cellIs" dxfId="982" priority="5279" operator="equal">
      <formula>"MIN"</formula>
    </cfRule>
    <cfRule type="cellIs" dxfId="981" priority="5280" operator="equal">
      <formula>"PIT"</formula>
    </cfRule>
    <cfRule type="cellIs" dxfId="980" priority="5281" operator="equal">
      <formula>"DEN"</formula>
    </cfRule>
    <cfRule type="cellIs" dxfId="979" priority="5282" operator="equal">
      <formula>"CAR"</formula>
    </cfRule>
    <cfRule type="cellIs" dxfId="978" priority="5294" operator="equal">
      <formula>"CHI"</formula>
    </cfRule>
    <cfRule type="cellIs" dxfId="977" priority="5284" operator="equal">
      <formula>"NO"</formula>
    </cfRule>
    <cfRule type="cellIs" dxfId="976" priority="5285" operator="equal">
      <formula>"TEN"</formula>
    </cfRule>
    <cfRule type="cellIs" dxfId="975" priority="5286" operator="equal">
      <formula>"TB"</formula>
    </cfRule>
    <cfRule type="cellIs" dxfId="974" priority="5287" operator="equal">
      <formula>"CLE"</formula>
    </cfRule>
    <cfRule type="cellIs" dxfId="973" priority="5288" operator="equal">
      <formula>"NYJ"</formula>
    </cfRule>
    <cfRule type="cellIs" dxfId="972" priority="5296" operator="equal">
      <formula>"DET"</formula>
    </cfRule>
    <cfRule type="cellIs" dxfId="971" priority="5297" operator="equal">
      <formula>"SF"</formula>
    </cfRule>
    <cfRule type="cellIs" dxfId="970" priority="5298" operator="equal">
      <formula>"WAS"</formula>
    </cfRule>
    <cfRule type="cellIs" dxfId="969" priority="5299" operator="equal">
      <formula>"GB"</formula>
    </cfRule>
    <cfRule type="cellIs" dxfId="968" priority="5300" operator="equal">
      <formula>"DAL"</formula>
    </cfRule>
    <cfRule type="cellIs" dxfId="967" priority="5301" operator="equal">
      <formula>"CIN"</formula>
    </cfRule>
    <cfRule type="cellIs" dxfId="966" priority="5302" operator="equal">
      <formula>"ARI"</formula>
    </cfRule>
    <cfRule type="cellIs" dxfId="965" priority="5303" operator="equal">
      <formula>"HOU"</formula>
    </cfRule>
    <cfRule type="cellIs" dxfId="964" priority="5304" operator="equal">
      <formula>"IND"</formula>
    </cfRule>
    <cfRule type="cellIs" dxfId="963" priority="5289" operator="equal">
      <formula>"SEA"</formula>
    </cfRule>
    <cfRule type="cellIs" dxfId="962" priority="5307" operator="equal">
      <formula>"PHI"</formula>
    </cfRule>
    <cfRule type="cellIs" dxfId="961" priority="5308" operator="equal">
      <formula>"BUF"</formula>
    </cfRule>
    <cfRule type="cellIs" dxfId="960" priority="5290" operator="equal">
      <formula>"LAC"</formula>
    </cfRule>
    <cfRule type="cellIs" dxfId="959" priority="5291" operator="equal">
      <formula>"LAR"</formula>
    </cfRule>
    <cfRule type="cellIs" dxfId="958" priority="5292" operator="equal">
      <formula>"ATL"</formula>
    </cfRule>
    <cfRule type="cellIs" dxfId="957" priority="5293" operator="equal">
      <formula>"JAX"</formula>
    </cfRule>
  </conditionalFormatting>
  <conditionalFormatting sqref="A355:A372">
    <cfRule type="cellIs" dxfId="956" priority="3266" operator="equal">
      <formula>"CAR"</formula>
    </cfRule>
    <cfRule type="cellIs" dxfId="955" priority="3268" operator="equal">
      <formula>"NO"</formula>
    </cfRule>
    <cfRule type="cellIs" dxfId="954" priority="3261" operator="equal">
      <formula>"LV"</formula>
    </cfRule>
    <cfRule type="cellIs" dxfId="953" priority="3269" operator="equal">
      <formula>"TEN"</formula>
    </cfRule>
    <cfRule type="cellIs" dxfId="952" priority="3291" operator="equal">
      <formula>"PHI"</formula>
    </cfRule>
    <cfRule type="cellIs" dxfId="951" priority="3274" operator="equal">
      <formula>"LAC"</formula>
    </cfRule>
    <cfRule type="cellIs" dxfId="950" priority="3267" operator="equal">
      <formula>"NYG"</formula>
    </cfRule>
    <cfRule type="cellIs" dxfId="949" priority="3275" operator="equal">
      <formula>"LAR"</formula>
    </cfRule>
    <cfRule type="cellIs" dxfId="948" priority="3276" operator="equal">
      <formula>"ATL"</formula>
    </cfRule>
    <cfRule type="cellIs" dxfId="947" priority="3277" operator="equal">
      <formula>"JAX"</formula>
    </cfRule>
    <cfRule type="cellIs" dxfId="946" priority="3278" operator="equal">
      <formula>"CHI"</formula>
    </cfRule>
    <cfRule type="cellIs" dxfId="945" priority="3279" operator="equal">
      <formula>"MIA"</formula>
    </cfRule>
    <cfRule type="cellIs" dxfId="944" priority="3292" operator="equal">
      <formula>"BUF"</formula>
    </cfRule>
    <cfRule type="cellIs" dxfId="943" priority="3284" operator="equal">
      <formula>"DAL"</formula>
    </cfRule>
    <cfRule type="cellIs" dxfId="942" priority="3287" operator="equal">
      <formula>"HOU"</formula>
    </cfRule>
    <cfRule type="cellIs" dxfId="941" priority="3272" operator="equal">
      <formula>"NYJ"</formula>
    </cfRule>
    <cfRule type="cellIs" dxfId="940" priority="3271" operator="equal">
      <formula>"CLE"</formula>
    </cfRule>
    <cfRule type="cellIs" dxfId="939" priority="3270" operator="equal">
      <formula>"TB"</formula>
    </cfRule>
    <cfRule type="cellIs" dxfId="938" priority="3280" operator="equal">
      <formula>"DET"</formula>
    </cfRule>
    <cfRule type="cellIs" dxfId="937" priority="3281" operator="equal">
      <formula>"SF"</formula>
    </cfRule>
    <cfRule type="cellIs" dxfId="936" priority="3282" operator="equal">
      <formula>"WAS"</formula>
    </cfRule>
    <cfRule type="cellIs" dxfId="935" priority="3283" operator="equal">
      <formula>"GB"</formula>
    </cfRule>
    <cfRule type="cellIs" dxfId="934" priority="3286" operator="equal">
      <formula>"ARI"</formula>
    </cfRule>
    <cfRule type="cellIs" dxfId="933" priority="3285" operator="equal">
      <formula>"CIN"</formula>
    </cfRule>
    <cfRule type="cellIs" dxfId="932" priority="3273" operator="equal">
      <formula>"SEA"</formula>
    </cfRule>
    <cfRule type="cellIs" dxfId="931" priority="3288" operator="equal">
      <formula>"IND"</formula>
    </cfRule>
    <cfRule type="cellIs" dxfId="930" priority="3262" operator="equal">
      <formula>"NE"</formula>
    </cfRule>
    <cfRule type="cellIs" dxfId="929" priority="3263" operator="equal">
      <formula>"MIN"</formula>
    </cfRule>
    <cfRule type="cellIs" dxfId="928" priority="3264" operator="equal">
      <formula>"PIT"</formula>
    </cfRule>
    <cfRule type="cellIs" dxfId="927" priority="3265" operator="equal">
      <formula>"DEN"</formula>
    </cfRule>
    <cfRule type="cellIs" dxfId="926" priority="3289" operator="equal">
      <formula>"KC"</formula>
    </cfRule>
    <cfRule type="cellIs" dxfId="925" priority="3290" operator="equal">
      <formula>"BAL"</formula>
    </cfRule>
  </conditionalFormatting>
  <conditionalFormatting sqref="A375">
    <cfRule type="cellIs" dxfId="924" priority="5231" operator="equal">
      <formula>"LAR"</formula>
    </cfRule>
    <cfRule type="cellIs" dxfId="923" priority="5247" operator="equal">
      <formula>"PHI"</formula>
    </cfRule>
    <cfRule type="cellIs" dxfId="922" priority="5248" operator="equal">
      <formula>"BUF"</formula>
    </cfRule>
    <cfRule type="cellIs" dxfId="921" priority="5230" operator="equal">
      <formula>"LAC"</formula>
    </cfRule>
    <cfRule type="cellIs" dxfId="920" priority="5229" operator="equal">
      <formula>"SEA"</formula>
    </cfRule>
    <cfRule type="cellIs" dxfId="919" priority="5228" operator="equal">
      <formula>"NYJ"</formula>
    </cfRule>
    <cfRule type="cellIs" dxfId="918" priority="5227" operator="equal">
      <formula>"CLE"</formula>
    </cfRule>
    <cfRule type="cellIs" dxfId="917" priority="5226" operator="equal">
      <formula>"TB"</formula>
    </cfRule>
    <cfRule type="cellIs" dxfId="916" priority="5246" operator="equal">
      <formula>"BAL"</formula>
    </cfRule>
    <cfRule type="cellIs" dxfId="915" priority="5225" operator="equal">
      <formula>"TEN"</formula>
    </cfRule>
    <cfRule type="cellIs" dxfId="914" priority="5224" operator="equal">
      <formula>"NO"</formula>
    </cfRule>
    <cfRule type="cellIs" dxfId="913" priority="5222" operator="equal">
      <formula>"CAR"</formula>
    </cfRule>
    <cfRule type="cellIs" dxfId="912" priority="5221" operator="equal">
      <formula>"DEN"</formula>
    </cfRule>
    <cfRule type="cellIs" dxfId="911" priority="5220" operator="equal">
      <formula>"PIT"</formula>
    </cfRule>
    <cfRule type="cellIs" dxfId="910" priority="5219" operator="equal">
      <formula>"MIN"</formula>
    </cfRule>
    <cfRule type="cellIs" dxfId="909" priority="5218" operator="equal">
      <formula>"NE"</formula>
    </cfRule>
    <cfRule type="cellIs" dxfId="908" priority="5217" operator="equal">
      <formula>"LV"</formula>
    </cfRule>
    <cfRule type="cellIs" dxfId="907" priority="5232" operator="equal">
      <formula>"ATL"</formula>
    </cfRule>
    <cfRule type="cellIs" dxfId="906" priority="5223" operator="equal">
      <formula>"NYG"</formula>
    </cfRule>
    <cfRule type="cellIs" dxfId="905" priority="5234" operator="equal">
      <formula>"CHI"</formula>
    </cfRule>
    <cfRule type="cellIs" dxfId="904" priority="5235" operator="equal">
      <formula>"MIA"</formula>
    </cfRule>
    <cfRule type="cellIs" dxfId="903" priority="5236" operator="equal">
      <formula>"DET"</formula>
    </cfRule>
    <cfRule type="cellIs" dxfId="902" priority="5237" operator="equal">
      <formula>"SF"</formula>
    </cfRule>
    <cfRule type="cellIs" dxfId="901" priority="5238" operator="equal">
      <formula>"WAS"</formula>
    </cfRule>
    <cfRule type="cellIs" dxfId="900" priority="5239" operator="equal">
      <formula>"GB"</formula>
    </cfRule>
    <cfRule type="cellIs" dxfId="899" priority="5240" operator="equal">
      <formula>"DAL"</formula>
    </cfRule>
    <cfRule type="cellIs" dxfId="898" priority="5241" operator="equal">
      <formula>"CIN"</formula>
    </cfRule>
    <cfRule type="cellIs" dxfId="897" priority="5242" operator="equal">
      <formula>"ARI"</formula>
    </cfRule>
    <cfRule type="cellIs" dxfId="896" priority="5243" operator="equal">
      <formula>"HOU"</formula>
    </cfRule>
    <cfRule type="cellIs" dxfId="895" priority="5244" operator="equal">
      <formula>"IND"</formula>
    </cfRule>
    <cfRule type="cellIs" dxfId="894" priority="5233" operator="equal">
      <formula>"JAX"</formula>
    </cfRule>
    <cfRule type="cellIs" dxfId="893" priority="5245" operator="equal">
      <formula>"KC"</formula>
    </cfRule>
  </conditionalFormatting>
  <conditionalFormatting sqref="A397">
    <cfRule type="cellIs" dxfId="892" priority="5188" operator="equal">
      <formula>"BUF"</formula>
    </cfRule>
    <cfRule type="cellIs" dxfId="891" priority="5187" operator="equal">
      <formula>"PHI"</formula>
    </cfRule>
    <cfRule type="cellIs" dxfId="890" priority="5186" operator="equal">
      <formula>"BAL"</formula>
    </cfRule>
    <cfRule type="cellIs" dxfId="889" priority="5185" operator="equal">
      <formula>"KC"</formula>
    </cfRule>
    <cfRule type="cellIs" dxfId="888" priority="5161" operator="equal">
      <formula>"DEN"</formula>
    </cfRule>
    <cfRule type="cellIs" dxfId="887" priority="5160" operator="equal">
      <formula>"PIT"</formula>
    </cfRule>
    <cfRule type="cellIs" dxfId="886" priority="5159" operator="equal">
      <formula>"MIN"</formula>
    </cfRule>
    <cfRule type="cellIs" dxfId="885" priority="5158" operator="equal">
      <formula>"NE"</formula>
    </cfRule>
    <cfRule type="cellIs" dxfId="884" priority="5157" operator="equal">
      <formula>"LV"</formula>
    </cfRule>
    <cfRule type="cellIs" dxfId="883" priority="5164" operator="equal">
      <formula>"NO"</formula>
    </cfRule>
    <cfRule type="cellIs" dxfId="882" priority="5163" operator="equal">
      <formula>"NYG"</formula>
    </cfRule>
    <cfRule type="cellIs" dxfId="881" priority="5184" operator="equal">
      <formula>"IND"</formula>
    </cfRule>
    <cfRule type="cellIs" dxfId="880" priority="5183" operator="equal">
      <formula>"HOU"</formula>
    </cfRule>
    <cfRule type="cellIs" dxfId="879" priority="5182" operator="equal">
      <formula>"ARI"</formula>
    </cfRule>
    <cfRule type="cellIs" dxfId="878" priority="5181" operator="equal">
      <formula>"CIN"</formula>
    </cfRule>
    <cfRule type="cellIs" dxfId="877" priority="5180" operator="equal">
      <formula>"DAL"</formula>
    </cfRule>
    <cfRule type="cellIs" dxfId="876" priority="5179" operator="equal">
      <formula>"GB"</formula>
    </cfRule>
    <cfRule type="cellIs" dxfId="875" priority="5178" operator="equal">
      <formula>"WAS"</formula>
    </cfRule>
    <cfRule type="cellIs" dxfId="874" priority="5177" operator="equal">
      <formula>"SF"</formula>
    </cfRule>
    <cfRule type="cellIs" dxfId="873" priority="5176" operator="equal">
      <formula>"DET"</formula>
    </cfRule>
    <cfRule type="cellIs" dxfId="872" priority="5175" operator="equal">
      <formula>"MIA"</formula>
    </cfRule>
    <cfRule type="cellIs" dxfId="871" priority="5174" operator="equal">
      <formula>"CHI"</formula>
    </cfRule>
    <cfRule type="cellIs" dxfId="870" priority="5173" operator="equal">
      <formula>"JAX"</formula>
    </cfRule>
    <cfRule type="cellIs" dxfId="869" priority="5172" operator="equal">
      <formula>"ATL"</formula>
    </cfRule>
    <cfRule type="cellIs" dxfId="868" priority="5171" operator="equal">
      <formula>"LAR"</formula>
    </cfRule>
    <cfRule type="cellIs" dxfId="867" priority="5170" operator="equal">
      <formula>"LAC"</formula>
    </cfRule>
    <cfRule type="cellIs" dxfId="866" priority="5169" operator="equal">
      <formula>"SEA"</formula>
    </cfRule>
    <cfRule type="cellIs" dxfId="865" priority="5168" operator="equal">
      <formula>"NYJ"</formula>
    </cfRule>
    <cfRule type="cellIs" dxfId="864" priority="5167" operator="equal">
      <formula>"CLE"</formula>
    </cfRule>
    <cfRule type="cellIs" dxfId="863" priority="5166" operator="equal">
      <formula>"TB"</formula>
    </cfRule>
    <cfRule type="cellIs" dxfId="862" priority="5165" operator="equal">
      <formula>"TEN"</formula>
    </cfRule>
    <cfRule type="cellIs" dxfId="861" priority="5162" operator="equal">
      <formula>"CAR"</formula>
    </cfRule>
  </conditionalFormatting>
  <conditionalFormatting sqref="A399:A416">
    <cfRule type="cellIs" dxfId="860" priority="1987" operator="equal">
      <formula>"NYG"</formula>
    </cfRule>
    <cfRule type="cellIs" dxfId="859" priority="2003" operator="equal">
      <formula>"GB"</formula>
    </cfRule>
    <cfRule type="cellIs" dxfId="858" priority="2002" operator="equal">
      <formula>"WAS"</formula>
    </cfRule>
    <cfRule type="cellIs" dxfId="857" priority="1989" operator="equal">
      <formula>"TEN"</formula>
    </cfRule>
    <cfRule type="cellIs" dxfId="856" priority="3135" operator="equal">
      <formula>"MIN"</formula>
    </cfRule>
    <cfRule type="cellIs" dxfId="855" priority="3134" operator="equal">
      <formula>"NE"</formula>
    </cfRule>
    <cfRule type="cellIs" dxfId="854" priority="3133" operator="equal">
      <formula>"LV"</formula>
    </cfRule>
    <cfRule type="cellIs" dxfId="853" priority="2012" operator="equal">
      <formula>"BUF"</formula>
    </cfRule>
    <cfRule type="cellIs" dxfId="852" priority="2011" operator="equal">
      <formula>"PHI"</formula>
    </cfRule>
    <cfRule type="cellIs" dxfId="851" priority="2010" operator="equal">
      <formula>"BAL"</formula>
    </cfRule>
    <cfRule type="cellIs" dxfId="850" priority="2009" operator="equal">
      <formula>"KC"</formula>
    </cfRule>
    <cfRule type="cellIs" dxfId="849" priority="2008" operator="equal">
      <formula>"IND"</formula>
    </cfRule>
    <cfRule type="cellIs" dxfId="848" priority="1986" operator="equal">
      <formula>"CAR"</formula>
    </cfRule>
    <cfRule type="cellIs" dxfId="847" priority="2007" operator="equal">
      <formula>"HOU"</formula>
    </cfRule>
    <cfRule type="cellIs" dxfId="846" priority="1990" operator="equal">
      <formula>"TB"</formula>
    </cfRule>
    <cfRule type="cellIs" dxfId="845" priority="1991" operator="equal">
      <formula>"CLE"</formula>
    </cfRule>
    <cfRule type="cellIs" dxfId="844" priority="1992" operator="equal">
      <formula>"NYJ"</formula>
    </cfRule>
    <cfRule type="cellIs" dxfId="843" priority="1993" operator="equal">
      <formula>"SEA"</formula>
    </cfRule>
    <cfRule type="cellIs" dxfId="842" priority="1994" operator="equal">
      <formula>"LAC"</formula>
    </cfRule>
    <cfRule type="cellIs" dxfId="841" priority="1995" operator="equal">
      <formula>"LAR"</formula>
    </cfRule>
    <cfRule type="cellIs" dxfId="840" priority="1996" operator="equal">
      <formula>"ATL"</formula>
    </cfRule>
    <cfRule type="cellIs" dxfId="839" priority="1997" operator="equal">
      <formula>"JAX"</formula>
    </cfRule>
    <cfRule type="cellIs" dxfId="838" priority="1998" operator="equal">
      <formula>"CHI"</formula>
    </cfRule>
    <cfRule type="cellIs" dxfId="837" priority="2001" operator="equal">
      <formula>"SF"</formula>
    </cfRule>
    <cfRule type="cellIs" dxfId="836" priority="2006" operator="equal">
      <formula>"ARI"</formula>
    </cfRule>
    <cfRule type="cellIs" dxfId="835" priority="2000" operator="equal">
      <formula>"DET"</formula>
    </cfRule>
    <cfRule type="cellIs" dxfId="834" priority="1999" operator="equal">
      <formula>"MIA"</formula>
    </cfRule>
    <cfRule type="cellIs" dxfId="833" priority="2005" operator="equal">
      <formula>"CIN"</formula>
    </cfRule>
    <cfRule type="cellIs" dxfId="832" priority="2004" operator="equal">
      <formula>"DAL"</formula>
    </cfRule>
    <cfRule type="cellIs" dxfId="831" priority="1984" operator="equal">
      <formula>"PIT"</formula>
    </cfRule>
    <cfRule type="cellIs" dxfId="830" priority="1985" operator="equal">
      <formula>"DEN"</formula>
    </cfRule>
    <cfRule type="cellIs" dxfId="829" priority="1988" operator="equal">
      <formula>"NO"</formula>
    </cfRule>
  </conditionalFormatting>
  <conditionalFormatting sqref="A419">
    <cfRule type="cellIs" dxfId="828" priority="5115" operator="equal">
      <formula>"MIA"</formula>
    </cfRule>
    <cfRule type="cellIs" dxfId="827" priority="5098" operator="equal">
      <formula>"NE"</formula>
    </cfRule>
    <cfRule type="cellIs" dxfId="826" priority="5097" operator="equal">
      <formula>"LV"</formula>
    </cfRule>
    <cfRule type="cellIs" dxfId="825" priority="5103" operator="equal">
      <formula>"NYG"</formula>
    </cfRule>
    <cfRule type="cellIs" dxfId="824" priority="5128" operator="equal">
      <formula>"BUF"</formula>
    </cfRule>
    <cfRule type="cellIs" dxfId="823" priority="5127" operator="equal">
      <formula>"PHI"</formula>
    </cfRule>
    <cfRule type="cellIs" dxfId="822" priority="5126" operator="equal">
      <formula>"BAL"</formula>
    </cfRule>
    <cfRule type="cellIs" dxfId="821" priority="5125" operator="equal">
      <formula>"KC"</formula>
    </cfRule>
    <cfRule type="cellIs" dxfId="820" priority="5124" operator="equal">
      <formula>"IND"</formula>
    </cfRule>
    <cfRule type="cellIs" dxfId="819" priority="5123" operator="equal">
      <formula>"HOU"</formula>
    </cfRule>
    <cfRule type="cellIs" dxfId="818" priority="5122" operator="equal">
      <formula>"ARI"</formula>
    </cfRule>
    <cfRule type="cellIs" dxfId="817" priority="5121" operator="equal">
      <formula>"CIN"</formula>
    </cfRule>
    <cfRule type="cellIs" dxfId="816" priority="5120" operator="equal">
      <formula>"DAL"</formula>
    </cfRule>
    <cfRule type="cellIs" dxfId="815" priority="5119" operator="equal">
      <formula>"GB"</formula>
    </cfRule>
    <cfRule type="cellIs" dxfId="814" priority="5117" operator="equal">
      <formula>"SF"</formula>
    </cfRule>
    <cfRule type="cellIs" dxfId="813" priority="5116" operator="equal">
      <formula>"DET"</formula>
    </cfRule>
    <cfRule type="cellIs" dxfId="812" priority="5118" operator="equal">
      <formula>"WAS"</formula>
    </cfRule>
    <cfRule type="cellIs" dxfId="811" priority="5114" operator="equal">
      <formula>"CHI"</formula>
    </cfRule>
    <cfRule type="cellIs" dxfId="810" priority="5113" operator="equal">
      <formula>"JAX"</formula>
    </cfRule>
    <cfRule type="cellIs" dxfId="809" priority="5111" operator="equal">
      <formula>"LAR"</formula>
    </cfRule>
    <cfRule type="cellIs" dxfId="808" priority="5110" operator="equal">
      <formula>"LAC"</formula>
    </cfRule>
    <cfRule type="cellIs" dxfId="807" priority="5109" operator="equal">
      <formula>"SEA"</formula>
    </cfRule>
    <cfRule type="cellIs" dxfId="806" priority="5108" operator="equal">
      <formula>"NYJ"</formula>
    </cfRule>
    <cfRule type="cellIs" dxfId="805" priority="5107" operator="equal">
      <formula>"CLE"</formula>
    </cfRule>
    <cfRule type="cellIs" dxfId="804" priority="5106" operator="equal">
      <formula>"TB"</formula>
    </cfRule>
    <cfRule type="cellIs" dxfId="803" priority="5105" operator="equal">
      <formula>"TEN"</formula>
    </cfRule>
    <cfRule type="cellIs" dxfId="802" priority="5112" operator="equal">
      <formula>"ATL"</formula>
    </cfRule>
    <cfRule type="cellIs" dxfId="801" priority="5104" operator="equal">
      <formula>"NO"</formula>
    </cfRule>
    <cfRule type="cellIs" dxfId="800" priority="5102" operator="equal">
      <formula>"CAR"</formula>
    </cfRule>
    <cfRule type="cellIs" dxfId="799" priority="5101" operator="equal">
      <formula>"DEN"</formula>
    </cfRule>
    <cfRule type="cellIs" dxfId="798" priority="5100" operator="equal">
      <formula>"PIT"</formula>
    </cfRule>
    <cfRule type="cellIs" dxfId="797" priority="5099" operator="equal">
      <formula>"MIN"</formula>
    </cfRule>
  </conditionalFormatting>
  <conditionalFormatting sqref="A421:A438">
    <cfRule type="cellIs" dxfId="796" priority="1974" operator="equal">
      <formula>"ARI"</formula>
    </cfRule>
    <cfRule type="cellIs" dxfId="795" priority="1971" operator="equal">
      <formula>"GB"</formula>
    </cfRule>
    <cfRule type="cellIs" dxfId="794" priority="1970" operator="equal">
      <formula>"WAS"</formula>
    </cfRule>
    <cfRule type="cellIs" dxfId="793" priority="1978" operator="equal">
      <formula>"BAL"</formula>
    </cfRule>
    <cfRule type="cellIs" dxfId="792" priority="1979" operator="equal">
      <formula>"PHI"</formula>
    </cfRule>
    <cfRule type="cellIs" dxfId="791" priority="1977" operator="equal">
      <formula>"KC"</formula>
    </cfRule>
    <cfRule type="cellIs" dxfId="790" priority="1976" operator="equal">
      <formula>"IND"</formula>
    </cfRule>
    <cfRule type="cellIs" dxfId="789" priority="1975" operator="equal">
      <formula>"HOU"</formula>
    </cfRule>
    <cfRule type="cellIs" dxfId="788" priority="1955" operator="equal">
      <formula>"NYG"</formula>
    </cfRule>
    <cfRule type="cellIs" dxfId="787" priority="1960" operator="equal">
      <formula>"NYJ"</formula>
    </cfRule>
    <cfRule type="cellIs" dxfId="786" priority="1961" operator="equal">
      <formula>"SEA"</formula>
    </cfRule>
    <cfRule type="cellIs" dxfId="785" priority="1954" operator="equal">
      <formula>"CAR"</formula>
    </cfRule>
    <cfRule type="cellIs" dxfId="784" priority="1962" operator="equal">
      <formula>"LAC"</formula>
    </cfRule>
    <cfRule type="cellIs" dxfId="783" priority="1965" operator="equal">
      <formula>"JAX"</formula>
    </cfRule>
    <cfRule type="cellIs" dxfId="782" priority="1953" operator="equal">
      <formula>"DEN"</formula>
    </cfRule>
    <cfRule type="cellIs" dxfId="781" priority="1952" operator="equal">
      <formula>"PIT"</formula>
    </cfRule>
    <cfRule type="cellIs" dxfId="780" priority="3069" operator="equal">
      <formula>"LV"</formula>
    </cfRule>
    <cfRule type="cellIs" dxfId="779" priority="1966" operator="equal">
      <formula>"CHI"</formula>
    </cfRule>
    <cfRule type="cellIs" dxfId="778" priority="3070" operator="equal">
      <formula>"NE"</formula>
    </cfRule>
    <cfRule type="cellIs" dxfId="777" priority="1972" operator="equal">
      <formula>"DAL"</formula>
    </cfRule>
    <cfRule type="cellIs" dxfId="776" priority="3071" operator="equal">
      <formula>"MIN"</formula>
    </cfRule>
    <cfRule type="cellIs" dxfId="775" priority="1967" operator="equal">
      <formula>"MIA"</formula>
    </cfRule>
    <cfRule type="cellIs" dxfId="774" priority="1958" operator="equal">
      <formula>"TB"</formula>
    </cfRule>
    <cfRule type="cellIs" dxfId="773" priority="1959" operator="equal">
      <formula>"CLE"</formula>
    </cfRule>
    <cfRule type="cellIs" dxfId="772" priority="1957" operator="equal">
      <formula>"TEN"</formula>
    </cfRule>
    <cfRule type="cellIs" dxfId="771" priority="1956" operator="equal">
      <formula>"NO"</formula>
    </cfRule>
    <cfRule type="cellIs" dxfId="770" priority="1963" operator="equal">
      <formula>"LAR"</formula>
    </cfRule>
    <cfRule type="cellIs" dxfId="769" priority="1964" operator="equal">
      <formula>"ATL"</formula>
    </cfRule>
    <cfRule type="cellIs" dxfId="768" priority="1980" operator="equal">
      <formula>"BUF"</formula>
    </cfRule>
    <cfRule type="cellIs" dxfId="767" priority="1968" operator="equal">
      <formula>"DET"</formula>
    </cfRule>
    <cfRule type="cellIs" dxfId="766" priority="1969" operator="equal">
      <formula>"SF"</formula>
    </cfRule>
    <cfRule type="cellIs" dxfId="765" priority="1973" operator="equal">
      <formula>"CIN"</formula>
    </cfRule>
  </conditionalFormatting>
  <conditionalFormatting sqref="A441">
    <cfRule type="cellIs" dxfId="764" priority="5040" operator="equal">
      <formula>"PIT"</formula>
    </cfRule>
    <cfRule type="cellIs" dxfId="763" priority="5037" operator="equal">
      <formula>"LV"</formula>
    </cfRule>
    <cfRule type="cellIs" dxfId="762" priority="5038" operator="equal">
      <formula>"NE"</formula>
    </cfRule>
    <cfRule type="cellIs" dxfId="761" priority="5039" operator="equal">
      <formula>"MIN"</formula>
    </cfRule>
    <cfRule type="cellIs" dxfId="760" priority="5041" operator="equal">
      <formula>"DEN"</formula>
    </cfRule>
    <cfRule type="cellIs" dxfId="759" priority="5042" operator="equal">
      <formula>"CAR"</formula>
    </cfRule>
    <cfRule type="cellIs" dxfId="758" priority="5043" operator="equal">
      <formula>"NYG"</formula>
    </cfRule>
    <cfRule type="cellIs" dxfId="757" priority="5044" operator="equal">
      <formula>"NO"</formula>
    </cfRule>
    <cfRule type="cellIs" dxfId="756" priority="5045" operator="equal">
      <formula>"TEN"</formula>
    </cfRule>
    <cfRule type="cellIs" dxfId="755" priority="5046" operator="equal">
      <formula>"TB"</formula>
    </cfRule>
    <cfRule type="cellIs" dxfId="754" priority="5047" operator="equal">
      <formula>"CLE"</formula>
    </cfRule>
    <cfRule type="cellIs" dxfId="753" priority="5048" operator="equal">
      <formula>"NYJ"</formula>
    </cfRule>
    <cfRule type="cellIs" dxfId="752" priority="5049" operator="equal">
      <formula>"SEA"</formula>
    </cfRule>
    <cfRule type="cellIs" dxfId="751" priority="5050" operator="equal">
      <formula>"LAC"</formula>
    </cfRule>
    <cfRule type="cellIs" dxfId="750" priority="5051" operator="equal">
      <formula>"LAR"</formula>
    </cfRule>
    <cfRule type="cellIs" dxfId="749" priority="5052" operator="equal">
      <formula>"ATL"</formula>
    </cfRule>
    <cfRule type="cellIs" dxfId="748" priority="5053" operator="equal">
      <formula>"JAX"</formula>
    </cfRule>
    <cfRule type="cellIs" dxfId="747" priority="5054" operator="equal">
      <formula>"CHI"</formula>
    </cfRule>
    <cfRule type="cellIs" dxfId="746" priority="5055" operator="equal">
      <formula>"MIA"</formula>
    </cfRule>
    <cfRule type="cellIs" dxfId="745" priority="5056" operator="equal">
      <formula>"DET"</formula>
    </cfRule>
    <cfRule type="cellIs" dxfId="744" priority="5057" operator="equal">
      <formula>"SF"</formula>
    </cfRule>
    <cfRule type="cellIs" dxfId="743" priority="5058" operator="equal">
      <formula>"WAS"</formula>
    </cfRule>
    <cfRule type="cellIs" dxfId="742" priority="5059" operator="equal">
      <formula>"GB"</formula>
    </cfRule>
    <cfRule type="cellIs" dxfId="741" priority="5060" operator="equal">
      <formula>"DAL"</formula>
    </cfRule>
    <cfRule type="cellIs" dxfId="740" priority="5061" operator="equal">
      <formula>"CIN"</formula>
    </cfRule>
    <cfRule type="cellIs" dxfId="739" priority="5062" operator="equal">
      <formula>"ARI"</formula>
    </cfRule>
    <cfRule type="cellIs" dxfId="738" priority="5063" operator="equal">
      <formula>"HOU"</formula>
    </cfRule>
    <cfRule type="cellIs" dxfId="737" priority="5064" operator="equal">
      <formula>"IND"</formula>
    </cfRule>
    <cfRule type="cellIs" dxfId="736" priority="5065" operator="equal">
      <formula>"KC"</formula>
    </cfRule>
    <cfRule type="cellIs" dxfId="735" priority="5066" operator="equal">
      <formula>"BAL"</formula>
    </cfRule>
    <cfRule type="cellIs" dxfId="734" priority="5067" operator="equal">
      <formula>"PHI"</formula>
    </cfRule>
    <cfRule type="cellIs" dxfId="733" priority="5068" operator="equal">
      <formula>"BUF"</formula>
    </cfRule>
  </conditionalFormatting>
  <conditionalFormatting sqref="A443:A460">
    <cfRule type="cellIs" dxfId="732" priority="3025" operator="equal">
      <formula>"SF"</formula>
    </cfRule>
    <cfRule type="cellIs" dxfId="731" priority="3026" operator="equal">
      <formula>"WAS"</formula>
    </cfRule>
    <cfRule type="cellIs" dxfId="730" priority="3027" operator="equal">
      <formula>"GB"</formula>
    </cfRule>
    <cfRule type="cellIs" dxfId="729" priority="3033" operator="equal">
      <formula>"KC"</formula>
    </cfRule>
    <cfRule type="cellIs" dxfId="728" priority="3032" operator="equal">
      <formula>"IND"</formula>
    </cfRule>
    <cfRule type="cellIs" dxfId="727" priority="3005" operator="equal">
      <formula>"LV"</formula>
    </cfRule>
    <cfRule type="cellIs" dxfId="726" priority="3031" operator="equal">
      <formula>"HOU"</formula>
    </cfRule>
    <cfRule type="cellIs" dxfId="725" priority="3030" operator="equal">
      <formula>"ARI"</formula>
    </cfRule>
    <cfRule type="cellIs" dxfId="724" priority="3029" operator="equal">
      <formula>"CIN"</formula>
    </cfRule>
    <cfRule type="cellIs" dxfId="723" priority="3006" operator="equal">
      <formula>"NE"</formula>
    </cfRule>
    <cfRule type="cellIs" dxfId="722" priority="3020" operator="equal">
      <formula>"ATL"</formula>
    </cfRule>
    <cfRule type="cellIs" dxfId="721" priority="3011" operator="equal">
      <formula>"NYG"</formula>
    </cfRule>
    <cfRule type="cellIs" dxfId="720" priority="3021" operator="equal">
      <formula>"JAX"</formula>
    </cfRule>
    <cfRule type="cellIs" dxfId="719" priority="3022" operator="equal">
      <formula>"CHI"</formula>
    </cfRule>
    <cfRule type="cellIs" dxfId="718" priority="3023" operator="equal">
      <formula>"MIA"</formula>
    </cfRule>
    <cfRule type="cellIs" dxfId="717" priority="3036" operator="equal">
      <formula>"BUF"</formula>
    </cfRule>
    <cfRule type="cellIs" dxfId="716" priority="3035" operator="equal">
      <formula>"PHI"</formula>
    </cfRule>
    <cfRule type="cellIs" dxfId="715" priority="3034" operator="equal">
      <formula>"BAL"</formula>
    </cfRule>
    <cfRule type="cellIs" dxfId="714" priority="3024" operator="equal">
      <formula>"DET"</formula>
    </cfRule>
    <cfRule type="cellIs" dxfId="713" priority="3028" operator="equal">
      <formula>"DAL"</formula>
    </cfRule>
    <cfRule type="cellIs" dxfId="712" priority="3007" operator="equal">
      <formula>"MIN"</formula>
    </cfRule>
    <cfRule type="cellIs" dxfId="711" priority="3008" operator="equal">
      <formula>"PIT"</formula>
    </cfRule>
    <cfRule type="cellIs" dxfId="710" priority="3009" operator="equal">
      <formula>"DEN"</formula>
    </cfRule>
    <cfRule type="cellIs" dxfId="709" priority="3010" operator="equal">
      <formula>"CAR"</formula>
    </cfRule>
    <cfRule type="cellIs" dxfId="708" priority="3012" operator="equal">
      <formula>"NO"</formula>
    </cfRule>
    <cfRule type="cellIs" dxfId="707" priority="3013" operator="equal">
      <formula>"TEN"</formula>
    </cfRule>
    <cfRule type="cellIs" dxfId="706" priority="3014" operator="equal">
      <formula>"TB"</formula>
    </cfRule>
    <cfRule type="cellIs" dxfId="705" priority="3015" operator="equal">
      <formula>"CLE"</formula>
    </cfRule>
    <cfRule type="cellIs" dxfId="704" priority="3016" operator="equal">
      <formula>"NYJ"</formula>
    </cfRule>
    <cfRule type="cellIs" dxfId="703" priority="3017" operator="equal">
      <formula>"SEA"</formula>
    </cfRule>
    <cfRule type="cellIs" dxfId="702" priority="3018" operator="equal">
      <formula>"LAC"</formula>
    </cfRule>
    <cfRule type="cellIs" dxfId="701" priority="3019" operator="equal">
      <formula>"LAR"</formula>
    </cfRule>
  </conditionalFormatting>
  <conditionalFormatting sqref="A463">
    <cfRule type="cellIs" dxfId="700" priority="4996" operator="equal">
      <formula>"DET"</formula>
    </cfRule>
    <cfRule type="cellIs" dxfId="699" priority="4995" operator="equal">
      <formula>"MIA"</formula>
    </cfRule>
    <cfRule type="cellIs" dxfId="698" priority="4989" operator="equal">
      <formula>"SEA"</formula>
    </cfRule>
    <cfRule type="cellIs" dxfId="697" priority="4994" operator="equal">
      <formula>"CHI"</formula>
    </cfRule>
    <cfRule type="cellIs" dxfId="696" priority="4993" operator="equal">
      <formula>"JAX"</formula>
    </cfRule>
    <cfRule type="cellIs" dxfId="695" priority="4992" operator="equal">
      <formula>"ATL"</formula>
    </cfRule>
    <cfRule type="cellIs" dxfId="694" priority="4991" operator="equal">
      <formula>"LAR"</formula>
    </cfRule>
    <cfRule type="cellIs" dxfId="693" priority="4988" operator="equal">
      <formula>"NYJ"</formula>
    </cfRule>
    <cfRule type="cellIs" dxfId="692" priority="4987" operator="equal">
      <formula>"CLE"</formula>
    </cfRule>
    <cfRule type="cellIs" dxfId="691" priority="4986" operator="equal">
      <formula>"TB"</formula>
    </cfRule>
    <cfRule type="cellIs" dxfId="690" priority="4985" operator="equal">
      <formula>"TEN"</formula>
    </cfRule>
    <cfRule type="cellIs" dxfId="689" priority="4984" operator="equal">
      <formula>"NO"</formula>
    </cfRule>
    <cfRule type="cellIs" dxfId="688" priority="4983" operator="equal">
      <formula>"NYG"</formula>
    </cfRule>
    <cfRule type="cellIs" dxfId="687" priority="4982" operator="equal">
      <formula>"CAR"</formula>
    </cfRule>
    <cfRule type="cellIs" dxfId="686" priority="4999" operator="equal">
      <formula>"GB"</formula>
    </cfRule>
    <cfRule type="cellIs" dxfId="685" priority="4981" operator="equal">
      <formula>"DEN"</formula>
    </cfRule>
    <cfRule type="cellIs" dxfId="684" priority="4980" operator="equal">
      <formula>"PIT"</formula>
    </cfRule>
    <cfRule type="cellIs" dxfId="683" priority="4979" operator="equal">
      <formula>"MIN"</formula>
    </cfRule>
    <cfRule type="cellIs" dxfId="682" priority="5008" operator="equal">
      <formula>"BUF"</formula>
    </cfRule>
    <cfRule type="cellIs" dxfId="681" priority="5007" operator="equal">
      <formula>"PHI"</formula>
    </cfRule>
    <cfRule type="cellIs" dxfId="680" priority="4990" operator="equal">
      <formula>"LAC"</formula>
    </cfRule>
    <cfRule type="cellIs" dxfId="679" priority="5006" operator="equal">
      <formula>"BAL"</formula>
    </cfRule>
    <cfRule type="cellIs" dxfId="678" priority="5005" operator="equal">
      <formula>"KC"</formula>
    </cfRule>
    <cfRule type="cellIs" dxfId="677" priority="4978" operator="equal">
      <formula>"NE"</formula>
    </cfRule>
    <cfRule type="cellIs" dxfId="676" priority="4977" operator="equal">
      <formula>"LV"</formula>
    </cfRule>
    <cfRule type="cellIs" dxfId="675" priority="5004" operator="equal">
      <formula>"IND"</formula>
    </cfRule>
    <cfRule type="cellIs" dxfId="674" priority="5003" operator="equal">
      <formula>"HOU"</formula>
    </cfRule>
    <cfRule type="cellIs" dxfId="673" priority="5002" operator="equal">
      <formula>"ARI"</formula>
    </cfRule>
    <cfRule type="cellIs" dxfId="672" priority="5001" operator="equal">
      <formula>"CIN"</formula>
    </cfRule>
    <cfRule type="cellIs" dxfId="671" priority="4997" operator="equal">
      <formula>"SF"</formula>
    </cfRule>
    <cfRule type="cellIs" dxfId="670" priority="5000" operator="equal">
      <formula>"DAL"</formula>
    </cfRule>
    <cfRule type="cellIs" dxfId="669" priority="4998" operator="equal">
      <formula>"WAS"</formula>
    </cfRule>
  </conditionalFormatting>
  <conditionalFormatting sqref="A465:A482">
    <cfRule type="cellIs" dxfId="668" priority="1947" operator="equal">
      <formula>"PHI"</formula>
    </cfRule>
    <cfRule type="cellIs" dxfId="667" priority="1928" operator="equal">
      <formula>"NYJ"</formula>
    </cfRule>
    <cfRule type="cellIs" dxfId="666" priority="1930" operator="equal">
      <formula>"LAC"</formula>
    </cfRule>
    <cfRule type="cellIs" dxfId="665" priority="1927" operator="equal">
      <formula>"CLE"</formula>
    </cfRule>
    <cfRule type="cellIs" dxfId="664" priority="1926" operator="equal">
      <formula>"TB"</formula>
    </cfRule>
    <cfRule type="cellIs" dxfId="663" priority="1925" operator="equal">
      <formula>"TEN"</formula>
    </cfRule>
    <cfRule type="cellIs" dxfId="662" priority="1924" operator="equal">
      <formula>"NO"</formula>
    </cfRule>
    <cfRule type="cellIs" dxfId="661" priority="1923" operator="equal">
      <formula>"NYG"</formula>
    </cfRule>
    <cfRule type="cellIs" dxfId="660" priority="1922" operator="equal">
      <formula>"CAR"</formula>
    </cfRule>
    <cfRule type="cellIs" dxfId="659" priority="1921" operator="equal">
      <formula>"DEN"</formula>
    </cfRule>
    <cfRule type="cellIs" dxfId="658" priority="1931" operator="equal">
      <formula>"LAR"</formula>
    </cfRule>
    <cfRule type="cellIs" dxfId="657" priority="1932" operator="equal">
      <formula>"ATL"</formula>
    </cfRule>
    <cfRule type="cellIs" dxfId="656" priority="1920" operator="equal">
      <formula>"PIT"</formula>
    </cfRule>
    <cfRule type="cellIs" dxfId="655" priority="1933" operator="equal">
      <formula>"JAX"</formula>
    </cfRule>
    <cfRule type="cellIs" dxfId="654" priority="1934" operator="equal">
      <formula>"CHI"</formula>
    </cfRule>
    <cfRule type="cellIs" dxfId="653" priority="1935" operator="equal">
      <formula>"MIA"</formula>
    </cfRule>
    <cfRule type="cellIs" dxfId="652" priority="1936" operator="equal">
      <formula>"DET"</formula>
    </cfRule>
    <cfRule type="cellIs" dxfId="651" priority="1929" operator="equal">
      <formula>"SEA"</formula>
    </cfRule>
    <cfRule type="cellIs" dxfId="650" priority="1937" operator="equal">
      <formula>"SF"</formula>
    </cfRule>
    <cfRule type="cellIs" dxfId="649" priority="1938" operator="equal">
      <formula>"WAS"</formula>
    </cfRule>
    <cfRule type="cellIs" dxfId="648" priority="1939" operator="equal">
      <formula>"GB"</formula>
    </cfRule>
    <cfRule type="cellIs" dxfId="647" priority="1940" operator="equal">
      <formula>"DAL"</formula>
    </cfRule>
    <cfRule type="cellIs" dxfId="646" priority="1941" operator="equal">
      <formula>"CIN"</formula>
    </cfRule>
    <cfRule type="cellIs" dxfId="645" priority="1942" operator="equal">
      <formula>"ARI"</formula>
    </cfRule>
    <cfRule type="cellIs" dxfId="644" priority="1943" operator="equal">
      <formula>"HOU"</formula>
    </cfRule>
    <cfRule type="cellIs" dxfId="643" priority="1944" operator="equal">
      <formula>"IND"</formula>
    </cfRule>
    <cfRule type="cellIs" dxfId="642" priority="1945" operator="equal">
      <formula>"KC"</formula>
    </cfRule>
    <cfRule type="cellIs" dxfId="641" priority="1946" operator="equal">
      <formula>"BAL"</formula>
    </cfRule>
    <cfRule type="cellIs" dxfId="640" priority="1948" operator="equal">
      <formula>"BUF"</formula>
    </cfRule>
  </conditionalFormatting>
  <conditionalFormatting sqref="A485">
    <cfRule type="cellIs" dxfId="639" priority="4934" operator="equal">
      <formula>"CHI"</formula>
    </cfRule>
    <cfRule type="cellIs" dxfId="638" priority="4933" operator="equal">
      <formula>"JAX"</formula>
    </cfRule>
    <cfRule type="cellIs" dxfId="637" priority="4932" operator="equal">
      <formula>"ATL"</formula>
    </cfRule>
    <cfRule type="cellIs" dxfId="636" priority="4931" operator="equal">
      <formula>"LAR"</formula>
    </cfRule>
    <cfRule type="cellIs" dxfId="635" priority="4930" operator="equal">
      <formula>"LAC"</formula>
    </cfRule>
    <cfRule type="cellIs" dxfId="634" priority="4929" operator="equal">
      <formula>"SEA"</formula>
    </cfRule>
    <cfRule type="cellIs" dxfId="633" priority="4928" operator="equal">
      <formula>"NYJ"</formula>
    </cfRule>
    <cfRule type="cellIs" dxfId="632" priority="4926" operator="equal">
      <formula>"TB"</formula>
    </cfRule>
    <cfRule type="cellIs" dxfId="631" priority="4925" operator="equal">
      <formula>"TEN"</formula>
    </cfRule>
    <cfRule type="cellIs" dxfId="630" priority="4924" operator="equal">
      <formula>"NO"</formula>
    </cfRule>
    <cfRule type="cellIs" dxfId="629" priority="4923" operator="equal">
      <formula>"NYG"</formula>
    </cfRule>
    <cfRule type="cellIs" dxfId="628" priority="4922" operator="equal">
      <formula>"CAR"</formula>
    </cfRule>
    <cfRule type="cellIs" dxfId="627" priority="4921" operator="equal">
      <formula>"DEN"</formula>
    </cfRule>
    <cfRule type="cellIs" dxfId="626" priority="4920" operator="equal">
      <formula>"PIT"</formula>
    </cfRule>
    <cfRule type="cellIs" dxfId="625" priority="4919" operator="equal">
      <formula>"MIN"</formula>
    </cfRule>
    <cfRule type="cellIs" dxfId="624" priority="4918" operator="equal">
      <formula>"NE"</formula>
    </cfRule>
    <cfRule type="cellIs" dxfId="623" priority="4917" operator="equal">
      <formula>"LV"</formula>
    </cfRule>
    <cfRule type="cellIs" dxfId="622" priority="4927" operator="equal">
      <formula>"CLE"</formula>
    </cfRule>
    <cfRule type="cellIs" dxfId="621" priority="4948" operator="equal">
      <formula>"BUF"</formula>
    </cfRule>
    <cfRule type="cellIs" dxfId="620" priority="4947" operator="equal">
      <formula>"PHI"</formula>
    </cfRule>
    <cfRule type="cellIs" dxfId="619" priority="4946" operator="equal">
      <formula>"BAL"</formula>
    </cfRule>
    <cfRule type="cellIs" dxfId="618" priority="4945" operator="equal">
      <formula>"KC"</formula>
    </cfRule>
    <cfRule type="cellIs" dxfId="617" priority="4944" operator="equal">
      <formula>"IND"</formula>
    </cfRule>
    <cfRule type="cellIs" dxfId="616" priority="4943" operator="equal">
      <formula>"HOU"</formula>
    </cfRule>
    <cfRule type="cellIs" dxfId="615" priority="4942" operator="equal">
      <formula>"ARI"</formula>
    </cfRule>
    <cfRule type="cellIs" dxfId="614" priority="4941" operator="equal">
      <formula>"CIN"</formula>
    </cfRule>
    <cfRule type="cellIs" dxfId="613" priority="4940" operator="equal">
      <formula>"DAL"</formula>
    </cfRule>
    <cfRule type="cellIs" dxfId="612" priority="4939" operator="equal">
      <formula>"GB"</formula>
    </cfRule>
    <cfRule type="cellIs" dxfId="611" priority="4938" operator="equal">
      <formula>"WAS"</formula>
    </cfRule>
    <cfRule type="cellIs" dxfId="610" priority="4937" operator="equal">
      <formula>"SF"</formula>
    </cfRule>
    <cfRule type="cellIs" dxfId="609" priority="4936" operator="equal">
      <formula>"DET"</formula>
    </cfRule>
    <cfRule type="cellIs" dxfId="608" priority="4935" operator="equal">
      <formula>"MIA"</formula>
    </cfRule>
  </conditionalFormatting>
  <conditionalFormatting sqref="A487:A504">
    <cfRule type="cellIs" dxfId="607" priority="1895" operator="equal">
      <formula>"CLE"</formula>
    </cfRule>
    <cfRule type="cellIs" dxfId="606" priority="1915" operator="equal">
      <formula>"PHI"</formula>
    </cfRule>
    <cfRule type="cellIs" dxfId="605" priority="1914" operator="equal">
      <formula>"BAL"</formula>
    </cfRule>
    <cfRule type="cellIs" dxfId="604" priority="1905" operator="equal">
      <formula>"SF"</formula>
    </cfRule>
    <cfRule type="cellIs" dxfId="603" priority="1906" operator="equal">
      <formula>"WAS"</formula>
    </cfRule>
    <cfRule type="cellIs" dxfId="602" priority="1888" operator="equal">
      <formula>"PIT"</formula>
    </cfRule>
    <cfRule type="cellIs" dxfId="601" priority="1889" operator="equal">
      <formula>"DEN"</formula>
    </cfRule>
    <cfRule type="cellIs" dxfId="600" priority="1890" operator="equal">
      <formula>"CAR"</formula>
    </cfRule>
    <cfRule type="cellIs" dxfId="599" priority="1891" operator="equal">
      <formula>"NYG"</formula>
    </cfRule>
    <cfRule type="cellIs" dxfId="598" priority="1892" operator="equal">
      <formula>"NO"</formula>
    </cfRule>
    <cfRule type="cellIs" dxfId="597" priority="1893" operator="equal">
      <formula>"TEN"</formula>
    </cfRule>
    <cfRule type="cellIs" dxfId="596" priority="1894" operator="equal">
      <formula>"TB"</formula>
    </cfRule>
    <cfRule type="cellIs" dxfId="595" priority="1896" operator="equal">
      <formula>"NYJ"</formula>
    </cfRule>
    <cfRule type="cellIs" dxfId="594" priority="1897" operator="equal">
      <formula>"SEA"</formula>
    </cfRule>
    <cfRule type="cellIs" dxfId="593" priority="1898" operator="equal">
      <formula>"LAC"</formula>
    </cfRule>
    <cfRule type="cellIs" dxfId="592" priority="1899" operator="equal">
      <formula>"LAR"</formula>
    </cfRule>
    <cfRule type="cellIs" dxfId="591" priority="1900" operator="equal">
      <formula>"ATL"</formula>
    </cfRule>
    <cfRule type="cellIs" dxfId="590" priority="1901" operator="equal">
      <formula>"JAX"</formula>
    </cfRule>
    <cfRule type="cellIs" dxfId="589" priority="1916" operator="equal">
      <formula>"BUF"</formula>
    </cfRule>
    <cfRule type="cellIs" dxfId="588" priority="1908" operator="equal">
      <formula>"DAL"</formula>
    </cfRule>
    <cfRule type="cellIs" dxfId="587" priority="1907" operator="equal">
      <formula>"GB"</formula>
    </cfRule>
    <cfRule type="cellIs" dxfId="586" priority="1909" operator="equal">
      <formula>"CIN"</formula>
    </cfRule>
    <cfRule type="cellIs" dxfId="585" priority="1910" operator="equal">
      <formula>"ARI"</formula>
    </cfRule>
    <cfRule type="cellIs" dxfId="584" priority="1911" operator="equal">
      <formula>"HOU"</formula>
    </cfRule>
    <cfRule type="cellIs" dxfId="583" priority="1902" operator="equal">
      <formula>"CHI"</formula>
    </cfRule>
    <cfRule type="cellIs" dxfId="582" priority="1912" operator="equal">
      <formula>"IND"</formula>
    </cfRule>
    <cfRule type="cellIs" dxfId="581" priority="1913" operator="equal">
      <formula>"KC"</formula>
    </cfRule>
    <cfRule type="cellIs" dxfId="580" priority="2879" operator="equal">
      <formula>"MIN"</formula>
    </cfRule>
    <cfRule type="cellIs" dxfId="579" priority="2878" operator="equal">
      <formula>"NE"</formula>
    </cfRule>
    <cfRule type="cellIs" dxfId="578" priority="2877" operator="equal">
      <formula>"LV"</formula>
    </cfRule>
    <cfRule type="cellIs" dxfId="577" priority="1904" operator="equal">
      <formula>"DET"</formula>
    </cfRule>
    <cfRule type="cellIs" dxfId="576" priority="1903" operator="equal">
      <formula>"MIA"</formula>
    </cfRule>
  </conditionalFormatting>
  <conditionalFormatting sqref="A507">
    <cfRule type="cellIs" dxfId="575" priority="4859" operator="equal">
      <formula>"MIN"</formula>
    </cfRule>
    <cfRule type="cellIs" dxfId="574" priority="4858" operator="equal">
      <formula>"NE"</formula>
    </cfRule>
    <cfRule type="cellIs" dxfId="573" priority="4857" operator="equal">
      <formula>"LV"</formula>
    </cfRule>
    <cfRule type="cellIs" dxfId="572" priority="4888" operator="equal">
      <formula>"BUF"</formula>
    </cfRule>
    <cfRule type="cellIs" dxfId="571" priority="4887" operator="equal">
      <formula>"PHI"</formula>
    </cfRule>
    <cfRule type="cellIs" dxfId="570" priority="4886" operator="equal">
      <formula>"BAL"</formula>
    </cfRule>
    <cfRule type="cellIs" dxfId="569" priority="4885" operator="equal">
      <formula>"KC"</formula>
    </cfRule>
    <cfRule type="cellIs" dxfId="568" priority="4883" operator="equal">
      <formula>"HOU"</formula>
    </cfRule>
    <cfRule type="cellIs" dxfId="567" priority="4882" operator="equal">
      <formula>"ARI"</formula>
    </cfRule>
    <cfRule type="cellIs" dxfId="566" priority="4873" operator="equal">
      <formula>"JAX"</formula>
    </cfRule>
    <cfRule type="cellIs" dxfId="565" priority="4872" operator="equal">
      <formula>"ATL"</formula>
    </cfRule>
    <cfRule type="cellIs" dxfId="564" priority="4871" operator="equal">
      <formula>"LAR"</formula>
    </cfRule>
    <cfRule type="cellIs" dxfId="563" priority="4870" operator="equal">
      <formula>"LAC"</formula>
    </cfRule>
    <cfRule type="cellIs" dxfId="562" priority="4869" operator="equal">
      <formula>"SEA"</formula>
    </cfRule>
    <cfRule type="cellIs" dxfId="561" priority="4868" operator="equal">
      <formula>"NYJ"</formula>
    </cfRule>
    <cfRule type="cellIs" dxfId="560" priority="4881" operator="equal">
      <formula>"CIN"</formula>
    </cfRule>
    <cfRule type="cellIs" dxfId="559" priority="4866" operator="equal">
      <formula>"TB"</formula>
    </cfRule>
    <cfRule type="cellIs" dxfId="558" priority="4865" operator="equal">
      <formula>"TEN"</formula>
    </cfRule>
    <cfRule type="cellIs" dxfId="557" priority="4864" operator="equal">
      <formula>"NO"</formula>
    </cfRule>
    <cfRule type="cellIs" dxfId="556" priority="4863" operator="equal">
      <formula>"NYG"</formula>
    </cfRule>
    <cfRule type="cellIs" dxfId="555" priority="4862" operator="equal">
      <formula>"CAR"</formula>
    </cfRule>
    <cfRule type="cellIs" dxfId="554" priority="4861" operator="equal">
      <formula>"DEN"</formula>
    </cfRule>
    <cfRule type="cellIs" dxfId="553" priority="4860" operator="equal">
      <formula>"PIT"</formula>
    </cfRule>
    <cfRule type="cellIs" dxfId="552" priority="4884" operator="equal">
      <formula>"IND"</formula>
    </cfRule>
    <cfRule type="cellIs" dxfId="551" priority="4880" operator="equal">
      <formula>"DAL"</formula>
    </cfRule>
    <cfRule type="cellIs" dxfId="550" priority="4879" operator="equal">
      <formula>"GB"</formula>
    </cfRule>
    <cfRule type="cellIs" dxfId="549" priority="4878" operator="equal">
      <formula>"WAS"</formula>
    </cfRule>
    <cfRule type="cellIs" dxfId="548" priority="4877" operator="equal">
      <formula>"SF"</formula>
    </cfRule>
    <cfRule type="cellIs" dxfId="547" priority="4876" operator="equal">
      <formula>"DET"</formula>
    </cfRule>
    <cfRule type="cellIs" dxfId="546" priority="4875" operator="equal">
      <formula>"MIA"</formula>
    </cfRule>
    <cfRule type="cellIs" dxfId="545" priority="4874" operator="equal">
      <formula>"CHI"</formula>
    </cfRule>
    <cfRule type="cellIs" dxfId="544" priority="4867" operator="equal">
      <formula>"CLE"</formula>
    </cfRule>
  </conditionalFormatting>
  <conditionalFormatting sqref="A509:A526">
    <cfRule type="cellIs" dxfId="543" priority="1876" operator="equal">
      <formula>"DAL"</formula>
    </cfRule>
    <cfRule type="cellIs" dxfId="542" priority="1856" operator="equal">
      <formula>"PIT"</formula>
    </cfRule>
    <cfRule type="cellIs" dxfId="541" priority="1879" operator="equal">
      <formula>"HOU"</formula>
    </cfRule>
    <cfRule type="cellIs" dxfId="540" priority="1878" operator="equal">
      <formula>"ARI"</formula>
    </cfRule>
    <cfRule type="cellIs" dxfId="539" priority="1877" operator="equal">
      <formula>"CIN"</formula>
    </cfRule>
    <cfRule type="cellIs" dxfId="538" priority="1875" operator="equal">
      <formula>"GB"</formula>
    </cfRule>
    <cfRule type="cellIs" dxfId="537" priority="1874" operator="equal">
      <formula>"WAS"</formula>
    </cfRule>
    <cfRule type="cellIs" dxfId="536" priority="1873" operator="equal">
      <formula>"SF"</formula>
    </cfRule>
    <cfRule type="cellIs" dxfId="535" priority="1872" operator="equal">
      <formula>"DET"</formula>
    </cfRule>
    <cfRule type="cellIs" dxfId="534" priority="1871" operator="equal">
      <formula>"MIA"</formula>
    </cfRule>
    <cfRule type="cellIs" dxfId="533" priority="1870" operator="equal">
      <formula>"CHI"</formula>
    </cfRule>
    <cfRule type="cellIs" dxfId="532" priority="1869" operator="equal">
      <formula>"JAX"</formula>
    </cfRule>
    <cfRule type="cellIs" dxfId="531" priority="1868" operator="equal">
      <formula>"ATL"</formula>
    </cfRule>
    <cfRule type="cellIs" dxfId="530" priority="1867" operator="equal">
      <formula>"LAR"</formula>
    </cfRule>
    <cfRule type="cellIs" dxfId="529" priority="1866" operator="equal">
      <formula>"LAC"</formula>
    </cfRule>
    <cfRule type="cellIs" dxfId="528" priority="1865" operator="equal">
      <formula>"SEA"</formula>
    </cfRule>
    <cfRule type="cellIs" dxfId="527" priority="1864" operator="equal">
      <formula>"NYJ"</formula>
    </cfRule>
    <cfRule type="cellIs" dxfId="526" priority="1863" operator="equal">
      <formula>"CLE"</formula>
    </cfRule>
    <cfRule type="cellIs" dxfId="525" priority="1862" operator="equal">
      <formula>"TB"</formula>
    </cfRule>
    <cfRule type="cellIs" dxfId="524" priority="1861" operator="equal">
      <formula>"TEN"</formula>
    </cfRule>
    <cfRule type="cellIs" dxfId="523" priority="1859" operator="equal">
      <formula>"NYG"</formula>
    </cfRule>
    <cfRule type="cellIs" dxfId="522" priority="1858" operator="equal">
      <formula>"CAR"</formula>
    </cfRule>
    <cfRule type="cellIs" dxfId="521" priority="1857" operator="equal">
      <formula>"DEN"</formula>
    </cfRule>
    <cfRule type="cellIs" dxfId="520" priority="1881" operator="equal">
      <formula>"KC"</formula>
    </cfRule>
    <cfRule type="cellIs" dxfId="519" priority="1882" operator="equal">
      <formula>"BAL"</formula>
    </cfRule>
    <cfRule type="cellIs" dxfId="518" priority="1883" operator="equal">
      <formula>"PHI"</formula>
    </cfRule>
    <cfRule type="cellIs" dxfId="517" priority="1884" operator="equal">
      <formula>"BUF"</formula>
    </cfRule>
    <cfRule type="cellIs" dxfId="516" priority="2815" operator="equal">
      <formula>"MIN"</formula>
    </cfRule>
    <cfRule type="cellIs" dxfId="515" priority="2814" operator="equal">
      <formula>"NE"</formula>
    </cfRule>
    <cfRule type="cellIs" dxfId="514" priority="2813" operator="equal">
      <formula>"LV"</formula>
    </cfRule>
    <cfRule type="cellIs" dxfId="513" priority="1880" operator="equal">
      <formula>"IND"</formula>
    </cfRule>
    <cfRule type="cellIs" dxfId="512" priority="1860" operator="equal">
      <formula>"NO"</formula>
    </cfRule>
  </conditionalFormatting>
  <conditionalFormatting sqref="A529">
    <cfRule type="cellIs" dxfId="511" priority="4820" operator="equal">
      <formula>"DAL"</formula>
    </cfRule>
    <cfRule type="cellIs" dxfId="510" priority="4819" operator="equal">
      <formula>"GB"</formula>
    </cfRule>
    <cfRule type="cellIs" dxfId="509" priority="4818" operator="equal">
      <formula>"WAS"</formula>
    </cfRule>
    <cfRule type="cellIs" dxfId="508" priority="4817" operator="equal">
      <formula>"SF"</formula>
    </cfRule>
    <cfRule type="cellIs" dxfId="507" priority="4816" operator="equal">
      <formula>"DET"</formula>
    </cfRule>
    <cfRule type="cellIs" dxfId="506" priority="4815" operator="equal">
      <formula>"MIA"</formula>
    </cfRule>
    <cfRule type="cellIs" dxfId="505" priority="4814" operator="equal">
      <formula>"CHI"</formula>
    </cfRule>
    <cfRule type="cellIs" dxfId="504" priority="4813" operator="equal">
      <formula>"JAX"</formula>
    </cfRule>
    <cfRule type="cellIs" dxfId="503" priority="4812" operator="equal">
      <formula>"ATL"</formula>
    </cfRule>
    <cfRule type="cellIs" dxfId="502" priority="4811" operator="equal">
      <formula>"LAR"</formula>
    </cfRule>
    <cfRule type="cellIs" dxfId="501" priority="4810" operator="equal">
      <formula>"LAC"</formula>
    </cfRule>
    <cfRule type="cellIs" dxfId="500" priority="4809" operator="equal">
      <formula>"SEA"</formula>
    </cfRule>
    <cfRule type="cellIs" dxfId="499" priority="4808" operator="equal">
      <formula>"NYJ"</formula>
    </cfRule>
    <cfRule type="cellIs" dxfId="498" priority="4807" operator="equal">
      <formula>"CLE"</formula>
    </cfRule>
    <cfRule type="cellIs" dxfId="497" priority="4806" operator="equal">
      <formula>"TB"</formula>
    </cfRule>
    <cfRule type="cellIs" dxfId="496" priority="4824" operator="equal">
      <formula>"IND"</formula>
    </cfRule>
    <cfRule type="cellIs" dxfId="495" priority="4805" operator="equal">
      <formula>"TEN"</formula>
    </cfRule>
    <cfRule type="cellIs" dxfId="494" priority="4804" operator="equal">
      <formula>"NO"</formula>
    </cfRule>
    <cfRule type="cellIs" dxfId="493" priority="4803" operator="equal">
      <formula>"NYG"</formula>
    </cfRule>
    <cfRule type="cellIs" dxfId="492" priority="4826" operator="equal">
      <formula>"BAL"</formula>
    </cfRule>
    <cfRule type="cellIs" dxfId="491" priority="4827" operator="equal">
      <formula>"PHI"</formula>
    </cfRule>
    <cfRule type="cellIs" dxfId="490" priority="4828" operator="equal">
      <formula>"BUF"</formula>
    </cfRule>
    <cfRule type="cellIs" dxfId="489" priority="4797" operator="equal">
      <formula>"LV"</formula>
    </cfRule>
    <cfRule type="cellIs" dxfId="488" priority="4802" operator="equal">
      <formula>"CAR"</formula>
    </cfRule>
    <cfRule type="cellIs" dxfId="487" priority="4801" operator="equal">
      <formula>"DEN"</formula>
    </cfRule>
    <cfRule type="cellIs" dxfId="486" priority="4800" operator="equal">
      <formula>"PIT"</formula>
    </cfRule>
    <cfRule type="cellIs" dxfId="485" priority="4799" operator="equal">
      <formula>"MIN"</formula>
    </cfRule>
    <cfRule type="cellIs" dxfId="484" priority="4798" operator="equal">
      <formula>"NE"</formula>
    </cfRule>
    <cfRule type="cellIs" dxfId="483" priority="4823" operator="equal">
      <formula>"HOU"</formula>
    </cfRule>
    <cfRule type="cellIs" dxfId="482" priority="4822" operator="equal">
      <formula>"ARI"</formula>
    </cfRule>
    <cfRule type="cellIs" dxfId="481" priority="4821" operator="equal">
      <formula>"CIN"</formula>
    </cfRule>
    <cfRule type="cellIs" dxfId="480" priority="4825" operator="equal">
      <formula>"KC"</formula>
    </cfRule>
  </conditionalFormatting>
  <conditionalFormatting sqref="A531:A548">
    <cfRule type="cellIs" dxfId="479" priority="2749" operator="equal">
      <formula>"LV"</formula>
    </cfRule>
    <cfRule type="cellIs" dxfId="478" priority="1852" operator="equal">
      <formula>"BUF"</formula>
    </cfRule>
    <cfRule type="cellIs" dxfId="477" priority="1851" operator="equal">
      <formula>"PHI"</formula>
    </cfRule>
    <cfRule type="cellIs" dxfId="476" priority="1850" operator="equal">
      <formula>"BAL"</formula>
    </cfRule>
    <cfRule type="cellIs" dxfId="475" priority="1849" operator="equal">
      <formula>"KC"</formula>
    </cfRule>
    <cfRule type="cellIs" dxfId="474" priority="1848" operator="equal">
      <formula>"IND"</formula>
    </cfRule>
    <cfRule type="cellIs" dxfId="473" priority="1838" operator="equal">
      <formula>"CHI"</formula>
    </cfRule>
    <cfRule type="cellIs" dxfId="472" priority="1846" operator="equal">
      <formula>"ARI"</formula>
    </cfRule>
    <cfRule type="cellIs" dxfId="471" priority="1845" operator="equal">
      <formula>"CIN"</formula>
    </cfRule>
    <cfRule type="cellIs" dxfId="470" priority="1844" operator="equal">
      <formula>"DAL"</formula>
    </cfRule>
    <cfRule type="cellIs" dxfId="469" priority="1843" operator="equal">
      <formula>"GB"</formula>
    </cfRule>
    <cfRule type="cellIs" dxfId="468" priority="1842" operator="equal">
      <formula>"WAS"</formula>
    </cfRule>
    <cfRule type="cellIs" dxfId="467" priority="1841" operator="equal">
      <formula>"SF"</formula>
    </cfRule>
    <cfRule type="cellIs" dxfId="466" priority="1840" operator="equal">
      <formula>"DET"</formula>
    </cfRule>
    <cfRule type="cellIs" dxfId="465" priority="1839" operator="equal">
      <formula>"MIA"</formula>
    </cfRule>
    <cfRule type="cellIs" dxfId="464" priority="1837" operator="equal">
      <formula>"JAX"</formula>
    </cfRule>
    <cfRule type="cellIs" dxfId="463" priority="1836" operator="equal">
      <formula>"ATL"</formula>
    </cfRule>
    <cfRule type="cellIs" dxfId="462" priority="1835" operator="equal">
      <formula>"LAR"</formula>
    </cfRule>
    <cfRule type="cellIs" dxfId="461" priority="1834" operator="equal">
      <formula>"LAC"</formula>
    </cfRule>
    <cfRule type="cellIs" dxfId="460" priority="1833" operator="equal">
      <formula>"SEA"</formula>
    </cfRule>
    <cfRule type="cellIs" dxfId="459" priority="1832" operator="equal">
      <formula>"NYJ"</formula>
    </cfRule>
    <cfRule type="cellIs" dxfId="458" priority="1831" operator="equal">
      <formula>"CLE"</formula>
    </cfRule>
    <cfRule type="cellIs" dxfId="457" priority="1830" operator="equal">
      <formula>"TB"</formula>
    </cfRule>
    <cfRule type="cellIs" dxfId="456" priority="1829" operator="equal">
      <formula>"TEN"</formula>
    </cfRule>
    <cfRule type="cellIs" dxfId="455" priority="1828" operator="equal">
      <formula>"NO"</formula>
    </cfRule>
    <cfRule type="cellIs" dxfId="454" priority="1827" operator="equal">
      <formula>"NYG"</formula>
    </cfRule>
    <cfRule type="cellIs" dxfId="453" priority="1826" operator="equal">
      <formula>"CAR"</formula>
    </cfRule>
    <cfRule type="cellIs" dxfId="452" priority="1825" operator="equal">
      <formula>"DEN"</formula>
    </cfRule>
    <cfRule type="cellIs" dxfId="451" priority="1824" operator="equal">
      <formula>"PIT"</formula>
    </cfRule>
    <cfRule type="cellIs" dxfId="450" priority="1847" operator="equal">
      <formula>"HOU"</formula>
    </cfRule>
    <cfRule type="cellIs" dxfId="449" priority="2751" operator="equal">
      <formula>"MIN"</formula>
    </cfRule>
    <cfRule type="cellIs" dxfId="448" priority="2750" operator="equal">
      <formula>"NE"</formula>
    </cfRule>
  </conditionalFormatting>
  <conditionalFormatting sqref="A551">
    <cfRule type="cellIs" dxfId="447" priority="4760" operator="equal">
      <formula>"DAL"</formula>
    </cfRule>
    <cfRule type="cellIs" dxfId="446" priority="4766" operator="equal">
      <formula>"BAL"</formula>
    </cfRule>
    <cfRule type="cellIs" dxfId="445" priority="4767" operator="equal">
      <formula>"PHI"</formula>
    </cfRule>
    <cfRule type="cellIs" dxfId="444" priority="4768" operator="equal">
      <formula>"BUF"</formula>
    </cfRule>
    <cfRule type="cellIs" dxfId="443" priority="4745" operator="equal">
      <formula>"TEN"</formula>
    </cfRule>
    <cfRule type="cellIs" dxfId="442" priority="4765" operator="equal">
      <formula>"KC"</formula>
    </cfRule>
    <cfRule type="cellIs" dxfId="441" priority="4764" operator="equal">
      <formula>"IND"</formula>
    </cfRule>
    <cfRule type="cellIs" dxfId="440" priority="4761" operator="equal">
      <formula>"CIN"</formula>
    </cfRule>
    <cfRule type="cellIs" dxfId="439" priority="4762" operator="equal">
      <formula>"ARI"</formula>
    </cfRule>
    <cfRule type="cellIs" dxfId="438" priority="4763" operator="equal">
      <formula>"HOU"</formula>
    </cfRule>
    <cfRule type="cellIs" dxfId="437" priority="4759" operator="equal">
      <formula>"GB"</formula>
    </cfRule>
    <cfRule type="cellIs" dxfId="436" priority="4758" operator="equal">
      <formula>"WAS"</formula>
    </cfRule>
    <cfRule type="cellIs" dxfId="435" priority="4754" operator="equal">
      <formula>"CHI"</formula>
    </cfRule>
    <cfRule type="cellIs" dxfId="434" priority="4750" operator="equal">
      <formula>"LAC"</formula>
    </cfRule>
    <cfRule type="cellIs" dxfId="433" priority="4749" operator="equal">
      <formula>"SEA"</formula>
    </cfRule>
    <cfRule type="cellIs" dxfId="432" priority="4753" operator="equal">
      <formula>"JAX"</formula>
    </cfRule>
    <cfRule type="cellIs" dxfId="431" priority="4748" operator="equal">
      <formula>"NYJ"</formula>
    </cfRule>
    <cfRule type="cellIs" dxfId="430" priority="4747" operator="equal">
      <formula>"CLE"</formula>
    </cfRule>
    <cfRule type="cellIs" dxfId="429" priority="4746" operator="equal">
      <formula>"TB"</formula>
    </cfRule>
    <cfRule type="cellIs" dxfId="428" priority="4744" operator="equal">
      <formula>"NO"</formula>
    </cfRule>
    <cfRule type="cellIs" dxfId="427" priority="4743" operator="equal">
      <formula>"NYG"</formula>
    </cfRule>
    <cfRule type="cellIs" dxfId="426" priority="4742" operator="equal">
      <formula>"CAR"</formula>
    </cfRule>
    <cfRule type="cellIs" dxfId="425" priority="4741" operator="equal">
      <formula>"DEN"</formula>
    </cfRule>
    <cfRule type="cellIs" dxfId="424" priority="4740" operator="equal">
      <formula>"PIT"</formula>
    </cfRule>
    <cfRule type="cellIs" dxfId="423" priority="4755" operator="equal">
      <formula>"MIA"</formula>
    </cfRule>
    <cfRule type="cellIs" dxfId="422" priority="4739" operator="equal">
      <formula>"MIN"</formula>
    </cfRule>
    <cfRule type="cellIs" dxfId="421" priority="4737" operator="equal">
      <formula>"LV"</formula>
    </cfRule>
    <cfRule type="cellIs" dxfId="420" priority="4738" operator="equal">
      <formula>"NE"</formula>
    </cfRule>
    <cfRule type="cellIs" dxfId="419" priority="4752" operator="equal">
      <formula>"ATL"</formula>
    </cfRule>
    <cfRule type="cellIs" dxfId="418" priority="4751" operator="equal">
      <formula>"LAR"</formula>
    </cfRule>
    <cfRule type="cellIs" dxfId="417" priority="4757" operator="equal">
      <formula>"SF"</formula>
    </cfRule>
    <cfRule type="cellIs" dxfId="416" priority="4756" operator="equal">
      <formula>"DET"</formula>
    </cfRule>
  </conditionalFormatting>
  <conditionalFormatting sqref="A553:A570">
    <cfRule type="cellIs" dxfId="415" priority="1174" operator="equal">
      <formula>"JAX"</formula>
    </cfRule>
    <cfRule type="cellIs" dxfId="414" priority="1175" operator="equal">
      <formula>"CHI"</formula>
    </cfRule>
    <cfRule type="cellIs" dxfId="413" priority="1176" operator="equal">
      <formula>"MIA"</formula>
    </cfRule>
    <cfRule type="cellIs" dxfId="412" priority="1177" operator="equal">
      <formula>"DET"</formula>
    </cfRule>
    <cfRule type="cellIs" dxfId="411" priority="1178" operator="equal">
      <formula>"SF"</formula>
    </cfRule>
    <cfRule type="cellIs" dxfId="410" priority="1179" operator="equal">
      <formula>"WAS"</formula>
    </cfRule>
    <cfRule type="cellIs" dxfId="409" priority="1180" operator="equal">
      <formula>"GB"</formula>
    </cfRule>
    <cfRule type="cellIs" dxfId="408" priority="1181" operator="equal">
      <formula>"DAL"</formula>
    </cfRule>
    <cfRule type="cellIs" dxfId="407" priority="1182" operator="equal">
      <formula>"CIN"</formula>
    </cfRule>
    <cfRule type="cellIs" dxfId="406" priority="1183" operator="equal">
      <formula>"ARI"</formula>
    </cfRule>
    <cfRule type="cellIs" dxfId="405" priority="1184" operator="equal">
      <formula>"HOU"</formula>
    </cfRule>
    <cfRule type="cellIs" dxfId="404" priority="1185" operator="equal">
      <formula>"IND"</formula>
    </cfRule>
    <cfRule type="cellIs" dxfId="403" priority="1186" operator="equal">
      <formula>"KC"</formula>
    </cfRule>
    <cfRule type="cellIs" dxfId="402" priority="1188" operator="equal">
      <formula>"PHI"</formula>
    </cfRule>
    <cfRule type="cellIs" dxfId="401" priority="1189" operator="equal">
      <formula>"BUF"</formula>
    </cfRule>
    <cfRule type="cellIs" dxfId="400" priority="1190" operator="equal">
      <formula>"LV"</formula>
    </cfRule>
    <cfRule type="cellIs" dxfId="399" priority="1191" operator="equal">
      <formula>"NE"</formula>
    </cfRule>
    <cfRule type="cellIs" dxfId="398" priority="1192" operator="equal">
      <formula>"MIN"</formula>
    </cfRule>
    <cfRule type="cellIs" dxfId="397" priority="1187" operator="equal">
      <formula>"BAL"</formula>
    </cfRule>
    <cfRule type="cellIs" dxfId="396" priority="1173" operator="equal">
      <formula>"ATL"</formula>
    </cfRule>
    <cfRule type="cellIs" dxfId="395" priority="1172" operator="equal">
      <formula>"LAR"</formula>
    </cfRule>
    <cfRule type="cellIs" dxfId="394" priority="1171" operator="equal">
      <formula>"LAC"</formula>
    </cfRule>
    <cfRule type="cellIs" dxfId="393" priority="1170" operator="equal">
      <formula>"SEA"</formula>
    </cfRule>
    <cfRule type="cellIs" dxfId="392" priority="1169" operator="equal">
      <formula>"NYJ"</formula>
    </cfRule>
    <cfRule type="cellIs" dxfId="391" priority="1168" operator="equal">
      <formula>"CLE"</formula>
    </cfRule>
    <cfRule type="cellIs" dxfId="390" priority="1167" operator="equal">
      <formula>"TB"</formula>
    </cfRule>
    <cfRule type="cellIs" dxfId="389" priority="1166" operator="equal">
      <formula>"TEN"</formula>
    </cfRule>
    <cfRule type="cellIs" dxfId="388" priority="1165" operator="equal">
      <formula>"NO"</formula>
    </cfRule>
    <cfRule type="cellIs" dxfId="387" priority="1164" operator="equal">
      <formula>"NYG"</formula>
    </cfRule>
    <cfRule type="cellIs" dxfId="386" priority="1163" operator="equal">
      <formula>"CAR"</formula>
    </cfRule>
    <cfRule type="cellIs" dxfId="385" priority="1162" operator="equal">
      <formula>"DEN"</formula>
    </cfRule>
    <cfRule type="cellIs" dxfId="384" priority="1161" operator="equal">
      <formula>"PIT"</formula>
    </cfRule>
  </conditionalFormatting>
  <conditionalFormatting sqref="A573">
    <cfRule type="cellIs" dxfId="383" priority="4682" operator="equal">
      <formula>"CAR"</formula>
    </cfRule>
    <cfRule type="cellIs" dxfId="382" priority="4677" operator="equal">
      <formula>"LV"</formula>
    </cfRule>
    <cfRule type="cellIs" dxfId="381" priority="4678" operator="equal">
      <formula>"NE"</formula>
    </cfRule>
    <cfRule type="cellIs" dxfId="380" priority="4679" operator="equal">
      <formula>"MIN"</formula>
    </cfRule>
    <cfRule type="cellIs" dxfId="379" priority="4680" operator="equal">
      <formula>"PIT"</formula>
    </cfRule>
    <cfRule type="cellIs" dxfId="378" priority="4681" operator="equal">
      <formula>"DEN"</formula>
    </cfRule>
    <cfRule type="cellIs" dxfId="377" priority="4683" operator="equal">
      <formula>"NYG"</formula>
    </cfRule>
    <cfRule type="cellIs" dxfId="376" priority="4684" operator="equal">
      <formula>"NO"</formula>
    </cfRule>
    <cfRule type="cellIs" dxfId="375" priority="4685" operator="equal">
      <formula>"TEN"</formula>
    </cfRule>
    <cfRule type="cellIs" dxfId="374" priority="4686" operator="equal">
      <formula>"TB"</formula>
    </cfRule>
    <cfRule type="cellIs" dxfId="373" priority="4687" operator="equal">
      <formula>"CLE"</formula>
    </cfRule>
    <cfRule type="cellIs" dxfId="372" priority="4688" operator="equal">
      <formula>"NYJ"</formula>
    </cfRule>
    <cfRule type="cellIs" dxfId="371" priority="4689" operator="equal">
      <formula>"SEA"</formula>
    </cfRule>
    <cfRule type="cellIs" dxfId="370" priority="4691" operator="equal">
      <formula>"LAR"</formula>
    </cfRule>
    <cfRule type="cellIs" dxfId="369" priority="4692" operator="equal">
      <formula>"ATL"</formula>
    </cfRule>
    <cfRule type="cellIs" dxfId="368" priority="4693" operator="equal">
      <formula>"JAX"</formula>
    </cfRule>
    <cfRule type="cellIs" dxfId="367" priority="4694" operator="equal">
      <formula>"CHI"</formula>
    </cfRule>
    <cfRule type="cellIs" dxfId="366" priority="4695" operator="equal">
      <formula>"MIA"</formula>
    </cfRule>
    <cfRule type="cellIs" dxfId="365" priority="4696" operator="equal">
      <formula>"DET"</formula>
    </cfRule>
    <cfRule type="cellIs" dxfId="364" priority="4697" operator="equal">
      <formula>"SF"</formula>
    </cfRule>
    <cfRule type="cellIs" dxfId="363" priority="4698" operator="equal">
      <formula>"WAS"</formula>
    </cfRule>
    <cfRule type="cellIs" dxfId="362" priority="4699" operator="equal">
      <formula>"GB"</formula>
    </cfRule>
    <cfRule type="cellIs" dxfId="361" priority="4700" operator="equal">
      <formula>"DAL"</formula>
    </cfRule>
    <cfRule type="cellIs" dxfId="360" priority="4701" operator="equal">
      <formula>"CIN"</formula>
    </cfRule>
    <cfRule type="cellIs" dxfId="359" priority="4702" operator="equal">
      <formula>"ARI"</formula>
    </cfRule>
    <cfRule type="cellIs" dxfId="358" priority="4703" operator="equal">
      <formula>"HOU"</formula>
    </cfRule>
    <cfRule type="cellIs" dxfId="357" priority="4704" operator="equal">
      <formula>"IND"</formula>
    </cfRule>
    <cfRule type="cellIs" dxfId="356" priority="4705" operator="equal">
      <formula>"KC"</formula>
    </cfRule>
    <cfRule type="cellIs" dxfId="355" priority="4706" operator="equal">
      <formula>"BAL"</formula>
    </cfRule>
    <cfRule type="cellIs" dxfId="354" priority="4707" operator="equal">
      <formula>"PHI"</formula>
    </cfRule>
    <cfRule type="cellIs" dxfId="353" priority="4708" operator="equal">
      <formula>"BUF"</formula>
    </cfRule>
    <cfRule type="cellIs" dxfId="352" priority="4690" operator="equal">
      <formula>"LAC"</formula>
    </cfRule>
  </conditionalFormatting>
  <conditionalFormatting sqref="A575:A592">
    <cfRule type="cellIs" dxfId="351" priority="2635" operator="equal">
      <formula>"LAR"</formula>
    </cfRule>
    <cfRule type="cellIs" dxfId="350" priority="2636" operator="equal">
      <formula>"ATL"</formula>
    </cfRule>
    <cfRule type="cellIs" dxfId="349" priority="2637" operator="equal">
      <formula>"JAX"</formula>
    </cfRule>
    <cfRule type="cellIs" dxfId="348" priority="2638" operator="equal">
      <formula>"CHI"</formula>
    </cfRule>
    <cfRule type="cellIs" dxfId="347" priority="2639" operator="equal">
      <formula>"MIA"</formula>
    </cfRule>
    <cfRule type="cellIs" dxfId="346" priority="2625" operator="equal">
      <formula>"DEN"</formula>
    </cfRule>
    <cfRule type="cellIs" dxfId="345" priority="2641" operator="equal">
      <formula>"SF"</formula>
    </cfRule>
    <cfRule type="cellIs" dxfId="344" priority="2650" operator="equal">
      <formula>"BAL"</formula>
    </cfRule>
    <cfRule type="cellIs" dxfId="343" priority="2651" operator="equal">
      <formula>"PHI"</formula>
    </cfRule>
    <cfRule type="cellIs" dxfId="342" priority="2652" operator="equal">
      <formula>"BUF"</formula>
    </cfRule>
    <cfRule type="cellIs" dxfId="341" priority="2642" operator="equal">
      <formula>"WAS"</formula>
    </cfRule>
    <cfRule type="cellIs" dxfId="340" priority="2643" operator="equal">
      <formula>"GB"</formula>
    </cfRule>
    <cfRule type="cellIs" dxfId="339" priority="2644" operator="equal">
      <formula>"DAL"</formula>
    </cfRule>
    <cfRule type="cellIs" dxfId="338" priority="2645" operator="equal">
      <formula>"CIN"</formula>
    </cfRule>
    <cfRule type="cellIs" dxfId="337" priority="2646" operator="equal">
      <formula>"ARI"</formula>
    </cfRule>
    <cfRule type="cellIs" dxfId="336" priority="2640" operator="equal">
      <formula>"DET"</formula>
    </cfRule>
    <cfRule type="cellIs" dxfId="335" priority="2647" operator="equal">
      <formula>"HOU"</formula>
    </cfRule>
    <cfRule type="cellIs" dxfId="334" priority="2648" operator="equal">
      <formula>"IND"</formula>
    </cfRule>
    <cfRule type="cellIs" dxfId="333" priority="2649" operator="equal">
      <formula>"KC"</formula>
    </cfRule>
    <cfRule type="cellIs" dxfId="332" priority="2624" operator="equal">
      <formula>"PIT"</formula>
    </cfRule>
    <cfRule type="cellIs" dxfId="331" priority="2622" operator="equal">
      <formula>"NE"</formula>
    </cfRule>
    <cfRule type="cellIs" dxfId="330" priority="2623" operator="equal">
      <formula>"MIN"</formula>
    </cfRule>
    <cfRule type="cellIs" dxfId="329" priority="2621" operator="equal">
      <formula>"LV"</formula>
    </cfRule>
    <cfRule type="cellIs" dxfId="328" priority="2626" operator="equal">
      <formula>"CAR"</formula>
    </cfRule>
    <cfRule type="cellIs" dxfId="327" priority="2627" operator="equal">
      <formula>"NYG"</formula>
    </cfRule>
    <cfRule type="cellIs" dxfId="326" priority="2628" operator="equal">
      <formula>"NO"</formula>
    </cfRule>
    <cfRule type="cellIs" dxfId="325" priority="2629" operator="equal">
      <formula>"TEN"</formula>
    </cfRule>
    <cfRule type="cellIs" dxfId="324" priority="2630" operator="equal">
      <formula>"TB"</formula>
    </cfRule>
    <cfRule type="cellIs" dxfId="323" priority="2631" operator="equal">
      <formula>"CLE"</formula>
    </cfRule>
    <cfRule type="cellIs" dxfId="322" priority="2632" operator="equal">
      <formula>"NYJ"</formula>
    </cfRule>
    <cfRule type="cellIs" dxfId="321" priority="2633" operator="equal">
      <formula>"SEA"</formula>
    </cfRule>
    <cfRule type="cellIs" dxfId="320" priority="2634" operator="equal">
      <formula>"LAC"</formula>
    </cfRule>
  </conditionalFormatting>
  <conditionalFormatting sqref="A595">
    <cfRule type="cellIs" dxfId="319" priority="4633" operator="equal">
      <formula>"JAX"</formula>
    </cfRule>
    <cfRule type="cellIs" dxfId="318" priority="4634" operator="equal">
      <formula>"CHI"</formula>
    </cfRule>
    <cfRule type="cellIs" dxfId="317" priority="4635" operator="equal">
      <formula>"MIA"</formula>
    </cfRule>
    <cfRule type="cellIs" dxfId="316" priority="4636" operator="equal">
      <formula>"DET"</formula>
    </cfRule>
    <cfRule type="cellIs" dxfId="315" priority="4637" operator="equal">
      <formula>"SF"</formula>
    </cfRule>
    <cfRule type="cellIs" dxfId="314" priority="4638" operator="equal">
      <formula>"WAS"</formula>
    </cfRule>
    <cfRule type="cellIs" dxfId="313" priority="4639" operator="equal">
      <formula>"GB"</formula>
    </cfRule>
    <cfRule type="cellIs" dxfId="312" priority="4640" operator="equal">
      <formula>"DAL"</formula>
    </cfRule>
    <cfRule type="cellIs" dxfId="311" priority="4641" operator="equal">
      <formula>"CIN"</formula>
    </cfRule>
    <cfRule type="cellIs" dxfId="310" priority="4642" operator="equal">
      <formula>"ARI"</formula>
    </cfRule>
    <cfRule type="cellIs" dxfId="309" priority="4643" operator="equal">
      <formula>"HOU"</formula>
    </cfRule>
    <cfRule type="cellIs" dxfId="308" priority="4644" operator="equal">
      <formula>"IND"</formula>
    </cfRule>
    <cfRule type="cellIs" dxfId="307" priority="4645" operator="equal">
      <formula>"KC"</formula>
    </cfRule>
    <cfRule type="cellIs" dxfId="306" priority="4646" operator="equal">
      <formula>"BAL"</formula>
    </cfRule>
    <cfRule type="cellIs" dxfId="305" priority="4647" operator="equal">
      <formula>"PHI"</formula>
    </cfRule>
    <cfRule type="cellIs" dxfId="304" priority="4648" operator="equal">
      <formula>"BUF"</formula>
    </cfRule>
    <cfRule type="cellIs" dxfId="303" priority="4627" operator="equal">
      <formula>"CLE"</formula>
    </cfRule>
    <cfRule type="cellIs" dxfId="302" priority="4628" operator="equal">
      <formula>"NYJ"</formula>
    </cfRule>
    <cfRule type="cellIs" dxfId="301" priority="4626" operator="equal">
      <formula>"TB"</formula>
    </cfRule>
    <cfRule type="cellIs" dxfId="300" priority="4625" operator="equal">
      <formula>"TEN"</formula>
    </cfRule>
    <cfRule type="cellIs" dxfId="299" priority="4624" operator="equal">
      <formula>"NO"</formula>
    </cfRule>
    <cfRule type="cellIs" dxfId="298" priority="4623" operator="equal">
      <formula>"NYG"</formula>
    </cfRule>
    <cfRule type="cellIs" dxfId="297" priority="4622" operator="equal">
      <formula>"CAR"</formula>
    </cfRule>
    <cfRule type="cellIs" dxfId="296" priority="4621" operator="equal">
      <formula>"DEN"</formula>
    </cfRule>
    <cfRule type="cellIs" dxfId="295" priority="4620" operator="equal">
      <formula>"PIT"</formula>
    </cfRule>
    <cfRule type="cellIs" dxfId="294" priority="4629" operator="equal">
      <formula>"SEA"</formula>
    </cfRule>
    <cfRule type="cellIs" dxfId="293" priority="4619" operator="equal">
      <formula>"MIN"</formula>
    </cfRule>
    <cfRule type="cellIs" dxfId="292" priority="4618" operator="equal">
      <formula>"NE"</formula>
    </cfRule>
    <cfRule type="cellIs" dxfId="291" priority="4617" operator="equal">
      <formula>"LV"</formula>
    </cfRule>
    <cfRule type="cellIs" dxfId="290" priority="4630" operator="equal">
      <formula>"LAC"</formula>
    </cfRule>
    <cfRule type="cellIs" dxfId="289" priority="4631" operator="equal">
      <formula>"LAR"</formula>
    </cfRule>
    <cfRule type="cellIs" dxfId="288" priority="4632" operator="equal">
      <formula>"ATL"</formula>
    </cfRule>
  </conditionalFormatting>
  <conditionalFormatting sqref="A597:A614">
    <cfRule type="cellIs" dxfId="287" priority="1817" operator="equal">
      <formula>"KC"</formula>
    </cfRule>
    <cfRule type="cellIs" dxfId="286" priority="1798" operator="equal">
      <formula>"TB"</formula>
    </cfRule>
    <cfRule type="cellIs" dxfId="285" priority="1818" operator="equal">
      <formula>"BAL"</formula>
    </cfRule>
    <cfRule type="cellIs" dxfId="284" priority="1819" operator="equal">
      <formula>"PHI"</formula>
    </cfRule>
    <cfRule type="cellIs" dxfId="283" priority="1820" operator="equal">
      <formula>"BUF"</formula>
    </cfRule>
    <cfRule type="cellIs" dxfId="282" priority="1797" operator="equal">
      <formula>"TEN"</formula>
    </cfRule>
    <cfRule type="cellIs" dxfId="281" priority="2557" operator="equal">
      <formula>"LV"</formula>
    </cfRule>
    <cfRule type="cellIs" dxfId="280" priority="1796" operator="equal">
      <formula>"NO"</formula>
    </cfRule>
    <cfRule type="cellIs" dxfId="279" priority="2558" operator="equal">
      <formula>"NE"</formula>
    </cfRule>
    <cfRule type="cellIs" dxfId="278" priority="1803" operator="equal">
      <formula>"LAR"</formula>
    </cfRule>
    <cfRule type="cellIs" dxfId="277" priority="1792" operator="equal">
      <formula>"PIT"</formula>
    </cfRule>
    <cfRule type="cellIs" dxfId="276" priority="1795" operator="equal">
      <formula>"NYG"</formula>
    </cfRule>
    <cfRule type="cellIs" dxfId="275" priority="1794" operator="equal">
      <formula>"CAR"</formula>
    </cfRule>
    <cfRule type="cellIs" dxfId="274" priority="1802" operator="equal">
      <formula>"LAC"</formula>
    </cfRule>
    <cfRule type="cellIs" dxfId="273" priority="2559" operator="equal">
      <formula>"MIN"</formula>
    </cfRule>
    <cfRule type="cellIs" dxfId="272" priority="1801" operator="equal">
      <formula>"SEA"</formula>
    </cfRule>
    <cfRule type="cellIs" dxfId="271" priority="1800" operator="equal">
      <formula>"NYJ"</formula>
    </cfRule>
    <cfRule type="cellIs" dxfId="270" priority="1793" operator="equal">
      <formula>"DEN"</formula>
    </cfRule>
    <cfRule type="cellIs" dxfId="269" priority="1804" operator="equal">
      <formula>"ATL"</formula>
    </cfRule>
    <cfRule type="cellIs" dxfId="268" priority="1805" operator="equal">
      <formula>"JAX"</formula>
    </cfRule>
    <cfRule type="cellIs" dxfId="267" priority="1799" operator="equal">
      <formula>"CLE"</formula>
    </cfRule>
    <cfRule type="cellIs" dxfId="266" priority="1806" operator="equal">
      <formula>"CHI"</formula>
    </cfRule>
    <cfRule type="cellIs" dxfId="265" priority="1807" operator="equal">
      <formula>"MIA"</formula>
    </cfRule>
    <cfRule type="cellIs" dxfId="264" priority="1808" operator="equal">
      <formula>"DET"</formula>
    </cfRule>
    <cfRule type="cellIs" dxfId="263" priority="1809" operator="equal">
      <formula>"SF"</formula>
    </cfRule>
    <cfRule type="cellIs" dxfId="262" priority="1810" operator="equal">
      <formula>"WAS"</formula>
    </cfRule>
    <cfRule type="cellIs" dxfId="261" priority="1811" operator="equal">
      <formula>"GB"</formula>
    </cfRule>
    <cfRule type="cellIs" dxfId="260" priority="1812" operator="equal">
      <formula>"DAL"</formula>
    </cfRule>
    <cfRule type="cellIs" dxfId="259" priority="1813" operator="equal">
      <formula>"CIN"</formula>
    </cfRule>
    <cfRule type="cellIs" dxfId="258" priority="1814" operator="equal">
      <formula>"ARI"</formula>
    </cfRule>
    <cfRule type="cellIs" dxfId="257" priority="1815" operator="equal">
      <formula>"HOU"</formula>
    </cfRule>
    <cfRule type="cellIs" dxfId="256" priority="1816" operator="equal">
      <formula>"IND"</formula>
    </cfRule>
  </conditionalFormatting>
  <conditionalFormatting sqref="A617">
    <cfRule type="cellIs" dxfId="255" priority="4587" operator="equal">
      <formula>"PHI"</formula>
    </cfRule>
    <cfRule type="cellIs" dxfId="254" priority="4570" operator="equal">
      <formula>"LAC"</formula>
    </cfRule>
    <cfRule type="cellIs" dxfId="253" priority="4571" operator="equal">
      <formula>"LAR"</formula>
    </cfRule>
    <cfRule type="cellIs" dxfId="252" priority="4572" operator="equal">
      <formula>"ATL"</formula>
    </cfRule>
    <cfRule type="cellIs" dxfId="251" priority="4573" operator="equal">
      <formula>"JAX"</formula>
    </cfRule>
    <cfRule type="cellIs" dxfId="250" priority="4574" operator="equal">
      <formula>"CHI"</formula>
    </cfRule>
    <cfRule type="cellIs" dxfId="249" priority="4575" operator="equal">
      <formula>"MIA"</formula>
    </cfRule>
    <cfRule type="cellIs" dxfId="248" priority="4576" operator="equal">
      <formula>"DET"</formula>
    </cfRule>
    <cfRule type="cellIs" dxfId="247" priority="4577" operator="equal">
      <formula>"SF"</formula>
    </cfRule>
    <cfRule type="cellIs" dxfId="246" priority="4578" operator="equal">
      <formula>"WAS"</formula>
    </cfRule>
    <cfRule type="cellIs" dxfId="245" priority="4579" operator="equal">
      <formula>"GB"</formula>
    </cfRule>
    <cfRule type="cellIs" dxfId="244" priority="4580" operator="equal">
      <formula>"DAL"</formula>
    </cfRule>
    <cfRule type="cellIs" dxfId="243" priority="4581" operator="equal">
      <formula>"CIN"</formula>
    </cfRule>
    <cfRule type="cellIs" dxfId="242" priority="4582" operator="equal">
      <formula>"ARI"</formula>
    </cfRule>
    <cfRule type="cellIs" dxfId="241" priority="4583" operator="equal">
      <formula>"HOU"</formula>
    </cfRule>
    <cfRule type="cellIs" dxfId="240" priority="4562" operator="equal">
      <formula>"CAR"</formula>
    </cfRule>
    <cfRule type="cellIs" dxfId="239" priority="4584" operator="equal">
      <formula>"IND"</formula>
    </cfRule>
    <cfRule type="cellIs" dxfId="238" priority="4585" operator="equal">
      <formula>"KC"</formula>
    </cfRule>
    <cfRule type="cellIs" dxfId="237" priority="4586" operator="equal">
      <formula>"BAL"</formula>
    </cfRule>
    <cfRule type="cellIs" dxfId="236" priority="4588" operator="equal">
      <formula>"BUF"</formula>
    </cfRule>
    <cfRule type="cellIs" dxfId="235" priority="4567" operator="equal">
      <formula>"CLE"</formula>
    </cfRule>
    <cfRule type="cellIs" dxfId="234" priority="4557" operator="equal">
      <formula>"LV"</formula>
    </cfRule>
    <cfRule type="cellIs" dxfId="233" priority="4558" operator="equal">
      <formula>"NE"</formula>
    </cfRule>
    <cfRule type="cellIs" dxfId="232" priority="4559" operator="equal">
      <formula>"MIN"</formula>
    </cfRule>
    <cfRule type="cellIs" dxfId="231" priority="4560" operator="equal">
      <formula>"PIT"</formula>
    </cfRule>
    <cfRule type="cellIs" dxfId="230" priority="4561" operator="equal">
      <formula>"DEN"</formula>
    </cfRule>
    <cfRule type="cellIs" dxfId="229" priority="4563" operator="equal">
      <formula>"NYG"</formula>
    </cfRule>
    <cfRule type="cellIs" dxfId="228" priority="4564" operator="equal">
      <formula>"NO"</formula>
    </cfRule>
    <cfRule type="cellIs" dxfId="227" priority="4565" operator="equal">
      <formula>"TEN"</formula>
    </cfRule>
    <cfRule type="cellIs" dxfId="226" priority="4566" operator="equal">
      <formula>"TB"</formula>
    </cfRule>
    <cfRule type="cellIs" dxfId="225" priority="4568" operator="equal">
      <formula>"NYJ"</formula>
    </cfRule>
    <cfRule type="cellIs" dxfId="224" priority="4569" operator="equal">
      <formula>"SEA"</formula>
    </cfRule>
  </conditionalFormatting>
  <conditionalFormatting sqref="A619:A636">
    <cfRule type="cellIs" dxfId="223" priority="1763" operator="equal">
      <formula>"NYG"</formula>
    </cfRule>
    <cfRule type="cellIs" dxfId="222" priority="1762" operator="equal">
      <formula>"CAR"</formula>
    </cfRule>
    <cfRule type="cellIs" dxfId="221" priority="1761" operator="equal">
      <formula>"DEN"</formula>
    </cfRule>
    <cfRule type="cellIs" dxfId="220" priority="1760" operator="equal">
      <formula>"PIT"</formula>
    </cfRule>
    <cfRule type="cellIs" dxfId="219" priority="1788" operator="equal">
      <formula>"BUF"</formula>
    </cfRule>
    <cfRule type="cellIs" dxfId="218" priority="1771" operator="equal">
      <formula>"LAR"</formula>
    </cfRule>
    <cfRule type="cellIs" dxfId="217" priority="1770" operator="equal">
      <formula>"LAC"</formula>
    </cfRule>
    <cfRule type="cellIs" dxfId="216" priority="1769" operator="equal">
      <formula>"SEA"</formula>
    </cfRule>
    <cfRule type="cellIs" dxfId="215" priority="1787" operator="equal">
      <formula>"PHI"</formula>
    </cfRule>
    <cfRule type="cellIs" dxfId="214" priority="1768" operator="equal">
      <formula>"NYJ"</formula>
    </cfRule>
    <cfRule type="cellIs" dxfId="213" priority="1767" operator="equal">
      <formula>"CLE"</formula>
    </cfRule>
    <cfRule type="cellIs" dxfId="212" priority="1766" operator="equal">
      <formula>"TB"</formula>
    </cfRule>
    <cfRule type="cellIs" dxfId="211" priority="1765" operator="equal">
      <formula>"TEN"</formula>
    </cfRule>
    <cfRule type="cellIs" dxfId="210" priority="1764" operator="equal">
      <formula>"NO"</formula>
    </cfRule>
    <cfRule type="cellIs" dxfId="209" priority="1786" operator="equal">
      <formula>"BAL"</formula>
    </cfRule>
    <cfRule type="cellIs" dxfId="208" priority="1785" operator="equal">
      <formula>"KC"</formula>
    </cfRule>
    <cfRule type="cellIs" dxfId="207" priority="1784" operator="equal">
      <formula>"IND"</formula>
    </cfRule>
    <cfRule type="cellIs" dxfId="206" priority="1782" operator="equal">
      <formula>"ARI"</formula>
    </cfRule>
    <cfRule type="cellIs" dxfId="205" priority="1781" operator="equal">
      <formula>"CIN"</formula>
    </cfRule>
    <cfRule type="cellIs" dxfId="204" priority="1780" operator="equal">
      <formula>"DAL"</formula>
    </cfRule>
    <cfRule type="cellIs" dxfId="203" priority="1779" operator="equal">
      <formula>"GB"</formula>
    </cfRule>
    <cfRule type="cellIs" dxfId="202" priority="1778" operator="equal">
      <formula>"WAS"</formula>
    </cfRule>
    <cfRule type="cellIs" dxfId="201" priority="1777" operator="equal">
      <formula>"SF"</formula>
    </cfRule>
    <cfRule type="cellIs" dxfId="200" priority="1776" operator="equal">
      <formula>"DET"</formula>
    </cfRule>
    <cfRule type="cellIs" dxfId="199" priority="1775" operator="equal">
      <formula>"MIA"</formula>
    </cfRule>
    <cfRule type="cellIs" dxfId="198" priority="1774" operator="equal">
      <formula>"CHI"</formula>
    </cfRule>
    <cfRule type="cellIs" dxfId="197" priority="1773" operator="equal">
      <formula>"JAX"</formula>
    </cfRule>
    <cfRule type="cellIs" dxfId="196" priority="1783" operator="equal">
      <formula>"HOU"</formula>
    </cfRule>
    <cfRule type="cellIs" dxfId="195" priority="1772" operator="equal">
      <formula>"ATL"</formula>
    </cfRule>
    <cfRule type="cellIs" dxfId="194" priority="2493" operator="equal">
      <formula>"LV"</formula>
    </cfRule>
    <cfRule type="cellIs" dxfId="193" priority="2495" operator="equal">
      <formula>"MIN"</formula>
    </cfRule>
    <cfRule type="cellIs" dxfId="192" priority="2494" operator="equal">
      <formula>"NE"</formula>
    </cfRule>
  </conditionalFormatting>
  <conditionalFormatting sqref="A639">
    <cfRule type="cellIs" dxfId="191" priority="4506" operator="equal">
      <formula>"TB"</formula>
    </cfRule>
    <cfRule type="cellIs" dxfId="190" priority="4514" operator="equal">
      <formula>"CHI"</formula>
    </cfRule>
    <cfRule type="cellIs" dxfId="189" priority="4513" operator="equal">
      <formula>"JAX"</formula>
    </cfRule>
    <cfRule type="cellIs" dxfId="188" priority="4512" operator="equal">
      <formula>"ATL"</formula>
    </cfRule>
    <cfRule type="cellIs" dxfId="187" priority="4528" operator="equal">
      <formula>"BUF"</formula>
    </cfRule>
    <cfRule type="cellIs" dxfId="186" priority="4511" operator="equal">
      <formula>"LAR"</formula>
    </cfRule>
    <cfRule type="cellIs" dxfId="185" priority="4510" operator="equal">
      <formula>"LAC"</formula>
    </cfRule>
    <cfRule type="cellIs" dxfId="184" priority="4509" operator="equal">
      <formula>"SEA"</formula>
    </cfRule>
    <cfRule type="cellIs" dxfId="183" priority="4508" operator="equal">
      <formula>"NYJ"</formula>
    </cfRule>
    <cfRule type="cellIs" dxfId="182" priority="4507" operator="equal">
      <formula>"CLE"</formula>
    </cfRule>
    <cfRule type="cellIs" dxfId="181" priority="4505" operator="equal">
      <formula>"TEN"</formula>
    </cfRule>
    <cfRule type="cellIs" dxfId="180" priority="4504" operator="equal">
      <formula>"NO"</formula>
    </cfRule>
    <cfRule type="cellIs" dxfId="179" priority="4503" operator="equal">
      <formula>"NYG"</formula>
    </cfRule>
    <cfRule type="cellIs" dxfId="178" priority="4502" operator="equal">
      <formula>"CAR"</formula>
    </cfRule>
    <cfRule type="cellIs" dxfId="177" priority="4501" operator="equal">
      <formula>"DEN"</formula>
    </cfRule>
    <cfRule type="cellIs" dxfId="176" priority="4500" operator="equal">
      <formula>"PIT"</formula>
    </cfRule>
    <cfRule type="cellIs" dxfId="175" priority="4497" operator="equal">
      <formula>"LV"</formula>
    </cfRule>
    <cfRule type="cellIs" dxfId="174" priority="4526" operator="equal">
      <formula>"BAL"</formula>
    </cfRule>
    <cfRule type="cellIs" dxfId="173" priority="4499" operator="equal">
      <formula>"MIN"</formula>
    </cfRule>
    <cfRule type="cellIs" dxfId="172" priority="4498" operator="equal">
      <formula>"NE"</formula>
    </cfRule>
    <cfRule type="cellIs" dxfId="171" priority="4527" operator="equal">
      <formula>"PHI"</formula>
    </cfRule>
    <cfRule type="cellIs" dxfId="170" priority="4525" operator="equal">
      <formula>"KC"</formula>
    </cfRule>
    <cfRule type="cellIs" dxfId="169" priority="4524" operator="equal">
      <formula>"IND"</formula>
    </cfRule>
    <cfRule type="cellIs" dxfId="168" priority="4515" operator="equal">
      <formula>"MIA"</formula>
    </cfRule>
    <cfRule type="cellIs" dxfId="167" priority="4522" operator="equal">
      <formula>"ARI"</formula>
    </cfRule>
    <cfRule type="cellIs" dxfId="166" priority="4521" operator="equal">
      <formula>"CIN"</formula>
    </cfRule>
    <cfRule type="cellIs" dxfId="165" priority="4520" operator="equal">
      <formula>"DAL"</formula>
    </cfRule>
    <cfRule type="cellIs" dxfId="164" priority="4519" operator="equal">
      <formula>"GB"</formula>
    </cfRule>
    <cfRule type="cellIs" dxfId="163" priority="4518" operator="equal">
      <formula>"WAS"</formula>
    </cfRule>
    <cfRule type="cellIs" dxfId="162" priority="4517" operator="equal">
      <formula>"SF"</formula>
    </cfRule>
    <cfRule type="cellIs" dxfId="161" priority="4516" operator="equal">
      <formula>"DET"</formula>
    </cfRule>
    <cfRule type="cellIs" dxfId="160" priority="4523" operator="equal">
      <formula>"HOU"</formula>
    </cfRule>
  </conditionalFormatting>
  <conditionalFormatting sqref="A641:A658">
    <cfRule type="cellIs" dxfId="159" priority="2458" operator="equal">
      <formula>"BAL"</formula>
    </cfRule>
    <cfRule type="cellIs" dxfId="158" priority="2459" operator="equal">
      <formula>"PHI"</formula>
    </cfRule>
    <cfRule type="cellIs" dxfId="157" priority="2460" operator="equal">
      <formula>"BUF"</formula>
    </cfRule>
    <cfRule type="cellIs" dxfId="156" priority="2429" operator="equal">
      <formula>"LV"</formula>
    </cfRule>
    <cfRule type="cellIs" dxfId="155" priority="2430" operator="equal">
      <formula>"NE"</formula>
    </cfRule>
    <cfRule type="cellIs" dxfId="154" priority="2431" operator="equal">
      <formula>"MIN"</formula>
    </cfRule>
    <cfRule type="cellIs" dxfId="153" priority="2432" operator="equal">
      <formula>"PIT"</formula>
    </cfRule>
    <cfRule type="cellIs" dxfId="152" priority="2433" operator="equal">
      <formula>"DEN"</formula>
    </cfRule>
    <cfRule type="cellIs" dxfId="151" priority="2434" operator="equal">
      <formula>"CAR"</formula>
    </cfRule>
    <cfRule type="cellIs" dxfId="150" priority="2435" operator="equal">
      <formula>"NYG"</formula>
    </cfRule>
    <cfRule type="cellIs" dxfId="149" priority="2436" operator="equal">
      <formula>"NO"</formula>
    </cfRule>
    <cfRule type="cellIs" dxfId="148" priority="2437" operator="equal">
      <formula>"TEN"</formula>
    </cfRule>
    <cfRule type="cellIs" dxfId="147" priority="2438" operator="equal">
      <formula>"TB"</formula>
    </cfRule>
    <cfRule type="cellIs" dxfId="146" priority="2439" operator="equal">
      <formula>"CLE"</formula>
    </cfRule>
    <cfRule type="cellIs" dxfId="145" priority="2440" operator="equal">
      <formula>"NYJ"</formula>
    </cfRule>
    <cfRule type="cellIs" dxfId="144" priority="2441" operator="equal">
      <formula>"SEA"</formula>
    </cfRule>
    <cfRule type="cellIs" dxfId="143" priority="2442" operator="equal">
      <formula>"LAC"</formula>
    </cfRule>
    <cfRule type="cellIs" dxfId="142" priority="2443" operator="equal">
      <formula>"LAR"</formula>
    </cfRule>
    <cfRule type="cellIs" dxfId="141" priority="2444" operator="equal">
      <formula>"ATL"</formula>
    </cfRule>
    <cfRule type="cellIs" dxfId="140" priority="2445" operator="equal">
      <formula>"JAX"</formula>
    </cfRule>
    <cfRule type="cellIs" dxfId="139" priority="2446" operator="equal">
      <formula>"CHI"</formula>
    </cfRule>
    <cfRule type="cellIs" dxfId="138" priority="2447" operator="equal">
      <formula>"MIA"</formula>
    </cfRule>
    <cfRule type="cellIs" dxfId="137" priority="2448" operator="equal">
      <formula>"DET"</formula>
    </cfRule>
    <cfRule type="cellIs" dxfId="136" priority="2449" operator="equal">
      <formula>"SF"</formula>
    </cfRule>
    <cfRule type="cellIs" dxfId="135" priority="2450" operator="equal">
      <formula>"WAS"</formula>
    </cfRule>
    <cfRule type="cellIs" dxfId="134" priority="2451" operator="equal">
      <formula>"GB"</formula>
    </cfRule>
    <cfRule type="cellIs" dxfId="133" priority="2452" operator="equal">
      <formula>"DAL"</formula>
    </cfRule>
    <cfRule type="cellIs" dxfId="132" priority="2453" operator="equal">
      <formula>"CIN"</formula>
    </cfRule>
    <cfRule type="cellIs" dxfId="131" priority="2454" operator="equal">
      <formula>"ARI"</formula>
    </cfRule>
    <cfRule type="cellIs" dxfId="130" priority="2455" operator="equal">
      <formula>"HOU"</formula>
    </cfRule>
    <cfRule type="cellIs" dxfId="129" priority="2456" operator="equal">
      <formula>"IND"</formula>
    </cfRule>
    <cfRule type="cellIs" dxfId="128" priority="2457" operator="equal">
      <formula>"KC"</formula>
    </cfRule>
  </conditionalFormatting>
  <conditionalFormatting sqref="A661">
    <cfRule type="cellIs" dxfId="127" priority="4467" operator="equal">
      <formula>"PHI"</formula>
    </cfRule>
    <cfRule type="cellIs" dxfId="126" priority="4465" operator="equal">
      <formula>"KC"</formula>
    </cfRule>
    <cfRule type="cellIs" dxfId="125" priority="4466" operator="equal">
      <formula>"BAL"</formula>
    </cfRule>
    <cfRule type="cellIs" dxfId="124" priority="4468" operator="equal">
      <formula>"BUF"</formula>
    </cfRule>
    <cfRule type="cellIs" dxfId="123" priority="4437" operator="equal">
      <formula>"LV"</formula>
    </cfRule>
    <cfRule type="cellIs" dxfId="122" priority="4438" operator="equal">
      <formula>"NE"</formula>
    </cfRule>
    <cfRule type="cellIs" dxfId="121" priority="4439" operator="equal">
      <formula>"MIN"</formula>
    </cfRule>
    <cfRule type="cellIs" dxfId="120" priority="4440" operator="equal">
      <formula>"PIT"</formula>
    </cfRule>
    <cfRule type="cellIs" dxfId="119" priority="4441" operator="equal">
      <formula>"DEN"</formula>
    </cfRule>
    <cfRule type="cellIs" dxfId="118" priority="4442" operator="equal">
      <formula>"CAR"</formula>
    </cfRule>
    <cfRule type="cellIs" dxfId="117" priority="4443" operator="equal">
      <formula>"NYG"</formula>
    </cfRule>
    <cfRule type="cellIs" dxfId="116" priority="4444" operator="equal">
      <formula>"NO"</formula>
    </cfRule>
    <cfRule type="cellIs" dxfId="115" priority="4445" operator="equal">
      <formula>"TEN"</formula>
    </cfRule>
    <cfRule type="cellIs" dxfId="114" priority="4446" operator="equal">
      <formula>"TB"</formula>
    </cfRule>
    <cfRule type="cellIs" dxfId="113" priority="4447" operator="equal">
      <formula>"CLE"</formula>
    </cfRule>
    <cfRule type="cellIs" dxfId="112" priority="4448" operator="equal">
      <formula>"NYJ"</formula>
    </cfRule>
    <cfRule type="cellIs" dxfId="111" priority="4449" operator="equal">
      <formula>"SEA"</formula>
    </cfRule>
    <cfRule type="cellIs" dxfId="110" priority="4450" operator="equal">
      <formula>"LAC"</formula>
    </cfRule>
    <cfRule type="cellIs" dxfId="109" priority="4451" operator="equal">
      <formula>"LAR"</formula>
    </cfRule>
    <cfRule type="cellIs" dxfId="108" priority="4452" operator="equal">
      <formula>"ATL"</formula>
    </cfRule>
    <cfRule type="cellIs" dxfId="107" priority="4453" operator="equal">
      <formula>"JAX"</formula>
    </cfRule>
    <cfRule type="cellIs" dxfId="106" priority="4454" operator="equal">
      <formula>"CHI"</formula>
    </cfRule>
    <cfRule type="cellIs" dxfId="105" priority="4455" operator="equal">
      <formula>"MIA"</formula>
    </cfRule>
    <cfRule type="cellIs" dxfId="104" priority="4456" operator="equal">
      <formula>"DET"</formula>
    </cfRule>
    <cfRule type="cellIs" dxfId="103" priority="4457" operator="equal">
      <formula>"SF"</formula>
    </cfRule>
    <cfRule type="cellIs" dxfId="102" priority="4458" operator="equal">
      <formula>"WAS"</formula>
    </cfRule>
    <cfRule type="cellIs" dxfId="101" priority="4459" operator="equal">
      <formula>"GB"</formula>
    </cfRule>
    <cfRule type="cellIs" dxfId="100" priority="4460" operator="equal">
      <formula>"DAL"</formula>
    </cfRule>
    <cfRule type="cellIs" dxfId="99" priority="4461" operator="equal">
      <formula>"CIN"</formula>
    </cfRule>
    <cfRule type="cellIs" dxfId="98" priority="4462" operator="equal">
      <formula>"ARI"</formula>
    </cfRule>
    <cfRule type="cellIs" dxfId="97" priority="4463" operator="equal">
      <formula>"HOU"</formula>
    </cfRule>
    <cfRule type="cellIs" dxfId="96" priority="4464" operator="equal">
      <formula>"IND"</formula>
    </cfRule>
  </conditionalFormatting>
  <conditionalFormatting sqref="A663:A680">
    <cfRule type="cellIs" dxfId="95" priority="1744" operator="equal">
      <formula>"DET"</formula>
    </cfRule>
    <cfRule type="cellIs" dxfId="94" priority="1734" operator="equal">
      <formula>"TB"</formula>
    </cfRule>
    <cfRule type="cellIs" dxfId="93" priority="1735" operator="equal">
      <formula>"CLE"</formula>
    </cfRule>
    <cfRule type="cellIs" dxfId="92" priority="1733" operator="equal">
      <formula>"TEN"</formula>
    </cfRule>
    <cfRule type="cellIs" dxfId="91" priority="1745" operator="equal">
      <formula>"SF"</formula>
    </cfRule>
    <cfRule type="cellIs" dxfId="90" priority="1736" operator="equal">
      <formula>"NYJ"</formula>
    </cfRule>
    <cfRule type="cellIs" dxfId="89" priority="1737" operator="equal">
      <formula>"SEA"</formula>
    </cfRule>
    <cfRule type="cellIs" dxfId="88" priority="1738" operator="equal">
      <formula>"LAC"</formula>
    </cfRule>
    <cfRule type="cellIs" dxfId="87" priority="1739" operator="equal">
      <formula>"LAR"</formula>
    </cfRule>
    <cfRule type="cellIs" dxfId="86" priority="1740" operator="equal">
      <formula>"ATL"</formula>
    </cfRule>
    <cfRule type="cellIs" dxfId="85" priority="1741" operator="equal">
      <formula>"JAX"</formula>
    </cfRule>
    <cfRule type="cellIs" dxfId="84" priority="1742" operator="equal">
      <formula>"CHI"</formula>
    </cfRule>
    <cfRule type="cellIs" dxfId="83" priority="1746" operator="equal">
      <formula>"WAS"</formula>
    </cfRule>
    <cfRule type="cellIs" dxfId="82" priority="1747" operator="equal">
      <formula>"GB"</formula>
    </cfRule>
    <cfRule type="cellIs" dxfId="81" priority="1748" operator="equal">
      <formula>"DAL"</formula>
    </cfRule>
    <cfRule type="cellIs" dxfId="80" priority="1743" operator="equal">
      <formula>"MIA"</formula>
    </cfRule>
    <cfRule type="cellIs" dxfId="79" priority="1729" operator="equal">
      <formula>"DEN"</formula>
    </cfRule>
    <cfRule type="cellIs" dxfId="78" priority="1749" operator="equal">
      <formula>"CIN"</formula>
    </cfRule>
    <cfRule type="cellIs" dxfId="77" priority="1750" operator="equal">
      <formula>"ARI"</formula>
    </cfRule>
    <cfRule type="cellIs" dxfId="76" priority="1751" operator="equal">
      <formula>"HOU"</formula>
    </cfRule>
    <cfRule type="cellIs" dxfId="75" priority="1756" operator="equal">
      <formula>"BUF"</formula>
    </cfRule>
    <cfRule type="cellIs" dxfId="74" priority="1755" operator="equal">
      <formula>"PHI"</formula>
    </cfRule>
    <cfRule type="cellIs" dxfId="73" priority="1728" operator="equal">
      <formula>"PIT"</formula>
    </cfRule>
    <cfRule type="cellIs" dxfId="72" priority="1730" operator="equal">
      <formula>"CAR"</formula>
    </cfRule>
    <cfRule type="cellIs" dxfId="71" priority="1752" operator="equal">
      <formula>"IND"</formula>
    </cfRule>
    <cfRule type="cellIs" dxfId="70" priority="1753" operator="equal">
      <formula>"KC"</formula>
    </cfRule>
    <cfRule type="cellIs" dxfId="69" priority="1754" operator="equal">
      <formula>"BAL"</formula>
    </cfRule>
    <cfRule type="cellIs" dxfId="68" priority="2367" operator="equal">
      <formula>"MIN"</formula>
    </cfRule>
    <cfRule type="cellIs" dxfId="67" priority="1731" operator="equal">
      <formula>"NYG"</formula>
    </cfRule>
    <cfRule type="cellIs" dxfId="66" priority="1732" operator="equal">
      <formula>"NO"</formula>
    </cfRule>
    <cfRule type="cellIs" dxfId="65" priority="2366" operator="equal">
      <formula>"NE"</formula>
    </cfRule>
    <cfRule type="cellIs" dxfId="64" priority="2365" operator="equal">
      <formula>"LV"</formula>
    </cfRule>
  </conditionalFormatting>
  <conditionalFormatting sqref="A683">
    <cfRule type="cellIs" dxfId="63" priority="4406" operator="equal">
      <formula>"BAL"</formula>
    </cfRule>
    <cfRule type="cellIs" dxfId="62" priority="4407" operator="equal">
      <formula>"PHI"</formula>
    </cfRule>
    <cfRule type="cellIs" dxfId="61" priority="4408" operator="equal">
      <formula>"BUF"</formula>
    </cfRule>
    <cfRule type="cellIs" dxfId="60" priority="4390" operator="equal">
      <formula>"LAC"</formula>
    </cfRule>
    <cfRule type="cellIs" dxfId="59" priority="4379" operator="equal">
      <formula>"MIN"</formula>
    </cfRule>
    <cfRule type="cellIs" dxfId="58" priority="4378" operator="equal">
      <formula>"NE"</formula>
    </cfRule>
    <cfRule type="cellIs" dxfId="57" priority="4377" operator="equal">
      <formula>"LV"</formula>
    </cfRule>
    <cfRule type="cellIs" dxfId="56" priority="4389" operator="equal">
      <formula>"SEA"</formula>
    </cfRule>
    <cfRule type="cellIs" dxfId="55" priority="4388" operator="equal">
      <formula>"NYJ"</formula>
    </cfRule>
    <cfRule type="cellIs" dxfId="54" priority="4387" operator="equal">
      <formula>"CLE"</formula>
    </cfRule>
    <cfRule type="cellIs" dxfId="53" priority="4386" operator="equal">
      <formula>"TB"</formula>
    </cfRule>
    <cfRule type="cellIs" dxfId="52" priority="4381" operator="equal">
      <formula>"DEN"</formula>
    </cfRule>
    <cfRule type="cellIs" dxfId="51" priority="4402" operator="equal">
      <formula>"ARI"</formula>
    </cfRule>
    <cfRule type="cellIs" dxfId="50" priority="4401" operator="equal">
      <formula>"CIN"</formula>
    </cfRule>
    <cfRule type="cellIs" dxfId="49" priority="4400" operator="equal">
      <formula>"DAL"</formula>
    </cfRule>
    <cfRule type="cellIs" dxfId="48" priority="4399" operator="equal">
      <formula>"GB"</formula>
    </cfRule>
    <cfRule type="cellIs" dxfId="47" priority="4405" operator="equal">
      <formula>"KC"</formula>
    </cfRule>
    <cfRule type="cellIs" dxfId="46" priority="4380" operator="equal">
      <formula>"PIT"</formula>
    </cfRule>
    <cfRule type="cellIs" dxfId="45" priority="4384" operator="equal">
      <formula>"NO"</formula>
    </cfRule>
    <cfRule type="cellIs" dxfId="44" priority="4404" operator="equal">
      <formula>"IND"</formula>
    </cfRule>
    <cfRule type="cellIs" dxfId="43" priority="4397" operator="equal">
      <formula>"SF"</formula>
    </cfRule>
    <cfRule type="cellIs" dxfId="42" priority="4396" operator="equal">
      <formula>"DET"</formula>
    </cfRule>
    <cfRule type="cellIs" dxfId="41" priority="4395" operator="equal">
      <formula>"MIA"</formula>
    </cfRule>
    <cfRule type="cellIs" dxfId="40" priority="4383" operator="equal">
      <formula>"NYG"</formula>
    </cfRule>
    <cfRule type="cellIs" dxfId="39" priority="4403" operator="equal">
      <formula>"HOU"</formula>
    </cfRule>
    <cfRule type="cellIs" dxfId="38" priority="4382" operator="equal">
      <formula>"CAR"</formula>
    </cfRule>
    <cfRule type="cellIs" dxfId="37" priority="4394" operator="equal">
      <formula>"CHI"</formula>
    </cfRule>
    <cfRule type="cellIs" dxfId="36" priority="4393" operator="equal">
      <formula>"JAX"</formula>
    </cfRule>
    <cfRule type="cellIs" dxfId="35" priority="4392" operator="equal">
      <formula>"ATL"</formula>
    </cfRule>
    <cfRule type="cellIs" dxfId="34" priority="4391" operator="equal">
      <formula>"LAR"</formula>
    </cfRule>
    <cfRule type="cellIs" dxfId="33" priority="4385" operator="equal">
      <formula>"TEN"</formula>
    </cfRule>
    <cfRule type="cellIs" dxfId="32" priority="4398" operator="equal">
      <formula>"WAS"</formula>
    </cfRule>
  </conditionalFormatting>
  <conditionalFormatting sqref="A685:A702">
    <cfRule type="cellIs" dxfId="31" priority="2326" operator="equal">
      <formula>"ARI"</formula>
    </cfRule>
    <cfRule type="cellIs" dxfId="30" priority="2325" operator="equal">
      <formula>"CIN"</formula>
    </cfRule>
    <cfRule type="cellIs" dxfId="29" priority="2324" operator="equal">
      <formula>"DAL"</formula>
    </cfRule>
    <cfRule type="cellIs" dxfId="28" priority="2323" operator="equal">
      <formula>"GB"</formula>
    </cfRule>
    <cfRule type="cellIs" dxfId="27" priority="2322" operator="equal">
      <formula>"WAS"</formula>
    </cfRule>
    <cfRule type="cellIs" dxfId="26" priority="2321" operator="equal">
      <formula>"SF"</formula>
    </cfRule>
    <cfRule type="cellIs" dxfId="25" priority="2320" operator="equal">
      <formula>"DET"</formula>
    </cfRule>
    <cfRule type="cellIs" dxfId="24" priority="2319" operator="equal">
      <formula>"MIA"</formula>
    </cfRule>
    <cfRule type="cellIs" dxfId="23" priority="2318" operator="equal">
      <formula>"CHI"</formula>
    </cfRule>
    <cfRule type="cellIs" dxfId="22" priority="2317" operator="equal">
      <formula>"JAX"</formula>
    </cfRule>
    <cfRule type="cellIs" dxfId="21" priority="2316" operator="equal">
      <formula>"ATL"</formula>
    </cfRule>
    <cfRule type="cellIs" dxfId="20" priority="2315" operator="equal">
      <formula>"LAR"</formula>
    </cfRule>
    <cfRule type="cellIs" dxfId="19" priority="2314" operator="equal">
      <formula>"LAC"</formula>
    </cfRule>
    <cfRule type="cellIs" dxfId="18" priority="2313" operator="equal">
      <formula>"SEA"</formula>
    </cfRule>
    <cfRule type="cellIs" dxfId="17" priority="2312" operator="equal">
      <formula>"NYJ"</formula>
    </cfRule>
    <cfRule type="cellIs" dxfId="16" priority="2311" operator="equal">
      <formula>"CLE"</formula>
    </cfRule>
    <cfRule type="cellIs" dxfId="15" priority="2310" operator="equal">
      <formula>"TB"</formula>
    </cfRule>
    <cfRule type="cellIs" dxfId="14" priority="2309" operator="equal">
      <formula>"TEN"</formula>
    </cfRule>
    <cfRule type="cellIs" dxfId="13" priority="2308" operator="equal">
      <formula>"NO"</formula>
    </cfRule>
    <cfRule type="cellIs" dxfId="12" priority="2307" operator="equal">
      <formula>"NYG"</formula>
    </cfRule>
    <cfRule type="cellIs" dxfId="11" priority="2306" operator="equal">
      <formula>"CAR"</formula>
    </cfRule>
    <cfRule type="cellIs" dxfId="10" priority="2305" operator="equal">
      <formula>"DEN"</formula>
    </cfRule>
    <cfRule type="cellIs" dxfId="9" priority="2304" operator="equal">
      <formula>"PIT"</formula>
    </cfRule>
    <cfRule type="cellIs" dxfId="8" priority="2303" operator="equal">
      <formula>"MIN"</formula>
    </cfRule>
    <cfRule type="cellIs" dxfId="7" priority="2302" operator="equal">
      <formula>"NE"</formula>
    </cfRule>
    <cfRule type="cellIs" dxfId="6" priority="2301" operator="equal">
      <formula>"LV"</formula>
    </cfRule>
    <cfRule type="cellIs" dxfId="5" priority="2332" operator="equal">
      <formula>"BUF"</formula>
    </cfRule>
    <cfRule type="cellIs" dxfId="4" priority="2331" operator="equal">
      <formula>"PHI"</formula>
    </cfRule>
    <cfRule type="cellIs" dxfId="3" priority="2330" operator="equal">
      <formula>"BAL"</formula>
    </cfRule>
    <cfRule type="cellIs" dxfId="2" priority="2329" operator="equal">
      <formula>"KC"</formula>
    </cfRule>
    <cfRule type="cellIs" dxfId="1" priority="2328" operator="equal">
      <formula>"IND"</formula>
    </cfRule>
    <cfRule type="cellIs" dxfId="0" priority="2327" operator="equal">
      <formula>"HOU"</formula>
    </cfRule>
  </conditionalFormatting>
  <conditionalFormatting sqref="C3:C20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C42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C64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:C86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1:C108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3:C130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5:C152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7:C174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9:C196">
    <cfRule type="colorScale" priority="5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1:C218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3:C240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5:C262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7:C284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9:C306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1:C328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3:C350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5:C372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7:C394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9:C416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1:C438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3:C460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5:C482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7:C504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9:C526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1:C548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3:C570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5:C592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7:C614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19:C63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1:C65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63:C680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5:C70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0">
    <cfRule type="colorScale" priority="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D42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D64">
    <cfRule type="colorScale" priority="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86">
    <cfRule type="colorScale" priority="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D108">
    <cfRule type="colorScale" priority="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3:D130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D152">
    <cfRule type="colorScale" priority="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7:D174">
    <cfRule type="colorScale" priority="1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9:D196">
    <cfRule type="colorScale" priority="5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1:D218">
    <cfRule type="colorScale" priority="1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3:D240">
    <cfRule type="colorScale" priority="1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5:D262">
    <cfRule type="colorScale" priority="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7:D284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9:D306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1:D328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3:D350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5:D372"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7:D394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9:D416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1:D438"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3:D460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5:D482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7:D504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9:D526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1:D548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3:D570">
    <cfRule type="colorScale" priority="1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5:D592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7:D614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9:D636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1:D658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3:D680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5:D702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0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E42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:E64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86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1:E108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3:E130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5:E152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7:E174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9:E196">
    <cfRule type="colorScale" priority="57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1:E218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3:E240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5:E262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7:E284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9:E306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1:E328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3:E350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5:E372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7:E394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9:E416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1:E438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3:E460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5:E482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7:E504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9:E526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1:E548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3:E570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5:E592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97:E614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9:E636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1:E658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63:E68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85:E702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0">
    <cfRule type="colorScale" priority="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:F42">
    <cfRule type="colorScale" priority="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7:F64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9:F86">
    <cfRule type="colorScale" priority="7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1:F108">
    <cfRule type="colorScale" priority="8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3:F130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5:F152">
    <cfRule type="colorScale" priority="9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7:F174">
    <cfRule type="colorScale" priority="10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9:F196">
    <cfRule type="colorScale" priority="5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1:F218">
    <cfRule type="colorScale" priority="1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3:F240">
    <cfRule type="colorScale" priority="10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5:F262">
    <cfRule type="colorScale" priority="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67:F284">
    <cfRule type="colorScale" priority="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89:F306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11:F328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3:F350"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55:F372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7:F394"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99:F416"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21:F438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43:F460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65:F482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87:F504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09:F526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31:F548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53:F570">
    <cfRule type="colorScale" priority="1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75:F592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97:F614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9:F636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41:F658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63:F680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85:F702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0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42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:G64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9:G86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1:G108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3:G130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5:G152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7:G174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9:G196">
    <cfRule type="colorScale" priority="5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1:G218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3:G240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5:G262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7:G284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9:G306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1:G328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3:G350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5:G372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77:G394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9:G416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21:G438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3:G460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5:G482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87:G504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09:G526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31:G548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53:G570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75:G592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97:G614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19:G636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41:G658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63:G680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85:G70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0">
    <cfRule type="colorScale" priority="6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H42">
    <cfRule type="colorScale" priority="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:H64">
    <cfRule type="colorScale" priority="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H86">
    <cfRule type="colorScale" priority="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1:H108">
    <cfRule type="colorScale" priority="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3:H130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5:H152">
    <cfRule type="colorScale" priority="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7:H174">
    <cfRule type="colorScale" priority="1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9:H196">
    <cfRule type="colorScale" priority="5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1:H218">
    <cfRule type="colorScale" priority="1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3:H240">
    <cfRule type="colorScale" priority="1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5:H262"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7:H284">
    <cfRule type="colorScale" priority="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9:H306">
    <cfRule type="colorScale" priority="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1:H328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3:H350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5:H372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77:H394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9:H416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21:H438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43:H460"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5:H482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7:H504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09:H526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31:H548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53:H570">
    <cfRule type="colorScale" priority="1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5:H592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7:H614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19:H636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41:H658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63:H680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85:H70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0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:I42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7:I64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9:I86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1:I108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3:I130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5:I152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7:I174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9:I196">
    <cfRule type="colorScale" priority="5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1:I218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3:I240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5:I262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7:I284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9:I306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1:I328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3:I350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55:I372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7:I394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99:I416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21:I438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43:I460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65:I482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87:I504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9:I526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31:I54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53:I570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75:I592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97:I61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19:I636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41:I658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3:I68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85:I70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20">
    <cfRule type="colorScale" priority="6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L42"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:L64">
    <cfRule type="colorScale" priority="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9:L86">
    <cfRule type="colorScale" priority="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1:L108">
    <cfRule type="colorScale" priority="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3:L130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5:L152">
    <cfRule type="colorScale" priority="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7:L174">
    <cfRule type="colorScale" priority="1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9:L196">
    <cfRule type="colorScale" priority="7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1:L218">
    <cfRule type="colorScale" priority="1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3:L240">
    <cfRule type="colorScale" priority="1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5:L262">
    <cfRule type="colorScale" priority="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7:L284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9:L306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1:L328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3:L350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55:L372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7:L394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9:L416">
    <cfRule type="colorScale" priority="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1:L438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3:L460"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5:L482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7:L504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9:L526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31:L548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3:L570">
    <cfRule type="colorScale" priority="1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5:L592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97:L614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19:L636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41:L658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3:L680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85:L702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20">
    <cfRule type="colorScale" priority="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:M42"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7:M64">
    <cfRule type="colorScale" priority="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9:M86">
    <cfRule type="colorScale" priority="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1:M108">
    <cfRule type="colorScale" priority="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3:M130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5:M152"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7:M174">
    <cfRule type="colorScale" priority="1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9:M196">
    <cfRule type="colorScale" priority="5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1:M218">
    <cfRule type="colorScale" priority="1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:M240">
    <cfRule type="colorScale" priority="1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5:M262">
    <cfRule type="colorScale" priority="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67:M284">
    <cfRule type="colorScale" priority="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9:M306"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11:M328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33:M350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55:M372"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77:M394">
    <cfRule type="colorScale" priority="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9:M416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21:M438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43:M460"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65:M482"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87:M504"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9:M526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31:M548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53:M570">
    <cfRule type="colorScale" priority="1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75:M592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97:M614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19:M636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41:M658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63:M680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85:M70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20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:N42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7:N64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9:N86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1:N108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3:N130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5:N152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7:N174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79:N196">
    <cfRule type="colorScale" priority="5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1:N218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3:N240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45:N262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67:N284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9:N306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11:N328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33:N350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55:N372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77:N394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99:N416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21:N438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43:N460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65:N482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87:N504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09:N526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31:N548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3:N570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5:N592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97:N614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19:N636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41:N658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63:N68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85:N702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20">
    <cfRule type="colorScale" priority="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O42">
    <cfRule type="colorScale" priority="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7:O64">
    <cfRule type="colorScale" priority="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9:O86">
    <cfRule type="colorScale" priority="7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1:O108">
    <cfRule type="colorScale" priority="8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3:O130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5:O152">
    <cfRule type="colorScale" priority="9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7:O174">
    <cfRule type="colorScale" priority="10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9:O196">
    <cfRule type="colorScale" priority="5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1:O218">
    <cfRule type="colorScale" priority="1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3:O240">
    <cfRule type="colorScale" priority="10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5:O262">
    <cfRule type="colorScale" priority="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7:O284">
    <cfRule type="colorScale" priority="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9:O306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11:O328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3:O350"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55:O372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77:O394"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99:O416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21:O438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43:O460">
    <cfRule type="colorScale" priority="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65:O482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87:O504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09:O526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31:O548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53:O570">
    <cfRule type="colorScale" priority="1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75:O592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97:O614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19:O636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41:O658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63:O680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85:O702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0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:P42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7:P64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9:P86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1:P108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3:P130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5:P152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7:P174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79:P196">
    <cfRule type="colorScale" priority="5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01:P218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23:P240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45:P262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67:P284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9:P306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11:P328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33:P350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55:P372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7:P394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99:P416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21:P438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43:P460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65:P482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87:P504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09:P526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31:P548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53:P570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5:P592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97:P614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19:P636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41:P658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63:P680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85:P70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20">
    <cfRule type="colorScale" priority="6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:Q42"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7:Q64">
    <cfRule type="colorScale" priority="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9:Q86">
    <cfRule type="colorScale" priority="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1:Q108">
    <cfRule type="colorScale" priority="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3:Q130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5:Q152">
    <cfRule type="colorScale" priority="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7:Q174">
    <cfRule type="colorScale" priority="1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79:Q196">
    <cfRule type="colorScale" priority="5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01:Q218">
    <cfRule type="colorScale" priority="1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3:Q240">
    <cfRule type="colorScale" priority="1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5:Q262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67:Q284"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89:Q306"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11:Q328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33:Q350"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55:Q372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77:Q394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99:Q416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21:Q438"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43:Q460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65:Q482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87:Q504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09:Q526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31:Q548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53:Q570">
    <cfRule type="colorScale" priority="1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75:Q592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97:Q614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19:Q636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41:Q658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63:Q680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85:Q702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20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:R42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7:R64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9:R86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1:R108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3:R130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5:R152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7:R174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9:R196">
    <cfRule type="colorScale" priority="5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1:R218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3:R240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5:R262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7:R284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9:R306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11:R328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33:R350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5:R372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77:R394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99:R416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21:R438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43:R460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65:R482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87:R504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09:R52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31:R548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53:R570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75:R592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97:R614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19:R636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41:R65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63:R68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85:R70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20">
    <cfRule type="colorScale" priority="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:S42"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7:S64">
    <cfRule type="colorScale" priority="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9:S86">
    <cfRule type="colorScale" priority="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1:S108">
    <cfRule type="colorScale" priority="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3:S130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5:S152">
    <cfRule type="colorScale" priority="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7:S174">
    <cfRule type="colorScale" priority="1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9:S196">
    <cfRule type="colorScale" priority="5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1:S218">
    <cfRule type="colorScale" priority="1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3:S240">
    <cfRule type="colorScale" priority="1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5:S262">
    <cfRule type="colorScale" priority="6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7:S284"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9:S306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11:S328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3:S350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5:S372"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7:S394">
    <cfRule type="colorScale" priority="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99:S416"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1:S438"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43:S460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5:S482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87:S504"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09:S526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31:S548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53:S570">
    <cfRule type="colorScale" priority="1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75:S592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97:S614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9:S636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1:S658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63:S68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5:S702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20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T42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7:T64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9:T86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1:T108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3:T130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5:T152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57:T174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9:T196">
    <cfRule type="colorScale" priority="5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1:T218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3:T240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45:T262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67:T284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89:T306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11:T328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33:T350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55:T372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77:T394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99:T416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21:T438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43:T460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65:T482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87:T504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09:T52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31:T548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53:T570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75:T592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97:T614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19:T636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41:T658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63:T680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85:T70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20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:U42">
    <cfRule type="colorScale" priority="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7:U64">
    <cfRule type="colorScale" priority="7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9:U86">
    <cfRule type="colorScale" priority="7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1:U108">
    <cfRule type="colorScale" priority="8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3:U130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5:U152">
    <cfRule type="colorScale" priority="9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7:U174">
    <cfRule type="colorScale" priority="10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9:U196">
    <cfRule type="colorScale" priority="5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1:U218">
    <cfRule type="colorScale" priority="1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3:U240">
    <cfRule type="colorScale" priority="10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5:U262">
    <cfRule type="colorScale" priority="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7:U284">
    <cfRule type="colorScale" priority="5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89:U306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11:U328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33:U350"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55:U372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77:U394">
    <cfRule type="colorScale" priority="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99:U416"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21:U438">
    <cfRule type="colorScale" priority="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43:U460"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65:U482"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87:U504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09:U526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31:U548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53:U570">
    <cfRule type="colorScale" priority="1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75:U592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97:U61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19:U636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41:U658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63:U680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85:U702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X20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:X42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7:X64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9:X86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1:X108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3:X130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35:X152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57:X174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79:X196">
    <cfRule type="colorScale" priority="57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1:X218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3:X240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5:X262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67:X284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89:X306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11:X328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33:X350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55:X372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7:X394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99:X416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21:X438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43:X460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65:X482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87:X504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09:X526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31:X548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53:X570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75:X592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97:X614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19:X636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41:X65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63:X68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85:X702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20">
    <cfRule type="colorScale" priority="6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5:Y42">
    <cfRule type="colorScale" priority="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7:Y64">
    <cfRule type="colorScale" priority="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9:Y86">
    <cfRule type="colorScale" priority="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91:Y108">
    <cfRule type="colorScale" priority="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13:Y130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5:Y152"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7:Y174">
    <cfRule type="colorScale" priority="1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79:Y196">
    <cfRule type="colorScale" priority="5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1:Y218">
    <cfRule type="colorScale" priority="1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23:Y240">
    <cfRule type="colorScale" priority="1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5:Y262">
    <cfRule type="colorScale" priority="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7:Y284"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89:Y306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11:Y328"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33:Y350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55:Y372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77:Y394"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99:Y416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21:Y438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43:Y460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65:Y482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87:Y504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09:Y526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31:Y548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53:Y570">
    <cfRule type="colorScale" priority="1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75:Y592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97:Y614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19:Y636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41:Y658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63:Y680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85:Y70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AA20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5:AA42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7:AA64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9:AA86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91:AA108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13:AA130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35:AA152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7:AA174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79:AA196">
    <cfRule type="colorScale" priority="5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01:AA218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23:AA240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45:AA262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67:AA284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89:AA306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11:AA328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33:AA350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55:AA372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77:AA394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99:AA416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21:AA438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43:AA460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65:AA482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87:AA504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09:AA526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31:AA54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53:AA570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75:AA592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97:AA614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19:AA636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41:AA65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63:AA68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85:AA70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20">
    <cfRule type="colorScale" priority="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5:AB42">
    <cfRule type="colorScale" priority="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7:AB64">
    <cfRule type="colorScale" priority="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9:AB86">
    <cfRule type="colorScale" priority="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91:AB108">
    <cfRule type="colorScale" priority="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3:AB130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35:AB152">
    <cfRule type="colorScale" priority="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7:AB174">
    <cfRule type="colorScale" priority="1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79:AB196">
    <cfRule type="colorScale" priority="5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1:AB218">
    <cfRule type="colorScale" priority="1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3:AB240">
    <cfRule type="colorScale" priority="1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45:AB262">
    <cfRule type="colorScale" priority="6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67:AB284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89:AB306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11:AB328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33:AB350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55:AB372"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77:AB394"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99:AB416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21:AB438"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43:AB460"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65:AB482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87:AB504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09:AB526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31:AB548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53:AB570">
    <cfRule type="colorScale" priority="1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75:AB592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97:AB614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19:AB636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41:AB658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63:AB680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85:AB702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20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5:AC42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7:AC64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9:AC86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1:AC108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13:AC130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35:AC152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57:AC174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79:AC196">
    <cfRule type="colorScale" priority="5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01:AC218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23:AC240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45:AC262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67:AC284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89:AC306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11:AC328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33:AC350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55:AC372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77:AC394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99:AC416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21:AC438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43:AC460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65:AC482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87:AC504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09:AC526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31:AC548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53:AC570"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5:AC592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7:AC614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19:AC63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1:AC65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3:AC68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85:AC70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20">
    <cfRule type="colorScale" priority="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5:AD42">
    <cfRule type="colorScale" priority="6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7:AD64">
    <cfRule type="colorScale" priority="7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9:AD86">
    <cfRule type="colorScale" priority="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1:AD108">
    <cfRule type="colorScale" priority="8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13:AD130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35:AD152"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57:AD174">
    <cfRule type="colorScale" priority="10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79:AD196">
    <cfRule type="colorScale" priority="5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1:AD218">
    <cfRule type="colorScale" priority="1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23:AD240">
    <cfRule type="colorScale" priority="10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45:AD262">
    <cfRule type="colorScale" priority="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67:AD284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89:AD306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11:AD328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33:AD350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55:AD372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77:AD394"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99:AD416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21:AD438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43:AD460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65:AD482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87:AD504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09:AD526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31:AD548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53:AD570">
    <cfRule type="colorScale" priority="1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75:AD592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97:AD614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19:AD636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1:AD658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3:AD680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85:AD702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:AE20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5:AE42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7:AE64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9:AE86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91:AE108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3:AE130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35:AE152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57:AE174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79:AE196">
    <cfRule type="colorScale" priority="5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01:AE218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3:AE240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45:AE262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7:AE284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89:AE306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11:AE328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33:AE350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55:AE372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77:AE394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99:AE416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21:AE438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43:AE460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65:AE48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87:AE504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09:AE526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31:AE548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53:AE570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75:AE592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97:AE614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19:AE63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41:AE65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63:AE68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85:AE70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:AG20">
    <cfRule type="colorScale" priority="6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5:AG42">
    <cfRule type="colorScale" priority="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7:AG64">
    <cfRule type="colorScale" priority="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9:AG86">
    <cfRule type="colorScale" priority="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1:AG108">
    <cfRule type="colorScale" priority="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13:AG130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5:AG152">
    <cfRule type="colorScale" priority="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57:AG174">
    <cfRule type="colorScale" priority="1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9:AG196">
    <cfRule type="colorScale" priority="5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1:AG218">
    <cfRule type="colorScale" priority="1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23:AG240">
    <cfRule type="colorScale" priority="1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45:AG262"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7:AG284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89:AG306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11:AG328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33:AG350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55:AG372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77:AG394"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99:AG416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21:AG438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43:AG460"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65:AG482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87:AG504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09:AG526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31:AG548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53:AG570">
    <cfRule type="colorScale" priority="1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75:AG592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97:AG614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19:AG636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41:AG658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63:AG68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85:AG70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H20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5:AH42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7:AH64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9:AH86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91:AH108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13:AH130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35:AH152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57:AH174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79:AH196">
    <cfRule type="colorScale" priority="5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01:AH218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23:AH240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45:AH262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67:AH284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89:AH306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11:AH328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33:AH350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55:AH372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77:AH394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99:AH416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21:AH438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43:AH460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65:AH48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87:AH504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09:AH526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31:AH548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53:AH570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75:AH592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97:AH61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19:AH63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41:AH65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63:AH68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85:AH70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20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5:AI42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7:AI64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9:AI86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91:AI108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13:AI130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35:AI152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57:AI174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79:AI196">
    <cfRule type="colorScale" priority="57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01:AI218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23:AI240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45:AI262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7:AI284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89:AI306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11:AI328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33:AI350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55:AI372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77:AI394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99:AI416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21:AI438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43:AI460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65:AI482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87:AI504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09:AI526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31:AI548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53:AI570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75:AI592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97:AI61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19:AI636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41:AI65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63:AI68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85:AI70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20">
    <cfRule type="colorScale" priority="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5:AJ42">
    <cfRule type="colorScale" priority="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7:AJ64">
    <cfRule type="colorScale" priority="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9:AJ86">
    <cfRule type="colorScale" priority="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91:AJ108">
    <cfRule type="colorScale" priority="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13:AJ130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35:AJ152"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7:AJ174">
    <cfRule type="colorScale" priority="1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9:AJ196">
    <cfRule type="colorScale" priority="57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1:AJ218">
    <cfRule type="colorScale" priority="1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23:AJ240">
    <cfRule type="colorScale" priority="1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45:AJ262">
    <cfRule type="colorScale" priority="5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7:AJ284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89:AJ306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11:AJ328">
    <cfRule type="colorScale" priority="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33:AJ350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55:AJ372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77:AJ394">
    <cfRule type="colorScale" priority="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99:AJ416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21:AJ438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43:AJ460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65:AJ482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87:AJ504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09:AJ526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31:AJ548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53:AJ570">
    <cfRule type="colorScale" priority="1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75:AJ592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97:AJ614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19:AJ636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41:AJ658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63:AJ68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85:AJ702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10" orientation="landscape" r:id="rId1"/>
  <tableParts count="3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A3AA-CDA6-4756-8B20-64FC30350E13}">
  <sheetPr>
    <tabColor theme="3" tint="0.89999084444715716"/>
  </sheetPr>
  <dimension ref="A1:AD68"/>
  <sheetViews>
    <sheetView topLeftCell="A15" zoomScale="160" zoomScaleNormal="160" workbookViewId="0">
      <selection activeCell="N8" sqref="N8"/>
    </sheetView>
  </sheetViews>
  <sheetFormatPr defaultRowHeight="14.5" x14ac:dyDescent="0.35"/>
  <cols>
    <col min="1" max="1" width="10.81640625" style="59" bestFit="1" customWidth="1"/>
    <col min="2" max="2" width="8.26953125" hidden="1" customWidth="1"/>
    <col min="3" max="3" width="8" hidden="1" customWidth="1"/>
    <col min="4" max="4" width="10" hidden="1" customWidth="1"/>
    <col min="5" max="5" width="8.26953125" hidden="1" customWidth="1"/>
    <col min="6" max="6" width="8.08984375" hidden="1" customWidth="1"/>
    <col min="7" max="7" width="8.90625" hidden="1" customWidth="1"/>
    <col min="8" max="8" width="9.7265625" hidden="1" customWidth="1"/>
    <col min="9" max="9" width="9.81640625" hidden="1" customWidth="1"/>
    <col min="10" max="10" width="8.54296875" hidden="1" customWidth="1"/>
    <col min="11" max="11" width="8.1796875" hidden="1" customWidth="1"/>
    <col min="12" max="12" width="8.81640625" hidden="1" customWidth="1"/>
    <col min="13" max="13" width="9.453125" bestFit="1" customWidth="1"/>
    <col min="14" max="14" width="9.26953125" bestFit="1" customWidth="1"/>
    <col min="15" max="15" width="9.453125" bestFit="1" customWidth="1"/>
    <col min="16" max="16" width="9.26953125" bestFit="1" customWidth="1"/>
    <col min="17" max="17" width="9.453125" bestFit="1" customWidth="1"/>
    <col min="18" max="18" width="9.26953125" bestFit="1" customWidth="1"/>
    <col min="19" max="19" width="10.26953125" bestFit="1" customWidth="1"/>
    <col min="20" max="20" width="10.08984375" bestFit="1" customWidth="1"/>
    <col min="21" max="21" width="7.90625" hidden="1" customWidth="1"/>
    <col min="22" max="22" width="7.7265625" hidden="1" customWidth="1"/>
    <col min="23" max="23" width="7.36328125" hidden="1" customWidth="1"/>
    <col min="24" max="24" width="8" hidden="1" customWidth="1"/>
    <col min="25" max="27" width="8.453125" bestFit="1" customWidth="1"/>
    <col min="28" max="28" width="9.26953125" bestFit="1" customWidth="1"/>
    <col min="29" max="29" width="6.90625" hidden="1" customWidth="1"/>
    <col min="30" max="30" width="8.54296875" hidden="1" customWidth="1"/>
  </cols>
  <sheetData>
    <row r="1" spans="1:30" ht="16.5" thickBot="1" x14ac:dyDescent="0.45">
      <c r="A1" s="56" t="s">
        <v>58</v>
      </c>
      <c r="B1" s="231" t="s">
        <v>62</v>
      </c>
      <c r="C1" s="231"/>
      <c r="D1" s="231"/>
      <c r="E1" s="232" t="s">
        <v>61</v>
      </c>
      <c r="F1" s="232"/>
      <c r="G1" s="232"/>
      <c r="H1" s="232"/>
      <c r="I1" s="232"/>
      <c r="J1" s="232"/>
      <c r="K1" s="233" t="s">
        <v>60</v>
      </c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4" t="s">
        <v>59</v>
      </c>
      <c r="X1" s="234"/>
      <c r="Y1" s="234"/>
      <c r="Z1" s="234"/>
      <c r="AA1" s="234"/>
      <c r="AB1" s="234"/>
      <c r="AC1" s="234"/>
      <c r="AD1" s="234"/>
    </row>
    <row r="2" spans="1:30" x14ac:dyDescent="0.35">
      <c r="A2" s="28" t="s">
        <v>28</v>
      </c>
      <c r="B2" s="29" t="s">
        <v>75</v>
      </c>
      <c r="C2" s="27" t="s">
        <v>76</v>
      </c>
      <c r="D2" s="30" t="s">
        <v>77</v>
      </c>
      <c r="E2" s="31" t="s">
        <v>78</v>
      </c>
      <c r="F2" s="32" t="s">
        <v>79</v>
      </c>
      <c r="G2" s="33" t="s">
        <v>80</v>
      </c>
      <c r="H2" s="34" t="s">
        <v>97</v>
      </c>
      <c r="I2" s="35" t="s">
        <v>81</v>
      </c>
      <c r="J2" s="60" t="s">
        <v>82</v>
      </c>
      <c r="K2" s="36" t="s">
        <v>83</v>
      </c>
      <c r="L2" s="36" t="s">
        <v>84</v>
      </c>
      <c r="M2" s="37" t="s">
        <v>85</v>
      </c>
      <c r="N2" s="37" t="s">
        <v>86</v>
      </c>
      <c r="O2" s="38" t="s">
        <v>87</v>
      </c>
      <c r="P2" s="38" t="s">
        <v>88</v>
      </c>
      <c r="Q2" s="39" t="s">
        <v>89</v>
      </c>
      <c r="R2" s="39" t="s">
        <v>90</v>
      </c>
      <c r="S2" s="40" t="s">
        <v>91</v>
      </c>
      <c r="T2" s="40" t="s">
        <v>92</v>
      </c>
      <c r="U2" s="41" t="s">
        <v>93</v>
      </c>
      <c r="V2" s="41" t="s">
        <v>94</v>
      </c>
      <c r="W2" s="42" t="s">
        <v>65</v>
      </c>
      <c r="X2" s="42" t="s">
        <v>64</v>
      </c>
      <c r="Y2" s="42" t="s">
        <v>66</v>
      </c>
      <c r="Z2" s="42" t="s">
        <v>67</v>
      </c>
      <c r="AA2" s="42" t="s">
        <v>68</v>
      </c>
      <c r="AB2" s="42" t="s">
        <v>69</v>
      </c>
      <c r="AC2" s="42" t="s">
        <v>70</v>
      </c>
      <c r="AD2" s="42" t="s">
        <v>71</v>
      </c>
    </row>
    <row r="3" spans="1:30" x14ac:dyDescent="0.35">
      <c r="A3" s="57" t="s">
        <v>0</v>
      </c>
      <c r="B3" s="22" t="e">
        <f>#REF!</f>
        <v>#REF!</v>
      </c>
      <c r="C3" s="22" t="e">
        <f>#REF!</f>
        <v>#REF!</v>
      </c>
      <c r="D3" s="22" t="e">
        <f>#REF!</f>
        <v>#REF!</v>
      </c>
      <c r="E3" s="22" t="e">
        <f>#REF!</f>
        <v>#REF!</v>
      </c>
      <c r="F3" s="25" t="e">
        <f>Table9[[#This Row],[RB1R]]+Table9[[#This Row],[RB2+]]</f>
        <v>#REF!</v>
      </c>
      <c r="G3" s="22" t="e">
        <f>#REF!</f>
        <v>#REF!</v>
      </c>
      <c r="H3" s="22" t="e">
        <f>#REF!</f>
        <v>#REF!</v>
      </c>
      <c r="I3" s="22" t="e">
        <f>#REF!</f>
        <v>#REF!</v>
      </c>
      <c r="J3" s="22" t="e">
        <f>#REF!</f>
        <v>#REF!</v>
      </c>
      <c r="K3" s="22" t="e">
        <f>#REF!</f>
        <v>#REF!</v>
      </c>
      <c r="L3" s="22" t="e">
        <f>#REF!</f>
        <v>#REF!</v>
      </c>
      <c r="M3" s="22" t="e">
        <f>#REF!</f>
        <v>#REF!</v>
      </c>
      <c r="N3" s="22" t="e">
        <f>#REF!</f>
        <v>#REF!</v>
      </c>
      <c r="O3" s="22" t="e">
        <f>#REF!</f>
        <v>#REF!</v>
      </c>
      <c r="P3" s="22" t="e">
        <f>#REF!</f>
        <v>#REF!</v>
      </c>
      <c r="Q3" s="22" t="e">
        <f>#REF!</f>
        <v>#REF!</v>
      </c>
      <c r="R3" s="22" t="e">
        <f>#REF!</f>
        <v>#REF!</v>
      </c>
      <c r="S3" s="22" t="e">
        <f>#REF!</f>
        <v>#REF!</v>
      </c>
      <c r="T3" s="22" t="e">
        <f>#REF!</f>
        <v>#REF!</v>
      </c>
      <c r="U3" s="22" t="e">
        <f>#REF!</f>
        <v>#REF!</v>
      </c>
      <c r="V3" s="22" t="e">
        <f>#REF!</f>
        <v>#REF!</v>
      </c>
      <c r="W3" s="22" t="e">
        <f>#REF!</f>
        <v>#REF!</v>
      </c>
      <c r="X3" s="22" t="e">
        <f>#REF!</f>
        <v>#REF!</v>
      </c>
      <c r="Y3" s="22" t="e">
        <f>#REF!</f>
        <v>#REF!</v>
      </c>
      <c r="Z3" s="22" t="e">
        <f>#REF!</f>
        <v>#REF!</v>
      </c>
      <c r="AA3" s="22" t="e">
        <f>#REF!</f>
        <v>#REF!</v>
      </c>
      <c r="AB3" s="22" t="e">
        <f>#REF!</f>
        <v>#REF!</v>
      </c>
      <c r="AC3" s="22" t="e">
        <f>#REF!</f>
        <v>#REF!</v>
      </c>
      <c r="AD3" s="22" t="e">
        <f>#REF!</f>
        <v>#REF!</v>
      </c>
    </row>
    <row r="4" spans="1:30" x14ac:dyDescent="0.35">
      <c r="A4" s="58" t="s">
        <v>15</v>
      </c>
      <c r="B4" s="22" t="e">
        <f>#REF!</f>
        <v>#REF!</v>
      </c>
      <c r="C4" s="22" t="e">
        <f>#REF!</f>
        <v>#REF!</v>
      </c>
      <c r="D4" s="22" t="e">
        <f>#REF!</f>
        <v>#REF!</v>
      </c>
      <c r="E4" s="22" t="e">
        <f>#REF!</f>
        <v>#REF!</v>
      </c>
      <c r="F4" s="25" t="e">
        <f>Table9[[#This Row],[RB1R]]+Table9[[#This Row],[RB2+]]</f>
        <v>#REF!</v>
      </c>
      <c r="G4" s="22" t="e">
        <f>#REF!</f>
        <v>#REF!</v>
      </c>
      <c r="H4" s="22" t="e">
        <f>#REF!</f>
        <v>#REF!</v>
      </c>
      <c r="I4" s="22" t="e">
        <f>#REF!</f>
        <v>#REF!</v>
      </c>
      <c r="J4" s="22" t="e">
        <f>#REF!</f>
        <v>#REF!</v>
      </c>
      <c r="K4" s="22" t="e">
        <f>#REF!</f>
        <v>#REF!</v>
      </c>
      <c r="L4" s="22" t="e">
        <f>#REF!</f>
        <v>#REF!</v>
      </c>
      <c r="M4" s="22" t="e">
        <f>#REF!</f>
        <v>#REF!</v>
      </c>
      <c r="N4" s="22" t="e">
        <f>#REF!</f>
        <v>#REF!</v>
      </c>
      <c r="O4" s="22" t="e">
        <f>#REF!</f>
        <v>#REF!</v>
      </c>
      <c r="P4" s="22" t="e">
        <f>#REF!</f>
        <v>#REF!</v>
      </c>
      <c r="Q4" s="22" t="e">
        <f>#REF!</f>
        <v>#REF!</v>
      </c>
      <c r="R4" s="22" t="e">
        <f>#REF!</f>
        <v>#REF!</v>
      </c>
      <c r="S4" s="22" t="e">
        <f>#REF!</f>
        <v>#REF!</v>
      </c>
      <c r="T4" s="22" t="e">
        <f>#REF!</f>
        <v>#REF!</v>
      </c>
      <c r="U4" s="22" t="e">
        <f>#REF!</f>
        <v>#REF!</v>
      </c>
      <c r="V4" s="22" t="e">
        <f>#REF!</f>
        <v>#REF!</v>
      </c>
      <c r="W4" s="22" t="e">
        <f>#REF!</f>
        <v>#REF!</v>
      </c>
      <c r="X4" s="22" t="e">
        <f>#REF!</f>
        <v>#REF!</v>
      </c>
      <c r="Y4" s="22" t="e">
        <f>#REF!</f>
        <v>#REF!</v>
      </c>
      <c r="Z4" s="22" t="e">
        <f>#REF!</f>
        <v>#REF!</v>
      </c>
      <c r="AA4" s="22" t="e">
        <f>#REF!</f>
        <v>#REF!</v>
      </c>
      <c r="AB4" s="22" t="e">
        <f>#REF!</f>
        <v>#REF!</v>
      </c>
      <c r="AC4" s="22" t="e">
        <f>#REF!</f>
        <v>#REF!</v>
      </c>
      <c r="AD4" s="22" t="e">
        <f>#REF!</f>
        <v>#REF!</v>
      </c>
    </row>
    <row r="5" spans="1:30" x14ac:dyDescent="0.35">
      <c r="A5" s="57" t="s">
        <v>16</v>
      </c>
      <c r="B5" s="22" t="e">
        <f>#REF!</f>
        <v>#REF!</v>
      </c>
      <c r="C5" s="22" t="e">
        <f>#REF!</f>
        <v>#REF!</v>
      </c>
      <c r="D5" s="22" t="e">
        <f>#REF!</f>
        <v>#REF!</v>
      </c>
      <c r="E5" s="22" t="e">
        <f>#REF!</f>
        <v>#REF!</v>
      </c>
      <c r="F5" s="25" t="e">
        <f>Table9[[#This Row],[RB1R]]+Table9[[#This Row],[RB2+]]</f>
        <v>#REF!</v>
      </c>
      <c r="G5" s="22" t="e">
        <f>#REF!</f>
        <v>#REF!</v>
      </c>
      <c r="H5" s="22" t="e">
        <f>#REF!</f>
        <v>#REF!</v>
      </c>
      <c r="I5" s="22" t="e">
        <f>#REF!</f>
        <v>#REF!</v>
      </c>
      <c r="J5" s="22" t="e">
        <f>#REF!</f>
        <v>#REF!</v>
      </c>
      <c r="K5" s="22" t="e">
        <f>#REF!</f>
        <v>#REF!</v>
      </c>
      <c r="L5" s="22" t="e">
        <f>#REF!</f>
        <v>#REF!</v>
      </c>
      <c r="M5" s="22" t="e">
        <f>#REF!</f>
        <v>#REF!</v>
      </c>
      <c r="N5" s="22" t="e">
        <f>#REF!</f>
        <v>#REF!</v>
      </c>
      <c r="O5" s="22" t="e">
        <f>#REF!</f>
        <v>#REF!</v>
      </c>
      <c r="P5" s="22" t="e">
        <f>#REF!</f>
        <v>#REF!</v>
      </c>
      <c r="Q5" s="22" t="e">
        <f>#REF!</f>
        <v>#REF!</v>
      </c>
      <c r="R5" s="22" t="e">
        <f>#REF!</f>
        <v>#REF!</v>
      </c>
      <c r="S5" s="22" t="e">
        <f>#REF!</f>
        <v>#REF!</v>
      </c>
      <c r="T5" s="22" t="e">
        <f>#REF!</f>
        <v>#REF!</v>
      </c>
      <c r="U5" s="22" t="e">
        <f>#REF!</f>
        <v>#REF!</v>
      </c>
      <c r="V5" s="22" t="e">
        <f>#REF!</f>
        <v>#REF!</v>
      </c>
      <c r="W5" s="22" t="e">
        <f>#REF!</f>
        <v>#REF!</v>
      </c>
      <c r="X5" s="22" t="e">
        <f>#REF!</f>
        <v>#REF!</v>
      </c>
      <c r="Y5" s="22" t="e">
        <f>#REF!</f>
        <v>#REF!</v>
      </c>
      <c r="Z5" s="22" t="e">
        <f>#REF!</f>
        <v>#REF!</v>
      </c>
      <c r="AA5" s="22" t="e">
        <f>#REF!</f>
        <v>#REF!</v>
      </c>
      <c r="AB5" s="22" t="e">
        <f>#REF!</f>
        <v>#REF!</v>
      </c>
      <c r="AC5" s="22" t="e">
        <f>#REF!</f>
        <v>#REF!</v>
      </c>
      <c r="AD5" s="22" t="e">
        <f>#REF!</f>
        <v>#REF!</v>
      </c>
    </row>
    <row r="6" spans="1:30" x14ac:dyDescent="0.35">
      <c r="A6" s="58" t="s">
        <v>17</v>
      </c>
      <c r="B6" s="22" t="e">
        <f>#REF!</f>
        <v>#REF!</v>
      </c>
      <c r="C6" s="22" t="e">
        <f>#REF!</f>
        <v>#REF!</v>
      </c>
      <c r="D6" s="22" t="e">
        <f>#REF!</f>
        <v>#REF!</v>
      </c>
      <c r="E6" s="22" t="e">
        <f>#REF!</f>
        <v>#REF!</v>
      </c>
      <c r="F6" s="25" t="e">
        <f>Table9[[#This Row],[RB1R]]+Table9[[#This Row],[RB2+]]</f>
        <v>#REF!</v>
      </c>
      <c r="G6" s="22" t="e">
        <f>#REF!</f>
        <v>#REF!</v>
      </c>
      <c r="H6" s="22" t="e">
        <f>#REF!</f>
        <v>#REF!</v>
      </c>
      <c r="I6" s="22" t="e">
        <f>#REF!</f>
        <v>#REF!</v>
      </c>
      <c r="J6" s="22" t="e">
        <f>#REF!</f>
        <v>#REF!</v>
      </c>
      <c r="K6" s="22" t="e">
        <f>#REF!</f>
        <v>#REF!</v>
      </c>
      <c r="L6" s="22" t="e">
        <f>#REF!</f>
        <v>#REF!</v>
      </c>
      <c r="M6" s="22" t="e">
        <f>#REF!</f>
        <v>#REF!</v>
      </c>
      <c r="N6" s="22" t="e">
        <f>#REF!</f>
        <v>#REF!</v>
      </c>
      <c r="O6" s="22" t="e">
        <f>#REF!</f>
        <v>#REF!</v>
      </c>
      <c r="P6" s="22" t="e">
        <f>#REF!</f>
        <v>#REF!</v>
      </c>
      <c r="Q6" s="22" t="e">
        <f>#REF!</f>
        <v>#REF!</v>
      </c>
      <c r="R6" s="22" t="e">
        <f>#REF!</f>
        <v>#REF!</v>
      </c>
      <c r="S6" s="22" t="e">
        <f>#REF!</f>
        <v>#REF!</v>
      </c>
      <c r="T6" s="22" t="e">
        <f>#REF!</f>
        <v>#REF!</v>
      </c>
      <c r="U6" s="22" t="e">
        <f>#REF!</f>
        <v>#REF!</v>
      </c>
      <c r="V6" s="22" t="e">
        <f>#REF!</f>
        <v>#REF!</v>
      </c>
      <c r="W6" s="22" t="e">
        <f>#REF!</f>
        <v>#REF!</v>
      </c>
      <c r="X6" s="22" t="e">
        <f>#REF!</f>
        <v>#REF!</v>
      </c>
      <c r="Y6" s="22" t="e">
        <f>#REF!</f>
        <v>#REF!</v>
      </c>
      <c r="Z6" s="22" t="e">
        <f>#REF!</f>
        <v>#REF!</v>
      </c>
      <c r="AA6" s="22" t="e">
        <f>#REF!</f>
        <v>#REF!</v>
      </c>
      <c r="AB6" s="22" t="e">
        <f>#REF!</f>
        <v>#REF!</v>
      </c>
      <c r="AC6" s="22" t="e">
        <f>#REF!</f>
        <v>#REF!</v>
      </c>
      <c r="AD6" s="22" t="e">
        <f>#REF!</f>
        <v>#REF!</v>
      </c>
    </row>
    <row r="7" spans="1:30" x14ac:dyDescent="0.35">
      <c r="A7" s="57" t="s">
        <v>29</v>
      </c>
      <c r="B7" s="22" t="e">
        <f>#REF!</f>
        <v>#REF!</v>
      </c>
      <c r="C7" s="22" t="e">
        <f>#REF!</f>
        <v>#REF!</v>
      </c>
      <c r="D7" s="22" t="e">
        <f>#REF!</f>
        <v>#REF!</v>
      </c>
      <c r="E7" s="22" t="e">
        <f>#REF!</f>
        <v>#REF!</v>
      </c>
      <c r="F7" s="25" t="e">
        <f>Table9[[#This Row],[RB1R]]+Table9[[#This Row],[RB2+]]</f>
        <v>#REF!</v>
      </c>
      <c r="G7" s="22" t="e">
        <f>#REF!</f>
        <v>#REF!</v>
      </c>
      <c r="H7" s="22" t="e">
        <f>#REF!</f>
        <v>#REF!</v>
      </c>
      <c r="I7" s="22" t="e">
        <f>#REF!</f>
        <v>#REF!</v>
      </c>
      <c r="J7" s="22" t="e">
        <f>#REF!</f>
        <v>#REF!</v>
      </c>
      <c r="K7" s="22" t="e">
        <f>#REF!</f>
        <v>#REF!</v>
      </c>
      <c r="L7" s="22" t="e">
        <f>#REF!</f>
        <v>#REF!</v>
      </c>
      <c r="M7" s="22" t="e">
        <f>#REF!</f>
        <v>#REF!</v>
      </c>
      <c r="N7" s="22" t="e">
        <f>#REF!</f>
        <v>#REF!</v>
      </c>
      <c r="O7" s="22" t="e">
        <f>#REF!</f>
        <v>#REF!</v>
      </c>
      <c r="P7" s="22" t="e">
        <f>#REF!</f>
        <v>#REF!</v>
      </c>
      <c r="Q7" s="22" t="e">
        <f>#REF!</f>
        <v>#REF!</v>
      </c>
      <c r="R7" s="22" t="e">
        <f>#REF!</f>
        <v>#REF!</v>
      </c>
      <c r="S7" s="22" t="e">
        <f>#REF!</f>
        <v>#REF!</v>
      </c>
      <c r="T7" s="22" t="e">
        <f>#REF!</f>
        <v>#REF!</v>
      </c>
      <c r="U7" s="22" t="e">
        <f>#REF!</f>
        <v>#REF!</v>
      </c>
      <c r="V7" s="22" t="e">
        <f>#REF!</f>
        <v>#REF!</v>
      </c>
      <c r="W7" s="22" t="e">
        <f>#REF!</f>
        <v>#REF!</v>
      </c>
      <c r="X7" s="22" t="e">
        <f>#REF!</f>
        <v>#REF!</v>
      </c>
      <c r="Y7" s="22" t="e">
        <f>#REF!</f>
        <v>#REF!</v>
      </c>
      <c r="Z7" s="22" t="e">
        <f>#REF!</f>
        <v>#REF!</v>
      </c>
      <c r="AA7" s="22" t="e">
        <f>#REF!</f>
        <v>#REF!</v>
      </c>
      <c r="AB7" s="22" t="e">
        <f>#REF!</f>
        <v>#REF!</v>
      </c>
      <c r="AC7" s="22" t="e">
        <f>#REF!</f>
        <v>#REF!</v>
      </c>
      <c r="AD7" s="22" t="e">
        <f>#REF!</f>
        <v>#REF!</v>
      </c>
    </row>
    <row r="8" spans="1:30" x14ac:dyDescent="0.35">
      <c r="A8" s="58" t="s">
        <v>30</v>
      </c>
      <c r="B8" s="22" t="e">
        <f>#REF!</f>
        <v>#REF!</v>
      </c>
      <c r="C8" s="22" t="e">
        <f>#REF!</f>
        <v>#REF!</v>
      </c>
      <c r="D8" s="22" t="e">
        <f>#REF!</f>
        <v>#REF!</v>
      </c>
      <c r="E8" s="22" t="e">
        <f>#REF!</f>
        <v>#REF!</v>
      </c>
      <c r="F8" s="25" t="e">
        <f>Table9[[#This Row],[RB1R]]+Table9[[#This Row],[RB2+]]</f>
        <v>#REF!</v>
      </c>
      <c r="G8" s="22" t="e">
        <f>#REF!</f>
        <v>#REF!</v>
      </c>
      <c r="H8" s="22" t="e">
        <f>#REF!</f>
        <v>#REF!</v>
      </c>
      <c r="I8" s="22" t="e">
        <f>#REF!</f>
        <v>#REF!</v>
      </c>
      <c r="J8" s="22" t="e">
        <f>#REF!</f>
        <v>#REF!</v>
      </c>
      <c r="K8" s="22" t="e">
        <f>#REF!</f>
        <v>#REF!</v>
      </c>
      <c r="L8" s="22" t="e">
        <f>#REF!</f>
        <v>#REF!</v>
      </c>
      <c r="M8" s="22" t="e">
        <f>#REF!</f>
        <v>#REF!</v>
      </c>
      <c r="N8" s="22" t="e">
        <f>#REF!</f>
        <v>#REF!</v>
      </c>
      <c r="O8" s="22" t="e">
        <f>#REF!</f>
        <v>#REF!</v>
      </c>
      <c r="P8" s="22" t="e">
        <f>#REF!</f>
        <v>#REF!</v>
      </c>
      <c r="Q8" s="22" t="e">
        <f>#REF!</f>
        <v>#REF!</v>
      </c>
      <c r="R8" s="22" t="e">
        <f>#REF!</f>
        <v>#REF!</v>
      </c>
      <c r="S8" s="22" t="e">
        <f>#REF!</f>
        <v>#REF!</v>
      </c>
      <c r="T8" s="22" t="e">
        <f>#REF!</f>
        <v>#REF!</v>
      </c>
      <c r="U8" s="22" t="e">
        <f>#REF!</f>
        <v>#REF!</v>
      </c>
      <c r="V8" s="22" t="e">
        <f>#REF!</f>
        <v>#REF!</v>
      </c>
      <c r="W8" s="22" t="e">
        <f>#REF!</f>
        <v>#REF!</v>
      </c>
      <c r="X8" s="22" t="e">
        <f>#REF!</f>
        <v>#REF!</v>
      </c>
      <c r="Y8" s="22" t="e">
        <f>#REF!</f>
        <v>#REF!</v>
      </c>
      <c r="Z8" s="22" t="e">
        <f>#REF!</f>
        <v>#REF!</v>
      </c>
      <c r="AA8" s="22" t="e">
        <f>#REF!</f>
        <v>#REF!</v>
      </c>
      <c r="AB8" s="22" t="e">
        <f>#REF!</f>
        <v>#REF!</v>
      </c>
      <c r="AC8" s="22" t="e">
        <f>#REF!</f>
        <v>#REF!</v>
      </c>
      <c r="AD8" s="22" t="e">
        <f>#REF!</f>
        <v>#REF!</v>
      </c>
    </row>
    <row r="9" spans="1:30" x14ac:dyDescent="0.35">
      <c r="A9" s="57" t="s">
        <v>31</v>
      </c>
      <c r="B9" s="22" t="e">
        <f>#REF!</f>
        <v>#REF!</v>
      </c>
      <c r="C9" s="22" t="e">
        <f>#REF!</f>
        <v>#REF!</v>
      </c>
      <c r="D9" s="22" t="e">
        <f>#REF!</f>
        <v>#REF!</v>
      </c>
      <c r="E9" s="22" t="e">
        <f>#REF!</f>
        <v>#REF!</v>
      </c>
      <c r="F9" s="25" t="e">
        <f>Table9[[#This Row],[RB1R]]+Table9[[#This Row],[RB2+]]</f>
        <v>#REF!</v>
      </c>
      <c r="G9" s="22" t="e">
        <f>#REF!</f>
        <v>#REF!</v>
      </c>
      <c r="H9" s="22" t="e">
        <f>#REF!</f>
        <v>#REF!</v>
      </c>
      <c r="I9" s="22" t="e">
        <f>#REF!</f>
        <v>#REF!</v>
      </c>
      <c r="J9" s="22" t="e">
        <f>#REF!</f>
        <v>#REF!</v>
      </c>
      <c r="K9" s="22" t="e">
        <f>#REF!</f>
        <v>#REF!</v>
      </c>
      <c r="L9" s="22" t="e">
        <f>#REF!</f>
        <v>#REF!</v>
      </c>
      <c r="M9" s="22" t="e">
        <f>#REF!</f>
        <v>#REF!</v>
      </c>
      <c r="N9" s="22" t="e">
        <f>#REF!</f>
        <v>#REF!</v>
      </c>
      <c r="O9" s="22" t="e">
        <f>#REF!</f>
        <v>#REF!</v>
      </c>
      <c r="P9" s="22" t="e">
        <f>#REF!</f>
        <v>#REF!</v>
      </c>
      <c r="Q9" s="22" t="e">
        <f>#REF!</f>
        <v>#REF!</v>
      </c>
      <c r="R9" s="22" t="e">
        <f>#REF!</f>
        <v>#REF!</v>
      </c>
      <c r="S9" s="22" t="e">
        <f>#REF!</f>
        <v>#REF!</v>
      </c>
      <c r="T9" s="22" t="e">
        <f>#REF!</f>
        <v>#REF!</v>
      </c>
      <c r="U9" s="22" t="e">
        <f>#REF!</f>
        <v>#REF!</v>
      </c>
      <c r="V9" s="22" t="e">
        <f>#REF!</f>
        <v>#REF!</v>
      </c>
      <c r="W9" s="22" t="e">
        <f>#REF!</f>
        <v>#REF!</v>
      </c>
      <c r="X9" s="22" t="e">
        <f>#REF!</f>
        <v>#REF!</v>
      </c>
      <c r="Y9" s="22" t="e">
        <f>#REF!</f>
        <v>#REF!</v>
      </c>
      <c r="Z9" s="22" t="e">
        <f>#REF!</f>
        <v>#REF!</v>
      </c>
      <c r="AA9" s="22" t="e">
        <f>#REF!</f>
        <v>#REF!</v>
      </c>
      <c r="AB9" s="22" t="e">
        <f>#REF!</f>
        <v>#REF!</v>
      </c>
      <c r="AC9" s="22" t="e">
        <f>#REF!</f>
        <v>#REF!</v>
      </c>
      <c r="AD9" s="22" t="e">
        <f>#REF!</f>
        <v>#REF!</v>
      </c>
    </row>
    <row r="10" spans="1:30" x14ac:dyDescent="0.35">
      <c r="A10" s="58" t="s">
        <v>32</v>
      </c>
      <c r="B10" s="22" t="e">
        <f>#REF!</f>
        <v>#REF!</v>
      </c>
      <c r="C10" s="22" t="e">
        <f>#REF!</f>
        <v>#REF!</v>
      </c>
      <c r="D10" s="22" t="e">
        <f>#REF!</f>
        <v>#REF!</v>
      </c>
      <c r="E10" s="22" t="e">
        <f>#REF!</f>
        <v>#REF!</v>
      </c>
      <c r="F10" s="25" t="e">
        <f>Table9[[#This Row],[RB1R]]+Table9[[#This Row],[RB2+]]</f>
        <v>#REF!</v>
      </c>
      <c r="G10" s="22" t="e">
        <f>#REF!</f>
        <v>#REF!</v>
      </c>
      <c r="H10" s="22" t="e">
        <f>#REF!</f>
        <v>#REF!</v>
      </c>
      <c r="I10" s="22" t="e">
        <f>#REF!</f>
        <v>#REF!</v>
      </c>
      <c r="J10" s="22" t="e">
        <f>#REF!</f>
        <v>#REF!</v>
      </c>
      <c r="K10" s="22" t="e">
        <f>#REF!</f>
        <v>#REF!</v>
      </c>
      <c r="L10" s="22" t="e">
        <f>#REF!</f>
        <v>#REF!</v>
      </c>
      <c r="M10" s="22" t="e">
        <f>#REF!</f>
        <v>#REF!</v>
      </c>
      <c r="N10" s="22" t="e">
        <f>#REF!</f>
        <v>#REF!</v>
      </c>
      <c r="O10" s="22" t="e">
        <f>#REF!</f>
        <v>#REF!</v>
      </c>
      <c r="P10" s="22" t="e">
        <f>#REF!</f>
        <v>#REF!</v>
      </c>
      <c r="Q10" s="22" t="e">
        <f>#REF!</f>
        <v>#REF!</v>
      </c>
      <c r="R10" s="22" t="e">
        <f>#REF!</f>
        <v>#REF!</v>
      </c>
      <c r="S10" s="22" t="e">
        <f>#REF!</f>
        <v>#REF!</v>
      </c>
      <c r="T10" s="22" t="e">
        <f>#REF!</f>
        <v>#REF!</v>
      </c>
      <c r="U10" s="22" t="e">
        <f>#REF!</f>
        <v>#REF!</v>
      </c>
      <c r="V10" s="22" t="e">
        <f>#REF!</f>
        <v>#REF!</v>
      </c>
      <c r="W10" s="22" t="e">
        <f>#REF!</f>
        <v>#REF!</v>
      </c>
      <c r="X10" s="22" t="e">
        <f>#REF!</f>
        <v>#REF!</v>
      </c>
      <c r="Y10" s="22" t="e">
        <f>#REF!</f>
        <v>#REF!</v>
      </c>
      <c r="Z10" s="22" t="e">
        <f>#REF!</f>
        <v>#REF!</v>
      </c>
      <c r="AA10" s="22" t="e">
        <f>#REF!</f>
        <v>#REF!</v>
      </c>
      <c r="AB10" s="22" t="e">
        <f>#REF!</f>
        <v>#REF!</v>
      </c>
      <c r="AC10" s="22" t="e">
        <f>#REF!</f>
        <v>#REF!</v>
      </c>
      <c r="AD10" s="22" t="e">
        <f>#REF!</f>
        <v>#REF!</v>
      </c>
    </row>
    <row r="11" spans="1:30" x14ac:dyDescent="0.35">
      <c r="A11" s="57" t="s">
        <v>33</v>
      </c>
      <c r="B11" s="22">
        <f>Table212141819[[#Totals],[QB PY]]</f>
        <v>265.94117647058823</v>
      </c>
      <c r="C11" s="22">
        <f>Table212141819[[#Totals],[P TD]]</f>
        <v>2.0588235294117645</v>
      </c>
      <c r="D11" s="22">
        <f>Table212141819[[#Totals],[QB P+R]]</f>
        <v>289.35294117647061</v>
      </c>
      <c r="E11" s="22">
        <f>Table212141819[[#Totals],[QB RY]]</f>
        <v>23.411764705882351</v>
      </c>
      <c r="F11" s="25">
        <f>Table9[[#This Row],[RB1R]]+Table9[[#This Row],[RB2+]]</f>
        <v>95.235294117647072</v>
      </c>
      <c r="G11" s="22">
        <f>Table212141819[[#Totals],[RB1 RY]]</f>
        <v>70.588235294117652</v>
      </c>
      <c r="H11" s="22">
        <f>Table212141819[[#Totals],[RB2+ RY]]</f>
        <v>24.647058823529413</v>
      </c>
      <c r="I11" s="22">
        <f>Table212141819[[#Totals],[RB R+R]]</f>
        <v>138.47058823529412</v>
      </c>
      <c r="J11" s="22">
        <f>Table212141819[[#Totals],[WR RY]]</f>
        <v>6.8235294117647056</v>
      </c>
      <c r="K11" s="22">
        <f>Table212141819[[#Totals],[RB1 Recep]]</f>
        <v>3.4705882352941178</v>
      </c>
      <c r="L11" s="22">
        <f>Table212141819[[#Totals],[RB1 RecY]]</f>
        <v>32.705882352941174</v>
      </c>
      <c r="M11" s="22">
        <f>Table212141819[[#Totals],[WR1 Recep]]</f>
        <v>4.9411764705882355</v>
      </c>
      <c r="N11" s="22">
        <f>Table212141819[[#Totals],[WR1 RecY]]</f>
        <v>63.529411764705884</v>
      </c>
      <c r="O11" s="22">
        <f>Table212141819[[#Totals],[WR2 Recep]]</f>
        <v>3.7058823529411766</v>
      </c>
      <c r="P11" s="22">
        <f>Table212141819[[#Totals],[WR2 RecY]]</f>
        <v>61.411764705882355</v>
      </c>
      <c r="Q11" s="22">
        <f>Table212141819[[#Totals],[WR3 Recep]]</f>
        <v>2.3529411764705883</v>
      </c>
      <c r="R11" s="22">
        <f>Table212141819[[#Totals],[WR3 RecY]]</f>
        <v>30.117647058823529</v>
      </c>
      <c r="S11" s="22">
        <f>Table212141819[[#Totals],[WR4+ Recep]]</f>
        <v>1.1176470588235294</v>
      </c>
      <c r="T11" s="22">
        <f>Table212141819[[#Totals],[WR4+ RecY]]</f>
        <v>15.941176470588236</v>
      </c>
      <c r="U11" s="22">
        <f>Table212141819[[#Totals],[TE1 Recep]]</f>
        <v>3.9411764705882355</v>
      </c>
      <c r="V11" s="22">
        <f>Table212141819[[#Totals],[TE1 RecY]]</f>
        <v>40</v>
      </c>
      <c r="W11" s="22">
        <f>Table212141819[[#Totals],[QB TD]]</f>
        <v>0.47058823529411764</v>
      </c>
      <c r="X11" s="22">
        <f>Table212141819[[#Totals],[RB1 TD]]</f>
        <v>0.70588235294117652</v>
      </c>
      <c r="Y11" s="22">
        <f>Table212141819[[#Totals],[WR1 TD]]</f>
        <v>0.88235294117647056</v>
      </c>
      <c r="Z11" s="22">
        <f>Table212141819[[#Totals],[WR2 TD]]</f>
        <v>0.29411764705882354</v>
      </c>
      <c r="AA11" s="22">
        <f>Table212141819[[#Totals],[WR3 TD]]</f>
        <v>0.29411764705882354</v>
      </c>
      <c r="AB11" s="22">
        <f>Table212141819[[#Totals],[WR4+ TD]]</f>
        <v>5.8823529411764705E-2</v>
      </c>
      <c r="AC11" s="22">
        <f>Table212141819[[#Totals],[TE1 TD]]</f>
        <v>0.23529411764705882</v>
      </c>
      <c r="AD11" s="22">
        <f>Table212141819[[#Totals],[D/ST TD]]</f>
        <v>0</v>
      </c>
    </row>
    <row r="12" spans="1:30" x14ac:dyDescent="0.35">
      <c r="A12" s="58" t="s">
        <v>34</v>
      </c>
      <c r="B12" s="22" t="e">
        <f>#REF!</f>
        <v>#REF!</v>
      </c>
      <c r="C12" s="22" t="e">
        <f>#REF!</f>
        <v>#REF!</v>
      </c>
      <c r="D12" s="22" t="e">
        <f>#REF!</f>
        <v>#REF!</v>
      </c>
      <c r="E12" s="22" t="e">
        <f>#REF!</f>
        <v>#REF!</v>
      </c>
      <c r="F12" s="25" t="e">
        <f>Table9[[#This Row],[RB1R]]+Table9[[#This Row],[RB2+]]</f>
        <v>#REF!</v>
      </c>
      <c r="G12" s="22" t="e">
        <f>#REF!</f>
        <v>#REF!</v>
      </c>
      <c r="H12" s="22" t="e">
        <f>#REF!</f>
        <v>#REF!</v>
      </c>
      <c r="I12" s="22" t="e">
        <f>#REF!</f>
        <v>#REF!</v>
      </c>
      <c r="J12" s="22" t="e">
        <f>#REF!</f>
        <v>#REF!</v>
      </c>
      <c r="K12" s="22" t="e">
        <f>#REF!</f>
        <v>#REF!</v>
      </c>
      <c r="L12" s="22" t="e">
        <f>#REF!</f>
        <v>#REF!</v>
      </c>
      <c r="M12" s="22" t="e">
        <f>#REF!</f>
        <v>#REF!</v>
      </c>
      <c r="N12" s="22" t="e">
        <f>#REF!</f>
        <v>#REF!</v>
      </c>
      <c r="O12" s="22" t="e">
        <f>#REF!</f>
        <v>#REF!</v>
      </c>
      <c r="P12" s="22" t="e">
        <f>#REF!</f>
        <v>#REF!</v>
      </c>
      <c r="Q12" s="22" t="e">
        <f>#REF!</f>
        <v>#REF!</v>
      </c>
      <c r="R12" s="22" t="e">
        <f>#REF!</f>
        <v>#REF!</v>
      </c>
      <c r="S12" s="22" t="e">
        <f>#REF!</f>
        <v>#REF!</v>
      </c>
      <c r="T12" s="22" t="e">
        <f>#REF!</f>
        <v>#REF!</v>
      </c>
      <c r="U12" s="22" t="e">
        <f>#REF!</f>
        <v>#REF!</v>
      </c>
      <c r="V12" s="22" t="e">
        <f>#REF!</f>
        <v>#REF!</v>
      </c>
      <c r="W12" s="22" t="e">
        <f>#REF!</f>
        <v>#REF!</v>
      </c>
      <c r="X12" s="22" t="e">
        <f>#REF!</f>
        <v>#REF!</v>
      </c>
      <c r="Y12" s="22" t="e">
        <f>#REF!</f>
        <v>#REF!</v>
      </c>
      <c r="Z12" s="22" t="e">
        <f>#REF!</f>
        <v>#REF!</v>
      </c>
      <c r="AA12" s="22" t="e">
        <f>#REF!</f>
        <v>#REF!</v>
      </c>
      <c r="AB12" s="22" t="e">
        <f>#REF!</f>
        <v>#REF!</v>
      </c>
      <c r="AC12" s="22" t="e">
        <f>#REF!</f>
        <v>#REF!</v>
      </c>
      <c r="AD12" s="22" t="e">
        <f>#REF!</f>
        <v>#REF!</v>
      </c>
    </row>
    <row r="13" spans="1:30" x14ac:dyDescent="0.35">
      <c r="A13" s="57" t="s">
        <v>35</v>
      </c>
      <c r="B13" s="22" t="e">
        <f>#REF!</f>
        <v>#REF!</v>
      </c>
      <c r="C13" s="22" t="e">
        <f>#REF!</f>
        <v>#REF!</v>
      </c>
      <c r="D13" s="22" t="e">
        <f>#REF!</f>
        <v>#REF!</v>
      </c>
      <c r="E13" s="22" t="e">
        <f>#REF!</f>
        <v>#REF!</v>
      </c>
      <c r="F13" s="25" t="e">
        <f>Table9[[#This Row],[RB1R]]+Table9[[#This Row],[RB2+]]</f>
        <v>#REF!</v>
      </c>
      <c r="G13" s="22" t="e">
        <f>#REF!</f>
        <v>#REF!</v>
      </c>
      <c r="H13" s="22" t="e">
        <f>#REF!</f>
        <v>#REF!</v>
      </c>
      <c r="I13" s="22" t="e">
        <f>#REF!</f>
        <v>#REF!</v>
      </c>
      <c r="J13" s="22" t="e">
        <f>#REF!</f>
        <v>#REF!</v>
      </c>
      <c r="K13" s="22" t="e">
        <f>#REF!</f>
        <v>#REF!</v>
      </c>
      <c r="L13" s="22" t="e">
        <f>#REF!</f>
        <v>#REF!</v>
      </c>
      <c r="M13" s="22" t="e">
        <f>#REF!</f>
        <v>#REF!</v>
      </c>
      <c r="N13" s="22" t="e">
        <f>#REF!</f>
        <v>#REF!</v>
      </c>
      <c r="O13" s="22" t="e">
        <f>#REF!</f>
        <v>#REF!</v>
      </c>
      <c r="P13" s="22" t="e">
        <f>#REF!</f>
        <v>#REF!</v>
      </c>
      <c r="Q13" s="22" t="e">
        <f>#REF!</f>
        <v>#REF!</v>
      </c>
      <c r="R13" s="22" t="e">
        <f>#REF!</f>
        <v>#REF!</v>
      </c>
      <c r="S13" s="22" t="e">
        <f>#REF!</f>
        <v>#REF!</v>
      </c>
      <c r="T13" s="22" t="e">
        <f>#REF!</f>
        <v>#REF!</v>
      </c>
      <c r="U13" s="22" t="e">
        <f>#REF!</f>
        <v>#REF!</v>
      </c>
      <c r="V13" s="22" t="e">
        <f>#REF!</f>
        <v>#REF!</v>
      </c>
      <c r="W13" s="22" t="e">
        <f>#REF!</f>
        <v>#REF!</v>
      </c>
      <c r="X13" s="22" t="e">
        <f>#REF!</f>
        <v>#REF!</v>
      </c>
      <c r="Y13" s="22" t="e">
        <f>#REF!</f>
        <v>#REF!</v>
      </c>
      <c r="Z13" s="22" t="e">
        <f>#REF!</f>
        <v>#REF!</v>
      </c>
      <c r="AA13" s="22" t="e">
        <f>#REF!</f>
        <v>#REF!</v>
      </c>
      <c r="AB13" s="22" t="e">
        <f>#REF!</f>
        <v>#REF!</v>
      </c>
      <c r="AC13" s="22" t="e">
        <f>#REF!</f>
        <v>#REF!</v>
      </c>
      <c r="AD13" s="22" t="e">
        <f>#REF!</f>
        <v>#REF!</v>
      </c>
    </row>
    <row r="14" spans="1:30" x14ac:dyDescent="0.35">
      <c r="A14" s="58" t="s">
        <v>36</v>
      </c>
      <c r="B14" s="22" t="e">
        <f>#REF!</f>
        <v>#REF!</v>
      </c>
      <c r="C14" s="22" t="e">
        <f>#REF!</f>
        <v>#REF!</v>
      </c>
      <c r="D14" s="22" t="e">
        <f>#REF!</f>
        <v>#REF!</v>
      </c>
      <c r="E14" s="22" t="e">
        <f>#REF!</f>
        <v>#REF!</v>
      </c>
      <c r="F14" s="25" t="e">
        <f>Table9[[#This Row],[RB1R]]+Table9[[#This Row],[RB2+]]</f>
        <v>#REF!</v>
      </c>
      <c r="G14" s="22" t="e">
        <f>#REF!</f>
        <v>#REF!</v>
      </c>
      <c r="H14" s="22" t="e">
        <f>#REF!</f>
        <v>#REF!</v>
      </c>
      <c r="I14" s="22" t="e">
        <f>#REF!</f>
        <v>#REF!</v>
      </c>
      <c r="J14" s="22" t="e">
        <f>#REF!</f>
        <v>#REF!</v>
      </c>
      <c r="K14" s="22" t="e">
        <f>#REF!</f>
        <v>#REF!</v>
      </c>
      <c r="L14" s="22" t="e">
        <f>#REF!</f>
        <v>#REF!</v>
      </c>
      <c r="M14" s="22" t="e">
        <f>#REF!</f>
        <v>#REF!</v>
      </c>
      <c r="N14" s="22" t="e">
        <f>#REF!</f>
        <v>#REF!</v>
      </c>
      <c r="O14" s="22" t="e">
        <f>#REF!</f>
        <v>#REF!</v>
      </c>
      <c r="P14" s="22" t="e">
        <f>#REF!</f>
        <v>#REF!</v>
      </c>
      <c r="Q14" s="22" t="e">
        <f>#REF!</f>
        <v>#REF!</v>
      </c>
      <c r="R14" s="22" t="e">
        <f>#REF!</f>
        <v>#REF!</v>
      </c>
      <c r="S14" s="22" t="e">
        <f>#REF!</f>
        <v>#REF!</v>
      </c>
      <c r="T14" s="22" t="e">
        <f>#REF!</f>
        <v>#REF!</v>
      </c>
      <c r="U14" s="22" t="e">
        <f>#REF!</f>
        <v>#REF!</v>
      </c>
      <c r="V14" s="22" t="e">
        <f>#REF!</f>
        <v>#REF!</v>
      </c>
      <c r="W14" s="22" t="e">
        <f>#REF!</f>
        <v>#REF!</v>
      </c>
      <c r="X14" s="22" t="e">
        <f>#REF!</f>
        <v>#REF!</v>
      </c>
      <c r="Y14" s="22" t="e">
        <f>#REF!</f>
        <v>#REF!</v>
      </c>
      <c r="Z14" s="22" t="e">
        <f>#REF!</f>
        <v>#REF!</v>
      </c>
      <c r="AA14" s="22" t="e">
        <f>#REF!</f>
        <v>#REF!</v>
      </c>
      <c r="AB14" s="22" t="e">
        <f>#REF!</f>
        <v>#REF!</v>
      </c>
      <c r="AC14" s="22" t="e">
        <f>#REF!</f>
        <v>#REF!</v>
      </c>
      <c r="AD14" s="22" t="e">
        <f>#REF!</f>
        <v>#REF!</v>
      </c>
    </row>
    <row r="15" spans="1:30" x14ac:dyDescent="0.35">
      <c r="A15" s="57" t="s">
        <v>37</v>
      </c>
      <c r="B15" s="22" t="e">
        <f>#REF!</f>
        <v>#REF!</v>
      </c>
      <c r="C15" s="22" t="e">
        <f>#REF!</f>
        <v>#REF!</v>
      </c>
      <c r="D15" s="22" t="e">
        <f>#REF!</f>
        <v>#REF!</v>
      </c>
      <c r="E15" s="22" t="e">
        <f>#REF!</f>
        <v>#REF!</v>
      </c>
      <c r="F15" s="25" t="e">
        <f>Table9[[#This Row],[RB1R]]+Table9[[#This Row],[RB2+]]</f>
        <v>#REF!</v>
      </c>
      <c r="G15" s="22" t="e">
        <f>#REF!</f>
        <v>#REF!</v>
      </c>
      <c r="H15" s="22" t="e">
        <f>#REF!</f>
        <v>#REF!</v>
      </c>
      <c r="I15" s="22" t="e">
        <f>#REF!</f>
        <v>#REF!</v>
      </c>
      <c r="J15" s="22" t="e">
        <f>#REF!</f>
        <v>#REF!</v>
      </c>
      <c r="K15" s="22" t="e">
        <f>#REF!</f>
        <v>#REF!</v>
      </c>
      <c r="L15" s="22" t="e">
        <f>#REF!</f>
        <v>#REF!</v>
      </c>
      <c r="M15" s="22" t="e">
        <f>#REF!</f>
        <v>#REF!</v>
      </c>
      <c r="N15" s="22" t="e">
        <f>#REF!</f>
        <v>#REF!</v>
      </c>
      <c r="O15" s="22" t="e">
        <f>#REF!</f>
        <v>#REF!</v>
      </c>
      <c r="P15" s="22" t="e">
        <f>#REF!</f>
        <v>#REF!</v>
      </c>
      <c r="Q15" s="22" t="e">
        <f>#REF!</f>
        <v>#REF!</v>
      </c>
      <c r="R15" s="22" t="e">
        <f>#REF!</f>
        <v>#REF!</v>
      </c>
      <c r="S15" s="22" t="e">
        <f>#REF!</f>
        <v>#REF!</v>
      </c>
      <c r="T15" s="22" t="e">
        <f>#REF!</f>
        <v>#REF!</v>
      </c>
      <c r="U15" s="22" t="e">
        <f>#REF!</f>
        <v>#REF!</v>
      </c>
      <c r="V15" s="22" t="e">
        <f>#REF!</f>
        <v>#REF!</v>
      </c>
      <c r="W15" s="22" t="e">
        <f>#REF!</f>
        <v>#REF!</v>
      </c>
      <c r="X15" s="22" t="e">
        <f>#REF!</f>
        <v>#REF!</v>
      </c>
      <c r="Y15" s="22" t="e">
        <f>#REF!</f>
        <v>#REF!</v>
      </c>
      <c r="Z15" s="22" t="e">
        <f>#REF!</f>
        <v>#REF!</v>
      </c>
      <c r="AA15" s="22" t="e">
        <f>#REF!</f>
        <v>#REF!</v>
      </c>
      <c r="AB15" s="22" t="e">
        <f>#REF!</f>
        <v>#REF!</v>
      </c>
      <c r="AC15" s="22" t="e">
        <f>#REF!</f>
        <v>#REF!</v>
      </c>
      <c r="AD15" s="22" t="e">
        <f>#REF!</f>
        <v>#REF!</v>
      </c>
    </row>
    <row r="16" spans="1:30" x14ac:dyDescent="0.35">
      <c r="A16" s="58" t="s">
        <v>38</v>
      </c>
      <c r="B16" s="22" t="e">
        <f>#REF!</f>
        <v>#REF!</v>
      </c>
      <c r="C16" s="22" t="e">
        <f>#REF!</f>
        <v>#REF!</v>
      </c>
      <c r="D16" s="22" t="e">
        <f>#REF!</f>
        <v>#REF!</v>
      </c>
      <c r="E16" s="22" t="e">
        <f>#REF!</f>
        <v>#REF!</v>
      </c>
      <c r="F16" s="25" t="e">
        <f>Table9[[#This Row],[RB1R]]+Table9[[#This Row],[RB2+]]</f>
        <v>#REF!</v>
      </c>
      <c r="G16" s="22" t="e">
        <f>#REF!</f>
        <v>#REF!</v>
      </c>
      <c r="H16" s="22" t="e">
        <f>#REF!</f>
        <v>#REF!</v>
      </c>
      <c r="I16" s="22" t="e">
        <f>#REF!</f>
        <v>#REF!</v>
      </c>
      <c r="J16" s="22" t="e">
        <f>#REF!</f>
        <v>#REF!</v>
      </c>
      <c r="K16" s="22" t="e">
        <f>#REF!</f>
        <v>#REF!</v>
      </c>
      <c r="L16" s="22" t="e">
        <f>#REF!</f>
        <v>#REF!</v>
      </c>
      <c r="M16" s="22" t="e">
        <f>#REF!</f>
        <v>#REF!</v>
      </c>
      <c r="N16" s="22" t="e">
        <f>#REF!</f>
        <v>#REF!</v>
      </c>
      <c r="O16" s="22" t="e">
        <f>#REF!</f>
        <v>#REF!</v>
      </c>
      <c r="P16" s="22" t="e">
        <f>#REF!</f>
        <v>#REF!</v>
      </c>
      <c r="Q16" s="22" t="e">
        <f>#REF!</f>
        <v>#REF!</v>
      </c>
      <c r="R16" s="22" t="e">
        <f>#REF!</f>
        <v>#REF!</v>
      </c>
      <c r="S16" s="22" t="e">
        <f>#REF!</f>
        <v>#REF!</v>
      </c>
      <c r="T16" s="22" t="e">
        <f>#REF!</f>
        <v>#REF!</v>
      </c>
      <c r="U16" s="22" t="e">
        <f>#REF!</f>
        <v>#REF!</v>
      </c>
      <c r="V16" s="22" t="e">
        <f>#REF!</f>
        <v>#REF!</v>
      </c>
      <c r="W16" s="22" t="e">
        <f>#REF!</f>
        <v>#REF!</v>
      </c>
      <c r="X16" s="22" t="e">
        <f>#REF!</f>
        <v>#REF!</v>
      </c>
      <c r="Y16" s="22" t="e">
        <f>#REF!</f>
        <v>#REF!</v>
      </c>
      <c r="Z16" s="22" t="e">
        <f>#REF!</f>
        <v>#REF!</v>
      </c>
      <c r="AA16" s="22" t="e">
        <f>#REF!</f>
        <v>#REF!</v>
      </c>
      <c r="AB16" s="22" t="e">
        <f>#REF!</f>
        <v>#REF!</v>
      </c>
      <c r="AC16" s="22" t="e">
        <f>#REF!</f>
        <v>#REF!</v>
      </c>
      <c r="AD16" s="22" t="e">
        <f>#REF!</f>
        <v>#REF!</v>
      </c>
    </row>
    <row r="17" spans="1:30" x14ac:dyDescent="0.35">
      <c r="A17" s="57" t="s">
        <v>39</v>
      </c>
      <c r="B17" s="22" t="e">
        <f>#REF!</f>
        <v>#REF!</v>
      </c>
      <c r="C17" s="22" t="e">
        <f>#REF!</f>
        <v>#REF!</v>
      </c>
      <c r="D17" s="22" t="e">
        <f>#REF!</f>
        <v>#REF!</v>
      </c>
      <c r="E17" s="22" t="e">
        <f>#REF!</f>
        <v>#REF!</v>
      </c>
      <c r="F17" s="25" t="e">
        <f>Table9[[#This Row],[RB1R]]+Table9[[#This Row],[RB2+]]</f>
        <v>#REF!</v>
      </c>
      <c r="G17" s="22" t="e">
        <f>#REF!</f>
        <v>#REF!</v>
      </c>
      <c r="H17" s="22" t="e">
        <f>#REF!</f>
        <v>#REF!</v>
      </c>
      <c r="I17" s="22" t="e">
        <f>#REF!</f>
        <v>#REF!</v>
      </c>
      <c r="J17" s="22" t="e">
        <f>#REF!</f>
        <v>#REF!</v>
      </c>
      <c r="K17" s="22" t="e">
        <f>#REF!</f>
        <v>#REF!</v>
      </c>
      <c r="L17" s="22" t="e">
        <f>#REF!</f>
        <v>#REF!</v>
      </c>
      <c r="M17" s="22" t="e">
        <f>#REF!</f>
        <v>#REF!</v>
      </c>
      <c r="N17" s="22" t="e">
        <f>#REF!</f>
        <v>#REF!</v>
      </c>
      <c r="O17" s="22" t="e">
        <f>#REF!</f>
        <v>#REF!</v>
      </c>
      <c r="P17" s="22" t="e">
        <f>#REF!</f>
        <v>#REF!</v>
      </c>
      <c r="Q17" s="22" t="e">
        <f>#REF!</f>
        <v>#REF!</v>
      </c>
      <c r="R17" s="22" t="e">
        <f>#REF!</f>
        <v>#REF!</v>
      </c>
      <c r="S17" s="22" t="e">
        <f>#REF!</f>
        <v>#REF!</v>
      </c>
      <c r="T17" s="22" t="e">
        <f>#REF!</f>
        <v>#REF!</v>
      </c>
      <c r="U17" s="22" t="e">
        <f>#REF!</f>
        <v>#REF!</v>
      </c>
      <c r="V17" s="22" t="e">
        <f>#REF!</f>
        <v>#REF!</v>
      </c>
      <c r="W17" s="22" t="e">
        <f>#REF!</f>
        <v>#REF!</v>
      </c>
      <c r="X17" s="22" t="e">
        <f>#REF!</f>
        <v>#REF!</v>
      </c>
      <c r="Y17" s="22" t="e">
        <f>#REF!</f>
        <v>#REF!</v>
      </c>
      <c r="Z17" s="22" t="e">
        <f>#REF!</f>
        <v>#REF!</v>
      </c>
      <c r="AA17" s="22" t="e">
        <f>#REF!</f>
        <v>#REF!</v>
      </c>
      <c r="AB17" s="22" t="e">
        <f>#REF!</f>
        <v>#REF!</v>
      </c>
      <c r="AC17" s="22" t="e">
        <f>#REF!</f>
        <v>#REF!</v>
      </c>
      <c r="AD17" s="22" t="e">
        <f>#REF!</f>
        <v>#REF!</v>
      </c>
    </row>
    <row r="18" spans="1:30" x14ac:dyDescent="0.35">
      <c r="A18" s="58" t="s">
        <v>40</v>
      </c>
      <c r="B18" s="22" t="e">
        <f>#REF!</f>
        <v>#REF!</v>
      </c>
      <c r="C18" s="22" t="e">
        <f>#REF!</f>
        <v>#REF!</v>
      </c>
      <c r="D18" s="22" t="e">
        <f>#REF!</f>
        <v>#REF!</v>
      </c>
      <c r="E18" s="22" t="e">
        <f>#REF!</f>
        <v>#REF!</v>
      </c>
      <c r="F18" s="25" t="e">
        <f>Table9[[#This Row],[RB1R]]+Table9[[#This Row],[RB2+]]</f>
        <v>#REF!</v>
      </c>
      <c r="G18" s="22" t="e">
        <f>#REF!</f>
        <v>#REF!</v>
      </c>
      <c r="H18" s="22" t="e">
        <f>#REF!</f>
        <v>#REF!</v>
      </c>
      <c r="I18" s="22" t="e">
        <f>#REF!</f>
        <v>#REF!</v>
      </c>
      <c r="J18" s="22" t="e">
        <f>#REF!</f>
        <v>#REF!</v>
      </c>
      <c r="K18" s="22" t="e">
        <f>#REF!</f>
        <v>#REF!</v>
      </c>
      <c r="L18" s="22" t="e">
        <f>#REF!</f>
        <v>#REF!</v>
      </c>
      <c r="M18" s="22" t="e">
        <f>#REF!</f>
        <v>#REF!</v>
      </c>
      <c r="N18" s="22" t="e">
        <f>#REF!</f>
        <v>#REF!</v>
      </c>
      <c r="O18" s="22" t="e">
        <f>#REF!</f>
        <v>#REF!</v>
      </c>
      <c r="P18" s="22" t="e">
        <f>#REF!</f>
        <v>#REF!</v>
      </c>
      <c r="Q18" s="22" t="e">
        <f>#REF!</f>
        <v>#REF!</v>
      </c>
      <c r="R18" s="22" t="e">
        <f>#REF!</f>
        <v>#REF!</v>
      </c>
      <c r="S18" s="22" t="e">
        <f>#REF!</f>
        <v>#REF!</v>
      </c>
      <c r="T18" s="22" t="e">
        <f>#REF!</f>
        <v>#REF!</v>
      </c>
      <c r="U18" s="22" t="e">
        <f>#REF!</f>
        <v>#REF!</v>
      </c>
      <c r="V18" s="22" t="e">
        <f>#REF!</f>
        <v>#REF!</v>
      </c>
      <c r="W18" s="22" t="e">
        <f>#REF!</f>
        <v>#REF!</v>
      </c>
      <c r="X18" s="22" t="e">
        <f>#REF!</f>
        <v>#REF!</v>
      </c>
      <c r="Y18" s="22" t="e">
        <f>#REF!</f>
        <v>#REF!</v>
      </c>
      <c r="Z18" s="22" t="e">
        <f>#REF!</f>
        <v>#REF!</v>
      </c>
      <c r="AA18" s="22" t="e">
        <f>#REF!</f>
        <v>#REF!</v>
      </c>
      <c r="AB18" s="22" t="e">
        <f>#REF!</f>
        <v>#REF!</v>
      </c>
      <c r="AC18" s="22" t="e">
        <f>#REF!</f>
        <v>#REF!</v>
      </c>
      <c r="AD18" s="22" t="e">
        <f>#REF!</f>
        <v>#REF!</v>
      </c>
    </row>
    <row r="19" spans="1:30" x14ac:dyDescent="0.35">
      <c r="A19" s="57" t="s">
        <v>41</v>
      </c>
      <c r="B19" s="22" t="e">
        <f>#REF!</f>
        <v>#REF!</v>
      </c>
      <c r="C19" s="22" t="e">
        <f>#REF!</f>
        <v>#REF!</v>
      </c>
      <c r="D19" s="22" t="e">
        <f>#REF!</f>
        <v>#REF!</v>
      </c>
      <c r="E19" s="22" t="e">
        <f>#REF!</f>
        <v>#REF!</v>
      </c>
      <c r="F19" s="25" t="e">
        <f>Table9[[#This Row],[RB1R]]+Table9[[#This Row],[RB2+]]</f>
        <v>#REF!</v>
      </c>
      <c r="G19" s="22" t="e">
        <f>#REF!</f>
        <v>#REF!</v>
      </c>
      <c r="H19" s="22" t="e">
        <f>#REF!</f>
        <v>#REF!</v>
      </c>
      <c r="I19" s="22" t="e">
        <f>#REF!</f>
        <v>#REF!</v>
      </c>
      <c r="J19" s="22" t="e">
        <f>#REF!</f>
        <v>#REF!</v>
      </c>
      <c r="K19" s="22" t="e">
        <f>#REF!</f>
        <v>#REF!</v>
      </c>
      <c r="L19" s="22" t="e">
        <f>#REF!</f>
        <v>#REF!</v>
      </c>
      <c r="M19" s="22" t="e">
        <f>#REF!</f>
        <v>#REF!</v>
      </c>
      <c r="N19" s="22" t="e">
        <f>#REF!</f>
        <v>#REF!</v>
      </c>
      <c r="O19" s="22" t="e">
        <f>#REF!</f>
        <v>#REF!</v>
      </c>
      <c r="P19" s="22" t="e">
        <f>#REF!</f>
        <v>#REF!</v>
      </c>
      <c r="Q19" s="22" t="e">
        <f>#REF!</f>
        <v>#REF!</v>
      </c>
      <c r="R19" s="22" t="e">
        <f>#REF!</f>
        <v>#REF!</v>
      </c>
      <c r="S19" s="22" t="e">
        <f>#REF!</f>
        <v>#REF!</v>
      </c>
      <c r="T19" s="22" t="e">
        <f>#REF!</f>
        <v>#REF!</v>
      </c>
      <c r="U19" s="22" t="e">
        <f>#REF!</f>
        <v>#REF!</v>
      </c>
      <c r="V19" s="22" t="e">
        <f>#REF!</f>
        <v>#REF!</v>
      </c>
      <c r="W19" s="22" t="e">
        <f>#REF!</f>
        <v>#REF!</v>
      </c>
      <c r="X19" s="22" t="e">
        <f>#REF!</f>
        <v>#REF!</v>
      </c>
      <c r="Y19" s="22" t="e">
        <f>#REF!</f>
        <v>#REF!</v>
      </c>
      <c r="Z19" s="22" t="e">
        <f>#REF!</f>
        <v>#REF!</v>
      </c>
      <c r="AA19" s="22" t="e">
        <f>#REF!</f>
        <v>#REF!</v>
      </c>
      <c r="AB19" s="22" t="e">
        <f>#REF!</f>
        <v>#REF!</v>
      </c>
      <c r="AC19" s="22" t="e">
        <f>#REF!</f>
        <v>#REF!</v>
      </c>
      <c r="AD19" s="22" t="e">
        <f>#REF!</f>
        <v>#REF!</v>
      </c>
    </row>
    <row r="20" spans="1:30" x14ac:dyDescent="0.35">
      <c r="A20" s="58" t="s">
        <v>42</v>
      </c>
      <c r="B20" s="22" t="e">
        <f>#REF!</f>
        <v>#REF!</v>
      </c>
      <c r="C20" s="22" t="e">
        <f>#REF!</f>
        <v>#REF!</v>
      </c>
      <c r="D20" s="22" t="e">
        <f>#REF!</f>
        <v>#REF!</v>
      </c>
      <c r="E20" s="22" t="e">
        <f>#REF!</f>
        <v>#REF!</v>
      </c>
      <c r="F20" s="25" t="e">
        <f>Table9[[#This Row],[RB1R]]+Table9[[#This Row],[RB2+]]</f>
        <v>#REF!</v>
      </c>
      <c r="G20" s="22" t="e">
        <f>#REF!</f>
        <v>#REF!</v>
      </c>
      <c r="H20" s="22" t="e">
        <f>#REF!</f>
        <v>#REF!</v>
      </c>
      <c r="I20" s="22" t="e">
        <f>#REF!</f>
        <v>#REF!</v>
      </c>
      <c r="J20" s="22" t="e">
        <f>#REF!</f>
        <v>#REF!</v>
      </c>
      <c r="K20" s="22" t="e">
        <f>#REF!</f>
        <v>#REF!</v>
      </c>
      <c r="L20" s="22" t="e">
        <f>#REF!</f>
        <v>#REF!</v>
      </c>
      <c r="M20" s="22" t="e">
        <f>#REF!</f>
        <v>#REF!</v>
      </c>
      <c r="N20" s="22" t="e">
        <f>#REF!</f>
        <v>#REF!</v>
      </c>
      <c r="O20" s="22" t="e">
        <f>#REF!</f>
        <v>#REF!</v>
      </c>
      <c r="P20" s="22" t="e">
        <f>#REF!</f>
        <v>#REF!</v>
      </c>
      <c r="Q20" s="22" t="e">
        <f>#REF!</f>
        <v>#REF!</v>
      </c>
      <c r="R20" s="22" t="e">
        <f>#REF!</f>
        <v>#REF!</v>
      </c>
      <c r="S20" s="22" t="e">
        <f>#REF!</f>
        <v>#REF!</v>
      </c>
      <c r="T20" s="22" t="e">
        <f>#REF!</f>
        <v>#REF!</v>
      </c>
      <c r="U20" s="22" t="e">
        <f>#REF!</f>
        <v>#REF!</v>
      </c>
      <c r="V20" s="22" t="e">
        <f>#REF!</f>
        <v>#REF!</v>
      </c>
      <c r="W20" s="22" t="e">
        <f>#REF!</f>
        <v>#REF!</v>
      </c>
      <c r="X20" s="22" t="e">
        <f>#REF!</f>
        <v>#REF!</v>
      </c>
      <c r="Y20" s="22" t="e">
        <f>#REF!</f>
        <v>#REF!</v>
      </c>
      <c r="Z20" s="22" t="e">
        <f>#REF!</f>
        <v>#REF!</v>
      </c>
      <c r="AA20" s="22" t="e">
        <f>#REF!</f>
        <v>#REF!</v>
      </c>
      <c r="AB20" s="22" t="e">
        <f>#REF!</f>
        <v>#REF!</v>
      </c>
      <c r="AC20" s="22" t="e">
        <f>#REF!</f>
        <v>#REF!</v>
      </c>
      <c r="AD20" s="22" t="e">
        <f>#REF!</f>
        <v>#REF!</v>
      </c>
    </row>
    <row r="21" spans="1:30" x14ac:dyDescent="0.35">
      <c r="A21" s="57" t="s">
        <v>43</v>
      </c>
      <c r="B21" s="22" t="e">
        <f>#REF!</f>
        <v>#REF!</v>
      </c>
      <c r="C21" s="22" t="e">
        <f>#REF!</f>
        <v>#REF!</v>
      </c>
      <c r="D21" s="22" t="e">
        <f>#REF!</f>
        <v>#REF!</v>
      </c>
      <c r="E21" s="22" t="e">
        <f>#REF!</f>
        <v>#REF!</v>
      </c>
      <c r="F21" s="25" t="e">
        <f>Table9[[#This Row],[RB1R]]+Table9[[#This Row],[RB2+]]</f>
        <v>#REF!</v>
      </c>
      <c r="G21" s="22" t="e">
        <f>#REF!</f>
        <v>#REF!</v>
      </c>
      <c r="H21" s="22" t="e">
        <f>#REF!</f>
        <v>#REF!</v>
      </c>
      <c r="I21" s="22" t="e">
        <f>#REF!</f>
        <v>#REF!</v>
      </c>
      <c r="J21" s="22" t="e">
        <f>#REF!</f>
        <v>#REF!</v>
      </c>
      <c r="K21" s="22" t="e">
        <f>#REF!</f>
        <v>#REF!</v>
      </c>
      <c r="L21" s="22" t="e">
        <f>#REF!</f>
        <v>#REF!</v>
      </c>
      <c r="M21" s="22" t="e">
        <f>#REF!</f>
        <v>#REF!</v>
      </c>
      <c r="N21" s="22" t="e">
        <f>#REF!</f>
        <v>#REF!</v>
      </c>
      <c r="O21" s="22" t="e">
        <f>#REF!</f>
        <v>#REF!</v>
      </c>
      <c r="P21" s="22" t="e">
        <f>#REF!</f>
        <v>#REF!</v>
      </c>
      <c r="Q21" s="22" t="e">
        <f>#REF!</f>
        <v>#REF!</v>
      </c>
      <c r="R21" s="22" t="e">
        <f>#REF!</f>
        <v>#REF!</v>
      </c>
      <c r="S21" s="22" t="e">
        <f>#REF!</f>
        <v>#REF!</v>
      </c>
      <c r="T21" s="22" t="e">
        <f>#REF!</f>
        <v>#REF!</v>
      </c>
      <c r="U21" s="22" t="e">
        <f>#REF!</f>
        <v>#REF!</v>
      </c>
      <c r="V21" s="22" t="e">
        <f>#REF!</f>
        <v>#REF!</v>
      </c>
      <c r="W21" s="22" t="e">
        <f>#REF!</f>
        <v>#REF!</v>
      </c>
      <c r="X21" s="22" t="e">
        <f>#REF!</f>
        <v>#REF!</v>
      </c>
      <c r="Y21" s="22" t="e">
        <f>#REF!</f>
        <v>#REF!</v>
      </c>
      <c r="Z21" s="22" t="e">
        <f>#REF!</f>
        <v>#REF!</v>
      </c>
      <c r="AA21" s="22" t="e">
        <f>#REF!</f>
        <v>#REF!</v>
      </c>
      <c r="AB21" s="22" t="e">
        <f>#REF!</f>
        <v>#REF!</v>
      </c>
      <c r="AC21" s="22" t="e">
        <f>#REF!</f>
        <v>#REF!</v>
      </c>
      <c r="AD21" s="22" t="e">
        <f>#REF!</f>
        <v>#REF!</v>
      </c>
    </row>
    <row r="22" spans="1:30" x14ac:dyDescent="0.35">
      <c r="A22" s="58" t="s">
        <v>44</v>
      </c>
      <c r="B22" s="22" t="e">
        <f>#REF!</f>
        <v>#REF!</v>
      </c>
      <c r="C22" s="22" t="e">
        <f>#REF!</f>
        <v>#REF!</v>
      </c>
      <c r="D22" s="22" t="e">
        <f>#REF!</f>
        <v>#REF!</v>
      </c>
      <c r="E22" s="22" t="e">
        <f>#REF!</f>
        <v>#REF!</v>
      </c>
      <c r="F22" s="25" t="e">
        <f>Table9[[#This Row],[RB1R]]+Table9[[#This Row],[RB2+]]</f>
        <v>#REF!</v>
      </c>
      <c r="G22" s="22" t="e">
        <f>#REF!</f>
        <v>#REF!</v>
      </c>
      <c r="H22" s="22" t="e">
        <f>#REF!</f>
        <v>#REF!</v>
      </c>
      <c r="I22" s="22" t="e">
        <f>#REF!</f>
        <v>#REF!</v>
      </c>
      <c r="J22" s="22" t="e">
        <f>#REF!</f>
        <v>#REF!</v>
      </c>
      <c r="K22" s="22" t="e">
        <f>#REF!</f>
        <v>#REF!</v>
      </c>
      <c r="L22" s="22" t="e">
        <f>#REF!</f>
        <v>#REF!</v>
      </c>
      <c r="M22" s="22" t="e">
        <f>#REF!</f>
        <v>#REF!</v>
      </c>
      <c r="N22" s="22" t="e">
        <f>#REF!</f>
        <v>#REF!</v>
      </c>
      <c r="O22" s="22" t="e">
        <f>#REF!</f>
        <v>#REF!</v>
      </c>
      <c r="P22" s="22" t="e">
        <f>#REF!</f>
        <v>#REF!</v>
      </c>
      <c r="Q22" s="22" t="e">
        <f>#REF!</f>
        <v>#REF!</v>
      </c>
      <c r="R22" s="22" t="e">
        <f>#REF!</f>
        <v>#REF!</v>
      </c>
      <c r="S22" s="22" t="e">
        <f>#REF!</f>
        <v>#REF!</v>
      </c>
      <c r="T22" s="22" t="e">
        <f>#REF!</f>
        <v>#REF!</v>
      </c>
      <c r="U22" s="22" t="e">
        <f>#REF!</f>
        <v>#REF!</v>
      </c>
      <c r="V22" s="22" t="e">
        <f>#REF!</f>
        <v>#REF!</v>
      </c>
      <c r="W22" s="22" t="e">
        <f>#REF!</f>
        <v>#REF!</v>
      </c>
      <c r="X22" s="22" t="e">
        <f>#REF!</f>
        <v>#REF!</v>
      </c>
      <c r="Y22" s="22" t="e">
        <f>#REF!</f>
        <v>#REF!</v>
      </c>
      <c r="Z22" s="22" t="e">
        <f>#REF!</f>
        <v>#REF!</v>
      </c>
      <c r="AA22" s="22" t="e">
        <f>#REF!</f>
        <v>#REF!</v>
      </c>
      <c r="AB22" s="22" t="e">
        <f>#REF!</f>
        <v>#REF!</v>
      </c>
      <c r="AC22" s="22" t="e">
        <f>#REF!</f>
        <v>#REF!</v>
      </c>
      <c r="AD22" s="22" t="e">
        <f>#REF!</f>
        <v>#REF!</v>
      </c>
    </row>
    <row r="23" spans="1:30" x14ac:dyDescent="0.35">
      <c r="A23" s="57" t="s">
        <v>45</v>
      </c>
      <c r="B23" s="22" t="e">
        <f>#REF!</f>
        <v>#REF!</v>
      </c>
      <c r="C23" s="22" t="e">
        <f>#REF!</f>
        <v>#REF!</v>
      </c>
      <c r="D23" s="22" t="e">
        <f>#REF!</f>
        <v>#REF!</v>
      </c>
      <c r="E23" s="22" t="e">
        <f>#REF!</f>
        <v>#REF!</v>
      </c>
      <c r="F23" s="25" t="e">
        <f>Table9[[#This Row],[RB1R]]+Table9[[#This Row],[RB2+]]</f>
        <v>#REF!</v>
      </c>
      <c r="G23" s="22" t="e">
        <f>#REF!</f>
        <v>#REF!</v>
      </c>
      <c r="H23" s="22" t="e">
        <f>#REF!</f>
        <v>#REF!</v>
      </c>
      <c r="I23" s="22" t="e">
        <f>#REF!</f>
        <v>#REF!</v>
      </c>
      <c r="J23" s="22" t="e">
        <f>#REF!</f>
        <v>#REF!</v>
      </c>
      <c r="K23" s="22" t="e">
        <f>#REF!</f>
        <v>#REF!</v>
      </c>
      <c r="L23" s="22" t="e">
        <f>#REF!</f>
        <v>#REF!</v>
      </c>
      <c r="M23" s="22" t="e">
        <f>#REF!</f>
        <v>#REF!</v>
      </c>
      <c r="N23" s="22" t="e">
        <f>#REF!</f>
        <v>#REF!</v>
      </c>
      <c r="O23" s="22" t="e">
        <f>#REF!</f>
        <v>#REF!</v>
      </c>
      <c r="P23" s="22" t="e">
        <f>#REF!</f>
        <v>#REF!</v>
      </c>
      <c r="Q23" s="22" t="e">
        <f>#REF!</f>
        <v>#REF!</v>
      </c>
      <c r="R23" s="22" t="e">
        <f>#REF!</f>
        <v>#REF!</v>
      </c>
      <c r="S23" s="22" t="e">
        <f>#REF!</f>
        <v>#REF!</v>
      </c>
      <c r="T23" s="22" t="e">
        <f>#REF!</f>
        <v>#REF!</v>
      </c>
      <c r="U23" s="22" t="e">
        <f>#REF!</f>
        <v>#REF!</v>
      </c>
      <c r="V23" s="22" t="e">
        <f>#REF!</f>
        <v>#REF!</v>
      </c>
      <c r="W23" s="22" t="e">
        <f>#REF!</f>
        <v>#REF!</v>
      </c>
      <c r="X23" s="22" t="e">
        <f>#REF!</f>
        <v>#REF!</v>
      </c>
      <c r="Y23" s="22" t="e">
        <f>#REF!</f>
        <v>#REF!</v>
      </c>
      <c r="Z23" s="22" t="e">
        <f>#REF!</f>
        <v>#REF!</v>
      </c>
      <c r="AA23" s="22" t="e">
        <f>#REF!</f>
        <v>#REF!</v>
      </c>
      <c r="AB23" s="22" t="e">
        <f>#REF!</f>
        <v>#REF!</v>
      </c>
      <c r="AC23" s="22" t="e">
        <f>#REF!</f>
        <v>#REF!</v>
      </c>
      <c r="AD23" s="22" t="e">
        <f>#REF!</f>
        <v>#REF!</v>
      </c>
    </row>
    <row r="24" spans="1:30" x14ac:dyDescent="0.35">
      <c r="A24" s="58" t="s">
        <v>46</v>
      </c>
      <c r="B24" s="22" t="e">
        <f>#REF!</f>
        <v>#REF!</v>
      </c>
      <c r="C24" s="22" t="e">
        <f>#REF!</f>
        <v>#REF!</v>
      </c>
      <c r="D24" s="22" t="e">
        <f>#REF!</f>
        <v>#REF!</v>
      </c>
      <c r="E24" s="22" t="e">
        <f>#REF!</f>
        <v>#REF!</v>
      </c>
      <c r="F24" s="25" t="e">
        <f>Table9[[#This Row],[RB1R]]+Table9[[#This Row],[RB2+]]</f>
        <v>#REF!</v>
      </c>
      <c r="G24" s="22" t="e">
        <f>#REF!</f>
        <v>#REF!</v>
      </c>
      <c r="H24" s="22" t="e">
        <f>#REF!</f>
        <v>#REF!</v>
      </c>
      <c r="I24" s="22" t="e">
        <f>#REF!</f>
        <v>#REF!</v>
      </c>
      <c r="J24" s="22" t="e">
        <f>#REF!</f>
        <v>#REF!</v>
      </c>
      <c r="K24" s="22" t="e">
        <f>#REF!</f>
        <v>#REF!</v>
      </c>
      <c r="L24" s="22" t="e">
        <f>#REF!</f>
        <v>#REF!</v>
      </c>
      <c r="M24" s="22" t="e">
        <f>#REF!</f>
        <v>#REF!</v>
      </c>
      <c r="N24" s="22" t="e">
        <f>#REF!</f>
        <v>#REF!</v>
      </c>
      <c r="O24" s="22" t="e">
        <f>#REF!</f>
        <v>#REF!</v>
      </c>
      <c r="P24" s="22" t="e">
        <f>#REF!</f>
        <v>#REF!</v>
      </c>
      <c r="Q24" s="22" t="e">
        <f>#REF!</f>
        <v>#REF!</v>
      </c>
      <c r="R24" s="22" t="e">
        <f>#REF!</f>
        <v>#REF!</v>
      </c>
      <c r="S24" s="22" t="e">
        <f>#REF!</f>
        <v>#REF!</v>
      </c>
      <c r="T24" s="22" t="e">
        <f>#REF!</f>
        <v>#REF!</v>
      </c>
      <c r="U24" s="22" t="e">
        <f>#REF!</f>
        <v>#REF!</v>
      </c>
      <c r="V24" s="22" t="e">
        <f>#REF!</f>
        <v>#REF!</v>
      </c>
      <c r="W24" s="22" t="e">
        <f>#REF!</f>
        <v>#REF!</v>
      </c>
      <c r="X24" s="22" t="e">
        <f>#REF!</f>
        <v>#REF!</v>
      </c>
      <c r="Y24" s="22" t="e">
        <f>#REF!</f>
        <v>#REF!</v>
      </c>
      <c r="Z24" s="22" t="e">
        <f>#REF!</f>
        <v>#REF!</v>
      </c>
      <c r="AA24" s="22" t="e">
        <f>#REF!</f>
        <v>#REF!</v>
      </c>
      <c r="AB24" s="22" t="e">
        <f>#REF!</f>
        <v>#REF!</v>
      </c>
      <c r="AC24" s="22" t="e">
        <f>#REF!</f>
        <v>#REF!</v>
      </c>
      <c r="AD24" s="22" t="e">
        <f>#REF!</f>
        <v>#REF!</v>
      </c>
    </row>
    <row r="25" spans="1:30" x14ac:dyDescent="0.35">
      <c r="A25" s="57" t="s">
        <v>47</v>
      </c>
      <c r="B25" s="22" t="e">
        <f>#REF!</f>
        <v>#REF!</v>
      </c>
      <c r="C25" s="22" t="e">
        <f>#REF!</f>
        <v>#REF!</v>
      </c>
      <c r="D25" s="22" t="e">
        <f>#REF!</f>
        <v>#REF!</v>
      </c>
      <c r="E25" s="22" t="e">
        <f>#REF!</f>
        <v>#REF!</v>
      </c>
      <c r="F25" s="25" t="e">
        <f>Table9[[#This Row],[RB1R]]+Table9[[#This Row],[RB2+]]</f>
        <v>#REF!</v>
      </c>
      <c r="G25" s="22" t="e">
        <f>#REF!</f>
        <v>#REF!</v>
      </c>
      <c r="H25" s="22" t="e">
        <f>#REF!</f>
        <v>#REF!</v>
      </c>
      <c r="I25" s="22" t="e">
        <f>#REF!</f>
        <v>#REF!</v>
      </c>
      <c r="J25" s="22" t="e">
        <f>#REF!</f>
        <v>#REF!</v>
      </c>
      <c r="K25" s="22" t="e">
        <f>#REF!</f>
        <v>#REF!</v>
      </c>
      <c r="L25" s="22" t="e">
        <f>#REF!</f>
        <v>#REF!</v>
      </c>
      <c r="M25" s="22" t="e">
        <f>#REF!</f>
        <v>#REF!</v>
      </c>
      <c r="N25" s="22" t="e">
        <f>#REF!</f>
        <v>#REF!</v>
      </c>
      <c r="O25" s="22" t="e">
        <f>#REF!</f>
        <v>#REF!</v>
      </c>
      <c r="P25" s="22" t="e">
        <f>#REF!</f>
        <v>#REF!</v>
      </c>
      <c r="Q25" s="22" t="e">
        <f>#REF!</f>
        <v>#REF!</v>
      </c>
      <c r="R25" s="22" t="e">
        <f>#REF!</f>
        <v>#REF!</v>
      </c>
      <c r="S25" s="22" t="e">
        <f>#REF!</f>
        <v>#REF!</v>
      </c>
      <c r="T25" s="22" t="e">
        <f>#REF!</f>
        <v>#REF!</v>
      </c>
      <c r="U25" s="22" t="e">
        <f>#REF!</f>
        <v>#REF!</v>
      </c>
      <c r="V25" s="22" t="e">
        <f>#REF!</f>
        <v>#REF!</v>
      </c>
      <c r="W25" s="22" t="e">
        <f>#REF!</f>
        <v>#REF!</v>
      </c>
      <c r="X25" s="22" t="e">
        <f>#REF!</f>
        <v>#REF!</v>
      </c>
      <c r="Y25" s="22" t="e">
        <f>#REF!</f>
        <v>#REF!</v>
      </c>
      <c r="Z25" s="22" t="e">
        <f>#REF!</f>
        <v>#REF!</v>
      </c>
      <c r="AA25" s="22" t="e">
        <f>#REF!</f>
        <v>#REF!</v>
      </c>
      <c r="AB25" s="22" t="e">
        <f>#REF!</f>
        <v>#REF!</v>
      </c>
      <c r="AC25" s="22" t="e">
        <f>#REF!</f>
        <v>#REF!</v>
      </c>
      <c r="AD25" s="22" t="e">
        <f>#REF!</f>
        <v>#REF!</v>
      </c>
    </row>
    <row r="26" spans="1:30" x14ac:dyDescent="0.35">
      <c r="A26" s="58" t="s">
        <v>48</v>
      </c>
      <c r="B26" s="22" t="e">
        <f>#REF!</f>
        <v>#REF!</v>
      </c>
      <c r="C26" s="22" t="e">
        <f>#REF!</f>
        <v>#REF!</v>
      </c>
      <c r="D26" s="22" t="e">
        <f>#REF!</f>
        <v>#REF!</v>
      </c>
      <c r="E26" s="22" t="e">
        <f>#REF!</f>
        <v>#REF!</v>
      </c>
      <c r="F26" s="25" t="e">
        <f>Table9[[#This Row],[RB1R]]+Table9[[#This Row],[RB2+]]</f>
        <v>#REF!</v>
      </c>
      <c r="G26" s="22" t="e">
        <f>#REF!</f>
        <v>#REF!</v>
      </c>
      <c r="H26" s="22" t="e">
        <f>#REF!</f>
        <v>#REF!</v>
      </c>
      <c r="I26" s="22" t="e">
        <f>#REF!</f>
        <v>#REF!</v>
      </c>
      <c r="J26" s="22" t="e">
        <f>#REF!</f>
        <v>#REF!</v>
      </c>
      <c r="K26" s="22" t="e">
        <f>#REF!</f>
        <v>#REF!</v>
      </c>
      <c r="L26" s="22" t="e">
        <f>#REF!</f>
        <v>#REF!</v>
      </c>
      <c r="M26" s="22" t="e">
        <f>#REF!</f>
        <v>#REF!</v>
      </c>
      <c r="N26" s="22" t="e">
        <f>#REF!</f>
        <v>#REF!</v>
      </c>
      <c r="O26" s="22" t="e">
        <f>#REF!</f>
        <v>#REF!</v>
      </c>
      <c r="P26" s="22" t="e">
        <f>#REF!</f>
        <v>#REF!</v>
      </c>
      <c r="Q26" s="22" t="e">
        <f>#REF!</f>
        <v>#REF!</v>
      </c>
      <c r="R26" s="22" t="e">
        <f>#REF!</f>
        <v>#REF!</v>
      </c>
      <c r="S26" s="22" t="e">
        <f>#REF!</f>
        <v>#REF!</v>
      </c>
      <c r="T26" s="22" t="e">
        <f>#REF!</f>
        <v>#REF!</v>
      </c>
      <c r="U26" s="22" t="e">
        <f>#REF!</f>
        <v>#REF!</v>
      </c>
      <c r="V26" s="22" t="e">
        <f>#REF!</f>
        <v>#REF!</v>
      </c>
      <c r="W26" s="22" t="e">
        <f>#REF!</f>
        <v>#REF!</v>
      </c>
      <c r="X26" s="22" t="e">
        <f>#REF!</f>
        <v>#REF!</v>
      </c>
      <c r="Y26" s="22" t="e">
        <f>#REF!</f>
        <v>#REF!</v>
      </c>
      <c r="Z26" s="22" t="e">
        <f>#REF!</f>
        <v>#REF!</v>
      </c>
      <c r="AA26" s="22" t="e">
        <f>#REF!</f>
        <v>#REF!</v>
      </c>
      <c r="AB26" s="22" t="e">
        <f>#REF!</f>
        <v>#REF!</v>
      </c>
      <c r="AC26" s="22" t="e">
        <f>#REF!</f>
        <v>#REF!</v>
      </c>
      <c r="AD26" s="22" t="e">
        <f>#REF!</f>
        <v>#REF!</v>
      </c>
    </row>
    <row r="27" spans="1:30" x14ac:dyDescent="0.35">
      <c r="A27" s="57" t="s">
        <v>49</v>
      </c>
      <c r="B27" s="22" t="e">
        <f>#REF!</f>
        <v>#REF!</v>
      </c>
      <c r="C27" s="22" t="e">
        <f>#REF!</f>
        <v>#REF!</v>
      </c>
      <c r="D27" s="22" t="e">
        <f>#REF!</f>
        <v>#REF!</v>
      </c>
      <c r="E27" s="22" t="e">
        <f>#REF!</f>
        <v>#REF!</v>
      </c>
      <c r="F27" s="25" t="e">
        <f>Table9[[#This Row],[RB1R]]+Table9[[#This Row],[RB2+]]</f>
        <v>#REF!</v>
      </c>
      <c r="G27" s="22" t="e">
        <f>#REF!</f>
        <v>#REF!</v>
      </c>
      <c r="H27" s="22" t="e">
        <f>#REF!</f>
        <v>#REF!</v>
      </c>
      <c r="I27" s="22" t="e">
        <f>#REF!</f>
        <v>#REF!</v>
      </c>
      <c r="J27" s="22" t="e">
        <f>#REF!</f>
        <v>#REF!</v>
      </c>
      <c r="K27" s="22" t="e">
        <f>#REF!</f>
        <v>#REF!</v>
      </c>
      <c r="L27" s="22" t="e">
        <f>#REF!</f>
        <v>#REF!</v>
      </c>
      <c r="M27" s="22" t="e">
        <f>#REF!</f>
        <v>#REF!</v>
      </c>
      <c r="N27" s="22" t="e">
        <f>#REF!</f>
        <v>#REF!</v>
      </c>
      <c r="O27" s="22" t="e">
        <f>#REF!</f>
        <v>#REF!</v>
      </c>
      <c r="P27" s="22" t="e">
        <f>#REF!</f>
        <v>#REF!</v>
      </c>
      <c r="Q27" s="22" t="e">
        <f>#REF!</f>
        <v>#REF!</v>
      </c>
      <c r="R27" s="22" t="e">
        <f>#REF!</f>
        <v>#REF!</v>
      </c>
      <c r="S27" s="22" t="e">
        <f>#REF!</f>
        <v>#REF!</v>
      </c>
      <c r="T27" s="22" t="e">
        <f>#REF!</f>
        <v>#REF!</v>
      </c>
      <c r="U27" s="22" t="e">
        <f>#REF!</f>
        <v>#REF!</v>
      </c>
      <c r="V27" s="22" t="e">
        <f>#REF!</f>
        <v>#REF!</v>
      </c>
      <c r="W27" s="22" t="e">
        <f>#REF!</f>
        <v>#REF!</v>
      </c>
      <c r="X27" s="22" t="e">
        <f>#REF!</f>
        <v>#REF!</v>
      </c>
      <c r="Y27" s="22" t="e">
        <f>#REF!</f>
        <v>#REF!</v>
      </c>
      <c r="Z27" s="22" t="e">
        <f>#REF!</f>
        <v>#REF!</v>
      </c>
      <c r="AA27" s="22" t="e">
        <f>#REF!</f>
        <v>#REF!</v>
      </c>
      <c r="AB27" s="22" t="e">
        <f>#REF!</f>
        <v>#REF!</v>
      </c>
      <c r="AC27" s="22" t="e">
        <f>#REF!</f>
        <v>#REF!</v>
      </c>
      <c r="AD27" s="22" t="e">
        <f>#REF!</f>
        <v>#REF!</v>
      </c>
    </row>
    <row r="28" spans="1:30" x14ac:dyDescent="0.35">
      <c r="A28" s="58" t="s">
        <v>50</v>
      </c>
      <c r="B28" s="22" t="e">
        <f>#REF!</f>
        <v>#REF!</v>
      </c>
      <c r="C28" s="22" t="e">
        <f>#REF!</f>
        <v>#REF!</v>
      </c>
      <c r="D28" s="22" t="e">
        <f>#REF!</f>
        <v>#REF!</v>
      </c>
      <c r="E28" s="22" t="e">
        <f>#REF!</f>
        <v>#REF!</v>
      </c>
      <c r="F28" s="25" t="e">
        <f>Table9[[#This Row],[RB1R]]+Table9[[#This Row],[RB2+]]</f>
        <v>#REF!</v>
      </c>
      <c r="G28" s="22" t="e">
        <f>#REF!</f>
        <v>#REF!</v>
      </c>
      <c r="H28" s="22" t="e">
        <f>#REF!</f>
        <v>#REF!</v>
      </c>
      <c r="I28" s="22" t="e">
        <f>#REF!</f>
        <v>#REF!</v>
      </c>
      <c r="J28" s="22" t="e">
        <f>#REF!</f>
        <v>#REF!</v>
      </c>
      <c r="K28" s="22" t="e">
        <f>#REF!</f>
        <v>#REF!</v>
      </c>
      <c r="L28" s="22" t="e">
        <f>#REF!</f>
        <v>#REF!</v>
      </c>
      <c r="M28" s="22" t="e">
        <f>#REF!</f>
        <v>#REF!</v>
      </c>
      <c r="N28" s="22" t="e">
        <f>#REF!</f>
        <v>#REF!</v>
      </c>
      <c r="O28" s="22" t="e">
        <f>#REF!</f>
        <v>#REF!</v>
      </c>
      <c r="P28" s="22" t="e">
        <f>#REF!</f>
        <v>#REF!</v>
      </c>
      <c r="Q28" s="22" t="e">
        <f>#REF!</f>
        <v>#REF!</v>
      </c>
      <c r="R28" s="22" t="e">
        <f>#REF!</f>
        <v>#REF!</v>
      </c>
      <c r="S28" s="22" t="e">
        <f>#REF!</f>
        <v>#REF!</v>
      </c>
      <c r="T28" s="22" t="e">
        <f>#REF!</f>
        <v>#REF!</v>
      </c>
      <c r="U28" s="22" t="e">
        <f>#REF!</f>
        <v>#REF!</v>
      </c>
      <c r="V28" s="22" t="e">
        <f>#REF!</f>
        <v>#REF!</v>
      </c>
      <c r="W28" s="22" t="e">
        <f>#REF!</f>
        <v>#REF!</v>
      </c>
      <c r="X28" s="22" t="e">
        <f>#REF!</f>
        <v>#REF!</v>
      </c>
      <c r="Y28" s="22" t="e">
        <f>#REF!</f>
        <v>#REF!</v>
      </c>
      <c r="Z28" s="22" t="e">
        <f>#REF!</f>
        <v>#REF!</v>
      </c>
      <c r="AA28" s="22" t="e">
        <f>#REF!</f>
        <v>#REF!</v>
      </c>
      <c r="AB28" s="22" t="e">
        <f>#REF!</f>
        <v>#REF!</v>
      </c>
      <c r="AC28" s="22" t="e">
        <f>#REF!</f>
        <v>#REF!</v>
      </c>
      <c r="AD28" s="22" t="e">
        <f>#REF!</f>
        <v>#REF!</v>
      </c>
    </row>
    <row r="29" spans="1:30" x14ac:dyDescent="0.35">
      <c r="A29" s="57" t="s">
        <v>51</v>
      </c>
      <c r="B29" s="22" t="e">
        <f>#REF!</f>
        <v>#REF!</v>
      </c>
      <c r="C29" s="22" t="e">
        <f>#REF!</f>
        <v>#REF!</v>
      </c>
      <c r="D29" s="22" t="e">
        <f>#REF!</f>
        <v>#REF!</v>
      </c>
      <c r="E29" s="22" t="e">
        <f>#REF!</f>
        <v>#REF!</v>
      </c>
      <c r="F29" s="25" t="e">
        <f>Table9[[#This Row],[RB1R]]+Table9[[#This Row],[RB2+]]</f>
        <v>#REF!</v>
      </c>
      <c r="G29" s="22" t="e">
        <f>#REF!</f>
        <v>#REF!</v>
      </c>
      <c r="H29" s="22" t="e">
        <f>#REF!</f>
        <v>#REF!</v>
      </c>
      <c r="I29" s="22" t="e">
        <f>#REF!</f>
        <v>#REF!</v>
      </c>
      <c r="J29" s="22" t="e">
        <f>#REF!</f>
        <v>#REF!</v>
      </c>
      <c r="K29" s="22" t="e">
        <f>#REF!</f>
        <v>#REF!</v>
      </c>
      <c r="L29" s="22" t="e">
        <f>#REF!</f>
        <v>#REF!</v>
      </c>
      <c r="M29" s="22" t="e">
        <f>#REF!</f>
        <v>#REF!</v>
      </c>
      <c r="N29" s="22" t="e">
        <f>#REF!</f>
        <v>#REF!</v>
      </c>
      <c r="O29" s="22" t="e">
        <f>#REF!</f>
        <v>#REF!</v>
      </c>
      <c r="P29" s="22" t="e">
        <f>#REF!</f>
        <v>#REF!</v>
      </c>
      <c r="Q29" s="22" t="e">
        <f>#REF!</f>
        <v>#REF!</v>
      </c>
      <c r="R29" s="22" t="e">
        <f>#REF!</f>
        <v>#REF!</v>
      </c>
      <c r="S29" s="22" t="e">
        <f>#REF!</f>
        <v>#REF!</v>
      </c>
      <c r="T29" s="22" t="e">
        <f>#REF!</f>
        <v>#REF!</v>
      </c>
      <c r="U29" s="22" t="e">
        <f>#REF!</f>
        <v>#REF!</v>
      </c>
      <c r="V29" s="22" t="e">
        <f>#REF!</f>
        <v>#REF!</v>
      </c>
      <c r="W29" s="22" t="e">
        <f>#REF!</f>
        <v>#REF!</v>
      </c>
      <c r="X29" s="22" t="e">
        <f>#REF!</f>
        <v>#REF!</v>
      </c>
      <c r="Y29" s="22" t="e">
        <f>#REF!</f>
        <v>#REF!</v>
      </c>
      <c r="Z29" s="22" t="e">
        <f>#REF!</f>
        <v>#REF!</v>
      </c>
      <c r="AA29" s="22" t="e">
        <f>#REF!</f>
        <v>#REF!</v>
      </c>
      <c r="AB29" s="22" t="e">
        <f>#REF!</f>
        <v>#REF!</v>
      </c>
      <c r="AC29" s="22" t="e">
        <f>#REF!</f>
        <v>#REF!</v>
      </c>
      <c r="AD29" s="22" t="e">
        <f>#REF!</f>
        <v>#REF!</v>
      </c>
    </row>
    <row r="30" spans="1:30" x14ac:dyDescent="0.35">
      <c r="A30" s="58" t="s">
        <v>52</v>
      </c>
      <c r="B30" s="22" t="e">
        <f>#REF!</f>
        <v>#REF!</v>
      </c>
      <c r="C30" s="22" t="e">
        <f>#REF!</f>
        <v>#REF!</v>
      </c>
      <c r="D30" s="22" t="e">
        <f>#REF!</f>
        <v>#REF!</v>
      </c>
      <c r="E30" s="22" t="e">
        <f>#REF!</f>
        <v>#REF!</v>
      </c>
      <c r="F30" s="25" t="e">
        <f>Table9[[#This Row],[RB1R]]+Table9[[#This Row],[RB2+]]</f>
        <v>#REF!</v>
      </c>
      <c r="G30" s="22" t="e">
        <f>#REF!</f>
        <v>#REF!</v>
      </c>
      <c r="H30" s="22" t="e">
        <f>#REF!</f>
        <v>#REF!</v>
      </c>
      <c r="I30" s="22" t="e">
        <f>#REF!</f>
        <v>#REF!</v>
      </c>
      <c r="J30" s="22" t="e">
        <f>#REF!</f>
        <v>#REF!</v>
      </c>
      <c r="K30" s="22" t="e">
        <f>#REF!</f>
        <v>#REF!</v>
      </c>
      <c r="L30" s="22" t="e">
        <f>#REF!</f>
        <v>#REF!</v>
      </c>
      <c r="M30" s="22" t="e">
        <f>#REF!</f>
        <v>#REF!</v>
      </c>
      <c r="N30" s="22" t="e">
        <f>#REF!</f>
        <v>#REF!</v>
      </c>
      <c r="O30" s="22" t="e">
        <f>#REF!</f>
        <v>#REF!</v>
      </c>
      <c r="P30" s="22" t="e">
        <f>#REF!</f>
        <v>#REF!</v>
      </c>
      <c r="Q30" s="22" t="e">
        <f>#REF!</f>
        <v>#REF!</v>
      </c>
      <c r="R30" s="22" t="e">
        <f>#REF!</f>
        <v>#REF!</v>
      </c>
      <c r="S30" s="22" t="e">
        <f>#REF!</f>
        <v>#REF!</v>
      </c>
      <c r="T30" s="22" t="e">
        <f>#REF!</f>
        <v>#REF!</v>
      </c>
      <c r="U30" s="22" t="e">
        <f>#REF!</f>
        <v>#REF!</v>
      </c>
      <c r="V30" s="22" t="e">
        <f>#REF!</f>
        <v>#REF!</v>
      </c>
      <c r="W30" s="22" t="e">
        <f>#REF!</f>
        <v>#REF!</v>
      </c>
      <c r="X30" s="22" t="e">
        <f>#REF!</f>
        <v>#REF!</v>
      </c>
      <c r="Y30" s="22" t="e">
        <f>#REF!</f>
        <v>#REF!</v>
      </c>
      <c r="Z30" s="22" t="e">
        <f>#REF!</f>
        <v>#REF!</v>
      </c>
      <c r="AA30" s="22" t="e">
        <f>#REF!</f>
        <v>#REF!</v>
      </c>
      <c r="AB30" s="22" t="e">
        <f>#REF!</f>
        <v>#REF!</v>
      </c>
      <c r="AC30" s="22" t="e">
        <f>#REF!</f>
        <v>#REF!</v>
      </c>
      <c r="AD30" s="22" t="e">
        <f>#REF!</f>
        <v>#REF!</v>
      </c>
    </row>
    <row r="31" spans="1:30" x14ac:dyDescent="0.35">
      <c r="A31" s="57" t="s">
        <v>53</v>
      </c>
      <c r="B31" s="22" t="e">
        <f>#REF!</f>
        <v>#REF!</v>
      </c>
      <c r="C31" s="22" t="e">
        <f>#REF!</f>
        <v>#REF!</v>
      </c>
      <c r="D31" s="22" t="e">
        <f>#REF!</f>
        <v>#REF!</v>
      </c>
      <c r="E31" s="22" t="e">
        <f>#REF!</f>
        <v>#REF!</v>
      </c>
      <c r="F31" s="25" t="e">
        <f>Table9[[#This Row],[RB1R]]+Table9[[#This Row],[RB2+]]</f>
        <v>#REF!</v>
      </c>
      <c r="G31" s="22" t="e">
        <f>#REF!</f>
        <v>#REF!</v>
      </c>
      <c r="H31" s="22" t="e">
        <f>#REF!</f>
        <v>#REF!</v>
      </c>
      <c r="I31" s="22" t="e">
        <f>#REF!</f>
        <v>#REF!</v>
      </c>
      <c r="J31" s="22" t="e">
        <f>#REF!</f>
        <v>#REF!</v>
      </c>
      <c r="K31" s="22" t="e">
        <f>#REF!</f>
        <v>#REF!</v>
      </c>
      <c r="L31" s="22" t="e">
        <f>#REF!</f>
        <v>#REF!</v>
      </c>
      <c r="M31" s="22" t="e">
        <f>#REF!</f>
        <v>#REF!</v>
      </c>
      <c r="N31" s="22" t="e">
        <f>#REF!</f>
        <v>#REF!</v>
      </c>
      <c r="O31" s="22" t="e">
        <f>#REF!</f>
        <v>#REF!</v>
      </c>
      <c r="P31" s="22" t="e">
        <f>#REF!</f>
        <v>#REF!</v>
      </c>
      <c r="Q31" s="22" t="e">
        <f>#REF!</f>
        <v>#REF!</v>
      </c>
      <c r="R31" s="22" t="e">
        <f>#REF!</f>
        <v>#REF!</v>
      </c>
      <c r="S31" s="22" t="e">
        <f>#REF!</f>
        <v>#REF!</v>
      </c>
      <c r="T31" s="22" t="e">
        <f>#REF!</f>
        <v>#REF!</v>
      </c>
      <c r="U31" s="22" t="e">
        <f>#REF!</f>
        <v>#REF!</v>
      </c>
      <c r="V31" s="22" t="e">
        <f>#REF!</f>
        <v>#REF!</v>
      </c>
      <c r="W31" s="22" t="e">
        <f>#REF!</f>
        <v>#REF!</v>
      </c>
      <c r="X31" s="22" t="e">
        <f>#REF!</f>
        <v>#REF!</v>
      </c>
      <c r="Y31" s="22" t="e">
        <f>#REF!</f>
        <v>#REF!</v>
      </c>
      <c r="Z31" s="22" t="e">
        <f>#REF!</f>
        <v>#REF!</v>
      </c>
      <c r="AA31" s="22" t="e">
        <f>#REF!</f>
        <v>#REF!</v>
      </c>
      <c r="AB31" s="22" t="e">
        <f>#REF!</f>
        <v>#REF!</v>
      </c>
      <c r="AC31" s="22" t="e">
        <f>#REF!</f>
        <v>#REF!</v>
      </c>
      <c r="AD31" s="22" t="e">
        <f>#REF!</f>
        <v>#REF!</v>
      </c>
    </row>
    <row r="32" spans="1:30" x14ac:dyDescent="0.35">
      <c r="A32" s="58" t="s">
        <v>54</v>
      </c>
      <c r="B32" s="22" t="e">
        <f>#REF!</f>
        <v>#REF!</v>
      </c>
      <c r="C32" s="22" t="e">
        <f>#REF!</f>
        <v>#REF!</v>
      </c>
      <c r="D32" s="22" t="e">
        <f>#REF!</f>
        <v>#REF!</v>
      </c>
      <c r="E32" s="22" t="e">
        <f>#REF!</f>
        <v>#REF!</v>
      </c>
      <c r="F32" s="25" t="e">
        <f>Table9[[#This Row],[RB1R]]+Table9[[#This Row],[RB2+]]</f>
        <v>#REF!</v>
      </c>
      <c r="G32" s="22" t="e">
        <f>#REF!</f>
        <v>#REF!</v>
      </c>
      <c r="H32" s="22" t="e">
        <f>#REF!</f>
        <v>#REF!</v>
      </c>
      <c r="I32" s="22" t="e">
        <f>#REF!</f>
        <v>#REF!</v>
      </c>
      <c r="J32" s="22" t="e">
        <f>#REF!</f>
        <v>#REF!</v>
      </c>
      <c r="K32" s="22" t="e">
        <f>#REF!</f>
        <v>#REF!</v>
      </c>
      <c r="L32" s="22" t="e">
        <f>#REF!</f>
        <v>#REF!</v>
      </c>
      <c r="M32" s="22" t="e">
        <f>#REF!</f>
        <v>#REF!</v>
      </c>
      <c r="N32" s="22" t="e">
        <f>#REF!</f>
        <v>#REF!</v>
      </c>
      <c r="O32" s="22" t="e">
        <f>#REF!</f>
        <v>#REF!</v>
      </c>
      <c r="P32" s="22" t="e">
        <f>#REF!</f>
        <v>#REF!</v>
      </c>
      <c r="Q32" s="22" t="e">
        <f>#REF!</f>
        <v>#REF!</v>
      </c>
      <c r="R32" s="22" t="e">
        <f>#REF!</f>
        <v>#REF!</v>
      </c>
      <c r="S32" s="22" t="e">
        <f>#REF!</f>
        <v>#REF!</v>
      </c>
      <c r="T32" s="22" t="e">
        <f>#REF!</f>
        <v>#REF!</v>
      </c>
      <c r="U32" s="22" t="e">
        <f>#REF!</f>
        <v>#REF!</v>
      </c>
      <c r="V32" s="22" t="e">
        <f>#REF!</f>
        <v>#REF!</v>
      </c>
      <c r="W32" s="22" t="e">
        <f>#REF!</f>
        <v>#REF!</v>
      </c>
      <c r="X32" s="22" t="e">
        <f>#REF!</f>
        <v>#REF!</v>
      </c>
      <c r="Y32" s="22" t="e">
        <f>#REF!</f>
        <v>#REF!</v>
      </c>
      <c r="Z32" s="22" t="e">
        <f>#REF!</f>
        <v>#REF!</v>
      </c>
      <c r="AA32" s="22" t="e">
        <f>#REF!</f>
        <v>#REF!</v>
      </c>
      <c r="AB32" s="22" t="e">
        <f>#REF!</f>
        <v>#REF!</v>
      </c>
      <c r="AC32" s="22" t="e">
        <f>#REF!</f>
        <v>#REF!</v>
      </c>
      <c r="AD32" s="22" t="e">
        <f>#REF!</f>
        <v>#REF!</v>
      </c>
    </row>
    <row r="33" spans="1:30" x14ac:dyDescent="0.35">
      <c r="A33" s="57" t="s">
        <v>55</v>
      </c>
      <c r="B33" s="22" t="e">
        <f>#REF!</f>
        <v>#REF!</v>
      </c>
      <c r="C33" s="22" t="e">
        <f>#REF!</f>
        <v>#REF!</v>
      </c>
      <c r="D33" s="22" t="e">
        <f>#REF!</f>
        <v>#REF!</v>
      </c>
      <c r="E33" s="22" t="e">
        <f>#REF!</f>
        <v>#REF!</v>
      </c>
      <c r="F33" s="25" t="e">
        <f>Table9[[#This Row],[RB1R]]+Table9[[#This Row],[RB2+]]</f>
        <v>#REF!</v>
      </c>
      <c r="G33" s="22" t="e">
        <f>#REF!</f>
        <v>#REF!</v>
      </c>
      <c r="H33" s="22" t="e">
        <f>#REF!</f>
        <v>#REF!</v>
      </c>
      <c r="I33" s="22" t="e">
        <f>#REF!</f>
        <v>#REF!</v>
      </c>
      <c r="J33" s="22" t="e">
        <f>#REF!</f>
        <v>#REF!</v>
      </c>
      <c r="K33" s="22" t="e">
        <f>#REF!</f>
        <v>#REF!</v>
      </c>
      <c r="L33" s="22" t="e">
        <f>#REF!</f>
        <v>#REF!</v>
      </c>
      <c r="M33" s="22" t="e">
        <f>#REF!</f>
        <v>#REF!</v>
      </c>
      <c r="N33" s="22" t="e">
        <f>#REF!</f>
        <v>#REF!</v>
      </c>
      <c r="O33" s="22" t="e">
        <f>#REF!</f>
        <v>#REF!</v>
      </c>
      <c r="P33" s="22" t="e">
        <f>#REF!</f>
        <v>#REF!</v>
      </c>
      <c r="Q33" s="22" t="e">
        <f>#REF!</f>
        <v>#REF!</v>
      </c>
      <c r="R33" s="22" t="e">
        <f>#REF!</f>
        <v>#REF!</v>
      </c>
      <c r="S33" s="22" t="e">
        <f>#REF!</f>
        <v>#REF!</v>
      </c>
      <c r="T33" s="22" t="e">
        <f>#REF!</f>
        <v>#REF!</v>
      </c>
      <c r="U33" s="22" t="e">
        <f>#REF!</f>
        <v>#REF!</v>
      </c>
      <c r="V33" s="22" t="e">
        <f>#REF!</f>
        <v>#REF!</v>
      </c>
      <c r="W33" s="22" t="e">
        <f>#REF!</f>
        <v>#REF!</v>
      </c>
      <c r="X33" s="22" t="e">
        <f>#REF!</f>
        <v>#REF!</v>
      </c>
      <c r="Y33" s="22" t="e">
        <f>#REF!</f>
        <v>#REF!</v>
      </c>
      <c r="Z33" s="22" t="e">
        <f>#REF!</f>
        <v>#REF!</v>
      </c>
      <c r="AA33" s="22" t="e">
        <f>#REF!</f>
        <v>#REF!</v>
      </c>
      <c r="AB33" s="22" t="e">
        <f>#REF!</f>
        <v>#REF!</v>
      </c>
      <c r="AC33" s="22" t="e">
        <f>#REF!</f>
        <v>#REF!</v>
      </c>
      <c r="AD33" s="22" t="e">
        <f>#REF!</f>
        <v>#REF!</v>
      </c>
    </row>
    <row r="34" spans="1:30" x14ac:dyDescent="0.35">
      <c r="A34" s="58" t="s">
        <v>56</v>
      </c>
      <c r="B34" s="22" t="e">
        <f>#REF!</f>
        <v>#REF!</v>
      </c>
      <c r="C34" s="22" t="e">
        <f>#REF!</f>
        <v>#REF!</v>
      </c>
      <c r="D34" s="22" t="e">
        <f>#REF!</f>
        <v>#REF!</v>
      </c>
      <c r="E34" s="22" t="e">
        <f>#REF!</f>
        <v>#REF!</v>
      </c>
      <c r="F34" s="25" t="e">
        <f>Table9[[#This Row],[RB1R]]+Table9[[#This Row],[RB2+]]</f>
        <v>#REF!</v>
      </c>
      <c r="G34" s="22" t="e">
        <f>#REF!</f>
        <v>#REF!</v>
      </c>
      <c r="H34" s="22" t="e">
        <f>#REF!</f>
        <v>#REF!</v>
      </c>
      <c r="I34" s="22" t="e">
        <f>#REF!</f>
        <v>#REF!</v>
      </c>
      <c r="J34" s="22" t="e">
        <f>#REF!</f>
        <v>#REF!</v>
      </c>
      <c r="K34" s="22" t="e">
        <f>#REF!</f>
        <v>#REF!</v>
      </c>
      <c r="L34" s="22" t="e">
        <f>#REF!</f>
        <v>#REF!</v>
      </c>
      <c r="M34" s="22" t="e">
        <f>#REF!</f>
        <v>#REF!</v>
      </c>
      <c r="N34" s="22" t="e">
        <f>#REF!</f>
        <v>#REF!</v>
      </c>
      <c r="O34" s="22" t="e">
        <f>#REF!</f>
        <v>#REF!</v>
      </c>
      <c r="P34" s="22" t="e">
        <f>#REF!</f>
        <v>#REF!</v>
      </c>
      <c r="Q34" s="22" t="e">
        <f>#REF!</f>
        <v>#REF!</v>
      </c>
      <c r="R34" s="22" t="e">
        <f>#REF!</f>
        <v>#REF!</v>
      </c>
      <c r="S34" s="22" t="e">
        <f>#REF!</f>
        <v>#REF!</v>
      </c>
      <c r="T34" s="22" t="e">
        <f>#REF!</f>
        <v>#REF!</v>
      </c>
      <c r="U34" s="22" t="e">
        <f>#REF!</f>
        <v>#REF!</v>
      </c>
      <c r="V34" s="22" t="e">
        <f>#REF!</f>
        <v>#REF!</v>
      </c>
      <c r="W34" s="22" t="e">
        <f>#REF!</f>
        <v>#REF!</v>
      </c>
      <c r="X34" s="22" t="e">
        <f>#REF!</f>
        <v>#REF!</v>
      </c>
      <c r="Y34" s="22" t="e">
        <f>#REF!</f>
        <v>#REF!</v>
      </c>
      <c r="Z34" s="22" t="e">
        <f>#REF!</f>
        <v>#REF!</v>
      </c>
      <c r="AA34" s="22" t="e">
        <f>#REF!</f>
        <v>#REF!</v>
      </c>
      <c r="AB34" s="22" t="e">
        <f>#REF!</f>
        <v>#REF!</v>
      </c>
      <c r="AC34" s="22" t="e">
        <f>#REF!</f>
        <v>#REF!</v>
      </c>
      <c r="AD34" s="22" t="e">
        <f>#REF!</f>
        <v>#REF!</v>
      </c>
    </row>
    <row r="35" spans="1:30" ht="16.5" thickBot="1" x14ac:dyDescent="0.45">
      <c r="A35" s="56" t="s">
        <v>58</v>
      </c>
      <c r="B35" s="231" t="s">
        <v>62</v>
      </c>
      <c r="C35" s="231"/>
      <c r="D35" s="231"/>
      <c r="E35" s="237" t="s">
        <v>61</v>
      </c>
      <c r="F35" s="237"/>
      <c r="G35" s="237"/>
      <c r="H35" s="237"/>
      <c r="I35" s="237"/>
      <c r="J35" s="237"/>
      <c r="K35" s="236" t="s">
        <v>60</v>
      </c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5" t="s">
        <v>59</v>
      </c>
      <c r="X35" s="235"/>
      <c r="Y35" s="235"/>
      <c r="Z35" s="235"/>
      <c r="AA35" s="235"/>
      <c r="AB35" s="235"/>
      <c r="AC35" s="235"/>
      <c r="AD35" s="235"/>
    </row>
    <row r="36" spans="1:30" ht="15" thickBot="1" x14ac:dyDescent="0.4">
      <c r="A36" s="28" t="s">
        <v>28</v>
      </c>
      <c r="B36" s="43" t="s">
        <v>75</v>
      </c>
      <c r="C36" s="44" t="s">
        <v>76</v>
      </c>
      <c r="D36" s="44" t="s">
        <v>77</v>
      </c>
      <c r="E36" s="45" t="s">
        <v>78</v>
      </c>
      <c r="F36" s="46" t="s">
        <v>79</v>
      </c>
      <c r="G36" s="47" t="s">
        <v>80</v>
      </c>
      <c r="H36" s="48" t="s">
        <v>97</v>
      </c>
      <c r="I36" s="35" t="s">
        <v>81</v>
      </c>
      <c r="J36" s="60" t="s">
        <v>82</v>
      </c>
      <c r="K36" s="49" t="s">
        <v>83</v>
      </c>
      <c r="L36" s="49" t="s">
        <v>84</v>
      </c>
      <c r="M36" s="50" t="s">
        <v>85</v>
      </c>
      <c r="N36" s="50" t="s">
        <v>86</v>
      </c>
      <c r="O36" s="51" t="s">
        <v>87</v>
      </c>
      <c r="P36" s="51" t="s">
        <v>88</v>
      </c>
      <c r="Q36" s="52" t="s">
        <v>89</v>
      </c>
      <c r="R36" s="52" t="s">
        <v>90</v>
      </c>
      <c r="S36" s="53" t="s">
        <v>91</v>
      </c>
      <c r="T36" s="53" t="s">
        <v>92</v>
      </c>
      <c r="U36" s="54" t="s">
        <v>93</v>
      </c>
      <c r="V36" s="54" t="s">
        <v>94</v>
      </c>
      <c r="W36" s="55" t="s">
        <v>65</v>
      </c>
      <c r="X36" s="55" t="s">
        <v>64</v>
      </c>
      <c r="Y36" s="55" t="s">
        <v>66</v>
      </c>
      <c r="Z36" s="55" t="s">
        <v>67</v>
      </c>
      <c r="AA36" s="55" t="s">
        <v>68</v>
      </c>
      <c r="AB36" s="55" t="s">
        <v>69</v>
      </c>
      <c r="AC36" s="55" t="s">
        <v>70</v>
      </c>
      <c r="AD36" s="55" t="s">
        <v>71</v>
      </c>
    </row>
    <row r="37" spans="1:30" x14ac:dyDescent="0.35">
      <c r="A37" s="57" t="s">
        <v>0</v>
      </c>
      <c r="B37" s="24" t="e">
        <f>RANK(B3,Table9[QBP])</f>
        <v>#REF!</v>
      </c>
      <c r="C37" s="24" t="e">
        <f>RANK(C3,Table9[PTD])</f>
        <v>#REF!</v>
      </c>
      <c r="D37" s="24" t="e">
        <f>RANK(D3,Table9[QBP+R])</f>
        <v>#REF!</v>
      </c>
      <c r="E37" s="24" t="e">
        <f>RANK(E3,Table9[QBR])</f>
        <v>#REF!</v>
      </c>
      <c r="F37" s="26" t="e">
        <f>RANK(F3,Table9[RBR])</f>
        <v>#REF!</v>
      </c>
      <c r="G37" s="24" t="e">
        <f>RANK(G3,Table9[RB1R])</f>
        <v>#REF!</v>
      </c>
      <c r="H37" s="24" t="e">
        <f>RANK(H3,Table9[RB2+])</f>
        <v>#REF!</v>
      </c>
      <c r="I37" s="24" t="e">
        <f>RANK(I3,Table9[RBR+R])</f>
        <v>#REF!</v>
      </c>
      <c r="J37" s="24" t="e">
        <f>RANK(J3,Table9[WRR])</f>
        <v>#REF!</v>
      </c>
      <c r="K37" s="24" t="e">
        <f>RANK(K3,Table9[RBC])</f>
        <v>#REF!</v>
      </c>
      <c r="L37" s="24" t="e">
        <f>RANK(L3,Table9[RBY])</f>
        <v>#REF!</v>
      </c>
      <c r="M37" s="24" t="e">
        <f>RANK(M3,Table9[WR1C])</f>
        <v>#REF!</v>
      </c>
      <c r="N37" s="24" t="e">
        <f>RANK(N3,Table9[WR1Y])</f>
        <v>#REF!</v>
      </c>
      <c r="O37" s="24" t="e">
        <f>RANK(O3,Table9[WR2C])</f>
        <v>#REF!</v>
      </c>
      <c r="P37" s="24" t="e">
        <f>RANK(P3,Table9[WR2Y])</f>
        <v>#REF!</v>
      </c>
      <c r="Q37" s="24" t="e">
        <f>RANK(Q3,Table9[WR3C])</f>
        <v>#REF!</v>
      </c>
      <c r="R37" s="24" t="e">
        <f>RANK(R3,Table9[WR3Y])</f>
        <v>#REF!</v>
      </c>
      <c r="S37" s="24" t="e">
        <f>RANK(S3,Table9[WR4+C])</f>
        <v>#REF!</v>
      </c>
      <c r="T37" s="24" t="e">
        <f>RANK(T3,Table9[WR4+Y])</f>
        <v>#REF!</v>
      </c>
      <c r="U37" s="24" t="e">
        <f>RANK(U3,Table9[TEC])</f>
        <v>#REF!</v>
      </c>
      <c r="V37" s="24" t="e">
        <f>RANK(V3,Table9[TEY])</f>
        <v>#REF!</v>
      </c>
      <c r="W37" s="24" t="e">
        <f>RANK(W3,Table9[QB])</f>
        <v>#REF!</v>
      </c>
      <c r="X37" s="24" t="e">
        <f>RANK(X3,Table9[RB])</f>
        <v>#REF!</v>
      </c>
      <c r="Y37" s="24" t="e">
        <f>RANK(Y3,Table9[WR1])</f>
        <v>#REF!</v>
      </c>
      <c r="Z37" s="24" t="e">
        <f>RANK(Z3,Table9[WR2])</f>
        <v>#REF!</v>
      </c>
      <c r="AA37" s="24" t="e">
        <f>RANK(AA3,Table9[WR3])</f>
        <v>#REF!</v>
      </c>
      <c r="AB37" s="24" t="e">
        <f>RANK(AB3,Table9[WR4+])</f>
        <v>#REF!</v>
      </c>
      <c r="AC37" s="24" t="e">
        <f>RANK(AC3,Table9[TE])</f>
        <v>#REF!</v>
      </c>
      <c r="AD37" s="24" t="e">
        <f>RANK(AD3,Table9[D/ST])</f>
        <v>#REF!</v>
      </c>
    </row>
    <row r="38" spans="1:30" x14ac:dyDescent="0.35">
      <c r="A38" s="58" t="s">
        <v>15</v>
      </c>
      <c r="B38" s="24" t="e">
        <f>RANK(B4,Table9[QBP])</f>
        <v>#REF!</v>
      </c>
      <c r="C38" s="24" t="e">
        <f>RANK(C4,Table9[PTD])</f>
        <v>#REF!</v>
      </c>
      <c r="D38" s="24" t="e">
        <f>RANK(D4,Table9[QBP+R])</f>
        <v>#REF!</v>
      </c>
      <c r="E38" s="24" t="e">
        <f>RANK(E4,Table9[QBR])</f>
        <v>#REF!</v>
      </c>
      <c r="F38" s="26" t="e">
        <f>RANK(F4,Table9[RBR])</f>
        <v>#REF!</v>
      </c>
      <c r="G38" s="24" t="e">
        <f>RANK(G4,Table9[RB1R])</f>
        <v>#REF!</v>
      </c>
      <c r="H38" s="24" t="e">
        <f>RANK(H4,Table9[RB2+])</f>
        <v>#REF!</v>
      </c>
      <c r="I38" s="24" t="e">
        <f>RANK(I4,Table9[RBR+R])</f>
        <v>#REF!</v>
      </c>
      <c r="J38" s="24" t="e">
        <f>RANK(J4,Table9[WRR])</f>
        <v>#REF!</v>
      </c>
      <c r="K38" s="24" t="e">
        <f>RANK(K4,Table9[RBC])</f>
        <v>#REF!</v>
      </c>
      <c r="L38" s="24" t="e">
        <f>RANK(L4,Table9[RBY])</f>
        <v>#REF!</v>
      </c>
      <c r="M38" s="24" t="e">
        <f>RANK(M4,Table9[WR1C])</f>
        <v>#REF!</v>
      </c>
      <c r="N38" s="24" t="e">
        <f>RANK(N4,Table9[WR1Y])</f>
        <v>#REF!</v>
      </c>
      <c r="O38" s="24" t="e">
        <f>RANK(O4,Table9[WR2C])</f>
        <v>#REF!</v>
      </c>
      <c r="P38" s="24" t="e">
        <f>RANK(P4,Table9[WR2Y])</f>
        <v>#REF!</v>
      </c>
      <c r="Q38" s="24" t="e">
        <f>RANK(Q4,Table9[WR3C])</f>
        <v>#REF!</v>
      </c>
      <c r="R38" s="24" t="e">
        <f>RANK(R4,Table9[WR3Y])</f>
        <v>#REF!</v>
      </c>
      <c r="S38" s="24" t="e">
        <f>RANK(S4,Table9[WR4+C])</f>
        <v>#REF!</v>
      </c>
      <c r="T38" s="24" t="e">
        <f>RANK(T4,Table9[WR4+Y])</f>
        <v>#REF!</v>
      </c>
      <c r="U38" s="24" t="e">
        <f>RANK(U4,Table9[TEC])</f>
        <v>#REF!</v>
      </c>
      <c r="V38" s="24" t="e">
        <f>RANK(V4,Table9[TEY])</f>
        <v>#REF!</v>
      </c>
      <c r="W38" s="24" t="e">
        <f>RANK(W4,Table9[QB])</f>
        <v>#REF!</v>
      </c>
      <c r="X38" s="24" t="e">
        <f>RANK(X4,Table9[RB])</f>
        <v>#REF!</v>
      </c>
      <c r="Y38" s="24" t="e">
        <f>RANK(Y4,Table9[WR1])</f>
        <v>#REF!</v>
      </c>
      <c r="Z38" s="24" t="e">
        <f>RANK(Z4,Table9[WR2])</f>
        <v>#REF!</v>
      </c>
      <c r="AA38" s="24" t="e">
        <f>RANK(AA4,Table9[WR3])</f>
        <v>#REF!</v>
      </c>
      <c r="AB38" s="24" t="e">
        <f>RANK(AB4,Table9[WR4+])</f>
        <v>#REF!</v>
      </c>
      <c r="AC38" s="24" t="e">
        <f>RANK(AC4,Table9[TE])</f>
        <v>#REF!</v>
      </c>
      <c r="AD38" s="24" t="e">
        <f>RANK(AD4,Table9[D/ST])</f>
        <v>#REF!</v>
      </c>
    </row>
    <row r="39" spans="1:30" x14ac:dyDescent="0.35">
      <c r="A39" s="57" t="s">
        <v>16</v>
      </c>
      <c r="B39" s="24" t="e">
        <f>RANK(B5,Table9[QBP])</f>
        <v>#REF!</v>
      </c>
      <c r="C39" s="24" t="e">
        <f>RANK(C5,Table9[PTD])</f>
        <v>#REF!</v>
      </c>
      <c r="D39" s="24" t="e">
        <f>RANK(D5,Table9[QBP+R])</f>
        <v>#REF!</v>
      </c>
      <c r="E39" s="24" t="e">
        <f>RANK(E5,Table9[QBR])</f>
        <v>#REF!</v>
      </c>
      <c r="F39" s="26" t="e">
        <f>RANK(F5,Table9[RBR])</f>
        <v>#REF!</v>
      </c>
      <c r="G39" s="24" t="e">
        <f>RANK(G5,Table9[RB1R])</f>
        <v>#REF!</v>
      </c>
      <c r="H39" s="24" t="e">
        <f>RANK(H5,Table9[RB2+])</f>
        <v>#REF!</v>
      </c>
      <c r="I39" s="24" t="e">
        <f>RANK(I5,Table9[RBR+R])</f>
        <v>#REF!</v>
      </c>
      <c r="J39" s="24" t="e">
        <f>RANK(J5,Table9[WRR])</f>
        <v>#REF!</v>
      </c>
      <c r="K39" s="24" t="e">
        <f>RANK(K5,Table9[RBC])</f>
        <v>#REF!</v>
      </c>
      <c r="L39" s="24" t="e">
        <f>RANK(L5,Table9[RBY])</f>
        <v>#REF!</v>
      </c>
      <c r="M39" s="24" t="e">
        <f>RANK(M5,Table9[WR1C])</f>
        <v>#REF!</v>
      </c>
      <c r="N39" s="24" t="e">
        <f>RANK(N5,Table9[WR1Y])</f>
        <v>#REF!</v>
      </c>
      <c r="O39" s="24" t="e">
        <f>RANK(O5,Table9[WR2C])</f>
        <v>#REF!</v>
      </c>
      <c r="P39" s="24" t="e">
        <f>RANK(P5,Table9[WR2Y])</f>
        <v>#REF!</v>
      </c>
      <c r="Q39" s="24" t="e">
        <f>RANK(Q5,Table9[WR3C])</f>
        <v>#REF!</v>
      </c>
      <c r="R39" s="24" t="e">
        <f>RANK(R5,Table9[WR3Y])</f>
        <v>#REF!</v>
      </c>
      <c r="S39" s="24" t="e">
        <f>RANK(S5,Table9[WR4+C])</f>
        <v>#REF!</v>
      </c>
      <c r="T39" s="24" t="e">
        <f>RANK(T5,Table9[WR4+Y])</f>
        <v>#REF!</v>
      </c>
      <c r="U39" s="24" t="e">
        <f>RANK(U5,Table9[TEC])</f>
        <v>#REF!</v>
      </c>
      <c r="V39" s="24" t="e">
        <f>RANK(V5,Table9[TEY])</f>
        <v>#REF!</v>
      </c>
      <c r="W39" s="24" t="e">
        <f>RANK(W5,Table9[QB])</f>
        <v>#REF!</v>
      </c>
      <c r="X39" s="24" t="e">
        <f>RANK(X5,Table9[RB])</f>
        <v>#REF!</v>
      </c>
      <c r="Y39" s="24" t="e">
        <f>RANK(Y5,Table9[WR1])</f>
        <v>#REF!</v>
      </c>
      <c r="Z39" s="24" t="e">
        <f>RANK(Z5,Table9[WR2])</f>
        <v>#REF!</v>
      </c>
      <c r="AA39" s="24" t="e">
        <f>RANK(AA5,Table9[WR3])</f>
        <v>#REF!</v>
      </c>
      <c r="AB39" s="24" t="e">
        <f>RANK(AB5,Table9[WR4+])</f>
        <v>#REF!</v>
      </c>
      <c r="AC39" s="24" t="e">
        <f>RANK(AC5,Table9[TE])</f>
        <v>#REF!</v>
      </c>
      <c r="AD39" s="24" t="e">
        <f>RANK(AD5,Table9[D/ST])</f>
        <v>#REF!</v>
      </c>
    </row>
    <row r="40" spans="1:30" x14ac:dyDescent="0.35">
      <c r="A40" s="58" t="s">
        <v>17</v>
      </c>
      <c r="B40" s="24" t="e">
        <f>RANK(B6,Table9[QBP])</f>
        <v>#REF!</v>
      </c>
      <c r="C40" s="24" t="e">
        <f>RANK(C6,Table9[PTD])</f>
        <v>#REF!</v>
      </c>
      <c r="D40" s="24" t="e">
        <f>RANK(D6,Table9[QBP+R])</f>
        <v>#REF!</v>
      </c>
      <c r="E40" s="24" t="e">
        <f>RANK(E6,Table9[QBR])</f>
        <v>#REF!</v>
      </c>
      <c r="F40" s="26" t="e">
        <f>RANK(F6,Table9[RBR])</f>
        <v>#REF!</v>
      </c>
      <c r="G40" s="24" t="e">
        <f>RANK(G6,Table9[RB1R])</f>
        <v>#REF!</v>
      </c>
      <c r="H40" s="24" t="e">
        <f>RANK(H6,Table9[RB2+])</f>
        <v>#REF!</v>
      </c>
      <c r="I40" s="24" t="e">
        <f>RANK(I6,Table9[RBR+R])</f>
        <v>#REF!</v>
      </c>
      <c r="J40" s="24" t="e">
        <f>RANK(J6,Table9[WRR])</f>
        <v>#REF!</v>
      </c>
      <c r="K40" s="24" t="e">
        <f>RANK(K6,Table9[RBC])</f>
        <v>#REF!</v>
      </c>
      <c r="L40" s="24" t="e">
        <f>RANK(L6,Table9[RBY])</f>
        <v>#REF!</v>
      </c>
      <c r="M40" s="24" t="e">
        <f>RANK(M6,Table9[WR1C])</f>
        <v>#REF!</v>
      </c>
      <c r="N40" s="24" t="e">
        <f>RANK(N6,Table9[WR1Y])</f>
        <v>#REF!</v>
      </c>
      <c r="O40" s="24" t="e">
        <f>RANK(O6,Table9[WR2C])</f>
        <v>#REF!</v>
      </c>
      <c r="P40" s="24" t="e">
        <f>RANK(P6,Table9[WR2Y])</f>
        <v>#REF!</v>
      </c>
      <c r="Q40" s="24" t="e">
        <f>RANK(Q6,Table9[WR3C])</f>
        <v>#REF!</v>
      </c>
      <c r="R40" s="24" t="e">
        <f>RANK(R6,Table9[WR3Y])</f>
        <v>#REF!</v>
      </c>
      <c r="S40" s="24" t="e">
        <f>RANK(S6,Table9[WR4+C])</f>
        <v>#REF!</v>
      </c>
      <c r="T40" s="24" t="e">
        <f>RANK(T6,Table9[WR4+Y])</f>
        <v>#REF!</v>
      </c>
      <c r="U40" s="24" t="e">
        <f>RANK(U6,Table9[TEC])</f>
        <v>#REF!</v>
      </c>
      <c r="V40" s="24" t="e">
        <f>RANK(V6,Table9[TEY])</f>
        <v>#REF!</v>
      </c>
      <c r="W40" s="24" t="e">
        <f>RANK(W6,Table9[QB])</f>
        <v>#REF!</v>
      </c>
      <c r="X40" s="24" t="e">
        <f>RANK(X6,Table9[RB])</f>
        <v>#REF!</v>
      </c>
      <c r="Y40" s="24" t="e">
        <f>RANK(Y6,Table9[WR1])</f>
        <v>#REF!</v>
      </c>
      <c r="Z40" s="24" t="e">
        <f>RANK(Z6,Table9[WR2])</f>
        <v>#REF!</v>
      </c>
      <c r="AA40" s="24" t="e">
        <f>RANK(AA6,Table9[WR3])</f>
        <v>#REF!</v>
      </c>
      <c r="AB40" s="24" t="e">
        <f>RANK(AB6,Table9[WR4+])</f>
        <v>#REF!</v>
      </c>
      <c r="AC40" s="24" t="e">
        <f>RANK(AC6,Table9[TE])</f>
        <v>#REF!</v>
      </c>
      <c r="AD40" s="24" t="e">
        <f>RANK(AD6,Table9[D/ST])</f>
        <v>#REF!</v>
      </c>
    </row>
    <row r="41" spans="1:30" x14ac:dyDescent="0.35">
      <c r="A41" s="57" t="s">
        <v>29</v>
      </c>
      <c r="B41" s="24" t="e">
        <f>RANK(B7,Table9[QBP])</f>
        <v>#REF!</v>
      </c>
      <c r="C41" s="24" t="e">
        <f>RANK(C7,Table9[PTD])</f>
        <v>#REF!</v>
      </c>
      <c r="D41" s="24" t="e">
        <f>RANK(D7,Table9[QBP+R])</f>
        <v>#REF!</v>
      </c>
      <c r="E41" s="24" t="e">
        <f>RANK(E7,Table9[QBR])</f>
        <v>#REF!</v>
      </c>
      <c r="F41" s="26" t="e">
        <f>RANK(F7,Table9[RBR])</f>
        <v>#REF!</v>
      </c>
      <c r="G41" s="24" t="e">
        <f>RANK(G7,Table9[RB1R])</f>
        <v>#REF!</v>
      </c>
      <c r="H41" s="24" t="e">
        <f>RANK(H7,Table9[RB2+])</f>
        <v>#REF!</v>
      </c>
      <c r="I41" s="24" t="e">
        <f>RANK(I7,Table9[RBR+R])</f>
        <v>#REF!</v>
      </c>
      <c r="J41" s="24" t="e">
        <f>RANK(J7,Table9[WRR])</f>
        <v>#REF!</v>
      </c>
      <c r="K41" s="24" t="e">
        <f>RANK(K7,Table9[RBC])</f>
        <v>#REF!</v>
      </c>
      <c r="L41" s="24" t="e">
        <f>RANK(L7,Table9[RBY])</f>
        <v>#REF!</v>
      </c>
      <c r="M41" s="24" t="e">
        <f>RANK(M7,Table9[WR1C])</f>
        <v>#REF!</v>
      </c>
      <c r="N41" s="24" t="e">
        <f>RANK(N7,Table9[WR1Y])</f>
        <v>#REF!</v>
      </c>
      <c r="O41" s="24" t="e">
        <f>RANK(O7,Table9[WR2C])</f>
        <v>#REF!</v>
      </c>
      <c r="P41" s="24" t="e">
        <f>RANK(P7,Table9[WR2Y])</f>
        <v>#REF!</v>
      </c>
      <c r="Q41" s="24" t="e">
        <f>RANK(Q7,Table9[WR3C])</f>
        <v>#REF!</v>
      </c>
      <c r="R41" s="24" t="e">
        <f>RANK(R7,Table9[WR3Y])</f>
        <v>#REF!</v>
      </c>
      <c r="S41" s="24" t="e">
        <f>RANK(S7,Table9[WR4+C])</f>
        <v>#REF!</v>
      </c>
      <c r="T41" s="24" t="e">
        <f>RANK(T7,Table9[WR4+Y])</f>
        <v>#REF!</v>
      </c>
      <c r="U41" s="24" t="e">
        <f>RANK(U7,Table9[TEC])</f>
        <v>#REF!</v>
      </c>
      <c r="V41" s="24" t="e">
        <f>RANK(V7,Table9[TEY])</f>
        <v>#REF!</v>
      </c>
      <c r="W41" s="24" t="e">
        <f>RANK(W7,Table9[QB])</f>
        <v>#REF!</v>
      </c>
      <c r="X41" s="24" t="e">
        <f>RANK(X7,Table9[RB])</f>
        <v>#REF!</v>
      </c>
      <c r="Y41" s="24" t="e">
        <f>RANK(Y7,Table9[WR1])</f>
        <v>#REF!</v>
      </c>
      <c r="Z41" s="24" t="e">
        <f>RANK(Z7,Table9[WR2])</f>
        <v>#REF!</v>
      </c>
      <c r="AA41" s="24" t="e">
        <f>RANK(AA7,Table9[WR3])</f>
        <v>#REF!</v>
      </c>
      <c r="AB41" s="24" t="e">
        <f>RANK(AB7,Table9[WR4+])</f>
        <v>#REF!</v>
      </c>
      <c r="AC41" s="24" t="e">
        <f>RANK(AC7,Table9[TE])</f>
        <v>#REF!</v>
      </c>
      <c r="AD41" s="24" t="e">
        <f>RANK(AD7,Table9[D/ST])</f>
        <v>#REF!</v>
      </c>
    </row>
    <row r="42" spans="1:30" x14ac:dyDescent="0.35">
      <c r="A42" s="58" t="s">
        <v>30</v>
      </c>
      <c r="B42" s="24" t="e">
        <f>RANK(B8,Table9[QBP])</f>
        <v>#REF!</v>
      </c>
      <c r="C42" s="24" t="e">
        <f>RANK(C8,Table9[PTD])</f>
        <v>#REF!</v>
      </c>
      <c r="D42" s="24" t="e">
        <f>RANK(D8,Table9[QBP+R])</f>
        <v>#REF!</v>
      </c>
      <c r="E42" s="24" t="e">
        <f>RANK(E8,Table9[QBR])</f>
        <v>#REF!</v>
      </c>
      <c r="F42" s="26" t="e">
        <f>RANK(F8,Table9[RBR])</f>
        <v>#REF!</v>
      </c>
      <c r="G42" s="24" t="e">
        <f>RANK(G8,Table9[RB1R])</f>
        <v>#REF!</v>
      </c>
      <c r="H42" s="24" t="e">
        <f>RANK(H8,Table9[RB2+])</f>
        <v>#REF!</v>
      </c>
      <c r="I42" s="24" t="e">
        <f>RANK(I8,Table9[RBR+R])</f>
        <v>#REF!</v>
      </c>
      <c r="J42" s="24" t="e">
        <f>RANK(J8,Table9[WRR])</f>
        <v>#REF!</v>
      </c>
      <c r="K42" s="24" t="e">
        <f>RANK(K8,Table9[RBC])</f>
        <v>#REF!</v>
      </c>
      <c r="L42" s="24" t="e">
        <f>RANK(L8,Table9[RBY])</f>
        <v>#REF!</v>
      </c>
      <c r="M42" s="24" t="e">
        <f>RANK(M8,Table9[WR1C])</f>
        <v>#REF!</v>
      </c>
      <c r="N42" s="24" t="e">
        <f>RANK(N8,Table9[WR1Y])</f>
        <v>#REF!</v>
      </c>
      <c r="O42" s="24" t="e">
        <f>RANK(O8,Table9[WR2C])</f>
        <v>#REF!</v>
      </c>
      <c r="P42" s="24" t="e">
        <f>RANK(P8,Table9[WR2Y])</f>
        <v>#REF!</v>
      </c>
      <c r="Q42" s="24" t="e">
        <f>RANK(Q8,Table9[WR3C])</f>
        <v>#REF!</v>
      </c>
      <c r="R42" s="24" t="e">
        <f>RANK(R8,Table9[WR3Y])</f>
        <v>#REF!</v>
      </c>
      <c r="S42" s="24" t="e">
        <f>RANK(S8,Table9[WR4+C])</f>
        <v>#REF!</v>
      </c>
      <c r="T42" s="24" t="e">
        <f>RANK(T8,Table9[WR4+Y])</f>
        <v>#REF!</v>
      </c>
      <c r="U42" s="24" t="e">
        <f>RANK(U8,Table9[TEC])</f>
        <v>#REF!</v>
      </c>
      <c r="V42" s="24" t="e">
        <f>RANK(V8,Table9[TEY])</f>
        <v>#REF!</v>
      </c>
      <c r="W42" s="24" t="e">
        <f>RANK(W8,Table9[QB])</f>
        <v>#REF!</v>
      </c>
      <c r="X42" s="24" t="e">
        <f>RANK(X8,Table9[RB])</f>
        <v>#REF!</v>
      </c>
      <c r="Y42" s="24" t="e">
        <f>RANK(Y8,Table9[WR1])</f>
        <v>#REF!</v>
      </c>
      <c r="Z42" s="24" t="e">
        <f>RANK(Z8,Table9[WR2])</f>
        <v>#REF!</v>
      </c>
      <c r="AA42" s="24" t="e">
        <f>RANK(AA8,Table9[WR3])</f>
        <v>#REF!</v>
      </c>
      <c r="AB42" s="24" t="e">
        <f>RANK(AB8,Table9[WR4+])</f>
        <v>#REF!</v>
      </c>
      <c r="AC42" s="24" t="e">
        <f>RANK(AC8,Table9[TE])</f>
        <v>#REF!</v>
      </c>
      <c r="AD42" s="24" t="e">
        <f>RANK(AD8,Table9[D/ST])</f>
        <v>#REF!</v>
      </c>
    </row>
    <row r="43" spans="1:30" x14ac:dyDescent="0.35">
      <c r="A43" s="57" t="s">
        <v>31</v>
      </c>
      <c r="B43" s="24" t="e">
        <f>RANK(B9,Table9[QBP])</f>
        <v>#REF!</v>
      </c>
      <c r="C43" s="24" t="e">
        <f>RANK(C9,Table9[PTD])</f>
        <v>#REF!</v>
      </c>
      <c r="D43" s="24" t="e">
        <f>RANK(D9,Table9[QBP+R])</f>
        <v>#REF!</v>
      </c>
      <c r="E43" s="24" t="e">
        <f>RANK(E9,Table9[QBR])</f>
        <v>#REF!</v>
      </c>
      <c r="F43" s="26" t="e">
        <f>RANK(F9,Table9[RBR])</f>
        <v>#REF!</v>
      </c>
      <c r="G43" s="24" t="e">
        <f>RANK(G9,Table9[RB1R])</f>
        <v>#REF!</v>
      </c>
      <c r="H43" s="24" t="e">
        <f>RANK(H9,Table9[RB2+])</f>
        <v>#REF!</v>
      </c>
      <c r="I43" s="24" t="e">
        <f>RANK(I9,Table9[RBR+R])</f>
        <v>#REF!</v>
      </c>
      <c r="J43" s="24" t="e">
        <f>RANK(J9,Table9[WRR])</f>
        <v>#REF!</v>
      </c>
      <c r="K43" s="24" t="e">
        <f>RANK(K9,Table9[RBC])</f>
        <v>#REF!</v>
      </c>
      <c r="L43" s="24" t="e">
        <f>RANK(L9,Table9[RBY])</f>
        <v>#REF!</v>
      </c>
      <c r="M43" s="24" t="e">
        <f>RANK(M9,Table9[WR1C])</f>
        <v>#REF!</v>
      </c>
      <c r="N43" s="24" t="e">
        <f>RANK(N9,Table9[WR1Y])</f>
        <v>#REF!</v>
      </c>
      <c r="O43" s="24" t="e">
        <f>RANK(O9,Table9[WR2C])</f>
        <v>#REF!</v>
      </c>
      <c r="P43" s="24" t="e">
        <f>RANK(P9,Table9[WR2Y])</f>
        <v>#REF!</v>
      </c>
      <c r="Q43" s="24" t="e">
        <f>RANK(Q9,Table9[WR3C])</f>
        <v>#REF!</v>
      </c>
      <c r="R43" s="24" t="e">
        <f>RANK(R9,Table9[WR3Y])</f>
        <v>#REF!</v>
      </c>
      <c r="S43" s="24" t="e">
        <f>RANK(S9,Table9[WR4+C])</f>
        <v>#REF!</v>
      </c>
      <c r="T43" s="24" t="e">
        <f>RANK(T9,Table9[WR4+Y])</f>
        <v>#REF!</v>
      </c>
      <c r="U43" s="24" t="e">
        <f>RANK(U9,Table9[TEC])</f>
        <v>#REF!</v>
      </c>
      <c r="V43" s="24" t="e">
        <f>RANK(V9,Table9[TEY])</f>
        <v>#REF!</v>
      </c>
      <c r="W43" s="24" t="e">
        <f>RANK(W9,Table9[QB])</f>
        <v>#REF!</v>
      </c>
      <c r="X43" s="24" t="e">
        <f>RANK(X9,Table9[RB])</f>
        <v>#REF!</v>
      </c>
      <c r="Y43" s="24" t="e">
        <f>RANK(Y9,Table9[WR1])</f>
        <v>#REF!</v>
      </c>
      <c r="Z43" s="24" t="e">
        <f>RANK(Z9,Table9[WR2])</f>
        <v>#REF!</v>
      </c>
      <c r="AA43" s="24" t="e">
        <f>RANK(AA9,Table9[WR3])</f>
        <v>#REF!</v>
      </c>
      <c r="AB43" s="24" t="e">
        <f>RANK(AB9,Table9[WR4+])</f>
        <v>#REF!</v>
      </c>
      <c r="AC43" s="24" t="e">
        <f>RANK(AC9,Table9[TE])</f>
        <v>#REF!</v>
      </c>
      <c r="AD43" s="24" t="e">
        <f>RANK(AD9,Table9[D/ST])</f>
        <v>#REF!</v>
      </c>
    </row>
    <row r="44" spans="1:30" x14ac:dyDescent="0.35">
      <c r="A44" s="58" t="s">
        <v>32</v>
      </c>
      <c r="B44" s="24" t="e">
        <f>RANK(B10,Table9[QBP])</f>
        <v>#REF!</v>
      </c>
      <c r="C44" s="24" t="e">
        <f>RANK(C10,Table9[PTD])</f>
        <v>#REF!</v>
      </c>
      <c r="D44" s="24" t="e">
        <f>RANK(D10,Table9[QBP+R])</f>
        <v>#REF!</v>
      </c>
      <c r="E44" s="24" t="e">
        <f>RANK(E10,Table9[QBR])</f>
        <v>#REF!</v>
      </c>
      <c r="F44" s="26" t="e">
        <f>RANK(F10,Table9[RBR])</f>
        <v>#REF!</v>
      </c>
      <c r="G44" s="24" t="e">
        <f>RANK(G10,Table9[RB1R])</f>
        <v>#REF!</v>
      </c>
      <c r="H44" s="24" t="e">
        <f>RANK(H10,Table9[RB2+])</f>
        <v>#REF!</v>
      </c>
      <c r="I44" s="24" t="e">
        <f>RANK(I10,Table9[RBR+R])</f>
        <v>#REF!</v>
      </c>
      <c r="J44" s="24" t="e">
        <f>RANK(J10,Table9[WRR])</f>
        <v>#REF!</v>
      </c>
      <c r="K44" s="24" t="e">
        <f>RANK(K10,Table9[RBC])</f>
        <v>#REF!</v>
      </c>
      <c r="L44" s="24" t="e">
        <f>RANK(L10,Table9[RBY])</f>
        <v>#REF!</v>
      </c>
      <c r="M44" s="24" t="e">
        <f>RANK(M10,Table9[WR1C])</f>
        <v>#REF!</v>
      </c>
      <c r="N44" s="24" t="e">
        <f>RANK(N10,Table9[WR1Y])</f>
        <v>#REF!</v>
      </c>
      <c r="O44" s="24" t="e">
        <f>RANK(O10,Table9[WR2C])</f>
        <v>#REF!</v>
      </c>
      <c r="P44" s="24" t="e">
        <f>RANK(P10,Table9[WR2Y])</f>
        <v>#REF!</v>
      </c>
      <c r="Q44" s="24" t="e">
        <f>RANK(Q10,Table9[WR3C])</f>
        <v>#REF!</v>
      </c>
      <c r="R44" s="24" t="e">
        <f>RANK(R10,Table9[WR3Y])</f>
        <v>#REF!</v>
      </c>
      <c r="S44" s="24" t="e">
        <f>RANK(S10,Table9[WR4+C])</f>
        <v>#REF!</v>
      </c>
      <c r="T44" s="24" t="e">
        <f>RANK(T10,Table9[WR4+Y])</f>
        <v>#REF!</v>
      </c>
      <c r="U44" s="24" t="e">
        <f>RANK(U10,Table9[TEC])</f>
        <v>#REF!</v>
      </c>
      <c r="V44" s="24" t="e">
        <f>RANK(V10,Table9[TEY])</f>
        <v>#REF!</v>
      </c>
      <c r="W44" s="24" t="e">
        <f>RANK(W10,Table9[QB])</f>
        <v>#REF!</v>
      </c>
      <c r="X44" s="24" t="e">
        <f>RANK(X10,Table9[RB])</f>
        <v>#REF!</v>
      </c>
      <c r="Y44" s="24" t="e">
        <f>RANK(Y10,Table9[WR1])</f>
        <v>#REF!</v>
      </c>
      <c r="Z44" s="24" t="e">
        <f>RANK(Z10,Table9[WR2])</f>
        <v>#REF!</v>
      </c>
      <c r="AA44" s="24" t="e">
        <f>RANK(AA10,Table9[WR3])</f>
        <v>#REF!</v>
      </c>
      <c r="AB44" s="24" t="e">
        <f>RANK(AB10,Table9[WR4+])</f>
        <v>#REF!</v>
      </c>
      <c r="AC44" s="24" t="e">
        <f>RANK(AC10,Table9[TE])</f>
        <v>#REF!</v>
      </c>
      <c r="AD44" s="24" t="e">
        <f>RANK(AD10,Table9[D/ST])</f>
        <v>#REF!</v>
      </c>
    </row>
    <row r="45" spans="1:30" x14ac:dyDescent="0.35">
      <c r="A45" s="57" t="s">
        <v>33</v>
      </c>
      <c r="B45" s="24" t="e">
        <f>RANK(B11,Table9[QBP])</f>
        <v>#REF!</v>
      </c>
      <c r="C45" s="24" t="e">
        <f>RANK(C11,Table9[PTD])</f>
        <v>#REF!</v>
      </c>
      <c r="D45" s="24" t="e">
        <f>RANK(D11,Table9[QBP+R])</f>
        <v>#REF!</v>
      </c>
      <c r="E45" s="24" t="e">
        <f>RANK(E11,Table9[QBR])</f>
        <v>#REF!</v>
      </c>
      <c r="F45" s="26" t="e">
        <f>RANK(F11,Table9[RBR])</f>
        <v>#REF!</v>
      </c>
      <c r="G45" s="24" t="e">
        <f>RANK(G11,Table9[RB1R])</f>
        <v>#REF!</v>
      </c>
      <c r="H45" s="24" t="e">
        <f>RANK(H11,Table9[RB2+])</f>
        <v>#REF!</v>
      </c>
      <c r="I45" s="24" t="e">
        <f>RANK(I11,Table9[RBR+R])</f>
        <v>#REF!</v>
      </c>
      <c r="J45" s="24" t="e">
        <f>RANK(J11,Table9[WRR])</f>
        <v>#REF!</v>
      </c>
      <c r="K45" s="24" t="e">
        <f>RANK(K11,Table9[RBC])</f>
        <v>#REF!</v>
      </c>
      <c r="L45" s="24" t="e">
        <f>RANK(L11,Table9[RBY])</f>
        <v>#REF!</v>
      </c>
      <c r="M45" s="24" t="e">
        <f>RANK(M11,Table9[WR1C])</f>
        <v>#REF!</v>
      </c>
      <c r="N45" s="24" t="e">
        <f>RANK(N11,Table9[WR1Y])</f>
        <v>#REF!</v>
      </c>
      <c r="O45" s="24" t="e">
        <f>RANK(O11,Table9[WR2C])</f>
        <v>#REF!</v>
      </c>
      <c r="P45" s="24" t="e">
        <f>RANK(P11,Table9[WR2Y])</f>
        <v>#REF!</v>
      </c>
      <c r="Q45" s="24" t="e">
        <f>RANK(Q11,Table9[WR3C])</f>
        <v>#REF!</v>
      </c>
      <c r="R45" s="24" t="e">
        <f>RANK(R11,Table9[WR3Y])</f>
        <v>#REF!</v>
      </c>
      <c r="S45" s="24" t="e">
        <f>RANK(S11,Table9[WR4+C])</f>
        <v>#REF!</v>
      </c>
      <c r="T45" s="24" t="e">
        <f>RANK(T11,Table9[WR4+Y])</f>
        <v>#REF!</v>
      </c>
      <c r="U45" s="24" t="e">
        <f>RANK(U11,Table9[TEC])</f>
        <v>#REF!</v>
      </c>
      <c r="V45" s="24" t="e">
        <f>RANK(V11,Table9[TEY])</f>
        <v>#REF!</v>
      </c>
      <c r="W45" s="24" t="e">
        <f>RANK(W11,Table9[QB])</f>
        <v>#REF!</v>
      </c>
      <c r="X45" s="24" t="e">
        <f>RANK(X11,Table9[RB])</f>
        <v>#REF!</v>
      </c>
      <c r="Y45" s="24" t="e">
        <f>RANK(Y11,Table9[WR1])</f>
        <v>#REF!</v>
      </c>
      <c r="Z45" s="24" t="e">
        <f>RANK(Z11,Table9[WR2])</f>
        <v>#REF!</v>
      </c>
      <c r="AA45" s="24" t="e">
        <f>RANK(AA11,Table9[WR3])</f>
        <v>#REF!</v>
      </c>
      <c r="AB45" s="24" t="e">
        <f>RANK(AB11,Table9[WR4+])</f>
        <v>#REF!</v>
      </c>
      <c r="AC45" s="24" t="e">
        <f>RANK(AC11,Table9[TE])</f>
        <v>#REF!</v>
      </c>
      <c r="AD45" s="24" t="e">
        <f>RANK(AD11,Table9[D/ST])</f>
        <v>#REF!</v>
      </c>
    </row>
    <row r="46" spans="1:30" x14ac:dyDescent="0.35">
      <c r="A46" s="58" t="s">
        <v>34</v>
      </c>
      <c r="B46" s="24" t="e">
        <f>RANK(B12,Table9[QBP])</f>
        <v>#REF!</v>
      </c>
      <c r="C46" s="24" t="e">
        <f>RANK(C12,Table9[PTD])</f>
        <v>#REF!</v>
      </c>
      <c r="D46" s="24" t="e">
        <f>RANK(D12,Table9[QBP+R])</f>
        <v>#REF!</v>
      </c>
      <c r="E46" s="24" t="e">
        <f>RANK(E12,Table9[QBR])</f>
        <v>#REF!</v>
      </c>
      <c r="F46" s="26" t="e">
        <f>RANK(F12,Table9[RBR])</f>
        <v>#REF!</v>
      </c>
      <c r="G46" s="24" t="e">
        <f>RANK(G12,Table9[RB1R])</f>
        <v>#REF!</v>
      </c>
      <c r="H46" s="24" t="e">
        <f>RANK(H12,Table9[RB2+])</f>
        <v>#REF!</v>
      </c>
      <c r="I46" s="24" t="e">
        <f>RANK(I12,Table9[RBR+R])</f>
        <v>#REF!</v>
      </c>
      <c r="J46" s="24" t="e">
        <f>RANK(J12,Table9[WRR])</f>
        <v>#REF!</v>
      </c>
      <c r="K46" s="24" t="e">
        <f>RANK(K12,Table9[RBC])</f>
        <v>#REF!</v>
      </c>
      <c r="L46" s="24" t="e">
        <f>RANK(L12,Table9[RBY])</f>
        <v>#REF!</v>
      </c>
      <c r="M46" s="24" t="e">
        <f>RANK(M12,Table9[WR1C])</f>
        <v>#REF!</v>
      </c>
      <c r="N46" s="24" t="e">
        <f>RANK(N12,Table9[WR1Y])</f>
        <v>#REF!</v>
      </c>
      <c r="O46" s="24" t="e">
        <f>RANK(O12,Table9[WR2C])</f>
        <v>#REF!</v>
      </c>
      <c r="P46" s="24" t="e">
        <f>RANK(P12,Table9[WR2Y])</f>
        <v>#REF!</v>
      </c>
      <c r="Q46" s="24" t="e">
        <f>RANK(Q12,Table9[WR3C])</f>
        <v>#REF!</v>
      </c>
      <c r="R46" s="24" t="e">
        <f>RANK(R12,Table9[WR3Y])</f>
        <v>#REF!</v>
      </c>
      <c r="S46" s="24" t="e">
        <f>RANK(S12,Table9[WR4+C])</f>
        <v>#REF!</v>
      </c>
      <c r="T46" s="24" t="e">
        <f>RANK(T12,Table9[WR4+Y])</f>
        <v>#REF!</v>
      </c>
      <c r="U46" s="24" t="e">
        <f>RANK(U12,Table9[TEC])</f>
        <v>#REF!</v>
      </c>
      <c r="V46" s="24" t="e">
        <f>RANK(V12,Table9[TEY])</f>
        <v>#REF!</v>
      </c>
      <c r="W46" s="24" t="e">
        <f>RANK(W12,Table9[QB])</f>
        <v>#REF!</v>
      </c>
      <c r="X46" s="24" t="e">
        <f>RANK(X12,Table9[RB])</f>
        <v>#REF!</v>
      </c>
      <c r="Y46" s="24" t="e">
        <f>RANK(Y12,Table9[WR1])</f>
        <v>#REF!</v>
      </c>
      <c r="Z46" s="24" t="e">
        <f>RANK(Z12,Table9[WR2])</f>
        <v>#REF!</v>
      </c>
      <c r="AA46" s="24" t="e">
        <f>RANK(AA12,Table9[WR3])</f>
        <v>#REF!</v>
      </c>
      <c r="AB46" s="24" t="e">
        <f>RANK(AB12,Table9[WR4+])</f>
        <v>#REF!</v>
      </c>
      <c r="AC46" s="24" t="e">
        <f>RANK(AC12,Table9[TE])</f>
        <v>#REF!</v>
      </c>
      <c r="AD46" s="24" t="e">
        <f>RANK(AD12,Table9[D/ST])</f>
        <v>#REF!</v>
      </c>
    </row>
    <row r="47" spans="1:30" x14ac:dyDescent="0.35">
      <c r="A47" s="57" t="s">
        <v>35</v>
      </c>
      <c r="B47" s="24" t="e">
        <f>RANK(B13,Table9[QBP])</f>
        <v>#REF!</v>
      </c>
      <c r="C47" s="24" t="e">
        <f>RANK(C13,Table9[PTD])</f>
        <v>#REF!</v>
      </c>
      <c r="D47" s="24" t="e">
        <f>RANK(D13,Table9[QBP+R])</f>
        <v>#REF!</v>
      </c>
      <c r="E47" s="24" t="e">
        <f>RANK(E13,Table9[QBR])</f>
        <v>#REF!</v>
      </c>
      <c r="F47" s="26" t="e">
        <f>RANK(F13,Table9[RBR])</f>
        <v>#REF!</v>
      </c>
      <c r="G47" s="24" t="e">
        <f>RANK(G13,Table9[RB1R])</f>
        <v>#REF!</v>
      </c>
      <c r="H47" s="24" t="e">
        <f>RANK(H13,Table9[RB2+])</f>
        <v>#REF!</v>
      </c>
      <c r="I47" s="24" t="e">
        <f>RANK(I13,Table9[RBR+R])</f>
        <v>#REF!</v>
      </c>
      <c r="J47" s="24" t="e">
        <f>RANK(J13,Table9[WRR])</f>
        <v>#REF!</v>
      </c>
      <c r="K47" s="24" t="e">
        <f>RANK(K13,Table9[RBC])</f>
        <v>#REF!</v>
      </c>
      <c r="L47" s="24" t="e">
        <f>RANK(L13,Table9[RBY])</f>
        <v>#REF!</v>
      </c>
      <c r="M47" s="24" t="e">
        <f>RANK(M13,Table9[WR1C])</f>
        <v>#REF!</v>
      </c>
      <c r="N47" s="24" t="e">
        <f>RANK(N13,Table9[WR1Y])</f>
        <v>#REF!</v>
      </c>
      <c r="O47" s="24" t="e">
        <f>RANK(O13,Table9[WR2C])</f>
        <v>#REF!</v>
      </c>
      <c r="P47" s="24" t="e">
        <f>RANK(P13,Table9[WR2Y])</f>
        <v>#REF!</v>
      </c>
      <c r="Q47" s="24" t="e">
        <f>RANK(Q13,Table9[WR3C])</f>
        <v>#REF!</v>
      </c>
      <c r="R47" s="24" t="e">
        <f>RANK(R13,Table9[WR3Y])</f>
        <v>#REF!</v>
      </c>
      <c r="S47" s="24" t="e">
        <f>RANK(S13,Table9[WR4+C])</f>
        <v>#REF!</v>
      </c>
      <c r="T47" s="24" t="e">
        <f>RANK(T13,Table9[WR4+Y])</f>
        <v>#REF!</v>
      </c>
      <c r="U47" s="24" t="e">
        <f>RANK(U13,Table9[TEC])</f>
        <v>#REF!</v>
      </c>
      <c r="V47" s="24" t="e">
        <f>RANK(V13,Table9[TEY])</f>
        <v>#REF!</v>
      </c>
      <c r="W47" s="24" t="e">
        <f>RANK(W13,Table9[QB])</f>
        <v>#REF!</v>
      </c>
      <c r="X47" s="24" t="e">
        <f>RANK(X13,Table9[RB])</f>
        <v>#REF!</v>
      </c>
      <c r="Y47" s="24" t="e">
        <f>RANK(Y13,Table9[WR1])</f>
        <v>#REF!</v>
      </c>
      <c r="Z47" s="24" t="e">
        <f>RANK(Z13,Table9[WR2])</f>
        <v>#REF!</v>
      </c>
      <c r="AA47" s="24" t="e">
        <f>RANK(AA13,Table9[WR3])</f>
        <v>#REF!</v>
      </c>
      <c r="AB47" s="24" t="e">
        <f>RANK(AB13,Table9[WR4+])</f>
        <v>#REF!</v>
      </c>
      <c r="AC47" s="24" t="e">
        <f>RANK(AC13,Table9[TE])</f>
        <v>#REF!</v>
      </c>
      <c r="AD47" s="24" t="e">
        <f>RANK(AD13,Table9[D/ST])</f>
        <v>#REF!</v>
      </c>
    </row>
    <row r="48" spans="1:30" x14ac:dyDescent="0.35">
      <c r="A48" s="58" t="s">
        <v>36</v>
      </c>
      <c r="B48" s="24" t="e">
        <f>RANK(B14,Table9[QBP])</f>
        <v>#REF!</v>
      </c>
      <c r="C48" s="24" t="e">
        <f>RANK(C14,Table9[PTD])</f>
        <v>#REF!</v>
      </c>
      <c r="D48" s="24" t="e">
        <f>RANK(D14,Table9[QBP+R])</f>
        <v>#REF!</v>
      </c>
      <c r="E48" s="24" t="e">
        <f>RANK(E14,Table9[QBR])</f>
        <v>#REF!</v>
      </c>
      <c r="F48" s="26" t="e">
        <f>RANK(F14,Table9[RBR])</f>
        <v>#REF!</v>
      </c>
      <c r="G48" s="24" t="e">
        <f>RANK(G14,Table9[RB1R])</f>
        <v>#REF!</v>
      </c>
      <c r="H48" s="24" t="e">
        <f>RANK(H14,Table9[RB2+])</f>
        <v>#REF!</v>
      </c>
      <c r="I48" s="24" t="e">
        <f>RANK(I14,Table9[RBR+R])</f>
        <v>#REF!</v>
      </c>
      <c r="J48" s="24" t="e">
        <f>RANK(J14,Table9[WRR])</f>
        <v>#REF!</v>
      </c>
      <c r="K48" s="24" t="e">
        <f>RANK(K14,Table9[RBC])</f>
        <v>#REF!</v>
      </c>
      <c r="L48" s="24" t="e">
        <f>RANK(L14,Table9[RBY])</f>
        <v>#REF!</v>
      </c>
      <c r="M48" s="24" t="e">
        <f>RANK(M14,Table9[WR1C])</f>
        <v>#REF!</v>
      </c>
      <c r="N48" s="24" t="e">
        <f>RANK(N14,Table9[WR1Y])</f>
        <v>#REF!</v>
      </c>
      <c r="O48" s="24" t="e">
        <f>RANK(O14,Table9[WR2C])</f>
        <v>#REF!</v>
      </c>
      <c r="P48" s="24" t="e">
        <f>RANK(P14,Table9[WR2Y])</f>
        <v>#REF!</v>
      </c>
      <c r="Q48" s="24" t="e">
        <f>RANK(Q14,Table9[WR3C])</f>
        <v>#REF!</v>
      </c>
      <c r="R48" s="24" t="e">
        <f>RANK(R14,Table9[WR3Y])</f>
        <v>#REF!</v>
      </c>
      <c r="S48" s="24" t="e">
        <f>RANK(S14,Table9[WR4+C])</f>
        <v>#REF!</v>
      </c>
      <c r="T48" s="24" t="e">
        <f>RANK(T14,Table9[WR4+Y])</f>
        <v>#REF!</v>
      </c>
      <c r="U48" s="24" t="e">
        <f>RANK(U14,Table9[TEC])</f>
        <v>#REF!</v>
      </c>
      <c r="V48" s="24" t="e">
        <f>RANK(V14,Table9[TEY])</f>
        <v>#REF!</v>
      </c>
      <c r="W48" s="24" t="e">
        <f>RANK(W14,Table9[QB])</f>
        <v>#REF!</v>
      </c>
      <c r="X48" s="24" t="e">
        <f>RANK(X14,Table9[RB])</f>
        <v>#REF!</v>
      </c>
      <c r="Y48" s="24" t="e">
        <f>RANK(Y14,Table9[WR1])</f>
        <v>#REF!</v>
      </c>
      <c r="Z48" s="24" t="e">
        <f>RANK(Z14,Table9[WR2])</f>
        <v>#REF!</v>
      </c>
      <c r="AA48" s="24" t="e">
        <f>RANK(AA14,Table9[WR3])</f>
        <v>#REF!</v>
      </c>
      <c r="AB48" s="24" t="e">
        <f>RANK(AB14,Table9[WR4+])</f>
        <v>#REF!</v>
      </c>
      <c r="AC48" s="24" t="e">
        <f>RANK(AC14,Table9[TE])</f>
        <v>#REF!</v>
      </c>
      <c r="AD48" s="24" t="e">
        <f>RANK(AD14,Table9[D/ST])</f>
        <v>#REF!</v>
      </c>
    </row>
    <row r="49" spans="1:30" x14ac:dyDescent="0.35">
      <c r="A49" s="57" t="s">
        <v>37</v>
      </c>
      <c r="B49" s="24" t="e">
        <f>RANK(B15,Table9[QBP])</f>
        <v>#REF!</v>
      </c>
      <c r="C49" s="24" t="e">
        <f>RANK(C15,Table9[PTD])</f>
        <v>#REF!</v>
      </c>
      <c r="D49" s="24" t="e">
        <f>RANK(D15,Table9[QBP+R])</f>
        <v>#REF!</v>
      </c>
      <c r="E49" s="24" t="e">
        <f>RANK(E15,Table9[QBR])</f>
        <v>#REF!</v>
      </c>
      <c r="F49" s="26" t="e">
        <f>RANK(F15,Table9[RBR])</f>
        <v>#REF!</v>
      </c>
      <c r="G49" s="24" t="e">
        <f>RANK(G15,Table9[RB1R])</f>
        <v>#REF!</v>
      </c>
      <c r="H49" s="24" t="e">
        <f>RANK(H15,Table9[RB2+])</f>
        <v>#REF!</v>
      </c>
      <c r="I49" s="24" t="e">
        <f>RANK(I15,Table9[RBR+R])</f>
        <v>#REF!</v>
      </c>
      <c r="J49" s="24" t="e">
        <f>RANK(J15,Table9[WRR])</f>
        <v>#REF!</v>
      </c>
      <c r="K49" s="24" t="e">
        <f>RANK(K15,Table9[RBC])</f>
        <v>#REF!</v>
      </c>
      <c r="L49" s="24" t="e">
        <f>RANK(L15,Table9[RBY])</f>
        <v>#REF!</v>
      </c>
      <c r="M49" s="24" t="e">
        <f>RANK(M15,Table9[WR1C])</f>
        <v>#REF!</v>
      </c>
      <c r="N49" s="24" t="e">
        <f>RANK(N15,Table9[WR1Y])</f>
        <v>#REF!</v>
      </c>
      <c r="O49" s="24" t="e">
        <f>RANK(O15,Table9[WR2C])</f>
        <v>#REF!</v>
      </c>
      <c r="P49" s="24" t="e">
        <f>RANK(P15,Table9[WR2Y])</f>
        <v>#REF!</v>
      </c>
      <c r="Q49" s="24" t="e">
        <f>RANK(Q15,Table9[WR3C])</f>
        <v>#REF!</v>
      </c>
      <c r="R49" s="24" t="e">
        <f>RANK(R15,Table9[WR3Y])</f>
        <v>#REF!</v>
      </c>
      <c r="S49" s="24" t="e">
        <f>RANK(S15,Table9[WR4+C])</f>
        <v>#REF!</v>
      </c>
      <c r="T49" s="24" t="e">
        <f>RANK(T15,Table9[WR4+Y])</f>
        <v>#REF!</v>
      </c>
      <c r="U49" s="24" t="e">
        <f>RANK(U15,Table9[TEC])</f>
        <v>#REF!</v>
      </c>
      <c r="V49" s="24" t="e">
        <f>RANK(V15,Table9[TEY])</f>
        <v>#REF!</v>
      </c>
      <c r="W49" s="24" t="e">
        <f>RANK(W15,Table9[QB])</f>
        <v>#REF!</v>
      </c>
      <c r="X49" s="24" t="e">
        <f>RANK(X15,Table9[RB])</f>
        <v>#REF!</v>
      </c>
      <c r="Y49" s="24" t="e">
        <f>RANK(Y15,Table9[WR1])</f>
        <v>#REF!</v>
      </c>
      <c r="Z49" s="24" t="e">
        <f>RANK(Z15,Table9[WR2])</f>
        <v>#REF!</v>
      </c>
      <c r="AA49" s="24" t="e">
        <f>RANK(AA15,Table9[WR3])</f>
        <v>#REF!</v>
      </c>
      <c r="AB49" s="24" t="e">
        <f>RANK(AB15,Table9[WR4+])</f>
        <v>#REF!</v>
      </c>
      <c r="AC49" s="24" t="e">
        <f>RANK(AC15,Table9[TE])</f>
        <v>#REF!</v>
      </c>
      <c r="AD49" s="24" t="e">
        <f>RANK(AD15,Table9[D/ST])</f>
        <v>#REF!</v>
      </c>
    </row>
    <row r="50" spans="1:30" x14ac:dyDescent="0.35">
      <c r="A50" s="58" t="s">
        <v>38</v>
      </c>
      <c r="B50" s="24" t="e">
        <f>RANK(B16,Table9[QBP])</f>
        <v>#REF!</v>
      </c>
      <c r="C50" s="24" t="e">
        <f>RANK(C16,Table9[PTD])</f>
        <v>#REF!</v>
      </c>
      <c r="D50" s="24" t="e">
        <f>RANK(D16,Table9[QBP+R])</f>
        <v>#REF!</v>
      </c>
      <c r="E50" s="24" t="e">
        <f>RANK(E16,Table9[QBR])</f>
        <v>#REF!</v>
      </c>
      <c r="F50" s="26" t="e">
        <f>RANK(F16,Table9[RBR])</f>
        <v>#REF!</v>
      </c>
      <c r="G50" s="24" t="e">
        <f>RANK(G16,Table9[RB1R])</f>
        <v>#REF!</v>
      </c>
      <c r="H50" s="24" t="e">
        <f>RANK(H16,Table9[RB2+])</f>
        <v>#REF!</v>
      </c>
      <c r="I50" s="24" t="e">
        <f>RANK(I16,Table9[RBR+R])</f>
        <v>#REF!</v>
      </c>
      <c r="J50" s="24" t="e">
        <f>RANK(J16,Table9[WRR])</f>
        <v>#REF!</v>
      </c>
      <c r="K50" s="24" t="e">
        <f>RANK(K16,Table9[RBC])</f>
        <v>#REF!</v>
      </c>
      <c r="L50" s="24" t="e">
        <f>RANK(L16,Table9[RBY])</f>
        <v>#REF!</v>
      </c>
      <c r="M50" s="24" t="e">
        <f>RANK(M16,Table9[WR1C])</f>
        <v>#REF!</v>
      </c>
      <c r="N50" s="24" t="e">
        <f>RANK(N16,Table9[WR1Y])</f>
        <v>#REF!</v>
      </c>
      <c r="O50" s="24" t="e">
        <f>RANK(O16,Table9[WR2C])</f>
        <v>#REF!</v>
      </c>
      <c r="P50" s="24" t="e">
        <f>RANK(P16,Table9[WR2Y])</f>
        <v>#REF!</v>
      </c>
      <c r="Q50" s="24" t="e">
        <f>RANK(Q16,Table9[WR3C])</f>
        <v>#REF!</v>
      </c>
      <c r="R50" s="24" t="e">
        <f>RANK(R16,Table9[WR3Y])</f>
        <v>#REF!</v>
      </c>
      <c r="S50" s="24" t="e">
        <f>RANK(S16,Table9[WR4+C])</f>
        <v>#REF!</v>
      </c>
      <c r="T50" s="24" t="e">
        <f>RANK(T16,Table9[WR4+Y])</f>
        <v>#REF!</v>
      </c>
      <c r="U50" s="24" t="e">
        <f>RANK(U16,Table9[TEC])</f>
        <v>#REF!</v>
      </c>
      <c r="V50" s="24" t="e">
        <f>RANK(V16,Table9[TEY])</f>
        <v>#REF!</v>
      </c>
      <c r="W50" s="24" t="e">
        <f>RANK(W16,Table9[QB])</f>
        <v>#REF!</v>
      </c>
      <c r="X50" s="24" t="e">
        <f>RANK(X16,Table9[RB])</f>
        <v>#REF!</v>
      </c>
      <c r="Y50" s="24" t="e">
        <f>RANK(Y16,Table9[WR1])</f>
        <v>#REF!</v>
      </c>
      <c r="Z50" s="24" t="e">
        <f>RANK(Z16,Table9[WR2])</f>
        <v>#REF!</v>
      </c>
      <c r="AA50" s="24" t="e">
        <f>RANK(AA16,Table9[WR3])</f>
        <v>#REF!</v>
      </c>
      <c r="AB50" s="24" t="e">
        <f>RANK(AB16,Table9[WR4+])</f>
        <v>#REF!</v>
      </c>
      <c r="AC50" s="24" t="e">
        <f>RANK(AC16,Table9[TE])</f>
        <v>#REF!</v>
      </c>
      <c r="AD50" s="24" t="e">
        <f>RANK(AD16,Table9[D/ST])</f>
        <v>#REF!</v>
      </c>
    </row>
    <row r="51" spans="1:30" x14ac:dyDescent="0.35">
      <c r="A51" s="57" t="s">
        <v>39</v>
      </c>
      <c r="B51" s="24" t="e">
        <f>RANK(B17,Table9[QBP])</f>
        <v>#REF!</v>
      </c>
      <c r="C51" s="24" t="e">
        <f>RANK(C17,Table9[PTD])</f>
        <v>#REF!</v>
      </c>
      <c r="D51" s="24" t="e">
        <f>RANK(D17,Table9[QBP+R])</f>
        <v>#REF!</v>
      </c>
      <c r="E51" s="24" t="e">
        <f>RANK(E17,Table9[QBR])</f>
        <v>#REF!</v>
      </c>
      <c r="F51" s="26" t="e">
        <f>RANK(F17,Table9[RBR])</f>
        <v>#REF!</v>
      </c>
      <c r="G51" s="24" t="e">
        <f>RANK(G17,Table9[RB1R])</f>
        <v>#REF!</v>
      </c>
      <c r="H51" s="24" t="e">
        <f>RANK(H17,Table9[RB2+])</f>
        <v>#REF!</v>
      </c>
      <c r="I51" s="24" t="e">
        <f>RANK(I17,Table9[RBR+R])</f>
        <v>#REF!</v>
      </c>
      <c r="J51" s="24" t="e">
        <f>RANK(J17,Table9[WRR])</f>
        <v>#REF!</v>
      </c>
      <c r="K51" s="24" t="e">
        <f>RANK(K17,Table9[RBC])</f>
        <v>#REF!</v>
      </c>
      <c r="L51" s="24" t="e">
        <f>RANK(L17,Table9[RBY])</f>
        <v>#REF!</v>
      </c>
      <c r="M51" s="24" t="e">
        <f>RANK(M17,Table9[WR1C])</f>
        <v>#REF!</v>
      </c>
      <c r="N51" s="24" t="e">
        <f>RANK(N17,Table9[WR1Y])</f>
        <v>#REF!</v>
      </c>
      <c r="O51" s="24" t="e">
        <f>RANK(O17,Table9[WR2C])</f>
        <v>#REF!</v>
      </c>
      <c r="P51" s="24" t="e">
        <f>RANK(P17,Table9[WR2Y])</f>
        <v>#REF!</v>
      </c>
      <c r="Q51" s="24" t="e">
        <f>RANK(Q17,Table9[WR3C])</f>
        <v>#REF!</v>
      </c>
      <c r="R51" s="24" t="e">
        <f>RANK(R17,Table9[WR3Y])</f>
        <v>#REF!</v>
      </c>
      <c r="S51" s="24" t="e">
        <f>RANK(S17,Table9[WR4+C])</f>
        <v>#REF!</v>
      </c>
      <c r="T51" s="24" t="e">
        <f>RANK(T17,Table9[WR4+Y])</f>
        <v>#REF!</v>
      </c>
      <c r="U51" s="24" t="e">
        <f>RANK(U17,Table9[TEC])</f>
        <v>#REF!</v>
      </c>
      <c r="V51" s="24" t="e">
        <f>RANK(V17,Table9[TEY])</f>
        <v>#REF!</v>
      </c>
      <c r="W51" s="24" t="e">
        <f>RANK(W17,Table9[QB])</f>
        <v>#REF!</v>
      </c>
      <c r="X51" s="24" t="e">
        <f>RANK(X17,Table9[RB])</f>
        <v>#REF!</v>
      </c>
      <c r="Y51" s="24" t="e">
        <f>RANK(Y17,Table9[WR1])</f>
        <v>#REF!</v>
      </c>
      <c r="Z51" s="24" t="e">
        <f>RANK(Z17,Table9[WR2])</f>
        <v>#REF!</v>
      </c>
      <c r="AA51" s="24" t="e">
        <f>RANK(AA17,Table9[WR3])</f>
        <v>#REF!</v>
      </c>
      <c r="AB51" s="24" t="e">
        <f>RANK(AB17,Table9[WR4+])</f>
        <v>#REF!</v>
      </c>
      <c r="AC51" s="24" t="e">
        <f>RANK(AC17,Table9[TE])</f>
        <v>#REF!</v>
      </c>
      <c r="AD51" s="24" t="e">
        <f>RANK(AD17,Table9[D/ST])</f>
        <v>#REF!</v>
      </c>
    </row>
    <row r="52" spans="1:30" x14ac:dyDescent="0.35">
      <c r="A52" s="58" t="s">
        <v>40</v>
      </c>
      <c r="B52" s="24" t="e">
        <f>RANK(B18,Table9[QBP])</f>
        <v>#REF!</v>
      </c>
      <c r="C52" s="24" t="e">
        <f>RANK(C18,Table9[PTD])</f>
        <v>#REF!</v>
      </c>
      <c r="D52" s="24" t="e">
        <f>RANK(D18,Table9[QBP+R])</f>
        <v>#REF!</v>
      </c>
      <c r="E52" s="24" t="e">
        <f>RANK(E18,Table9[QBR])</f>
        <v>#REF!</v>
      </c>
      <c r="F52" s="26" t="e">
        <f>RANK(F18,Table9[RBR])</f>
        <v>#REF!</v>
      </c>
      <c r="G52" s="24" t="e">
        <f>RANK(G18,Table9[RB1R])</f>
        <v>#REF!</v>
      </c>
      <c r="H52" s="24" t="e">
        <f>RANK(H18,Table9[RB2+])</f>
        <v>#REF!</v>
      </c>
      <c r="I52" s="24" t="e">
        <f>RANK(I18,Table9[RBR+R])</f>
        <v>#REF!</v>
      </c>
      <c r="J52" s="24" t="e">
        <f>RANK(J18,Table9[WRR])</f>
        <v>#REF!</v>
      </c>
      <c r="K52" s="24" t="e">
        <f>RANK(K18,Table9[RBC])</f>
        <v>#REF!</v>
      </c>
      <c r="L52" s="24" t="e">
        <f>RANK(L18,Table9[RBY])</f>
        <v>#REF!</v>
      </c>
      <c r="M52" s="24" t="e">
        <f>RANK(M18,Table9[WR1C])</f>
        <v>#REF!</v>
      </c>
      <c r="N52" s="24" t="e">
        <f>RANK(N18,Table9[WR1Y])</f>
        <v>#REF!</v>
      </c>
      <c r="O52" s="24" t="e">
        <f>RANK(O18,Table9[WR2C])</f>
        <v>#REF!</v>
      </c>
      <c r="P52" s="24" t="e">
        <f>RANK(P18,Table9[WR2Y])</f>
        <v>#REF!</v>
      </c>
      <c r="Q52" s="24" t="e">
        <f>RANK(Q18,Table9[WR3C])</f>
        <v>#REF!</v>
      </c>
      <c r="R52" s="24" t="e">
        <f>RANK(R18,Table9[WR3Y])</f>
        <v>#REF!</v>
      </c>
      <c r="S52" s="24" t="e">
        <f>RANK(S18,Table9[WR4+C])</f>
        <v>#REF!</v>
      </c>
      <c r="T52" s="24" t="e">
        <f>RANK(T18,Table9[WR4+Y])</f>
        <v>#REF!</v>
      </c>
      <c r="U52" s="24" t="e">
        <f>RANK(U18,Table9[TEC])</f>
        <v>#REF!</v>
      </c>
      <c r="V52" s="24" t="e">
        <f>RANK(V18,Table9[TEY])</f>
        <v>#REF!</v>
      </c>
      <c r="W52" s="24" t="e">
        <f>RANK(W18,Table9[QB])</f>
        <v>#REF!</v>
      </c>
      <c r="X52" s="24" t="e">
        <f>RANK(X18,Table9[RB])</f>
        <v>#REF!</v>
      </c>
      <c r="Y52" s="24" t="e">
        <f>RANK(Y18,Table9[WR1])</f>
        <v>#REF!</v>
      </c>
      <c r="Z52" s="24" t="e">
        <f>RANK(Z18,Table9[WR2])</f>
        <v>#REF!</v>
      </c>
      <c r="AA52" s="24" t="e">
        <f>RANK(AA18,Table9[WR3])</f>
        <v>#REF!</v>
      </c>
      <c r="AB52" s="24" t="e">
        <f>RANK(AB18,Table9[WR4+])</f>
        <v>#REF!</v>
      </c>
      <c r="AC52" s="24" t="e">
        <f>RANK(AC18,Table9[TE])</f>
        <v>#REF!</v>
      </c>
      <c r="AD52" s="24" t="e">
        <f>RANK(AD18,Table9[D/ST])</f>
        <v>#REF!</v>
      </c>
    </row>
    <row r="53" spans="1:30" x14ac:dyDescent="0.35">
      <c r="A53" s="57" t="s">
        <v>41</v>
      </c>
      <c r="B53" s="24" t="e">
        <f>RANK(B19,Table9[QBP])</f>
        <v>#REF!</v>
      </c>
      <c r="C53" s="24" t="e">
        <f>RANK(C19,Table9[PTD])</f>
        <v>#REF!</v>
      </c>
      <c r="D53" s="24" t="e">
        <f>RANK(D19,Table9[QBP+R])</f>
        <v>#REF!</v>
      </c>
      <c r="E53" s="24" t="e">
        <f>RANK(E19,Table9[QBR])</f>
        <v>#REF!</v>
      </c>
      <c r="F53" s="26" t="e">
        <f>RANK(F19,Table9[RBR])</f>
        <v>#REF!</v>
      </c>
      <c r="G53" s="24" t="e">
        <f>RANK(G19,Table9[RB1R])</f>
        <v>#REF!</v>
      </c>
      <c r="H53" s="24" t="e">
        <f>RANK(H19,Table9[RB2+])</f>
        <v>#REF!</v>
      </c>
      <c r="I53" s="24" t="e">
        <f>RANK(I19,Table9[RBR+R])</f>
        <v>#REF!</v>
      </c>
      <c r="J53" s="24" t="e">
        <f>RANK(J19,Table9[WRR])</f>
        <v>#REF!</v>
      </c>
      <c r="K53" s="24" t="e">
        <f>RANK(K19,Table9[RBC])</f>
        <v>#REF!</v>
      </c>
      <c r="L53" s="24" t="e">
        <f>RANK(L19,Table9[RBY])</f>
        <v>#REF!</v>
      </c>
      <c r="M53" s="24" t="e">
        <f>RANK(M19,Table9[WR1C])</f>
        <v>#REF!</v>
      </c>
      <c r="N53" s="24" t="e">
        <f>RANK(N19,Table9[WR1Y])</f>
        <v>#REF!</v>
      </c>
      <c r="O53" s="24" t="e">
        <f>RANK(O19,Table9[WR2C])</f>
        <v>#REF!</v>
      </c>
      <c r="P53" s="24" t="e">
        <f>RANK(P19,Table9[WR2Y])</f>
        <v>#REF!</v>
      </c>
      <c r="Q53" s="24" t="e">
        <f>RANK(Q19,Table9[WR3C])</f>
        <v>#REF!</v>
      </c>
      <c r="R53" s="24" t="e">
        <f>RANK(R19,Table9[WR3Y])</f>
        <v>#REF!</v>
      </c>
      <c r="S53" s="24" t="e">
        <f>RANK(S19,Table9[WR4+C])</f>
        <v>#REF!</v>
      </c>
      <c r="T53" s="24" t="e">
        <f>RANK(T19,Table9[WR4+Y])</f>
        <v>#REF!</v>
      </c>
      <c r="U53" s="24" t="e">
        <f>RANK(U19,Table9[TEC])</f>
        <v>#REF!</v>
      </c>
      <c r="V53" s="24" t="e">
        <f>RANK(V19,Table9[TEY])</f>
        <v>#REF!</v>
      </c>
      <c r="W53" s="24" t="e">
        <f>RANK(W19,Table9[QB])</f>
        <v>#REF!</v>
      </c>
      <c r="X53" s="24" t="e">
        <f>RANK(X19,Table9[RB])</f>
        <v>#REF!</v>
      </c>
      <c r="Y53" s="24" t="e">
        <f>RANK(Y19,Table9[WR1])</f>
        <v>#REF!</v>
      </c>
      <c r="Z53" s="24" t="e">
        <f>RANK(Z19,Table9[WR2])</f>
        <v>#REF!</v>
      </c>
      <c r="AA53" s="24" t="e">
        <f>RANK(AA19,Table9[WR3])</f>
        <v>#REF!</v>
      </c>
      <c r="AB53" s="24" t="e">
        <f>RANK(AB19,Table9[WR4+])</f>
        <v>#REF!</v>
      </c>
      <c r="AC53" s="24" t="e">
        <f>RANK(AC19,Table9[TE])</f>
        <v>#REF!</v>
      </c>
      <c r="AD53" s="24" t="e">
        <f>RANK(AD19,Table9[D/ST])</f>
        <v>#REF!</v>
      </c>
    </row>
    <row r="54" spans="1:30" x14ac:dyDescent="0.35">
      <c r="A54" s="58" t="s">
        <v>42</v>
      </c>
      <c r="B54" s="24" t="e">
        <f>RANK(B20,Table9[QBP])</f>
        <v>#REF!</v>
      </c>
      <c r="C54" s="24" t="e">
        <f>RANK(C20,Table9[PTD])</f>
        <v>#REF!</v>
      </c>
      <c r="D54" s="24" t="e">
        <f>RANK(D20,Table9[QBP+R])</f>
        <v>#REF!</v>
      </c>
      <c r="E54" s="24" t="e">
        <f>RANK(E20,Table9[QBR])</f>
        <v>#REF!</v>
      </c>
      <c r="F54" s="26" t="e">
        <f>RANK(F20,Table9[RBR])</f>
        <v>#REF!</v>
      </c>
      <c r="G54" s="24" t="e">
        <f>RANK(G20,Table9[RB1R])</f>
        <v>#REF!</v>
      </c>
      <c r="H54" s="24" t="e">
        <f>RANK(H20,Table9[RB2+])</f>
        <v>#REF!</v>
      </c>
      <c r="I54" s="24" t="e">
        <f>RANK(I20,Table9[RBR+R])</f>
        <v>#REF!</v>
      </c>
      <c r="J54" s="24" t="e">
        <f>RANK(J20,Table9[WRR])</f>
        <v>#REF!</v>
      </c>
      <c r="K54" s="24" t="e">
        <f>RANK(K20,Table9[RBC])</f>
        <v>#REF!</v>
      </c>
      <c r="L54" s="24" t="e">
        <f>RANK(L20,Table9[RBY])</f>
        <v>#REF!</v>
      </c>
      <c r="M54" s="24" t="e">
        <f>RANK(M20,Table9[WR1C])</f>
        <v>#REF!</v>
      </c>
      <c r="N54" s="24" t="e">
        <f>RANK(N20,Table9[WR1Y])</f>
        <v>#REF!</v>
      </c>
      <c r="O54" s="24" t="e">
        <f>RANK(O20,Table9[WR2C])</f>
        <v>#REF!</v>
      </c>
      <c r="P54" s="24" t="e">
        <f>RANK(P20,Table9[WR2Y])</f>
        <v>#REF!</v>
      </c>
      <c r="Q54" s="24" t="e">
        <f>RANK(Q20,Table9[WR3C])</f>
        <v>#REF!</v>
      </c>
      <c r="R54" s="24" t="e">
        <f>RANK(R20,Table9[WR3Y])</f>
        <v>#REF!</v>
      </c>
      <c r="S54" s="24" t="e">
        <f>RANK(S20,Table9[WR4+C])</f>
        <v>#REF!</v>
      </c>
      <c r="T54" s="24" t="e">
        <f>RANK(T20,Table9[WR4+Y])</f>
        <v>#REF!</v>
      </c>
      <c r="U54" s="24" t="e">
        <f>RANK(U20,Table9[TEC])</f>
        <v>#REF!</v>
      </c>
      <c r="V54" s="24" t="e">
        <f>RANK(V20,Table9[TEY])</f>
        <v>#REF!</v>
      </c>
      <c r="W54" s="24" t="e">
        <f>RANK(W20,Table9[QB])</f>
        <v>#REF!</v>
      </c>
      <c r="X54" s="24" t="e">
        <f>RANK(X20,Table9[RB])</f>
        <v>#REF!</v>
      </c>
      <c r="Y54" s="24" t="e">
        <f>RANK(Y20,Table9[WR1])</f>
        <v>#REF!</v>
      </c>
      <c r="Z54" s="24" t="e">
        <f>RANK(Z20,Table9[WR2])</f>
        <v>#REF!</v>
      </c>
      <c r="AA54" s="24" t="e">
        <f>RANK(AA20,Table9[WR3])</f>
        <v>#REF!</v>
      </c>
      <c r="AB54" s="24" t="e">
        <f>RANK(AB20,Table9[WR4+])</f>
        <v>#REF!</v>
      </c>
      <c r="AC54" s="24" t="e">
        <f>RANK(AC20,Table9[TE])</f>
        <v>#REF!</v>
      </c>
      <c r="AD54" s="24" t="e">
        <f>RANK(AD20,Table9[D/ST])</f>
        <v>#REF!</v>
      </c>
    </row>
    <row r="55" spans="1:30" x14ac:dyDescent="0.35">
      <c r="A55" s="57" t="s">
        <v>43</v>
      </c>
      <c r="B55" s="24" t="e">
        <f>RANK(B21,Table9[QBP])</f>
        <v>#REF!</v>
      </c>
      <c r="C55" s="24" t="e">
        <f>RANK(C21,Table9[PTD])</f>
        <v>#REF!</v>
      </c>
      <c r="D55" s="24" t="e">
        <f>RANK(D21,Table9[QBP+R])</f>
        <v>#REF!</v>
      </c>
      <c r="E55" s="24" t="e">
        <f>RANK(E21,Table9[QBR])</f>
        <v>#REF!</v>
      </c>
      <c r="F55" s="26" t="e">
        <f>RANK(F21,Table9[RBR])</f>
        <v>#REF!</v>
      </c>
      <c r="G55" s="24" t="e">
        <f>RANK(G21,Table9[RB1R])</f>
        <v>#REF!</v>
      </c>
      <c r="H55" s="24" t="e">
        <f>RANK(H21,Table9[RB2+])</f>
        <v>#REF!</v>
      </c>
      <c r="I55" s="24" t="e">
        <f>RANK(I21,Table9[RBR+R])</f>
        <v>#REF!</v>
      </c>
      <c r="J55" s="24" t="e">
        <f>RANK(J21,Table9[WRR])</f>
        <v>#REF!</v>
      </c>
      <c r="K55" s="24" t="e">
        <f>RANK(K21,Table9[RBC])</f>
        <v>#REF!</v>
      </c>
      <c r="L55" s="24" t="e">
        <f>RANK(L21,Table9[RBY])</f>
        <v>#REF!</v>
      </c>
      <c r="M55" s="24" t="e">
        <f>RANK(M21,Table9[WR1C])</f>
        <v>#REF!</v>
      </c>
      <c r="N55" s="24" t="e">
        <f>RANK(N21,Table9[WR1Y])</f>
        <v>#REF!</v>
      </c>
      <c r="O55" s="24" t="e">
        <f>RANK(O21,Table9[WR2C])</f>
        <v>#REF!</v>
      </c>
      <c r="P55" s="24" t="e">
        <f>RANK(P21,Table9[WR2Y])</f>
        <v>#REF!</v>
      </c>
      <c r="Q55" s="24" t="e">
        <f>RANK(Q21,Table9[WR3C])</f>
        <v>#REF!</v>
      </c>
      <c r="R55" s="24" t="e">
        <f>RANK(R21,Table9[WR3Y])</f>
        <v>#REF!</v>
      </c>
      <c r="S55" s="24" t="e">
        <f>RANK(S21,Table9[WR4+C])</f>
        <v>#REF!</v>
      </c>
      <c r="T55" s="24" t="e">
        <f>RANK(T21,Table9[WR4+Y])</f>
        <v>#REF!</v>
      </c>
      <c r="U55" s="24" t="e">
        <f>RANK(U21,Table9[TEC])</f>
        <v>#REF!</v>
      </c>
      <c r="V55" s="24" t="e">
        <f>RANK(V21,Table9[TEY])</f>
        <v>#REF!</v>
      </c>
      <c r="W55" s="24" t="e">
        <f>RANK(W21,Table9[QB])</f>
        <v>#REF!</v>
      </c>
      <c r="X55" s="24" t="e">
        <f>RANK(X21,Table9[RB])</f>
        <v>#REF!</v>
      </c>
      <c r="Y55" s="24" t="e">
        <f>RANK(Y21,Table9[WR1])</f>
        <v>#REF!</v>
      </c>
      <c r="Z55" s="24" t="e">
        <f>RANK(Z21,Table9[WR2])</f>
        <v>#REF!</v>
      </c>
      <c r="AA55" s="24" t="e">
        <f>RANK(AA21,Table9[WR3])</f>
        <v>#REF!</v>
      </c>
      <c r="AB55" s="24" t="e">
        <f>RANK(AB21,Table9[WR4+])</f>
        <v>#REF!</v>
      </c>
      <c r="AC55" s="24" t="e">
        <f>RANK(AC21,Table9[TE])</f>
        <v>#REF!</v>
      </c>
      <c r="AD55" s="24" t="e">
        <f>RANK(AD21,Table9[D/ST])</f>
        <v>#REF!</v>
      </c>
    </row>
    <row r="56" spans="1:30" x14ac:dyDescent="0.35">
      <c r="A56" s="58" t="s">
        <v>44</v>
      </c>
      <c r="B56" s="24" t="e">
        <f>RANK(B22,Table9[QBP])</f>
        <v>#REF!</v>
      </c>
      <c r="C56" s="24" t="e">
        <f>RANK(C22,Table9[PTD])</f>
        <v>#REF!</v>
      </c>
      <c r="D56" s="24" t="e">
        <f>RANK(D22,Table9[QBP+R])</f>
        <v>#REF!</v>
      </c>
      <c r="E56" s="24" t="e">
        <f>RANK(E22,Table9[QBR])</f>
        <v>#REF!</v>
      </c>
      <c r="F56" s="26" t="e">
        <f>RANK(F22,Table9[RBR])</f>
        <v>#REF!</v>
      </c>
      <c r="G56" s="24" t="e">
        <f>RANK(G22,Table9[RB1R])</f>
        <v>#REF!</v>
      </c>
      <c r="H56" s="24" t="e">
        <f>RANK(H22,Table9[RB2+])</f>
        <v>#REF!</v>
      </c>
      <c r="I56" s="24" t="e">
        <f>RANK(I22,Table9[RBR+R])</f>
        <v>#REF!</v>
      </c>
      <c r="J56" s="24" t="e">
        <f>RANK(J22,Table9[WRR])</f>
        <v>#REF!</v>
      </c>
      <c r="K56" s="24" t="e">
        <f>RANK(K22,Table9[RBC])</f>
        <v>#REF!</v>
      </c>
      <c r="L56" s="24" t="e">
        <f>RANK(L22,Table9[RBY])</f>
        <v>#REF!</v>
      </c>
      <c r="M56" s="24" t="e">
        <f>RANK(M22,Table9[WR1C])</f>
        <v>#REF!</v>
      </c>
      <c r="N56" s="24" t="e">
        <f>RANK(N22,Table9[WR1Y])</f>
        <v>#REF!</v>
      </c>
      <c r="O56" s="24" t="e">
        <f>RANK(O22,Table9[WR2C])</f>
        <v>#REF!</v>
      </c>
      <c r="P56" s="24" t="e">
        <f>RANK(P22,Table9[WR2Y])</f>
        <v>#REF!</v>
      </c>
      <c r="Q56" s="24" t="e">
        <f>RANK(Q22,Table9[WR3C])</f>
        <v>#REF!</v>
      </c>
      <c r="R56" s="24" t="e">
        <f>RANK(R22,Table9[WR3Y])</f>
        <v>#REF!</v>
      </c>
      <c r="S56" s="24" t="e">
        <f>RANK(S22,Table9[WR4+C])</f>
        <v>#REF!</v>
      </c>
      <c r="T56" s="24" t="e">
        <f>RANK(T22,Table9[WR4+Y])</f>
        <v>#REF!</v>
      </c>
      <c r="U56" s="24" t="e">
        <f>RANK(U22,Table9[TEC])</f>
        <v>#REF!</v>
      </c>
      <c r="V56" s="24" t="e">
        <f>RANK(V22,Table9[TEY])</f>
        <v>#REF!</v>
      </c>
      <c r="W56" s="24" t="e">
        <f>RANK(W22,Table9[QB])</f>
        <v>#REF!</v>
      </c>
      <c r="X56" s="24" t="e">
        <f>RANK(X22,Table9[RB])</f>
        <v>#REF!</v>
      </c>
      <c r="Y56" s="24" t="e">
        <f>RANK(Y22,Table9[WR1])</f>
        <v>#REF!</v>
      </c>
      <c r="Z56" s="24" t="e">
        <f>RANK(Z22,Table9[WR2])</f>
        <v>#REF!</v>
      </c>
      <c r="AA56" s="24" t="e">
        <f>RANK(AA22,Table9[WR3])</f>
        <v>#REF!</v>
      </c>
      <c r="AB56" s="24" t="e">
        <f>RANK(AB22,Table9[WR4+])</f>
        <v>#REF!</v>
      </c>
      <c r="AC56" s="24" t="e">
        <f>RANK(AC22,Table9[TE])</f>
        <v>#REF!</v>
      </c>
      <c r="AD56" s="24" t="e">
        <f>RANK(AD22,Table9[D/ST])</f>
        <v>#REF!</v>
      </c>
    </row>
    <row r="57" spans="1:30" x14ac:dyDescent="0.35">
      <c r="A57" s="57" t="s">
        <v>45</v>
      </c>
      <c r="B57" s="24" t="e">
        <f>RANK(B23,Table9[QBP])</f>
        <v>#REF!</v>
      </c>
      <c r="C57" s="24" t="e">
        <f>RANK(C23,Table9[PTD])</f>
        <v>#REF!</v>
      </c>
      <c r="D57" s="24" t="e">
        <f>RANK(D23,Table9[QBP+R])</f>
        <v>#REF!</v>
      </c>
      <c r="E57" s="24" t="e">
        <f>RANK(E23,Table9[QBR])</f>
        <v>#REF!</v>
      </c>
      <c r="F57" s="26" t="e">
        <f>RANK(F23,Table9[RBR])</f>
        <v>#REF!</v>
      </c>
      <c r="G57" s="24" t="e">
        <f>RANK(G23,Table9[RB1R])</f>
        <v>#REF!</v>
      </c>
      <c r="H57" s="24" t="e">
        <f>RANK(H23,Table9[RB2+])</f>
        <v>#REF!</v>
      </c>
      <c r="I57" s="24" t="e">
        <f>RANK(I23,Table9[RBR+R])</f>
        <v>#REF!</v>
      </c>
      <c r="J57" s="24" t="e">
        <f>RANK(J23,Table9[WRR])</f>
        <v>#REF!</v>
      </c>
      <c r="K57" s="24" t="e">
        <f>RANK(K23,Table9[RBC])</f>
        <v>#REF!</v>
      </c>
      <c r="L57" s="24" t="e">
        <f>RANK(L23,Table9[RBY])</f>
        <v>#REF!</v>
      </c>
      <c r="M57" s="24" t="e">
        <f>RANK(M23,Table9[WR1C])</f>
        <v>#REF!</v>
      </c>
      <c r="N57" s="24" t="e">
        <f>RANK(N23,Table9[WR1Y])</f>
        <v>#REF!</v>
      </c>
      <c r="O57" s="24" t="e">
        <f>RANK(O23,Table9[WR2C])</f>
        <v>#REF!</v>
      </c>
      <c r="P57" s="24" t="e">
        <f>RANK(P23,Table9[WR2Y])</f>
        <v>#REF!</v>
      </c>
      <c r="Q57" s="24" t="e">
        <f>RANK(Q23,Table9[WR3C])</f>
        <v>#REF!</v>
      </c>
      <c r="R57" s="24" t="e">
        <f>RANK(R23,Table9[WR3Y])</f>
        <v>#REF!</v>
      </c>
      <c r="S57" s="24" t="e">
        <f>RANK(S23,Table9[WR4+C])</f>
        <v>#REF!</v>
      </c>
      <c r="T57" s="24" t="e">
        <f>RANK(T23,Table9[WR4+Y])</f>
        <v>#REF!</v>
      </c>
      <c r="U57" s="24" t="e">
        <f>RANK(U23,Table9[TEC])</f>
        <v>#REF!</v>
      </c>
      <c r="V57" s="24" t="e">
        <f>RANK(V23,Table9[TEY])</f>
        <v>#REF!</v>
      </c>
      <c r="W57" s="24" t="e">
        <f>RANK(W23,Table9[QB])</f>
        <v>#REF!</v>
      </c>
      <c r="X57" s="24" t="e">
        <f>RANK(X23,Table9[RB])</f>
        <v>#REF!</v>
      </c>
      <c r="Y57" s="24" t="e">
        <f>RANK(Y23,Table9[WR1])</f>
        <v>#REF!</v>
      </c>
      <c r="Z57" s="24" t="e">
        <f>RANK(Z23,Table9[WR2])</f>
        <v>#REF!</v>
      </c>
      <c r="AA57" s="24" t="e">
        <f>RANK(AA23,Table9[WR3])</f>
        <v>#REF!</v>
      </c>
      <c r="AB57" s="24" t="e">
        <f>RANK(AB23,Table9[WR4+])</f>
        <v>#REF!</v>
      </c>
      <c r="AC57" s="24" t="e">
        <f>RANK(AC23,Table9[TE])</f>
        <v>#REF!</v>
      </c>
      <c r="AD57" s="24" t="e">
        <f>RANK(AD23,Table9[D/ST])</f>
        <v>#REF!</v>
      </c>
    </row>
    <row r="58" spans="1:30" x14ac:dyDescent="0.35">
      <c r="A58" s="58" t="s">
        <v>46</v>
      </c>
      <c r="B58" s="24" t="e">
        <f>RANK(B24,Table9[QBP])</f>
        <v>#REF!</v>
      </c>
      <c r="C58" s="24" t="e">
        <f>RANK(C24,Table9[PTD])</f>
        <v>#REF!</v>
      </c>
      <c r="D58" s="24" t="e">
        <f>RANK(D24,Table9[QBP+R])</f>
        <v>#REF!</v>
      </c>
      <c r="E58" s="24" t="e">
        <f>RANK(E24,Table9[QBR])</f>
        <v>#REF!</v>
      </c>
      <c r="F58" s="26" t="e">
        <f>RANK(F24,Table9[RBR])</f>
        <v>#REF!</v>
      </c>
      <c r="G58" s="24" t="e">
        <f>RANK(G24,Table9[RB1R])</f>
        <v>#REF!</v>
      </c>
      <c r="H58" s="24" t="e">
        <f>RANK(H24,Table9[RB2+])</f>
        <v>#REF!</v>
      </c>
      <c r="I58" s="24" t="e">
        <f>RANK(I24,Table9[RBR+R])</f>
        <v>#REF!</v>
      </c>
      <c r="J58" s="24" t="e">
        <f>RANK(J24,Table9[WRR])</f>
        <v>#REF!</v>
      </c>
      <c r="K58" s="24" t="e">
        <f>RANK(K24,Table9[RBC])</f>
        <v>#REF!</v>
      </c>
      <c r="L58" s="24" t="e">
        <f>RANK(L24,Table9[RBY])</f>
        <v>#REF!</v>
      </c>
      <c r="M58" s="24" t="e">
        <f>RANK(M24,Table9[WR1C])</f>
        <v>#REF!</v>
      </c>
      <c r="N58" s="24" t="e">
        <f>RANK(N24,Table9[WR1Y])</f>
        <v>#REF!</v>
      </c>
      <c r="O58" s="24" t="e">
        <f>RANK(O24,Table9[WR2C])</f>
        <v>#REF!</v>
      </c>
      <c r="P58" s="24" t="e">
        <f>RANK(P24,Table9[WR2Y])</f>
        <v>#REF!</v>
      </c>
      <c r="Q58" s="24" t="e">
        <f>RANK(Q24,Table9[WR3C])</f>
        <v>#REF!</v>
      </c>
      <c r="R58" s="24" t="e">
        <f>RANK(R24,Table9[WR3Y])</f>
        <v>#REF!</v>
      </c>
      <c r="S58" s="24" t="e">
        <f>RANK(S24,Table9[WR4+C])</f>
        <v>#REF!</v>
      </c>
      <c r="T58" s="24" t="e">
        <f>RANK(T24,Table9[WR4+Y])</f>
        <v>#REF!</v>
      </c>
      <c r="U58" s="24" t="e">
        <f>RANK(U24,Table9[TEC])</f>
        <v>#REF!</v>
      </c>
      <c r="V58" s="24" t="e">
        <f>RANK(V24,Table9[TEY])</f>
        <v>#REF!</v>
      </c>
      <c r="W58" s="24" t="e">
        <f>RANK(W24,Table9[QB])</f>
        <v>#REF!</v>
      </c>
      <c r="X58" s="24" t="e">
        <f>RANK(X24,Table9[RB])</f>
        <v>#REF!</v>
      </c>
      <c r="Y58" s="24" t="e">
        <f>RANK(Y24,Table9[WR1])</f>
        <v>#REF!</v>
      </c>
      <c r="Z58" s="24" t="e">
        <f>RANK(Z24,Table9[WR2])</f>
        <v>#REF!</v>
      </c>
      <c r="AA58" s="24" t="e">
        <f>RANK(AA24,Table9[WR3])</f>
        <v>#REF!</v>
      </c>
      <c r="AB58" s="24" t="e">
        <f>RANK(AB24,Table9[WR4+])</f>
        <v>#REF!</v>
      </c>
      <c r="AC58" s="24" t="e">
        <f>RANK(AC24,Table9[TE])</f>
        <v>#REF!</v>
      </c>
      <c r="AD58" s="24" t="e">
        <f>RANK(AD24,Table9[D/ST])</f>
        <v>#REF!</v>
      </c>
    </row>
    <row r="59" spans="1:30" x14ac:dyDescent="0.35">
      <c r="A59" s="57" t="s">
        <v>47</v>
      </c>
      <c r="B59" s="24" t="e">
        <f>RANK(B25,Table9[QBP])</f>
        <v>#REF!</v>
      </c>
      <c r="C59" s="24" t="e">
        <f>RANK(C25,Table9[PTD])</f>
        <v>#REF!</v>
      </c>
      <c r="D59" s="24" t="e">
        <f>RANK(D25,Table9[QBP+R])</f>
        <v>#REF!</v>
      </c>
      <c r="E59" s="24" t="e">
        <f>RANK(E25,Table9[QBR])</f>
        <v>#REF!</v>
      </c>
      <c r="F59" s="26" t="e">
        <f>RANK(F25,Table9[RBR])</f>
        <v>#REF!</v>
      </c>
      <c r="G59" s="24" t="e">
        <f>RANK(G25,Table9[RB1R])</f>
        <v>#REF!</v>
      </c>
      <c r="H59" s="24" t="e">
        <f>RANK(H25,Table9[RB2+])</f>
        <v>#REF!</v>
      </c>
      <c r="I59" s="24" t="e">
        <f>RANK(I25,Table9[RBR+R])</f>
        <v>#REF!</v>
      </c>
      <c r="J59" s="24" t="e">
        <f>RANK(J25,Table9[WRR])</f>
        <v>#REF!</v>
      </c>
      <c r="K59" s="24" t="e">
        <f>RANK(K25,Table9[RBC])</f>
        <v>#REF!</v>
      </c>
      <c r="L59" s="24" t="e">
        <f>RANK(L25,Table9[RBY])</f>
        <v>#REF!</v>
      </c>
      <c r="M59" s="24" t="e">
        <f>RANK(M25,Table9[WR1C])</f>
        <v>#REF!</v>
      </c>
      <c r="N59" s="24" t="e">
        <f>RANK(N25,Table9[WR1Y])</f>
        <v>#REF!</v>
      </c>
      <c r="O59" s="24" t="e">
        <f>RANK(O25,Table9[WR2C])</f>
        <v>#REF!</v>
      </c>
      <c r="P59" s="24" t="e">
        <f>RANK(P25,Table9[WR2Y])</f>
        <v>#REF!</v>
      </c>
      <c r="Q59" s="24" t="e">
        <f>RANK(Q25,Table9[WR3C])</f>
        <v>#REF!</v>
      </c>
      <c r="R59" s="24" t="e">
        <f>RANK(R25,Table9[WR3Y])</f>
        <v>#REF!</v>
      </c>
      <c r="S59" s="24" t="e">
        <f>RANK(S25,Table9[WR4+C])</f>
        <v>#REF!</v>
      </c>
      <c r="T59" s="24" t="e">
        <f>RANK(T25,Table9[WR4+Y])</f>
        <v>#REF!</v>
      </c>
      <c r="U59" s="24" t="e">
        <f>RANK(U25,Table9[TEC])</f>
        <v>#REF!</v>
      </c>
      <c r="V59" s="24" t="e">
        <f>RANK(V25,Table9[TEY])</f>
        <v>#REF!</v>
      </c>
      <c r="W59" s="24" t="e">
        <f>RANK(W25,Table9[QB])</f>
        <v>#REF!</v>
      </c>
      <c r="X59" s="24" t="e">
        <f>RANK(X25,Table9[RB])</f>
        <v>#REF!</v>
      </c>
      <c r="Y59" s="24" t="e">
        <f>RANK(Y25,Table9[WR1])</f>
        <v>#REF!</v>
      </c>
      <c r="Z59" s="24" t="e">
        <f>RANK(Z25,Table9[WR2])</f>
        <v>#REF!</v>
      </c>
      <c r="AA59" s="24" t="e">
        <f>RANK(AA25,Table9[WR3])</f>
        <v>#REF!</v>
      </c>
      <c r="AB59" s="24" t="e">
        <f>RANK(AB25,Table9[WR4+])</f>
        <v>#REF!</v>
      </c>
      <c r="AC59" s="24" t="e">
        <f>RANK(AC25,Table9[TE])</f>
        <v>#REF!</v>
      </c>
      <c r="AD59" s="24" t="e">
        <f>RANK(AD25,Table9[D/ST])</f>
        <v>#REF!</v>
      </c>
    </row>
    <row r="60" spans="1:30" x14ac:dyDescent="0.35">
      <c r="A60" s="58" t="s">
        <v>48</v>
      </c>
      <c r="B60" s="24" t="e">
        <f>RANK(B26,Table9[QBP])</f>
        <v>#REF!</v>
      </c>
      <c r="C60" s="24" t="e">
        <f>RANK(C26,Table9[PTD])</f>
        <v>#REF!</v>
      </c>
      <c r="D60" s="24" t="e">
        <f>RANK(D26,Table9[QBP+R])</f>
        <v>#REF!</v>
      </c>
      <c r="E60" s="24" t="e">
        <f>RANK(E26,Table9[QBR])</f>
        <v>#REF!</v>
      </c>
      <c r="F60" s="26" t="e">
        <f>RANK(F26,Table9[RBR])</f>
        <v>#REF!</v>
      </c>
      <c r="G60" s="24" t="e">
        <f>RANK(G26,Table9[RB1R])</f>
        <v>#REF!</v>
      </c>
      <c r="H60" s="24" t="e">
        <f>RANK(H26,Table9[RB2+])</f>
        <v>#REF!</v>
      </c>
      <c r="I60" s="24" t="e">
        <f>RANK(I26,Table9[RBR+R])</f>
        <v>#REF!</v>
      </c>
      <c r="J60" s="24" t="e">
        <f>RANK(J26,Table9[WRR])</f>
        <v>#REF!</v>
      </c>
      <c r="K60" s="24" t="e">
        <f>RANK(K26,Table9[RBC])</f>
        <v>#REF!</v>
      </c>
      <c r="L60" s="24" t="e">
        <f>RANK(L26,Table9[RBY])</f>
        <v>#REF!</v>
      </c>
      <c r="M60" s="24" t="e">
        <f>RANK(M26,Table9[WR1C])</f>
        <v>#REF!</v>
      </c>
      <c r="N60" s="24" t="e">
        <f>RANK(N26,Table9[WR1Y])</f>
        <v>#REF!</v>
      </c>
      <c r="O60" s="24" t="e">
        <f>RANK(O26,Table9[WR2C])</f>
        <v>#REF!</v>
      </c>
      <c r="P60" s="24" t="e">
        <f>RANK(P26,Table9[WR2Y])</f>
        <v>#REF!</v>
      </c>
      <c r="Q60" s="24" t="e">
        <f>RANK(Q26,Table9[WR3C])</f>
        <v>#REF!</v>
      </c>
      <c r="R60" s="24" t="e">
        <f>RANK(R26,Table9[WR3Y])</f>
        <v>#REF!</v>
      </c>
      <c r="S60" s="24" t="e">
        <f>RANK(S26,Table9[WR4+C])</f>
        <v>#REF!</v>
      </c>
      <c r="T60" s="24" t="e">
        <f>RANK(T26,Table9[WR4+Y])</f>
        <v>#REF!</v>
      </c>
      <c r="U60" s="24" t="e">
        <f>RANK(U26,Table9[TEC])</f>
        <v>#REF!</v>
      </c>
      <c r="V60" s="24" t="e">
        <f>RANK(V26,Table9[TEY])</f>
        <v>#REF!</v>
      </c>
      <c r="W60" s="24" t="e">
        <f>RANK(W26,Table9[QB])</f>
        <v>#REF!</v>
      </c>
      <c r="X60" s="24" t="e">
        <f>RANK(X26,Table9[RB])</f>
        <v>#REF!</v>
      </c>
      <c r="Y60" s="24" t="e">
        <f>RANK(Y26,Table9[WR1])</f>
        <v>#REF!</v>
      </c>
      <c r="Z60" s="24" t="e">
        <f>RANK(Z26,Table9[WR2])</f>
        <v>#REF!</v>
      </c>
      <c r="AA60" s="24" t="e">
        <f>RANK(AA26,Table9[WR3])</f>
        <v>#REF!</v>
      </c>
      <c r="AB60" s="24" t="e">
        <f>RANK(AB26,Table9[WR4+])</f>
        <v>#REF!</v>
      </c>
      <c r="AC60" s="24" t="e">
        <f>RANK(AC26,Table9[TE])</f>
        <v>#REF!</v>
      </c>
      <c r="AD60" s="24" t="e">
        <f>RANK(AD26,Table9[D/ST])</f>
        <v>#REF!</v>
      </c>
    </row>
    <row r="61" spans="1:30" x14ac:dyDescent="0.35">
      <c r="A61" s="57" t="s">
        <v>49</v>
      </c>
      <c r="B61" s="24" t="e">
        <f>RANK(B27,Table9[QBP])</f>
        <v>#REF!</v>
      </c>
      <c r="C61" s="24" t="e">
        <f>RANK(C27,Table9[PTD])</f>
        <v>#REF!</v>
      </c>
      <c r="D61" s="24" t="e">
        <f>RANK(D27,Table9[QBP+R])</f>
        <v>#REF!</v>
      </c>
      <c r="E61" s="24" t="e">
        <f>RANK(E27,Table9[QBR])</f>
        <v>#REF!</v>
      </c>
      <c r="F61" s="26" t="e">
        <f>RANK(F27,Table9[RBR])</f>
        <v>#REF!</v>
      </c>
      <c r="G61" s="24" t="e">
        <f>RANK(G27,Table9[RB1R])</f>
        <v>#REF!</v>
      </c>
      <c r="H61" s="24" t="e">
        <f>RANK(H27,Table9[RB2+])</f>
        <v>#REF!</v>
      </c>
      <c r="I61" s="24" t="e">
        <f>RANK(I27,Table9[RBR+R])</f>
        <v>#REF!</v>
      </c>
      <c r="J61" s="24" t="e">
        <f>RANK(J27,Table9[WRR])</f>
        <v>#REF!</v>
      </c>
      <c r="K61" s="24" t="e">
        <f>RANK(K27,Table9[RBC])</f>
        <v>#REF!</v>
      </c>
      <c r="L61" s="24" t="e">
        <f>RANK(L27,Table9[RBY])</f>
        <v>#REF!</v>
      </c>
      <c r="M61" s="24" t="e">
        <f>RANK(M27,Table9[WR1C])</f>
        <v>#REF!</v>
      </c>
      <c r="N61" s="24" t="e">
        <f>RANK(N27,Table9[WR1Y])</f>
        <v>#REF!</v>
      </c>
      <c r="O61" s="24" t="e">
        <f>RANK(O27,Table9[WR2C])</f>
        <v>#REF!</v>
      </c>
      <c r="P61" s="24" t="e">
        <f>RANK(P27,Table9[WR2Y])</f>
        <v>#REF!</v>
      </c>
      <c r="Q61" s="24" t="e">
        <f>RANK(Q27,Table9[WR3C])</f>
        <v>#REF!</v>
      </c>
      <c r="R61" s="24" t="e">
        <f>RANK(R27,Table9[WR3Y])</f>
        <v>#REF!</v>
      </c>
      <c r="S61" s="24" t="e">
        <f>RANK(S27,Table9[WR4+C])</f>
        <v>#REF!</v>
      </c>
      <c r="T61" s="24" t="e">
        <f>RANK(T27,Table9[WR4+Y])</f>
        <v>#REF!</v>
      </c>
      <c r="U61" s="24" t="e">
        <f>RANK(U27,Table9[TEC])</f>
        <v>#REF!</v>
      </c>
      <c r="V61" s="24" t="e">
        <f>RANK(V27,Table9[TEY])</f>
        <v>#REF!</v>
      </c>
      <c r="W61" s="24" t="e">
        <f>RANK(W27,Table9[QB])</f>
        <v>#REF!</v>
      </c>
      <c r="X61" s="24" t="e">
        <f>RANK(X27,Table9[RB])</f>
        <v>#REF!</v>
      </c>
      <c r="Y61" s="24" t="e">
        <f>RANK(Y27,Table9[WR1])</f>
        <v>#REF!</v>
      </c>
      <c r="Z61" s="24" t="e">
        <f>RANK(Z27,Table9[WR2])</f>
        <v>#REF!</v>
      </c>
      <c r="AA61" s="24" t="e">
        <f>RANK(AA27,Table9[WR3])</f>
        <v>#REF!</v>
      </c>
      <c r="AB61" s="24" t="e">
        <f>RANK(AB27,Table9[WR4+])</f>
        <v>#REF!</v>
      </c>
      <c r="AC61" s="24" t="e">
        <f>RANK(AC27,Table9[TE])</f>
        <v>#REF!</v>
      </c>
      <c r="AD61" s="24" t="e">
        <f>RANK(AD27,Table9[D/ST])</f>
        <v>#REF!</v>
      </c>
    </row>
    <row r="62" spans="1:30" x14ac:dyDescent="0.35">
      <c r="A62" s="58" t="s">
        <v>50</v>
      </c>
      <c r="B62" s="24" t="e">
        <f>RANK(B28,Table9[QBP])</f>
        <v>#REF!</v>
      </c>
      <c r="C62" s="24" t="e">
        <f>RANK(C28,Table9[PTD])</f>
        <v>#REF!</v>
      </c>
      <c r="D62" s="24" t="e">
        <f>RANK(D28,Table9[QBP+R])</f>
        <v>#REF!</v>
      </c>
      <c r="E62" s="24" t="e">
        <f>RANK(E28,Table9[QBR])</f>
        <v>#REF!</v>
      </c>
      <c r="F62" s="26" t="e">
        <f>RANK(F28,Table9[RBR])</f>
        <v>#REF!</v>
      </c>
      <c r="G62" s="24" t="e">
        <f>RANK(G28,Table9[RB1R])</f>
        <v>#REF!</v>
      </c>
      <c r="H62" s="24" t="e">
        <f>RANK(H28,Table9[RB2+])</f>
        <v>#REF!</v>
      </c>
      <c r="I62" s="24" t="e">
        <f>RANK(I28,Table9[RBR+R])</f>
        <v>#REF!</v>
      </c>
      <c r="J62" s="24" t="e">
        <f>RANK(J28,Table9[WRR])</f>
        <v>#REF!</v>
      </c>
      <c r="K62" s="24" t="e">
        <f>RANK(K28,Table9[RBC])</f>
        <v>#REF!</v>
      </c>
      <c r="L62" s="24" t="e">
        <f>RANK(L28,Table9[RBY])</f>
        <v>#REF!</v>
      </c>
      <c r="M62" s="24" t="e">
        <f>RANK(M28,Table9[WR1C])</f>
        <v>#REF!</v>
      </c>
      <c r="N62" s="24" t="e">
        <f>RANK(N28,Table9[WR1Y])</f>
        <v>#REF!</v>
      </c>
      <c r="O62" s="24" t="e">
        <f>RANK(O28,Table9[WR2C])</f>
        <v>#REF!</v>
      </c>
      <c r="P62" s="24" t="e">
        <f>RANK(P28,Table9[WR2Y])</f>
        <v>#REF!</v>
      </c>
      <c r="Q62" s="24" t="e">
        <f>RANK(Q28,Table9[WR3C])</f>
        <v>#REF!</v>
      </c>
      <c r="R62" s="24" t="e">
        <f>RANK(R28,Table9[WR3Y])</f>
        <v>#REF!</v>
      </c>
      <c r="S62" s="24" t="e">
        <f>RANK(S28,Table9[WR4+C])</f>
        <v>#REF!</v>
      </c>
      <c r="T62" s="24" t="e">
        <f>RANK(T28,Table9[WR4+Y])</f>
        <v>#REF!</v>
      </c>
      <c r="U62" s="24" t="e">
        <f>RANK(U28,Table9[TEC])</f>
        <v>#REF!</v>
      </c>
      <c r="V62" s="24" t="e">
        <f>RANK(V28,Table9[TEY])</f>
        <v>#REF!</v>
      </c>
      <c r="W62" s="24" t="e">
        <f>RANK(W28,Table9[QB])</f>
        <v>#REF!</v>
      </c>
      <c r="X62" s="24" t="e">
        <f>RANK(X28,Table9[RB])</f>
        <v>#REF!</v>
      </c>
      <c r="Y62" s="24" t="e">
        <f>RANK(Y28,Table9[WR1])</f>
        <v>#REF!</v>
      </c>
      <c r="Z62" s="24" t="e">
        <f>RANK(Z28,Table9[WR2])</f>
        <v>#REF!</v>
      </c>
      <c r="AA62" s="24" t="e">
        <f>RANK(AA28,Table9[WR3])</f>
        <v>#REF!</v>
      </c>
      <c r="AB62" s="24" t="e">
        <f>RANK(AB28,Table9[WR4+])</f>
        <v>#REF!</v>
      </c>
      <c r="AC62" s="24" t="e">
        <f>RANK(AC28,Table9[TE])</f>
        <v>#REF!</v>
      </c>
      <c r="AD62" s="24" t="e">
        <f>RANK(AD28,Table9[D/ST])</f>
        <v>#REF!</v>
      </c>
    </row>
    <row r="63" spans="1:30" x14ac:dyDescent="0.35">
      <c r="A63" s="57" t="s">
        <v>51</v>
      </c>
      <c r="B63" s="24" t="e">
        <f>RANK(B29,Table9[QBP])</f>
        <v>#REF!</v>
      </c>
      <c r="C63" s="24" t="e">
        <f>RANK(C29,Table9[PTD])</f>
        <v>#REF!</v>
      </c>
      <c r="D63" s="24" t="e">
        <f>RANK(D29,Table9[QBP+R])</f>
        <v>#REF!</v>
      </c>
      <c r="E63" s="24" t="e">
        <f>RANK(E29,Table9[QBR])</f>
        <v>#REF!</v>
      </c>
      <c r="F63" s="26" t="e">
        <f>RANK(F29,Table9[RBR])</f>
        <v>#REF!</v>
      </c>
      <c r="G63" s="24" t="e">
        <f>RANK(G29,Table9[RB1R])</f>
        <v>#REF!</v>
      </c>
      <c r="H63" s="24" t="e">
        <f>RANK(H29,Table9[RB2+])</f>
        <v>#REF!</v>
      </c>
      <c r="I63" s="24" t="e">
        <f>RANK(I29,Table9[RBR+R])</f>
        <v>#REF!</v>
      </c>
      <c r="J63" s="24" t="e">
        <f>RANK(J29,Table9[WRR])</f>
        <v>#REF!</v>
      </c>
      <c r="K63" s="24" t="e">
        <f>RANK(K29,Table9[RBC])</f>
        <v>#REF!</v>
      </c>
      <c r="L63" s="24" t="e">
        <f>RANK(L29,Table9[RBY])</f>
        <v>#REF!</v>
      </c>
      <c r="M63" s="24" t="e">
        <f>RANK(M29,Table9[WR1C])</f>
        <v>#REF!</v>
      </c>
      <c r="N63" s="24" t="e">
        <f>RANK(N29,Table9[WR1Y])</f>
        <v>#REF!</v>
      </c>
      <c r="O63" s="24" t="e">
        <f>RANK(O29,Table9[WR2C])</f>
        <v>#REF!</v>
      </c>
      <c r="P63" s="24" t="e">
        <f>RANK(P29,Table9[WR2Y])</f>
        <v>#REF!</v>
      </c>
      <c r="Q63" s="24" t="e">
        <f>RANK(Q29,Table9[WR3C])</f>
        <v>#REF!</v>
      </c>
      <c r="R63" s="24" t="e">
        <f>RANK(R29,Table9[WR3Y])</f>
        <v>#REF!</v>
      </c>
      <c r="S63" s="24" t="e">
        <f>RANK(S29,Table9[WR4+C])</f>
        <v>#REF!</v>
      </c>
      <c r="T63" s="24" t="e">
        <f>RANK(T29,Table9[WR4+Y])</f>
        <v>#REF!</v>
      </c>
      <c r="U63" s="24" t="e">
        <f>RANK(U29,Table9[TEC])</f>
        <v>#REF!</v>
      </c>
      <c r="V63" s="24" t="e">
        <f>RANK(V29,Table9[TEY])</f>
        <v>#REF!</v>
      </c>
      <c r="W63" s="24" t="e">
        <f>RANK(W29,Table9[QB])</f>
        <v>#REF!</v>
      </c>
      <c r="X63" s="24" t="e">
        <f>RANK(X29,Table9[RB])</f>
        <v>#REF!</v>
      </c>
      <c r="Y63" s="24" t="e">
        <f>RANK(Y29,Table9[WR1])</f>
        <v>#REF!</v>
      </c>
      <c r="Z63" s="24" t="e">
        <f>RANK(Z29,Table9[WR2])</f>
        <v>#REF!</v>
      </c>
      <c r="AA63" s="24" t="e">
        <f>RANK(AA29,Table9[WR3])</f>
        <v>#REF!</v>
      </c>
      <c r="AB63" s="24" t="e">
        <f>RANK(AB29,Table9[WR4+])</f>
        <v>#REF!</v>
      </c>
      <c r="AC63" s="24" t="e">
        <f>RANK(AC29,Table9[TE])</f>
        <v>#REF!</v>
      </c>
      <c r="AD63" s="24" t="e">
        <f>RANK(AD29,Table9[D/ST])</f>
        <v>#REF!</v>
      </c>
    </row>
    <row r="64" spans="1:30" x14ac:dyDescent="0.35">
      <c r="A64" s="58" t="s">
        <v>52</v>
      </c>
      <c r="B64" s="24" t="e">
        <f>RANK(B30,Table9[QBP])</f>
        <v>#REF!</v>
      </c>
      <c r="C64" s="24" t="e">
        <f>RANK(C30,Table9[PTD])</f>
        <v>#REF!</v>
      </c>
      <c r="D64" s="24" t="e">
        <f>RANK(D30,Table9[QBP+R])</f>
        <v>#REF!</v>
      </c>
      <c r="E64" s="24" t="e">
        <f>RANK(E30,Table9[QBR])</f>
        <v>#REF!</v>
      </c>
      <c r="F64" s="26" t="e">
        <f>RANK(F30,Table9[RBR])</f>
        <v>#REF!</v>
      </c>
      <c r="G64" s="24" t="e">
        <f>RANK(G30,Table9[RB1R])</f>
        <v>#REF!</v>
      </c>
      <c r="H64" s="24" t="e">
        <f>RANK(H30,Table9[RB2+])</f>
        <v>#REF!</v>
      </c>
      <c r="I64" s="24" t="e">
        <f>RANK(I30,Table9[RBR+R])</f>
        <v>#REF!</v>
      </c>
      <c r="J64" s="24" t="e">
        <f>RANK(J30,Table9[WRR])</f>
        <v>#REF!</v>
      </c>
      <c r="K64" s="24" t="e">
        <f>RANK(K30,Table9[RBC])</f>
        <v>#REF!</v>
      </c>
      <c r="L64" s="24" t="e">
        <f>RANK(L30,Table9[RBY])</f>
        <v>#REF!</v>
      </c>
      <c r="M64" s="24" t="e">
        <f>RANK(M30,Table9[WR1C])</f>
        <v>#REF!</v>
      </c>
      <c r="N64" s="24" t="e">
        <f>RANK(N30,Table9[WR1Y])</f>
        <v>#REF!</v>
      </c>
      <c r="O64" s="24" t="e">
        <f>RANK(O30,Table9[WR2C])</f>
        <v>#REF!</v>
      </c>
      <c r="P64" s="24" t="e">
        <f>RANK(P30,Table9[WR2Y])</f>
        <v>#REF!</v>
      </c>
      <c r="Q64" s="24" t="e">
        <f>RANK(Q30,Table9[WR3C])</f>
        <v>#REF!</v>
      </c>
      <c r="R64" s="24" t="e">
        <f>RANK(R30,Table9[WR3Y])</f>
        <v>#REF!</v>
      </c>
      <c r="S64" s="24" t="e">
        <f>RANK(S30,Table9[WR4+C])</f>
        <v>#REF!</v>
      </c>
      <c r="T64" s="24" t="e">
        <f>RANK(T30,Table9[WR4+Y])</f>
        <v>#REF!</v>
      </c>
      <c r="U64" s="24" t="e">
        <f>RANK(U30,Table9[TEC])</f>
        <v>#REF!</v>
      </c>
      <c r="V64" s="24" t="e">
        <f>RANK(V30,Table9[TEY])</f>
        <v>#REF!</v>
      </c>
      <c r="W64" s="24" t="e">
        <f>RANK(W30,Table9[QB])</f>
        <v>#REF!</v>
      </c>
      <c r="X64" s="24" t="e">
        <f>RANK(X30,Table9[RB])</f>
        <v>#REF!</v>
      </c>
      <c r="Y64" s="24" t="e">
        <f>RANK(Y30,Table9[WR1])</f>
        <v>#REF!</v>
      </c>
      <c r="Z64" s="24" t="e">
        <f>RANK(Z30,Table9[WR2])</f>
        <v>#REF!</v>
      </c>
      <c r="AA64" s="24" t="e">
        <f>RANK(AA30,Table9[WR3])</f>
        <v>#REF!</v>
      </c>
      <c r="AB64" s="24" t="e">
        <f>RANK(AB30,Table9[WR4+])</f>
        <v>#REF!</v>
      </c>
      <c r="AC64" s="24" t="e">
        <f>RANK(AC30,Table9[TE])</f>
        <v>#REF!</v>
      </c>
      <c r="AD64" s="24" t="e">
        <f>RANK(AD30,Table9[D/ST])</f>
        <v>#REF!</v>
      </c>
    </row>
    <row r="65" spans="1:30" x14ac:dyDescent="0.35">
      <c r="A65" s="57" t="s">
        <v>53</v>
      </c>
      <c r="B65" s="24" t="e">
        <f>RANK(B31,Table9[QBP])</f>
        <v>#REF!</v>
      </c>
      <c r="C65" s="24" t="e">
        <f>RANK(C31,Table9[PTD])</f>
        <v>#REF!</v>
      </c>
      <c r="D65" s="24" t="e">
        <f>RANK(D31,Table9[QBP+R])</f>
        <v>#REF!</v>
      </c>
      <c r="E65" s="24" t="e">
        <f>RANK(E31,Table9[QBR])</f>
        <v>#REF!</v>
      </c>
      <c r="F65" s="26" t="e">
        <f>RANK(F31,Table9[RBR])</f>
        <v>#REF!</v>
      </c>
      <c r="G65" s="24" t="e">
        <f>RANK(G31,Table9[RB1R])</f>
        <v>#REF!</v>
      </c>
      <c r="H65" s="24" t="e">
        <f>RANK(H31,Table9[RB2+])</f>
        <v>#REF!</v>
      </c>
      <c r="I65" s="24" t="e">
        <f>RANK(I31,Table9[RBR+R])</f>
        <v>#REF!</v>
      </c>
      <c r="J65" s="24" t="e">
        <f>RANK(J31,Table9[WRR])</f>
        <v>#REF!</v>
      </c>
      <c r="K65" s="24" t="e">
        <f>RANK(K31,Table9[RBC])</f>
        <v>#REF!</v>
      </c>
      <c r="L65" s="24" t="e">
        <f>RANK(L31,Table9[RBY])</f>
        <v>#REF!</v>
      </c>
      <c r="M65" s="24" t="e">
        <f>RANK(M31,Table9[WR1C])</f>
        <v>#REF!</v>
      </c>
      <c r="N65" s="24" t="e">
        <f>RANK(N31,Table9[WR1Y])</f>
        <v>#REF!</v>
      </c>
      <c r="O65" s="24" t="e">
        <f>RANK(O31,Table9[WR2C])</f>
        <v>#REF!</v>
      </c>
      <c r="P65" s="24" t="e">
        <f>RANK(P31,Table9[WR2Y])</f>
        <v>#REF!</v>
      </c>
      <c r="Q65" s="24" t="e">
        <f>RANK(Q31,Table9[WR3C])</f>
        <v>#REF!</v>
      </c>
      <c r="R65" s="24" t="e">
        <f>RANK(R31,Table9[WR3Y])</f>
        <v>#REF!</v>
      </c>
      <c r="S65" s="24" t="e">
        <f>RANK(S31,Table9[WR4+C])</f>
        <v>#REF!</v>
      </c>
      <c r="T65" s="24" t="e">
        <f>RANK(T31,Table9[WR4+Y])</f>
        <v>#REF!</v>
      </c>
      <c r="U65" s="24" t="e">
        <f>RANK(U31,Table9[TEC])</f>
        <v>#REF!</v>
      </c>
      <c r="V65" s="24" t="e">
        <f>RANK(V31,Table9[TEY])</f>
        <v>#REF!</v>
      </c>
      <c r="W65" s="24" t="e">
        <f>RANK(W31,Table9[QB])</f>
        <v>#REF!</v>
      </c>
      <c r="X65" s="24" t="e">
        <f>RANK(X31,Table9[RB])</f>
        <v>#REF!</v>
      </c>
      <c r="Y65" s="24" t="e">
        <f>RANK(Y31,Table9[WR1])</f>
        <v>#REF!</v>
      </c>
      <c r="Z65" s="24" t="e">
        <f>RANK(Z31,Table9[WR2])</f>
        <v>#REF!</v>
      </c>
      <c r="AA65" s="24" t="e">
        <f>RANK(AA31,Table9[WR3])</f>
        <v>#REF!</v>
      </c>
      <c r="AB65" s="24" t="e">
        <f>RANK(AB31,Table9[WR4+])</f>
        <v>#REF!</v>
      </c>
      <c r="AC65" s="24" t="e">
        <f>RANK(AC31,Table9[TE])</f>
        <v>#REF!</v>
      </c>
      <c r="AD65" s="24" t="e">
        <f>RANK(AD31,Table9[D/ST])</f>
        <v>#REF!</v>
      </c>
    </row>
    <row r="66" spans="1:30" x14ac:dyDescent="0.35">
      <c r="A66" s="58" t="s">
        <v>54</v>
      </c>
      <c r="B66" s="24" t="e">
        <f>RANK(B32,Table9[QBP])</f>
        <v>#REF!</v>
      </c>
      <c r="C66" s="24" t="e">
        <f>RANK(C32,Table9[PTD])</f>
        <v>#REF!</v>
      </c>
      <c r="D66" s="24" t="e">
        <f>RANK(D32,Table9[QBP+R])</f>
        <v>#REF!</v>
      </c>
      <c r="E66" s="24" t="e">
        <f>RANK(E32,Table9[QBR])</f>
        <v>#REF!</v>
      </c>
      <c r="F66" s="26" t="e">
        <f>RANK(F32,Table9[RBR])</f>
        <v>#REF!</v>
      </c>
      <c r="G66" s="24" t="e">
        <f>RANK(G32,Table9[RB1R])</f>
        <v>#REF!</v>
      </c>
      <c r="H66" s="24" t="e">
        <f>RANK(H32,Table9[RB2+])</f>
        <v>#REF!</v>
      </c>
      <c r="I66" s="24" t="e">
        <f>RANK(I32,Table9[RBR+R])</f>
        <v>#REF!</v>
      </c>
      <c r="J66" s="24" t="e">
        <f>RANK(J32,Table9[WRR])</f>
        <v>#REF!</v>
      </c>
      <c r="K66" s="24" t="e">
        <f>RANK(K32,Table9[RBC])</f>
        <v>#REF!</v>
      </c>
      <c r="L66" s="24" t="e">
        <f>RANK(L32,Table9[RBY])</f>
        <v>#REF!</v>
      </c>
      <c r="M66" s="24" t="e">
        <f>RANK(M32,Table9[WR1C])</f>
        <v>#REF!</v>
      </c>
      <c r="N66" s="24" t="e">
        <f>RANK(N32,Table9[WR1Y])</f>
        <v>#REF!</v>
      </c>
      <c r="O66" s="24" t="e">
        <f>RANK(O32,Table9[WR2C])</f>
        <v>#REF!</v>
      </c>
      <c r="P66" s="24" t="e">
        <f>RANK(P32,Table9[WR2Y])</f>
        <v>#REF!</v>
      </c>
      <c r="Q66" s="24" t="e">
        <f>RANK(Q32,Table9[WR3C])</f>
        <v>#REF!</v>
      </c>
      <c r="R66" s="24" t="e">
        <f>RANK(R32,Table9[WR3Y])</f>
        <v>#REF!</v>
      </c>
      <c r="S66" s="24" t="e">
        <f>RANK(S32,Table9[WR4+C])</f>
        <v>#REF!</v>
      </c>
      <c r="T66" s="24" t="e">
        <f>RANK(T32,Table9[WR4+Y])</f>
        <v>#REF!</v>
      </c>
      <c r="U66" s="24" t="e">
        <f>RANK(U32,Table9[TEC])</f>
        <v>#REF!</v>
      </c>
      <c r="V66" s="24" t="e">
        <f>RANK(V32,Table9[TEY])</f>
        <v>#REF!</v>
      </c>
      <c r="W66" s="24" t="e">
        <f>RANK(W32,Table9[QB])</f>
        <v>#REF!</v>
      </c>
      <c r="X66" s="24" t="e">
        <f>RANK(X32,Table9[RB])</f>
        <v>#REF!</v>
      </c>
      <c r="Y66" s="24" t="e">
        <f>RANK(Y32,Table9[WR1])</f>
        <v>#REF!</v>
      </c>
      <c r="Z66" s="24" t="e">
        <f>RANK(Z32,Table9[WR2])</f>
        <v>#REF!</v>
      </c>
      <c r="AA66" s="24" t="e">
        <f>RANK(AA32,Table9[WR3])</f>
        <v>#REF!</v>
      </c>
      <c r="AB66" s="24" t="e">
        <f>RANK(AB32,Table9[WR4+])</f>
        <v>#REF!</v>
      </c>
      <c r="AC66" s="24" t="e">
        <f>RANK(AC32,Table9[TE])</f>
        <v>#REF!</v>
      </c>
      <c r="AD66" s="24" t="e">
        <f>RANK(AD32,Table9[D/ST])</f>
        <v>#REF!</v>
      </c>
    </row>
    <row r="67" spans="1:30" x14ac:dyDescent="0.35">
      <c r="A67" s="57" t="s">
        <v>55</v>
      </c>
      <c r="B67" s="24" t="e">
        <f>RANK(B33,Table9[QBP])</f>
        <v>#REF!</v>
      </c>
      <c r="C67" s="24" t="e">
        <f>RANK(C33,Table9[PTD])</f>
        <v>#REF!</v>
      </c>
      <c r="D67" s="24" t="e">
        <f>RANK(D33,Table9[QBP+R])</f>
        <v>#REF!</v>
      </c>
      <c r="E67" s="24" t="e">
        <f>RANK(E33,Table9[QBR])</f>
        <v>#REF!</v>
      </c>
      <c r="F67" s="26" t="e">
        <f>RANK(F33,Table9[RBR])</f>
        <v>#REF!</v>
      </c>
      <c r="G67" s="24" t="e">
        <f>RANK(G33,Table9[RB1R])</f>
        <v>#REF!</v>
      </c>
      <c r="H67" s="24" t="e">
        <f>RANK(H33,Table9[RB2+])</f>
        <v>#REF!</v>
      </c>
      <c r="I67" s="24" t="e">
        <f>RANK(I33,Table9[RBR+R])</f>
        <v>#REF!</v>
      </c>
      <c r="J67" s="24" t="e">
        <f>RANK(J33,Table9[WRR])</f>
        <v>#REF!</v>
      </c>
      <c r="K67" s="24" t="e">
        <f>RANK(K33,Table9[RBC])</f>
        <v>#REF!</v>
      </c>
      <c r="L67" s="24" t="e">
        <f>RANK(L33,Table9[RBY])</f>
        <v>#REF!</v>
      </c>
      <c r="M67" s="24" t="e">
        <f>RANK(M33,Table9[WR1C])</f>
        <v>#REF!</v>
      </c>
      <c r="N67" s="24" t="e">
        <f>RANK(N33,Table9[WR1Y])</f>
        <v>#REF!</v>
      </c>
      <c r="O67" s="24" t="e">
        <f>RANK(O33,Table9[WR2C])</f>
        <v>#REF!</v>
      </c>
      <c r="P67" s="24" t="e">
        <f>RANK(P33,Table9[WR2Y])</f>
        <v>#REF!</v>
      </c>
      <c r="Q67" s="24" t="e">
        <f>RANK(Q33,Table9[WR3C])</f>
        <v>#REF!</v>
      </c>
      <c r="R67" s="24" t="e">
        <f>RANK(R33,Table9[WR3Y])</f>
        <v>#REF!</v>
      </c>
      <c r="S67" s="24" t="e">
        <f>RANK(S33,Table9[WR4+C])</f>
        <v>#REF!</v>
      </c>
      <c r="T67" s="24" t="e">
        <f>RANK(T33,Table9[WR4+Y])</f>
        <v>#REF!</v>
      </c>
      <c r="U67" s="24" t="e">
        <f>RANK(U33,Table9[TEC])</f>
        <v>#REF!</v>
      </c>
      <c r="V67" s="24" t="e">
        <f>RANK(V33,Table9[TEY])</f>
        <v>#REF!</v>
      </c>
      <c r="W67" s="24" t="e">
        <f>RANK(W33,Table9[QB])</f>
        <v>#REF!</v>
      </c>
      <c r="X67" s="24" t="e">
        <f>RANK(X33,Table9[RB])</f>
        <v>#REF!</v>
      </c>
      <c r="Y67" s="24" t="e">
        <f>RANK(Y33,Table9[WR1])</f>
        <v>#REF!</v>
      </c>
      <c r="Z67" s="24" t="e">
        <f>RANK(Z33,Table9[WR2])</f>
        <v>#REF!</v>
      </c>
      <c r="AA67" s="24" t="e">
        <f>RANK(AA33,Table9[WR3])</f>
        <v>#REF!</v>
      </c>
      <c r="AB67" s="24" t="e">
        <f>RANK(AB33,Table9[WR4+])</f>
        <v>#REF!</v>
      </c>
      <c r="AC67" s="24" t="e">
        <f>RANK(AC33,Table9[TE])</f>
        <v>#REF!</v>
      </c>
      <c r="AD67" s="24" t="e">
        <f>RANK(AD33,Table9[D/ST])</f>
        <v>#REF!</v>
      </c>
    </row>
    <row r="68" spans="1:30" x14ac:dyDescent="0.35">
      <c r="A68" s="58" t="s">
        <v>56</v>
      </c>
      <c r="B68" s="24" t="e">
        <f>RANK(B34,Table9[QBP])</f>
        <v>#REF!</v>
      </c>
      <c r="C68" s="24" t="e">
        <f>RANK(C34,Table9[PTD])</f>
        <v>#REF!</v>
      </c>
      <c r="D68" s="24" t="e">
        <f>RANK(D34,Table9[QBP+R])</f>
        <v>#REF!</v>
      </c>
      <c r="E68" s="24" t="e">
        <f>RANK(E34,Table9[QBR])</f>
        <v>#REF!</v>
      </c>
      <c r="F68" s="26" t="e">
        <f>RANK(F34,Table9[RBR])</f>
        <v>#REF!</v>
      </c>
      <c r="G68" s="24" t="e">
        <f>RANK(G34,Table9[RB1R])</f>
        <v>#REF!</v>
      </c>
      <c r="H68" s="24" t="e">
        <f>RANK(H34,Table9[RB2+])</f>
        <v>#REF!</v>
      </c>
      <c r="I68" s="24" t="e">
        <f>RANK(I34,Table9[RBR+R])</f>
        <v>#REF!</v>
      </c>
      <c r="J68" s="24" t="e">
        <f>RANK(J34,Table9[WRR])</f>
        <v>#REF!</v>
      </c>
      <c r="K68" s="24" t="e">
        <f>RANK(K34,Table9[RBC])</f>
        <v>#REF!</v>
      </c>
      <c r="L68" s="24" t="e">
        <f>RANK(L34,Table9[RBY])</f>
        <v>#REF!</v>
      </c>
      <c r="M68" s="24" t="e">
        <f>RANK(M34,Table9[WR1C])</f>
        <v>#REF!</v>
      </c>
      <c r="N68" s="24" t="e">
        <f>RANK(N34,Table9[WR1Y])</f>
        <v>#REF!</v>
      </c>
      <c r="O68" s="24" t="e">
        <f>RANK(O34,Table9[WR2C])</f>
        <v>#REF!</v>
      </c>
      <c r="P68" s="24" t="e">
        <f>RANK(P34,Table9[WR2Y])</f>
        <v>#REF!</v>
      </c>
      <c r="Q68" s="24" t="e">
        <f>RANK(Q34,Table9[WR3C])</f>
        <v>#REF!</v>
      </c>
      <c r="R68" s="24" t="e">
        <f>RANK(R34,Table9[WR3Y])</f>
        <v>#REF!</v>
      </c>
      <c r="S68" s="24" t="e">
        <f>RANK(S34,Table9[WR4+C])</f>
        <v>#REF!</v>
      </c>
      <c r="T68" s="24" t="e">
        <f>RANK(T34,Table9[WR4+Y])</f>
        <v>#REF!</v>
      </c>
      <c r="U68" s="24" t="e">
        <f>RANK(U34,Table9[TEC])</f>
        <v>#REF!</v>
      </c>
      <c r="V68" s="24" t="e">
        <f>RANK(V34,Table9[TEY])</f>
        <v>#REF!</v>
      </c>
      <c r="W68" s="24" t="e">
        <f>RANK(W34,Table9[QB])</f>
        <v>#REF!</v>
      </c>
      <c r="X68" s="24" t="e">
        <f>RANK(X34,Table9[RB])</f>
        <v>#REF!</v>
      </c>
      <c r="Y68" s="24" t="e">
        <f>RANK(Y34,Table9[WR1])</f>
        <v>#REF!</v>
      </c>
      <c r="Z68" s="24" t="e">
        <f>RANK(Z34,Table9[WR2])</f>
        <v>#REF!</v>
      </c>
      <c r="AA68" s="24" t="e">
        <f>RANK(AA34,Table9[WR3])</f>
        <v>#REF!</v>
      </c>
      <c r="AB68" s="24" t="e">
        <f>RANK(AB34,Table9[WR4+])</f>
        <v>#REF!</v>
      </c>
      <c r="AC68" s="24" t="e">
        <f>RANK(AC34,Table9[TE])</f>
        <v>#REF!</v>
      </c>
      <c r="AD68" s="24" t="e">
        <f>RANK(AD34,Table9[D/ST])</f>
        <v>#REF!</v>
      </c>
    </row>
  </sheetData>
  <mergeCells count="8">
    <mergeCell ref="B1:D1"/>
    <mergeCell ref="B35:D35"/>
    <mergeCell ref="E1:J1"/>
    <mergeCell ref="K1:V1"/>
    <mergeCell ref="W1:AD1"/>
    <mergeCell ref="W35:AD35"/>
    <mergeCell ref="K35:V35"/>
    <mergeCell ref="E35:J35"/>
  </mergeCells>
  <conditionalFormatting sqref="A3:A34">
    <cfRule type="cellIs" dxfId="6313" priority="97" operator="equal">
      <formula>"LV"</formula>
    </cfRule>
    <cfRule type="cellIs" dxfId="6312" priority="98" operator="equal">
      <formula>"NE"</formula>
    </cfRule>
    <cfRule type="cellIs" dxfId="6311" priority="99" operator="equal">
      <formula>"MIN"</formula>
    </cfRule>
    <cfRule type="cellIs" dxfId="6310" priority="100" operator="equal">
      <formula>"PIT"</formula>
    </cfRule>
    <cfRule type="cellIs" dxfId="6309" priority="101" operator="equal">
      <formula>"DEN"</formula>
    </cfRule>
    <cfRule type="cellIs" dxfId="6308" priority="102" operator="equal">
      <formula>"CAR"</formula>
    </cfRule>
    <cfRule type="cellIs" dxfId="6307" priority="103" operator="equal">
      <formula>"NYG"</formula>
    </cfRule>
    <cfRule type="cellIs" dxfId="6306" priority="104" operator="equal">
      <formula>"NO"</formula>
    </cfRule>
    <cfRule type="cellIs" dxfId="6305" priority="105" operator="equal">
      <formula>"TEN"</formula>
    </cfRule>
    <cfRule type="cellIs" dxfId="6304" priority="106" operator="equal">
      <formula>"TB"</formula>
    </cfRule>
    <cfRule type="cellIs" dxfId="6303" priority="107" operator="equal">
      <formula>"CLE"</formula>
    </cfRule>
    <cfRule type="cellIs" dxfId="6302" priority="108" operator="equal">
      <formula>"NYJ"</formula>
    </cfRule>
    <cfRule type="cellIs" dxfId="6301" priority="109" operator="equal">
      <formula>"SEA"</formula>
    </cfRule>
    <cfRule type="cellIs" dxfId="6300" priority="110" operator="equal">
      <formula>"LAC"</formula>
    </cfRule>
    <cfRule type="cellIs" dxfId="6299" priority="111" operator="equal">
      <formula>"LAR"</formula>
    </cfRule>
    <cfRule type="cellIs" dxfId="6298" priority="112" operator="equal">
      <formula>"ATL"</formula>
    </cfRule>
    <cfRule type="cellIs" dxfId="6297" priority="113" operator="equal">
      <formula>"JAX"</formula>
    </cfRule>
    <cfRule type="cellIs" dxfId="6296" priority="114" operator="equal">
      <formula>"CHI"</formula>
    </cfRule>
    <cfRule type="cellIs" dxfId="6295" priority="115" operator="equal">
      <formula>"MIA"</formula>
    </cfRule>
    <cfRule type="cellIs" dxfId="6294" priority="116" operator="equal">
      <formula>"DET"</formula>
    </cfRule>
    <cfRule type="cellIs" dxfId="6293" priority="117" operator="equal">
      <formula>"SF"</formula>
    </cfRule>
    <cfRule type="cellIs" dxfId="6292" priority="118" operator="equal">
      <formula>"WAS"</formula>
    </cfRule>
    <cfRule type="cellIs" dxfId="6291" priority="119" operator="equal">
      <formula>"GB"</formula>
    </cfRule>
    <cfRule type="cellIs" dxfId="6290" priority="120" operator="equal">
      <formula>"DAL"</formula>
    </cfRule>
    <cfRule type="cellIs" dxfId="6289" priority="121" operator="equal">
      <formula>"CIN"</formula>
    </cfRule>
    <cfRule type="cellIs" dxfId="6288" priority="122" operator="equal">
      <formula>"ARI"</formula>
    </cfRule>
    <cfRule type="cellIs" dxfId="6287" priority="123" operator="equal">
      <formula>"HOU"</formula>
    </cfRule>
    <cfRule type="cellIs" dxfId="6286" priority="124" operator="equal">
      <formula>"IND"</formula>
    </cfRule>
    <cfRule type="cellIs" dxfId="6285" priority="125" operator="equal">
      <formula>"KC"</formula>
    </cfRule>
    <cfRule type="cellIs" dxfId="6284" priority="126" operator="equal">
      <formula>"BAL"</formula>
    </cfRule>
    <cfRule type="cellIs" dxfId="6283" priority="127" operator="equal">
      <formula>"PHI"</formula>
    </cfRule>
    <cfRule type="cellIs" dxfId="6282" priority="128" operator="equal">
      <formula>"BUF"</formula>
    </cfRule>
  </conditionalFormatting>
  <conditionalFormatting sqref="A37:A68">
    <cfRule type="cellIs" dxfId="6281" priority="5" operator="equal">
      <formula>"LV"</formula>
    </cfRule>
    <cfRule type="cellIs" dxfId="6280" priority="6" operator="equal">
      <formula>"NE"</formula>
    </cfRule>
    <cfRule type="cellIs" dxfId="6279" priority="7" operator="equal">
      <formula>"MIN"</formula>
    </cfRule>
    <cfRule type="cellIs" dxfId="6278" priority="8" operator="equal">
      <formula>"PIT"</formula>
    </cfRule>
    <cfRule type="cellIs" dxfId="6277" priority="9" operator="equal">
      <formula>"DEN"</formula>
    </cfRule>
    <cfRule type="cellIs" dxfId="6276" priority="10" operator="equal">
      <formula>"CAR"</formula>
    </cfRule>
    <cfRule type="cellIs" dxfId="6275" priority="11" operator="equal">
      <formula>"NYG"</formula>
    </cfRule>
    <cfRule type="cellIs" dxfId="6274" priority="12" operator="equal">
      <formula>"NO"</formula>
    </cfRule>
    <cfRule type="cellIs" dxfId="6273" priority="13" operator="equal">
      <formula>"TEN"</formula>
    </cfRule>
    <cfRule type="cellIs" dxfId="6272" priority="14" operator="equal">
      <formula>"TB"</formula>
    </cfRule>
    <cfRule type="cellIs" dxfId="6271" priority="15" operator="equal">
      <formula>"CLE"</formula>
    </cfRule>
    <cfRule type="cellIs" dxfId="6270" priority="16" operator="equal">
      <formula>"NYJ"</formula>
    </cfRule>
    <cfRule type="cellIs" dxfId="6269" priority="17" operator="equal">
      <formula>"SEA"</formula>
    </cfRule>
    <cfRule type="cellIs" dxfId="6268" priority="18" operator="equal">
      <formula>"LAC"</formula>
    </cfRule>
    <cfRule type="cellIs" dxfId="6267" priority="19" operator="equal">
      <formula>"LAR"</formula>
    </cfRule>
    <cfRule type="cellIs" dxfId="6266" priority="20" operator="equal">
      <formula>"ATL"</formula>
    </cfRule>
    <cfRule type="cellIs" dxfId="6265" priority="21" operator="equal">
      <formula>"JAX"</formula>
    </cfRule>
    <cfRule type="cellIs" dxfId="6264" priority="22" operator="equal">
      <formula>"CHI"</formula>
    </cfRule>
    <cfRule type="cellIs" dxfId="6263" priority="23" operator="equal">
      <formula>"MIA"</formula>
    </cfRule>
    <cfRule type="cellIs" dxfId="6262" priority="24" operator="equal">
      <formula>"DET"</formula>
    </cfRule>
    <cfRule type="cellIs" dxfId="6261" priority="25" operator="equal">
      <formula>"SF"</formula>
    </cfRule>
    <cfRule type="cellIs" dxfId="6260" priority="26" operator="equal">
      <formula>"WAS"</formula>
    </cfRule>
    <cfRule type="cellIs" dxfId="6259" priority="27" operator="equal">
      <formula>"GB"</formula>
    </cfRule>
    <cfRule type="cellIs" dxfId="6258" priority="28" operator="equal">
      <formula>"DAL"</formula>
    </cfRule>
    <cfRule type="cellIs" dxfId="6257" priority="29" operator="equal">
      <formula>"CIN"</formula>
    </cfRule>
    <cfRule type="cellIs" dxfId="6256" priority="30" operator="equal">
      <formula>"ARI"</formula>
    </cfRule>
    <cfRule type="cellIs" dxfId="6255" priority="31" operator="equal">
      <formula>"HOU"</formula>
    </cfRule>
    <cfRule type="cellIs" dxfId="6254" priority="32" operator="equal">
      <formula>"IND"</formula>
    </cfRule>
    <cfRule type="cellIs" dxfId="6253" priority="33" operator="equal">
      <formula>"KC"</formula>
    </cfRule>
    <cfRule type="cellIs" dxfId="6252" priority="34" operator="equal">
      <formula>"BAL"</formula>
    </cfRule>
    <cfRule type="cellIs" dxfId="6251" priority="35" operator="equal">
      <formula>"PHI"</formula>
    </cfRule>
    <cfRule type="cellIs" dxfId="6250" priority="36" operator="equal">
      <formula>"BUF"</formula>
    </cfRule>
  </conditionalFormatting>
  <conditionalFormatting sqref="B3:B34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:E68 G37:AD68">
    <cfRule type="colorScale" priority="44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34">
    <cfRule type="colorScale" priority="2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4">
    <cfRule type="colorScale" priority="4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:F6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3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4">
    <cfRule type="colorScale" priority="2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4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34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3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3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3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34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3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3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3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3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34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3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34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3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3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3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25" bottom="0.25" header="0.3" footer="0.3"/>
  <pageSetup paperSize="8" scale="75" orientation="landscape"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3988-B296-49EF-9617-DBF1472425B8}">
  <sheetPr>
    <tabColor theme="5" tint="0.79998168889431442"/>
  </sheetPr>
  <dimension ref="A1:AD68"/>
  <sheetViews>
    <sheetView zoomScale="160" zoomScaleNormal="160" workbookViewId="0">
      <selection activeCell="O41" sqref="O41"/>
    </sheetView>
  </sheetViews>
  <sheetFormatPr defaultRowHeight="14.5" x14ac:dyDescent="0.35"/>
  <cols>
    <col min="1" max="1" width="10.81640625" style="59" bestFit="1" customWidth="1"/>
    <col min="2" max="2" width="8.26953125" hidden="1" customWidth="1"/>
    <col min="3" max="3" width="8" hidden="1" customWidth="1"/>
    <col min="4" max="4" width="10" hidden="1" customWidth="1"/>
    <col min="5" max="5" width="8.26953125" hidden="1" customWidth="1"/>
    <col min="6" max="6" width="8.08984375" hidden="1" customWidth="1"/>
    <col min="7" max="7" width="8.90625" hidden="1" customWidth="1"/>
    <col min="8" max="8" width="9.7265625" hidden="1" customWidth="1"/>
    <col min="9" max="9" width="9.81640625" hidden="1" customWidth="1"/>
    <col min="10" max="10" width="8.54296875" hidden="1" customWidth="1"/>
    <col min="11" max="11" width="8.1796875" hidden="1" customWidth="1"/>
    <col min="12" max="12" width="8.81640625" hidden="1" customWidth="1"/>
    <col min="13" max="13" width="9.453125" bestFit="1" customWidth="1"/>
    <col min="14" max="14" width="9.26953125" bestFit="1" customWidth="1"/>
    <col min="15" max="15" width="9.453125" bestFit="1" customWidth="1"/>
    <col min="16" max="16" width="9.26953125" bestFit="1" customWidth="1"/>
    <col min="17" max="17" width="9.453125" bestFit="1" customWidth="1"/>
    <col min="18" max="18" width="9.26953125" bestFit="1" customWidth="1"/>
    <col min="19" max="19" width="10.26953125" bestFit="1" customWidth="1"/>
    <col min="20" max="20" width="10.08984375" bestFit="1" customWidth="1"/>
    <col min="21" max="21" width="7.90625" hidden="1" customWidth="1"/>
    <col min="22" max="22" width="7.7265625" hidden="1" customWidth="1"/>
    <col min="23" max="23" width="7.36328125" hidden="1" customWidth="1"/>
    <col min="24" max="24" width="8" hidden="1" customWidth="1"/>
    <col min="25" max="27" width="8.453125" bestFit="1" customWidth="1"/>
    <col min="28" max="28" width="9.26953125" bestFit="1" customWidth="1"/>
    <col min="29" max="29" width="6.90625" hidden="1" customWidth="1"/>
    <col min="30" max="30" width="8.54296875" hidden="1" customWidth="1"/>
  </cols>
  <sheetData>
    <row r="1" spans="1:30" ht="16.5" thickBot="1" x14ac:dyDescent="0.45">
      <c r="A1" s="56" t="s">
        <v>58</v>
      </c>
      <c r="B1" s="231" t="s">
        <v>62</v>
      </c>
      <c r="C1" s="231"/>
      <c r="D1" s="231"/>
      <c r="E1" s="232" t="s">
        <v>61</v>
      </c>
      <c r="F1" s="232"/>
      <c r="G1" s="232"/>
      <c r="H1" s="232"/>
      <c r="I1" s="232"/>
      <c r="J1" s="232"/>
      <c r="K1" s="233" t="s">
        <v>60</v>
      </c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4" t="s">
        <v>59</v>
      </c>
      <c r="X1" s="234"/>
      <c r="Y1" s="234"/>
      <c r="Z1" s="234"/>
      <c r="AA1" s="234"/>
      <c r="AB1" s="234"/>
      <c r="AC1" s="234"/>
      <c r="AD1" s="234"/>
    </row>
    <row r="2" spans="1:30" x14ac:dyDescent="0.35">
      <c r="A2" s="28" t="s">
        <v>28</v>
      </c>
      <c r="B2" s="29" t="s">
        <v>75</v>
      </c>
      <c r="C2" s="27" t="s">
        <v>76</v>
      </c>
      <c r="D2" s="30" t="s">
        <v>77</v>
      </c>
      <c r="E2" s="31" t="s">
        <v>78</v>
      </c>
      <c r="F2" s="32" t="s">
        <v>79</v>
      </c>
      <c r="G2" s="33" t="s">
        <v>80</v>
      </c>
      <c r="H2" s="34" t="s">
        <v>97</v>
      </c>
      <c r="I2" s="35" t="s">
        <v>81</v>
      </c>
      <c r="J2" s="60" t="s">
        <v>82</v>
      </c>
      <c r="K2" s="36" t="s">
        <v>83</v>
      </c>
      <c r="L2" s="36" t="s">
        <v>84</v>
      </c>
      <c r="M2" s="37" t="s">
        <v>85</v>
      </c>
      <c r="N2" s="37" t="s">
        <v>86</v>
      </c>
      <c r="O2" s="38" t="s">
        <v>87</v>
      </c>
      <c r="P2" s="38" t="s">
        <v>88</v>
      </c>
      <c r="Q2" s="39" t="s">
        <v>89</v>
      </c>
      <c r="R2" s="39" t="s">
        <v>90</v>
      </c>
      <c r="S2" s="40" t="s">
        <v>91</v>
      </c>
      <c r="T2" s="40" t="s">
        <v>92</v>
      </c>
      <c r="U2" s="41" t="s">
        <v>93</v>
      </c>
      <c r="V2" s="41" t="s">
        <v>94</v>
      </c>
      <c r="W2" s="42" t="s">
        <v>65</v>
      </c>
      <c r="X2" s="42" t="s">
        <v>64</v>
      </c>
      <c r="Y2" s="42" t="s">
        <v>66</v>
      </c>
      <c r="Z2" s="42" t="s">
        <v>67</v>
      </c>
      <c r="AA2" s="42" t="s">
        <v>68</v>
      </c>
      <c r="AB2" s="42" t="s">
        <v>69</v>
      </c>
      <c r="AC2" s="42" t="s">
        <v>70</v>
      </c>
      <c r="AD2" s="42" t="s">
        <v>71</v>
      </c>
    </row>
    <row r="3" spans="1:30" x14ac:dyDescent="0.35">
      <c r="A3" s="57" t="s">
        <v>0</v>
      </c>
      <c r="B3" s="22" t="e">
        <f>#REF!</f>
        <v>#REF!</v>
      </c>
      <c r="C3" s="22" t="e">
        <f>#REF!</f>
        <v>#REF!</v>
      </c>
      <c r="D3" s="22" t="e">
        <f>#REF!</f>
        <v>#REF!</v>
      </c>
      <c r="E3" s="22" t="e">
        <f>#REF!</f>
        <v>#REF!</v>
      </c>
      <c r="F3" s="25" t="e">
        <f>Table948[[#This Row],[RB1R]]+Table948[[#This Row],[RB2+]]</f>
        <v>#REF!</v>
      </c>
      <c r="G3" s="22" t="e">
        <f>#REF!</f>
        <v>#REF!</v>
      </c>
      <c r="H3" s="22" t="e">
        <f>#REF!</f>
        <v>#REF!</v>
      </c>
      <c r="I3" s="22" t="e">
        <f>#REF!</f>
        <v>#REF!</v>
      </c>
      <c r="J3" s="22" t="e">
        <f>#REF!</f>
        <v>#REF!</v>
      </c>
      <c r="K3" s="22" t="e">
        <f>#REF!</f>
        <v>#REF!</v>
      </c>
      <c r="L3" s="22" t="e">
        <f>#REF!</f>
        <v>#REF!</v>
      </c>
      <c r="M3" s="22">
        <v>5.0588235294117645</v>
      </c>
      <c r="N3" s="22">
        <v>54.235294117647058</v>
      </c>
      <c r="O3" s="22">
        <v>4</v>
      </c>
      <c r="P3" s="22">
        <v>49.764705882352942</v>
      </c>
      <c r="Q3" s="22">
        <v>2.2352941176470589</v>
      </c>
      <c r="R3" s="22">
        <v>32.117647058823529</v>
      </c>
      <c r="S3" s="22">
        <v>1.0588235294117647</v>
      </c>
      <c r="T3" s="22">
        <v>13.705882352941176</v>
      </c>
      <c r="U3" s="22">
        <v>4.7058823529411766</v>
      </c>
      <c r="V3" s="22">
        <v>42.294117647058826</v>
      </c>
      <c r="W3" s="22">
        <v>0.35294117647058826</v>
      </c>
      <c r="X3" s="22">
        <v>0.94117647058823528</v>
      </c>
      <c r="Y3" s="22">
        <v>0.35294117647058826</v>
      </c>
      <c r="Z3" s="22">
        <v>0.23529411764705882</v>
      </c>
      <c r="AA3" s="22">
        <v>0.23529411764705882</v>
      </c>
      <c r="AB3" s="22">
        <v>0</v>
      </c>
      <c r="AC3" s="22" t="e">
        <f>#REF!</f>
        <v>#REF!</v>
      </c>
      <c r="AD3" s="22" t="e">
        <f>#REF!</f>
        <v>#REF!</v>
      </c>
    </row>
    <row r="4" spans="1:30" x14ac:dyDescent="0.35">
      <c r="A4" s="58" t="s">
        <v>15</v>
      </c>
      <c r="B4" s="22" t="e">
        <f>#REF!</f>
        <v>#REF!</v>
      </c>
      <c r="C4" s="22" t="e">
        <f>#REF!</f>
        <v>#REF!</v>
      </c>
      <c r="D4" s="22" t="e">
        <f>#REF!</f>
        <v>#REF!</v>
      </c>
      <c r="E4" s="22" t="e">
        <f>#REF!</f>
        <v>#REF!</v>
      </c>
      <c r="F4" s="25" t="e">
        <f>Table948[[#This Row],[RB1R]]+Table948[[#This Row],[RB2+]]</f>
        <v>#REF!</v>
      </c>
      <c r="G4" s="22" t="e">
        <f>#REF!</f>
        <v>#REF!</v>
      </c>
      <c r="H4" s="22" t="e">
        <f>#REF!</f>
        <v>#REF!</v>
      </c>
      <c r="I4" s="22" t="e">
        <f>#REF!</f>
        <v>#REF!</v>
      </c>
      <c r="J4" s="22" t="e">
        <f>#REF!</f>
        <v>#REF!</v>
      </c>
      <c r="K4" s="22" t="e">
        <f>#REF!</f>
        <v>#REF!</v>
      </c>
      <c r="L4" s="22" t="e">
        <f>#REF!</f>
        <v>#REF!</v>
      </c>
      <c r="M4" s="22">
        <v>6.117647058823529</v>
      </c>
      <c r="N4" s="22">
        <v>75.941176470588232</v>
      </c>
      <c r="O4" s="22">
        <v>4.0588235294117645</v>
      </c>
      <c r="P4" s="22">
        <v>42</v>
      </c>
      <c r="Q4" s="22">
        <v>2.1176470588235294</v>
      </c>
      <c r="R4" s="22">
        <v>20.411764705882351</v>
      </c>
      <c r="S4" s="22">
        <v>1.2352941176470589</v>
      </c>
      <c r="T4" s="22">
        <v>13.882352941176471</v>
      </c>
      <c r="U4" s="22">
        <v>4.5882352941176467</v>
      </c>
      <c r="V4" s="22">
        <v>48.705882352941174</v>
      </c>
      <c r="W4" s="22">
        <v>0.29411764705882354</v>
      </c>
      <c r="X4" s="22">
        <v>0.6470588235294118</v>
      </c>
      <c r="Y4" s="22">
        <v>0.6470588235294118</v>
      </c>
      <c r="Z4" s="22">
        <v>0.35294117647058826</v>
      </c>
      <c r="AA4" s="22">
        <v>0.17647058823529413</v>
      </c>
      <c r="AB4" s="22">
        <v>0.17647058823529413</v>
      </c>
      <c r="AC4" s="22" t="e">
        <f>#REF!</f>
        <v>#REF!</v>
      </c>
      <c r="AD4" s="22" t="e">
        <f>#REF!</f>
        <v>#REF!</v>
      </c>
    </row>
    <row r="5" spans="1:30" x14ac:dyDescent="0.35">
      <c r="A5" s="57" t="s">
        <v>16</v>
      </c>
      <c r="B5" s="22" t="e">
        <f>#REF!</f>
        <v>#REF!</v>
      </c>
      <c r="C5" s="22" t="e">
        <f>#REF!</f>
        <v>#REF!</v>
      </c>
      <c r="D5" s="22" t="e">
        <f>#REF!</f>
        <v>#REF!</v>
      </c>
      <c r="E5" s="22" t="e">
        <f>#REF!</f>
        <v>#REF!</v>
      </c>
      <c r="F5" s="25" t="e">
        <f>Table948[[#This Row],[RB1R]]+Table948[[#This Row],[RB2+]]</f>
        <v>#REF!</v>
      </c>
      <c r="G5" s="22" t="e">
        <f>#REF!</f>
        <v>#REF!</v>
      </c>
      <c r="H5" s="22" t="e">
        <f>#REF!</f>
        <v>#REF!</v>
      </c>
      <c r="I5" s="22" t="e">
        <f>#REF!</f>
        <v>#REF!</v>
      </c>
      <c r="J5" s="22" t="e">
        <f>#REF!</f>
        <v>#REF!</v>
      </c>
      <c r="K5" s="22" t="e">
        <f>#REF!</f>
        <v>#REF!</v>
      </c>
      <c r="L5" s="22" t="e">
        <f>#REF!</f>
        <v>#REF!</v>
      </c>
      <c r="M5" s="22">
        <v>6.7647058823529411</v>
      </c>
      <c r="N5" s="22">
        <v>95.941176470588232</v>
      </c>
      <c r="O5" s="22">
        <v>3.2352941176470589</v>
      </c>
      <c r="P5" s="22">
        <v>38</v>
      </c>
      <c r="Q5" s="22">
        <v>1.9411764705882353</v>
      </c>
      <c r="R5" s="22">
        <v>21.588235294117649</v>
      </c>
      <c r="S5" s="22">
        <v>1.0588235294117647</v>
      </c>
      <c r="T5" s="22">
        <v>10.764705882352942</v>
      </c>
      <c r="U5" s="22">
        <v>5.5882352941176467</v>
      </c>
      <c r="V5" s="22">
        <v>56.764705882352942</v>
      </c>
      <c r="W5" s="22">
        <v>0.23529411764705882</v>
      </c>
      <c r="X5" s="22">
        <v>0.70588235294117652</v>
      </c>
      <c r="Y5" s="22">
        <v>0.58823529411764708</v>
      </c>
      <c r="Z5" s="22">
        <v>0.35294117647058826</v>
      </c>
      <c r="AA5" s="22">
        <v>5.8823529411764705E-2</v>
      </c>
      <c r="AB5" s="22">
        <v>5.8823529411764705E-2</v>
      </c>
      <c r="AC5" s="22" t="e">
        <f>#REF!</f>
        <v>#REF!</v>
      </c>
      <c r="AD5" s="22" t="e">
        <f>#REF!</f>
        <v>#REF!</v>
      </c>
    </row>
    <row r="6" spans="1:30" x14ac:dyDescent="0.35">
      <c r="A6" s="58" t="s">
        <v>17</v>
      </c>
      <c r="B6" s="22" t="e">
        <f>#REF!</f>
        <v>#REF!</v>
      </c>
      <c r="C6" s="22" t="e">
        <f>#REF!</f>
        <v>#REF!</v>
      </c>
      <c r="D6" s="22" t="e">
        <f>#REF!</f>
        <v>#REF!</v>
      </c>
      <c r="E6" s="22" t="e">
        <f>#REF!</f>
        <v>#REF!</v>
      </c>
      <c r="F6" s="25" t="e">
        <f>Table948[[#This Row],[RB1R]]+Table948[[#This Row],[RB2+]]</f>
        <v>#REF!</v>
      </c>
      <c r="G6" s="22" t="e">
        <f>#REF!</f>
        <v>#REF!</v>
      </c>
      <c r="H6" s="22" t="e">
        <f>#REF!</f>
        <v>#REF!</v>
      </c>
      <c r="I6" s="22" t="e">
        <f>#REF!</f>
        <v>#REF!</v>
      </c>
      <c r="J6" s="22" t="e">
        <f>#REF!</f>
        <v>#REF!</v>
      </c>
      <c r="K6" s="22" t="e">
        <f>#REF!</f>
        <v>#REF!</v>
      </c>
      <c r="L6" s="22" t="e">
        <f>#REF!</f>
        <v>#REF!</v>
      </c>
      <c r="M6" s="22">
        <v>4.7058823529411766</v>
      </c>
      <c r="N6" s="22">
        <v>61.705882352941174</v>
      </c>
      <c r="O6" s="22">
        <v>4.2941176470588234</v>
      </c>
      <c r="P6" s="22">
        <v>56.176470588235297</v>
      </c>
      <c r="Q6" s="22">
        <v>2.5294117647058822</v>
      </c>
      <c r="R6" s="22">
        <v>23.352941176470587</v>
      </c>
      <c r="S6" s="22">
        <v>0.82352941176470584</v>
      </c>
      <c r="T6" s="22">
        <v>6.9411764705882355</v>
      </c>
      <c r="U6" s="22">
        <v>5.5294117647058822</v>
      </c>
      <c r="V6" s="22">
        <v>48.882352941176471</v>
      </c>
      <c r="W6" s="22">
        <v>0.11764705882352941</v>
      </c>
      <c r="X6" s="22">
        <v>0.94117647058823528</v>
      </c>
      <c r="Y6" s="22">
        <v>0.23529411764705882</v>
      </c>
      <c r="Z6" s="22">
        <v>0.6470588235294118</v>
      </c>
      <c r="AA6" s="22">
        <v>5.8823529411764705E-2</v>
      </c>
      <c r="AB6" s="22">
        <v>5.8823529411764705E-2</v>
      </c>
      <c r="AC6" s="22" t="e">
        <f>#REF!</f>
        <v>#REF!</v>
      </c>
      <c r="AD6" s="22" t="e">
        <f>#REF!</f>
        <v>#REF!</v>
      </c>
    </row>
    <row r="7" spans="1:30" x14ac:dyDescent="0.35">
      <c r="A7" s="57" t="s">
        <v>29</v>
      </c>
      <c r="B7" s="22" t="e">
        <f>#REF!</f>
        <v>#REF!</v>
      </c>
      <c r="C7" s="22" t="e">
        <f>#REF!</f>
        <v>#REF!</v>
      </c>
      <c r="D7" s="22" t="e">
        <f>#REF!</f>
        <v>#REF!</v>
      </c>
      <c r="E7" s="22" t="e">
        <f>#REF!</f>
        <v>#REF!</v>
      </c>
      <c r="F7" s="25" t="e">
        <f>Table948[[#This Row],[RB1R]]+Table948[[#This Row],[RB2+]]</f>
        <v>#REF!</v>
      </c>
      <c r="G7" s="22" t="e">
        <f>#REF!</f>
        <v>#REF!</v>
      </c>
      <c r="H7" s="22" t="e">
        <f>#REF!</f>
        <v>#REF!</v>
      </c>
      <c r="I7" s="22" t="e">
        <f>#REF!</f>
        <v>#REF!</v>
      </c>
      <c r="J7" s="22" t="e">
        <f>#REF!</f>
        <v>#REF!</v>
      </c>
      <c r="K7" s="22" t="e">
        <f>#REF!</f>
        <v>#REF!</v>
      </c>
      <c r="L7" s="22" t="e">
        <f>#REF!</f>
        <v>#REF!</v>
      </c>
      <c r="M7" s="22">
        <v>5.3529411764705879</v>
      </c>
      <c r="N7" s="22">
        <v>72.352941176470594</v>
      </c>
      <c r="O7" s="22">
        <v>4</v>
      </c>
      <c r="P7" s="22">
        <v>45.235294117647058</v>
      </c>
      <c r="Q7" s="22">
        <v>2.1764705882352939</v>
      </c>
      <c r="R7" s="22">
        <v>25.764705882352942</v>
      </c>
      <c r="S7" s="22">
        <v>0.41176470588235292</v>
      </c>
      <c r="T7" s="22">
        <v>4.7058823529411766</v>
      </c>
      <c r="U7" s="22">
        <v>4.882352941176471</v>
      </c>
      <c r="V7" s="22">
        <v>54.117647058823529</v>
      </c>
      <c r="W7" s="22">
        <v>0.29411764705882354</v>
      </c>
      <c r="X7" s="22">
        <v>1.2352941176470589</v>
      </c>
      <c r="Y7" s="22">
        <v>0.6470588235294118</v>
      </c>
      <c r="Z7" s="22">
        <v>0.41176470588235292</v>
      </c>
      <c r="AA7" s="22">
        <v>0.11764705882352941</v>
      </c>
      <c r="AB7" s="22">
        <v>5.8823529411764705E-2</v>
      </c>
      <c r="AC7" s="22" t="e">
        <f>#REF!</f>
        <v>#REF!</v>
      </c>
      <c r="AD7" s="22" t="e">
        <f>#REF!</f>
        <v>#REF!</v>
      </c>
    </row>
    <row r="8" spans="1:30" x14ac:dyDescent="0.35">
      <c r="A8" s="58" t="s">
        <v>30</v>
      </c>
      <c r="B8" s="22" t="e">
        <f>#REF!</f>
        <v>#REF!</v>
      </c>
      <c r="C8" s="22" t="e">
        <f>#REF!</f>
        <v>#REF!</v>
      </c>
      <c r="D8" s="22" t="e">
        <f>#REF!</f>
        <v>#REF!</v>
      </c>
      <c r="E8" s="22" t="e">
        <f>#REF!</f>
        <v>#REF!</v>
      </c>
      <c r="F8" s="25" t="e">
        <f>Table948[[#This Row],[RB1R]]+Table948[[#This Row],[RB2+]]</f>
        <v>#REF!</v>
      </c>
      <c r="G8" s="22" t="e">
        <f>#REF!</f>
        <v>#REF!</v>
      </c>
      <c r="H8" s="22" t="e">
        <f>#REF!</f>
        <v>#REF!</v>
      </c>
      <c r="I8" s="22" t="e">
        <f>#REF!</f>
        <v>#REF!</v>
      </c>
      <c r="J8" s="22" t="e">
        <f>#REF!</f>
        <v>#REF!</v>
      </c>
      <c r="K8" s="22" t="e">
        <f>#REF!</f>
        <v>#REF!</v>
      </c>
      <c r="L8" s="22" t="e">
        <f>#REF!</f>
        <v>#REF!</v>
      </c>
      <c r="M8" s="22">
        <v>4.2352941176470589</v>
      </c>
      <c r="N8" s="22">
        <v>58.823529411764703</v>
      </c>
      <c r="O8" s="22">
        <v>3.4705882352941178</v>
      </c>
      <c r="P8" s="22">
        <v>48.235294117647058</v>
      </c>
      <c r="Q8" s="22">
        <v>1.8235294117647058</v>
      </c>
      <c r="R8" s="22">
        <v>27.764705882352942</v>
      </c>
      <c r="S8" s="22">
        <v>0.58823529411764708</v>
      </c>
      <c r="T8" s="22">
        <v>6.4117647058823533</v>
      </c>
      <c r="U8" s="22">
        <v>4.882352941176471</v>
      </c>
      <c r="V8" s="22">
        <v>59.470588235294116</v>
      </c>
      <c r="W8" s="22">
        <v>5.8823529411764705E-2</v>
      </c>
      <c r="X8" s="22">
        <v>1.0588235294117647</v>
      </c>
      <c r="Y8" s="22">
        <v>0.35294117647058826</v>
      </c>
      <c r="Z8" s="22">
        <v>0.17647058823529413</v>
      </c>
      <c r="AA8" s="22">
        <v>0.23529411764705882</v>
      </c>
      <c r="AB8" s="22">
        <v>0</v>
      </c>
      <c r="AC8" s="22" t="e">
        <f>#REF!</f>
        <v>#REF!</v>
      </c>
      <c r="AD8" s="22" t="e">
        <f>#REF!</f>
        <v>#REF!</v>
      </c>
    </row>
    <row r="9" spans="1:30" x14ac:dyDescent="0.35">
      <c r="A9" s="57" t="s">
        <v>31</v>
      </c>
      <c r="B9" s="22" t="e">
        <f>#REF!</f>
        <v>#REF!</v>
      </c>
      <c r="C9" s="22" t="e">
        <f>#REF!</f>
        <v>#REF!</v>
      </c>
      <c r="D9" s="22" t="e">
        <f>#REF!</f>
        <v>#REF!</v>
      </c>
      <c r="E9" s="22" t="e">
        <f>#REF!</f>
        <v>#REF!</v>
      </c>
      <c r="F9" s="25" t="e">
        <f>Table948[[#This Row],[RB1R]]+Table948[[#This Row],[RB2+]]</f>
        <v>#REF!</v>
      </c>
      <c r="G9" s="22" t="e">
        <f>#REF!</f>
        <v>#REF!</v>
      </c>
      <c r="H9" s="22" t="e">
        <f>#REF!</f>
        <v>#REF!</v>
      </c>
      <c r="I9" s="22" t="e">
        <f>#REF!</f>
        <v>#REF!</v>
      </c>
      <c r="J9" s="22" t="e">
        <f>#REF!</f>
        <v>#REF!</v>
      </c>
      <c r="K9" s="22" t="e">
        <f>#REF!</f>
        <v>#REF!</v>
      </c>
      <c r="L9" s="22" t="e">
        <f>#REF!</f>
        <v>#REF!</v>
      </c>
      <c r="M9" s="22">
        <v>4.8235294117647056</v>
      </c>
      <c r="N9" s="22">
        <v>67.529411764705884</v>
      </c>
      <c r="O9" s="22">
        <v>3.2941176470588234</v>
      </c>
      <c r="P9" s="22">
        <v>36.764705882352942</v>
      </c>
      <c r="Q9" s="22">
        <v>1.7647058823529411</v>
      </c>
      <c r="R9" s="22">
        <v>20.117647058823529</v>
      </c>
      <c r="S9" s="22">
        <v>0.94117647058823528</v>
      </c>
      <c r="T9" s="22">
        <v>15</v>
      </c>
      <c r="U9" s="22">
        <v>6.6470588235294121</v>
      </c>
      <c r="V9" s="22">
        <v>65.647058823529406</v>
      </c>
      <c r="W9" s="22">
        <v>0.23529411764705882</v>
      </c>
      <c r="X9" s="22">
        <v>1</v>
      </c>
      <c r="Y9" s="22">
        <v>0.35294117647058826</v>
      </c>
      <c r="Z9" s="22">
        <v>0.35294117647058826</v>
      </c>
      <c r="AA9" s="22">
        <v>0.23529411764705882</v>
      </c>
      <c r="AB9" s="22">
        <v>5.8823529411764705E-2</v>
      </c>
      <c r="AC9" s="22" t="e">
        <f>#REF!</f>
        <v>#REF!</v>
      </c>
      <c r="AD9" s="22" t="e">
        <f>#REF!</f>
        <v>#REF!</v>
      </c>
    </row>
    <row r="10" spans="1:30" x14ac:dyDescent="0.35">
      <c r="A10" s="58" t="s">
        <v>32</v>
      </c>
      <c r="B10" s="22" t="e">
        <f>#REF!</f>
        <v>#REF!</v>
      </c>
      <c r="C10" s="22" t="e">
        <f>#REF!</f>
        <v>#REF!</v>
      </c>
      <c r="D10" s="22" t="e">
        <f>#REF!</f>
        <v>#REF!</v>
      </c>
      <c r="E10" s="22" t="e">
        <f>#REF!</f>
        <v>#REF!</v>
      </c>
      <c r="F10" s="25" t="e">
        <f>Table948[[#This Row],[RB1R]]+Table948[[#This Row],[RB2+]]</f>
        <v>#REF!</v>
      </c>
      <c r="G10" s="22" t="e">
        <f>#REF!</f>
        <v>#REF!</v>
      </c>
      <c r="H10" s="22" t="e">
        <f>#REF!</f>
        <v>#REF!</v>
      </c>
      <c r="I10" s="22" t="e">
        <f>#REF!</f>
        <v>#REF!</v>
      </c>
      <c r="J10" s="22" t="e">
        <f>#REF!</f>
        <v>#REF!</v>
      </c>
      <c r="K10" s="22" t="e">
        <f>#REF!</f>
        <v>#REF!</v>
      </c>
      <c r="L10" s="22" t="e">
        <f>#REF!</f>
        <v>#REF!</v>
      </c>
      <c r="M10" s="22">
        <v>5.0588235294117645</v>
      </c>
      <c r="N10" s="22">
        <v>72.705882352941174</v>
      </c>
      <c r="O10" s="22">
        <v>3.3529411764705883</v>
      </c>
      <c r="P10" s="22">
        <v>46.294117647058826</v>
      </c>
      <c r="Q10" s="22">
        <v>1.4705882352941178</v>
      </c>
      <c r="R10" s="22">
        <v>24.882352941176471</v>
      </c>
      <c r="S10" s="22">
        <v>0.58823529411764708</v>
      </c>
      <c r="T10" s="22">
        <v>10.529411764705882</v>
      </c>
      <c r="U10" s="22">
        <v>4.9411764705882355</v>
      </c>
      <c r="V10" s="22">
        <v>48.882352941176471</v>
      </c>
      <c r="W10" s="22">
        <v>0.11764705882352941</v>
      </c>
      <c r="X10" s="22">
        <v>0.88235294117647056</v>
      </c>
      <c r="Y10" s="22">
        <v>0.41176470588235292</v>
      </c>
      <c r="Z10" s="22">
        <v>0.47058823529411764</v>
      </c>
      <c r="AA10" s="22">
        <v>0.41176470588235292</v>
      </c>
      <c r="AB10" s="22">
        <v>5.8823529411764705E-2</v>
      </c>
      <c r="AC10" s="22" t="e">
        <f>#REF!</f>
        <v>#REF!</v>
      </c>
      <c r="AD10" s="22" t="e">
        <f>#REF!</f>
        <v>#REF!</v>
      </c>
    </row>
    <row r="11" spans="1:30" x14ac:dyDescent="0.35">
      <c r="A11" s="57" t="s">
        <v>33</v>
      </c>
      <c r="B11" s="22">
        <f>Table212141819[[#Totals],[QB PY]]</f>
        <v>265.94117647058823</v>
      </c>
      <c r="C11" s="22">
        <f>Table212141819[[#Totals],[P TD]]</f>
        <v>2.0588235294117645</v>
      </c>
      <c r="D11" s="22">
        <f>Table212141819[[#Totals],[QB P+R]]</f>
        <v>289.35294117647061</v>
      </c>
      <c r="E11" s="22">
        <f>Table212141819[[#Totals],[QB RY]]</f>
        <v>23.411764705882351</v>
      </c>
      <c r="F11" s="25">
        <f>Table948[[#This Row],[RB1R]]+Table948[[#This Row],[RB2+]]</f>
        <v>95.235294117647072</v>
      </c>
      <c r="G11" s="22">
        <f>Table212141819[[#Totals],[RB1 RY]]</f>
        <v>70.588235294117652</v>
      </c>
      <c r="H11" s="22">
        <f>Table212141819[[#Totals],[RB2+ RY]]</f>
        <v>24.647058823529413</v>
      </c>
      <c r="I11" s="22">
        <f>Table212141819[[#Totals],[RB R+R]]</f>
        <v>138.47058823529412</v>
      </c>
      <c r="J11" s="22">
        <f>Table212141819[[#Totals],[WR RY]]</f>
        <v>6.8235294117647056</v>
      </c>
      <c r="K11" s="22">
        <f>Table212141819[[#Totals],[RB1 Recep]]</f>
        <v>3.4705882352941178</v>
      </c>
      <c r="L11" s="22">
        <f>Table212141819[[#Totals],[RB1 RecY]]</f>
        <v>32.705882352941174</v>
      </c>
      <c r="M11" s="22">
        <v>5.3529411764705879</v>
      </c>
      <c r="N11" s="22">
        <v>66</v>
      </c>
      <c r="O11" s="22">
        <v>3.9411764705882355</v>
      </c>
      <c r="P11" s="22">
        <v>50.058823529411768</v>
      </c>
      <c r="Q11" s="22">
        <v>2.0588235294117645</v>
      </c>
      <c r="R11" s="22">
        <v>29.705882352941178</v>
      </c>
      <c r="S11" s="22">
        <v>1.2941176470588236</v>
      </c>
      <c r="T11" s="22">
        <v>12.235294117647058</v>
      </c>
      <c r="U11" s="22">
        <v>3.8235294117647061</v>
      </c>
      <c r="V11" s="22">
        <v>41.705882352941174</v>
      </c>
      <c r="W11" s="22">
        <v>0.58823529411764708</v>
      </c>
      <c r="X11" s="22">
        <v>1</v>
      </c>
      <c r="Y11" s="22">
        <v>0.41176470588235292</v>
      </c>
      <c r="Z11" s="22">
        <v>0.47058823529411764</v>
      </c>
      <c r="AA11" s="22">
        <v>0.11764705882352941</v>
      </c>
      <c r="AB11" s="22">
        <v>0.11764705882352941</v>
      </c>
      <c r="AC11" s="22">
        <f>Table212141819[[#Totals],[TE1 TD]]</f>
        <v>0.23529411764705882</v>
      </c>
      <c r="AD11" s="22">
        <f>Table212141819[[#Totals],[D/ST TD]]</f>
        <v>0</v>
      </c>
    </row>
    <row r="12" spans="1:30" x14ac:dyDescent="0.35">
      <c r="A12" s="58" t="s">
        <v>34</v>
      </c>
      <c r="B12" s="22" t="e">
        <f>#REF!</f>
        <v>#REF!</v>
      </c>
      <c r="C12" s="22" t="e">
        <f>#REF!</f>
        <v>#REF!</v>
      </c>
      <c r="D12" s="22" t="e">
        <f>#REF!</f>
        <v>#REF!</v>
      </c>
      <c r="E12" s="22" t="e">
        <f>#REF!</f>
        <v>#REF!</v>
      </c>
      <c r="F12" s="25" t="e">
        <f>Table948[[#This Row],[RB1R]]+Table948[[#This Row],[RB2+]]</f>
        <v>#REF!</v>
      </c>
      <c r="G12" s="22" t="e">
        <f>#REF!</f>
        <v>#REF!</v>
      </c>
      <c r="H12" s="22" t="e">
        <f>#REF!</f>
        <v>#REF!</v>
      </c>
      <c r="I12" s="22" t="e">
        <f>#REF!</f>
        <v>#REF!</v>
      </c>
      <c r="J12" s="22" t="e">
        <f>#REF!</f>
        <v>#REF!</v>
      </c>
      <c r="K12" s="22" t="e">
        <f>#REF!</f>
        <v>#REF!</v>
      </c>
      <c r="L12" s="22" t="e">
        <f>#REF!</f>
        <v>#REF!</v>
      </c>
      <c r="M12" s="22">
        <v>4.882352941176471</v>
      </c>
      <c r="N12" s="22">
        <v>68</v>
      </c>
      <c r="O12" s="22">
        <v>4.0588235294117645</v>
      </c>
      <c r="P12" s="22">
        <v>46.117647058823529</v>
      </c>
      <c r="Q12" s="22">
        <v>2.7647058823529411</v>
      </c>
      <c r="R12" s="22">
        <v>33.176470588235297</v>
      </c>
      <c r="S12" s="22">
        <v>0.70588235294117652</v>
      </c>
      <c r="T12" s="22">
        <v>7.3529411764705879</v>
      </c>
      <c r="U12" s="22">
        <v>5.7058823529411766</v>
      </c>
      <c r="V12" s="22">
        <v>48.941176470588232</v>
      </c>
      <c r="W12" s="22">
        <v>0.17647058823529413</v>
      </c>
      <c r="X12" s="22">
        <v>0.76470588235294112</v>
      </c>
      <c r="Y12" s="22">
        <v>0.23529411764705882</v>
      </c>
      <c r="Z12" s="22">
        <v>0.35294117647058826</v>
      </c>
      <c r="AA12" s="22">
        <v>0</v>
      </c>
      <c r="AB12" s="22">
        <v>5.8823529411764705E-2</v>
      </c>
      <c r="AC12" s="22" t="e">
        <f>#REF!</f>
        <v>#REF!</v>
      </c>
      <c r="AD12" s="22" t="e">
        <f>#REF!</f>
        <v>#REF!</v>
      </c>
    </row>
    <row r="13" spans="1:30" x14ac:dyDescent="0.35">
      <c r="A13" s="57" t="s">
        <v>35</v>
      </c>
      <c r="B13" s="22" t="e">
        <f>#REF!</f>
        <v>#REF!</v>
      </c>
      <c r="C13" s="22" t="e">
        <f>#REF!</f>
        <v>#REF!</v>
      </c>
      <c r="D13" s="22" t="e">
        <f>#REF!</f>
        <v>#REF!</v>
      </c>
      <c r="E13" s="22" t="e">
        <f>#REF!</f>
        <v>#REF!</v>
      </c>
      <c r="F13" s="25" t="e">
        <f>Table948[[#This Row],[RB1R]]+Table948[[#This Row],[RB2+]]</f>
        <v>#REF!</v>
      </c>
      <c r="G13" s="22" t="e">
        <f>#REF!</f>
        <v>#REF!</v>
      </c>
      <c r="H13" s="22" t="e">
        <f>#REF!</f>
        <v>#REF!</v>
      </c>
      <c r="I13" s="22" t="e">
        <f>#REF!</f>
        <v>#REF!</v>
      </c>
      <c r="J13" s="22" t="e">
        <f>#REF!</f>
        <v>#REF!</v>
      </c>
      <c r="K13" s="22" t="e">
        <f>#REF!</f>
        <v>#REF!</v>
      </c>
      <c r="L13" s="22" t="e">
        <f>#REF!</f>
        <v>#REF!</v>
      </c>
      <c r="M13" s="22">
        <v>5.8235294117647056</v>
      </c>
      <c r="N13" s="22">
        <v>73.470588235294116</v>
      </c>
      <c r="O13" s="22">
        <v>4.882352941176471</v>
      </c>
      <c r="P13" s="22">
        <v>60.588235294117645</v>
      </c>
      <c r="Q13" s="22">
        <v>2.6470588235294117</v>
      </c>
      <c r="R13" s="22">
        <v>39</v>
      </c>
      <c r="S13" s="22">
        <v>1.0588235294117647</v>
      </c>
      <c r="T13" s="22">
        <v>12.705882352941176</v>
      </c>
      <c r="U13" s="22">
        <v>3.9411764705882355</v>
      </c>
      <c r="V13" s="22">
        <v>38.470588235294116</v>
      </c>
      <c r="W13" s="22">
        <v>0.35294117647058826</v>
      </c>
      <c r="X13" s="22">
        <v>0.82352941176470584</v>
      </c>
      <c r="Y13" s="22">
        <v>0.29411764705882354</v>
      </c>
      <c r="Z13" s="22">
        <v>0.35294117647058826</v>
      </c>
      <c r="AA13" s="22">
        <v>0.11764705882352941</v>
      </c>
      <c r="AB13" s="22">
        <v>0</v>
      </c>
      <c r="AC13" s="22" t="e">
        <f>#REF!</f>
        <v>#REF!</v>
      </c>
      <c r="AD13" s="22" t="e">
        <f>#REF!</f>
        <v>#REF!</v>
      </c>
    </row>
    <row r="14" spans="1:30" x14ac:dyDescent="0.35">
      <c r="A14" s="58" t="s">
        <v>36</v>
      </c>
      <c r="B14" s="22" t="e">
        <f>#REF!</f>
        <v>#REF!</v>
      </c>
      <c r="C14" s="22" t="e">
        <f>#REF!</f>
        <v>#REF!</v>
      </c>
      <c r="D14" s="22" t="e">
        <f>#REF!</f>
        <v>#REF!</v>
      </c>
      <c r="E14" s="22" t="e">
        <f>#REF!</f>
        <v>#REF!</v>
      </c>
      <c r="F14" s="25" t="e">
        <f>Table948[[#This Row],[RB1R]]+Table948[[#This Row],[RB2+]]</f>
        <v>#REF!</v>
      </c>
      <c r="G14" s="22" t="e">
        <f>#REF!</f>
        <v>#REF!</v>
      </c>
      <c r="H14" s="22" t="e">
        <f>#REF!</f>
        <v>#REF!</v>
      </c>
      <c r="I14" s="22" t="e">
        <f>#REF!</f>
        <v>#REF!</v>
      </c>
      <c r="J14" s="22" t="e">
        <f>#REF!</f>
        <v>#REF!</v>
      </c>
      <c r="K14" s="22" t="e">
        <f>#REF!</f>
        <v>#REF!</v>
      </c>
      <c r="L14" s="22" t="e">
        <f>#REF!</f>
        <v>#REF!</v>
      </c>
      <c r="M14" s="22">
        <v>4.6470588235294121</v>
      </c>
      <c r="N14" s="22">
        <v>54.588235294117645</v>
      </c>
      <c r="O14" s="22">
        <v>4.2352941176470589</v>
      </c>
      <c r="P14" s="22">
        <v>50.529411764705884</v>
      </c>
      <c r="Q14" s="22">
        <v>2.1176470588235294</v>
      </c>
      <c r="R14" s="22">
        <v>26</v>
      </c>
      <c r="S14" s="22">
        <v>0.58823529411764708</v>
      </c>
      <c r="T14" s="22">
        <v>4.3529411764705879</v>
      </c>
      <c r="U14" s="22">
        <v>5.4705882352941178</v>
      </c>
      <c r="V14" s="22">
        <v>57.058823529411768</v>
      </c>
      <c r="W14" s="22">
        <v>5.8823529411764705E-2</v>
      </c>
      <c r="X14" s="22">
        <v>0.88235294117647056</v>
      </c>
      <c r="Y14" s="22">
        <v>0.35294117647058826</v>
      </c>
      <c r="Z14" s="22">
        <v>0.35294117647058826</v>
      </c>
      <c r="AA14" s="22">
        <v>0.23529411764705882</v>
      </c>
      <c r="AB14" s="22">
        <v>0</v>
      </c>
      <c r="AC14" s="22" t="e">
        <f>#REF!</f>
        <v>#REF!</v>
      </c>
      <c r="AD14" s="22" t="e">
        <f>#REF!</f>
        <v>#REF!</v>
      </c>
    </row>
    <row r="15" spans="1:30" x14ac:dyDescent="0.35">
      <c r="A15" s="57" t="s">
        <v>37</v>
      </c>
      <c r="B15" s="22" t="e">
        <f>#REF!</f>
        <v>#REF!</v>
      </c>
      <c r="C15" s="22" t="e">
        <f>#REF!</f>
        <v>#REF!</v>
      </c>
      <c r="D15" s="22" t="e">
        <f>#REF!</f>
        <v>#REF!</v>
      </c>
      <c r="E15" s="22" t="e">
        <f>#REF!</f>
        <v>#REF!</v>
      </c>
      <c r="F15" s="25" t="e">
        <f>Table948[[#This Row],[RB1R]]+Table948[[#This Row],[RB2+]]</f>
        <v>#REF!</v>
      </c>
      <c r="G15" s="22" t="e">
        <f>#REF!</f>
        <v>#REF!</v>
      </c>
      <c r="H15" s="22" t="e">
        <f>#REF!</f>
        <v>#REF!</v>
      </c>
      <c r="I15" s="22" t="e">
        <f>#REF!</f>
        <v>#REF!</v>
      </c>
      <c r="J15" s="22" t="e">
        <f>#REF!</f>
        <v>#REF!</v>
      </c>
      <c r="K15" s="22" t="e">
        <f>#REF!</f>
        <v>#REF!</v>
      </c>
      <c r="L15" s="22" t="e">
        <f>#REF!</f>
        <v>#REF!</v>
      </c>
      <c r="M15" s="22">
        <v>4.3529411764705879</v>
      </c>
      <c r="N15" s="22">
        <v>58</v>
      </c>
      <c r="O15" s="22">
        <v>3.9411764705882355</v>
      </c>
      <c r="P15" s="22">
        <v>56.352941176470587</v>
      </c>
      <c r="Q15" s="22">
        <v>2</v>
      </c>
      <c r="R15" s="22">
        <v>27.882352941176471</v>
      </c>
      <c r="S15" s="22">
        <v>0.70588235294117652</v>
      </c>
      <c r="T15" s="22">
        <v>8</v>
      </c>
      <c r="U15" s="22">
        <v>4.3529411764705879</v>
      </c>
      <c r="V15" s="22">
        <v>42.588235294117645</v>
      </c>
      <c r="W15" s="22">
        <v>0.17647058823529413</v>
      </c>
      <c r="X15" s="22">
        <v>0.58823529411764708</v>
      </c>
      <c r="Y15" s="22">
        <v>0.41176470588235292</v>
      </c>
      <c r="Z15" s="22">
        <v>0.47058823529411764</v>
      </c>
      <c r="AA15" s="22">
        <v>0.29411764705882354</v>
      </c>
      <c r="AB15" s="22">
        <v>5.8823529411764705E-2</v>
      </c>
      <c r="AC15" s="22" t="e">
        <f>#REF!</f>
        <v>#REF!</v>
      </c>
      <c r="AD15" s="22" t="e">
        <f>#REF!</f>
        <v>#REF!</v>
      </c>
    </row>
    <row r="16" spans="1:30" x14ac:dyDescent="0.35">
      <c r="A16" s="58" t="s">
        <v>38</v>
      </c>
      <c r="B16" s="22" t="e">
        <f>#REF!</f>
        <v>#REF!</v>
      </c>
      <c r="C16" s="22" t="e">
        <f>#REF!</f>
        <v>#REF!</v>
      </c>
      <c r="D16" s="22" t="e">
        <f>#REF!</f>
        <v>#REF!</v>
      </c>
      <c r="E16" s="22" t="e">
        <f>#REF!</f>
        <v>#REF!</v>
      </c>
      <c r="F16" s="25" t="e">
        <f>Table948[[#This Row],[RB1R]]+Table948[[#This Row],[RB2+]]</f>
        <v>#REF!</v>
      </c>
      <c r="G16" s="22" t="e">
        <f>#REF!</f>
        <v>#REF!</v>
      </c>
      <c r="H16" s="22" t="e">
        <f>#REF!</f>
        <v>#REF!</v>
      </c>
      <c r="I16" s="22" t="e">
        <f>#REF!</f>
        <v>#REF!</v>
      </c>
      <c r="J16" s="22" t="e">
        <f>#REF!</f>
        <v>#REF!</v>
      </c>
      <c r="K16" s="22" t="e">
        <f>#REF!</f>
        <v>#REF!</v>
      </c>
      <c r="L16" s="22" t="e">
        <f>#REF!</f>
        <v>#REF!</v>
      </c>
      <c r="M16" s="22">
        <v>4.8235294117647056</v>
      </c>
      <c r="N16" s="22">
        <v>72.17647058823529</v>
      </c>
      <c r="O16" s="22">
        <v>3.8235294117647061</v>
      </c>
      <c r="P16" s="22">
        <v>48.647058823529413</v>
      </c>
      <c r="Q16" s="22">
        <v>2.3529411764705883</v>
      </c>
      <c r="R16" s="22">
        <v>24.823529411764707</v>
      </c>
      <c r="S16" s="22">
        <v>0.58823529411764708</v>
      </c>
      <c r="T16" s="22">
        <v>5.3529411764705879</v>
      </c>
      <c r="U16" s="22">
        <v>5.9411764705882355</v>
      </c>
      <c r="V16" s="22">
        <v>58.058823529411768</v>
      </c>
      <c r="W16" s="22">
        <v>0.23529411764705882</v>
      </c>
      <c r="X16" s="22">
        <v>0.94117647058823528</v>
      </c>
      <c r="Y16" s="22">
        <v>0.23529411764705882</v>
      </c>
      <c r="Z16" s="22">
        <v>0.52941176470588236</v>
      </c>
      <c r="AA16" s="22">
        <v>0.11764705882352941</v>
      </c>
      <c r="AB16" s="22">
        <v>5.8823529411764705E-2</v>
      </c>
      <c r="AC16" s="22" t="e">
        <f>#REF!</f>
        <v>#REF!</v>
      </c>
      <c r="AD16" s="22" t="e">
        <f>#REF!</f>
        <v>#REF!</v>
      </c>
    </row>
    <row r="17" spans="1:30" x14ac:dyDescent="0.35">
      <c r="A17" s="57" t="s">
        <v>39</v>
      </c>
      <c r="B17" s="22" t="e">
        <f>#REF!</f>
        <v>#REF!</v>
      </c>
      <c r="C17" s="22" t="e">
        <f>#REF!</f>
        <v>#REF!</v>
      </c>
      <c r="D17" s="22" t="e">
        <f>#REF!</f>
        <v>#REF!</v>
      </c>
      <c r="E17" s="22" t="e">
        <f>#REF!</f>
        <v>#REF!</v>
      </c>
      <c r="F17" s="25" t="e">
        <f>Table948[[#This Row],[RB1R]]+Table948[[#This Row],[RB2+]]</f>
        <v>#REF!</v>
      </c>
      <c r="G17" s="22" t="e">
        <f>#REF!</f>
        <v>#REF!</v>
      </c>
      <c r="H17" s="22" t="e">
        <f>#REF!</f>
        <v>#REF!</v>
      </c>
      <c r="I17" s="22" t="e">
        <f>#REF!</f>
        <v>#REF!</v>
      </c>
      <c r="J17" s="22" t="e">
        <f>#REF!</f>
        <v>#REF!</v>
      </c>
      <c r="K17" s="22" t="e">
        <f>#REF!</f>
        <v>#REF!</v>
      </c>
      <c r="L17" s="22" t="e">
        <f>#REF!</f>
        <v>#REF!</v>
      </c>
      <c r="M17" s="22">
        <v>5.6470588235294121</v>
      </c>
      <c r="N17" s="22">
        <v>76.941176470588232</v>
      </c>
      <c r="O17" s="22">
        <v>3.7647058823529411</v>
      </c>
      <c r="P17" s="22">
        <v>56.117647058823529</v>
      </c>
      <c r="Q17" s="22">
        <v>1.8823529411764706</v>
      </c>
      <c r="R17" s="22">
        <v>31.058823529411764</v>
      </c>
      <c r="S17" s="22">
        <v>1.2352941176470589</v>
      </c>
      <c r="T17" s="22">
        <v>10.705882352941176</v>
      </c>
      <c r="U17" s="22">
        <v>5.2352941176470589</v>
      </c>
      <c r="V17" s="22">
        <v>54.882352941176471</v>
      </c>
      <c r="W17" s="22">
        <v>0.11764705882352941</v>
      </c>
      <c r="X17" s="22">
        <v>1.1764705882352942</v>
      </c>
      <c r="Y17" s="22">
        <v>0.47058823529411764</v>
      </c>
      <c r="Z17" s="22">
        <v>0.47058823529411764</v>
      </c>
      <c r="AA17" s="22">
        <v>0.11764705882352941</v>
      </c>
      <c r="AB17" s="22">
        <v>0</v>
      </c>
      <c r="AC17" s="22" t="e">
        <f>#REF!</f>
        <v>#REF!</v>
      </c>
      <c r="AD17" s="22" t="e">
        <f>#REF!</f>
        <v>#REF!</v>
      </c>
    </row>
    <row r="18" spans="1:30" x14ac:dyDescent="0.35">
      <c r="A18" s="58" t="s">
        <v>40</v>
      </c>
      <c r="B18" s="22" t="e">
        <f>#REF!</f>
        <v>#REF!</v>
      </c>
      <c r="C18" s="22" t="e">
        <f>#REF!</f>
        <v>#REF!</v>
      </c>
      <c r="D18" s="22" t="e">
        <f>#REF!</f>
        <v>#REF!</v>
      </c>
      <c r="E18" s="22" t="e">
        <f>#REF!</f>
        <v>#REF!</v>
      </c>
      <c r="F18" s="25" t="e">
        <f>Table948[[#This Row],[RB1R]]+Table948[[#This Row],[RB2+]]</f>
        <v>#REF!</v>
      </c>
      <c r="G18" s="22" t="e">
        <f>#REF!</f>
        <v>#REF!</v>
      </c>
      <c r="H18" s="22" t="e">
        <f>#REF!</f>
        <v>#REF!</v>
      </c>
      <c r="I18" s="22" t="e">
        <f>#REF!</f>
        <v>#REF!</v>
      </c>
      <c r="J18" s="22" t="e">
        <f>#REF!</f>
        <v>#REF!</v>
      </c>
      <c r="K18" s="22" t="e">
        <f>#REF!</f>
        <v>#REF!</v>
      </c>
      <c r="L18" s="22" t="e">
        <f>#REF!</f>
        <v>#REF!</v>
      </c>
      <c r="M18" s="22">
        <v>4.8235294117647056</v>
      </c>
      <c r="N18" s="22">
        <v>57.705882352941174</v>
      </c>
      <c r="O18" s="22">
        <v>3.8235294117647061</v>
      </c>
      <c r="P18" s="22">
        <v>44.294117647058826</v>
      </c>
      <c r="Q18" s="22">
        <v>2.2941176470588234</v>
      </c>
      <c r="R18" s="22">
        <v>28.705882352941178</v>
      </c>
      <c r="S18" s="22">
        <v>1.2352941176470589</v>
      </c>
      <c r="T18" s="22">
        <v>8.0588235294117645</v>
      </c>
      <c r="U18" s="22">
        <v>6.2941176470588234</v>
      </c>
      <c r="V18" s="22">
        <v>70.058823529411768</v>
      </c>
      <c r="W18" s="22">
        <v>0.23529411764705882</v>
      </c>
      <c r="X18" s="22">
        <v>0.52941176470588236</v>
      </c>
      <c r="Y18" s="22">
        <v>0.23529411764705882</v>
      </c>
      <c r="Z18" s="22">
        <v>0.58823529411764708</v>
      </c>
      <c r="AA18" s="22">
        <v>0.29411764705882354</v>
      </c>
      <c r="AB18" s="22">
        <v>0</v>
      </c>
      <c r="AC18" s="22" t="e">
        <f>#REF!</f>
        <v>#REF!</v>
      </c>
      <c r="AD18" s="22" t="e">
        <f>#REF!</f>
        <v>#REF!</v>
      </c>
    </row>
    <row r="19" spans="1:30" x14ac:dyDescent="0.35">
      <c r="A19" s="57" t="s">
        <v>41</v>
      </c>
      <c r="B19" s="22" t="e">
        <f>#REF!</f>
        <v>#REF!</v>
      </c>
      <c r="C19" s="22" t="e">
        <f>#REF!</f>
        <v>#REF!</v>
      </c>
      <c r="D19" s="22" t="e">
        <f>#REF!</f>
        <v>#REF!</v>
      </c>
      <c r="E19" s="22" t="e">
        <f>#REF!</f>
        <v>#REF!</v>
      </c>
      <c r="F19" s="25" t="e">
        <f>Table948[[#This Row],[RB1R]]+Table948[[#This Row],[RB2+]]</f>
        <v>#REF!</v>
      </c>
      <c r="G19" s="22" t="e">
        <f>#REF!</f>
        <v>#REF!</v>
      </c>
      <c r="H19" s="22" t="e">
        <f>#REF!</f>
        <v>#REF!</v>
      </c>
      <c r="I19" s="22" t="e">
        <f>#REF!</f>
        <v>#REF!</v>
      </c>
      <c r="J19" s="22" t="e">
        <f>#REF!</f>
        <v>#REF!</v>
      </c>
      <c r="K19" s="22" t="e">
        <f>#REF!</f>
        <v>#REF!</v>
      </c>
      <c r="L19" s="22" t="e">
        <f>#REF!</f>
        <v>#REF!</v>
      </c>
      <c r="M19" s="22">
        <v>5.5882352941176467</v>
      </c>
      <c r="N19" s="22">
        <v>69.117647058823536</v>
      </c>
      <c r="O19" s="22">
        <v>3.4117647058823528</v>
      </c>
      <c r="P19" s="22">
        <v>45.235294117647058</v>
      </c>
      <c r="Q19" s="22">
        <v>1.8823529411764706</v>
      </c>
      <c r="R19" s="22">
        <v>30.058823529411764</v>
      </c>
      <c r="S19" s="22">
        <v>0.35294117647058826</v>
      </c>
      <c r="T19" s="22">
        <v>3</v>
      </c>
      <c r="U19" s="22">
        <v>5.3529411764705879</v>
      </c>
      <c r="V19" s="22">
        <v>45.588235294117645</v>
      </c>
      <c r="W19" s="22">
        <v>0.17647058823529413</v>
      </c>
      <c r="X19" s="22">
        <v>0.52941176470588236</v>
      </c>
      <c r="Y19" s="22">
        <v>0.52941176470588236</v>
      </c>
      <c r="Z19" s="22">
        <v>0.41176470588235292</v>
      </c>
      <c r="AA19" s="22">
        <v>5.8823529411764705E-2</v>
      </c>
      <c r="AB19" s="22">
        <v>0</v>
      </c>
      <c r="AC19" s="22" t="e">
        <f>#REF!</f>
        <v>#REF!</v>
      </c>
      <c r="AD19" s="22" t="e">
        <f>#REF!</f>
        <v>#REF!</v>
      </c>
    </row>
    <row r="20" spans="1:30" x14ac:dyDescent="0.35">
      <c r="A20" s="58" t="s">
        <v>42</v>
      </c>
      <c r="B20" s="22" t="e">
        <f>#REF!</f>
        <v>#REF!</v>
      </c>
      <c r="C20" s="22" t="e">
        <f>#REF!</f>
        <v>#REF!</v>
      </c>
      <c r="D20" s="22" t="e">
        <f>#REF!</f>
        <v>#REF!</v>
      </c>
      <c r="E20" s="22" t="e">
        <f>#REF!</f>
        <v>#REF!</v>
      </c>
      <c r="F20" s="25" t="e">
        <f>Table948[[#This Row],[RB1R]]+Table948[[#This Row],[RB2+]]</f>
        <v>#REF!</v>
      </c>
      <c r="G20" s="22" t="e">
        <f>#REF!</f>
        <v>#REF!</v>
      </c>
      <c r="H20" s="22" t="e">
        <f>#REF!</f>
        <v>#REF!</v>
      </c>
      <c r="I20" s="22" t="e">
        <f>#REF!</f>
        <v>#REF!</v>
      </c>
      <c r="J20" s="22" t="e">
        <f>#REF!</f>
        <v>#REF!</v>
      </c>
      <c r="K20" s="22" t="e">
        <f>#REF!</f>
        <v>#REF!</v>
      </c>
      <c r="L20" s="22" t="e">
        <f>#REF!</f>
        <v>#REF!</v>
      </c>
      <c r="M20" s="22">
        <v>4.5294117647058822</v>
      </c>
      <c r="N20" s="22">
        <v>69.705882352941174</v>
      </c>
      <c r="O20" s="22">
        <v>3.7647058823529411</v>
      </c>
      <c r="P20" s="22">
        <v>49</v>
      </c>
      <c r="Q20" s="22">
        <v>1.7058823529411764</v>
      </c>
      <c r="R20" s="22">
        <v>17.705882352941178</v>
      </c>
      <c r="S20" s="22">
        <v>0.47058823529411764</v>
      </c>
      <c r="T20" s="22">
        <v>5.6470588235294121</v>
      </c>
      <c r="U20" s="22">
        <v>6.2941176470588234</v>
      </c>
      <c r="V20" s="22">
        <v>65</v>
      </c>
      <c r="W20" s="22">
        <v>0.17647058823529413</v>
      </c>
      <c r="X20" s="22">
        <v>0.58823529411764708</v>
      </c>
      <c r="Y20" s="22">
        <v>0.58823529411764708</v>
      </c>
      <c r="Z20" s="22">
        <v>0.41176470588235292</v>
      </c>
      <c r="AA20" s="22">
        <v>5.8823529411764705E-2</v>
      </c>
      <c r="AB20" s="22">
        <v>0.17647058823529413</v>
      </c>
      <c r="AC20" s="22" t="e">
        <f>#REF!</f>
        <v>#REF!</v>
      </c>
      <c r="AD20" s="22" t="e">
        <f>#REF!</f>
        <v>#REF!</v>
      </c>
    </row>
    <row r="21" spans="1:30" x14ac:dyDescent="0.35">
      <c r="A21" s="57" t="s">
        <v>43</v>
      </c>
      <c r="B21" s="22" t="e">
        <f>#REF!</f>
        <v>#REF!</v>
      </c>
      <c r="C21" s="22" t="e">
        <f>#REF!</f>
        <v>#REF!</v>
      </c>
      <c r="D21" s="22" t="e">
        <f>#REF!</f>
        <v>#REF!</v>
      </c>
      <c r="E21" s="22" t="e">
        <f>#REF!</f>
        <v>#REF!</v>
      </c>
      <c r="F21" s="25" t="e">
        <f>Table948[[#This Row],[RB1R]]+Table948[[#This Row],[RB2+]]</f>
        <v>#REF!</v>
      </c>
      <c r="G21" s="22" t="e">
        <f>#REF!</f>
        <v>#REF!</v>
      </c>
      <c r="H21" s="22" t="e">
        <f>#REF!</f>
        <v>#REF!</v>
      </c>
      <c r="I21" s="22" t="e">
        <f>#REF!</f>
        <v>#REF!</v>
      </c>
      <c r="J21" s="22" t="e">
        <f>#REF!</f>
        <v>#REF!</v>
      </c>
      <c r="K21" s="22" t="e">
        <f>#REF!</f>
        <v>#REF!</v>
      </c>
      <c r="L21" s="22" t="e">
        <f>#REF!</f>
        <v>#REF!</v>
      </c>
      <c r="M21" s="22">
        <v>5.0588235294117645</v>
      </c>
      <c r="N21" s="22">
        <v>64.882352941176464</v>
      </c>
      <c r="O21" s="22">
        <v>3.7647058823529411</v>
      </c>
      <c r="P21" s="22">
        <v>48.352941176470587</v>
      </c>
      <c r="Q21" s="22">
        <v>1.8235294117647058</v>
      </c>
      <c r="R21" s="22">
        <v>20.705882352941178</v>
      </c>
      <c r="S21" s="22">
        <v>0.88235294117647056</v>
      </c>
      <c r="T21" s="22">
        <v>8.0588235294117645</v>
      </c>
      <c r="U21" s="22">
        <v>6</v>
      </c>
      <c r="V21" s="22">
        <v>64.529411764705884</v>
      </c>
      <c r="W21" s="22">
        <v>0.17647058823529413</v>
      </c>
      <c r="X21" s="22">
        <v>0.88235294117647056</v>
      </c>
      <c r="Y21" s="22">
        <v>0.47058823529411764</v>
      </c>
      <c r="Z21" s="22">
        <v>0.17647058823529413</v>
      </c>
      <c r="AA21" s="22">
        <v>0.23529411764705882</v>
      </c>
      <c r="AB21" s="22">
        <v>5.8823529411764705E-2</v>
      </c>
      <c r="AC21" s="22" t="e">
        <f>#REF!</f>
        <v>#REF!</v>
      </c>
      <c r="AD21" s="22" t="e">
        <f>#REF!</f>
        <v>#REF!</v>
      </c>
    </row>
    <row r="22" spans="1:30" x14ac:dyDescent="0.35">
      <c r="A22" s="58" t="s">
        <v>44</v>
      </c>
      <c r="B22" s="22" t="e">
        <f>#REF!</f>
        <v>#REF!</v>
      </c>
      <c r="C22" s="22" t="e">
        <f>#REF!</f>
        <v>#REF!</v>
      </c>
      <c r="D22" s="22" t="e">
        <f>#REF!</f>
        <v>#REF!</v>
      </c>
      <c r="E22" s="22" t="e">
        <f>#REF!</f>
        <v>#REF!</v>
      </c>
      <c r="F22" s="25" t="e">
        <f>Table948[[#This Row],[RB1R]]+Table948[[#This Row],[RB2+]]</f>
        <v>#REF!</v>
      </c>
      <c r="G22" s="22" t="e">
        <f>#REF!</f>
        <v>#REF!</v>
      </c>
      <c r="H22" s="22" t="e">
        <f>#REF!</f>
        <v>#REF!</v>
      </c>
      <c r="I22" s="22" t="e">
        <f>#REF!</f>
        <v>#REF!</v>
      </c>
      <c r="J22" s="22" t="e">
        <f>#REF!</f>
        <v>#REF!</v>
      </c>
      <c r="K22" s="22" t="e">
        <f>#REF!</f>
        <v>#REF!</v>
      </c>
      <c r="L22" s="22" t="e">
        <f>#REF!</f>
        <v>#REF!</v>
      </c>
      <c r="M22" s="22">
        <v>5.0588235294117645</v>
      </c>
      <c r="N22" s="22">
        <v>60.529411764705884</v>
      </c>
      <c r="O22" s="22">
        <v>3.2352941176470589</v>
      </c>
      <c r="P22" s="22">
        <v>40.941176470588232</v>
      </c>
      <c r="Q22" s="22">
        <v>2.4117647058823528</v>
      </c>
      <c r="R22" s="22">
        <v>27.294117647058822</v>
      </c>
      <c r="S22" s="22">
        <v>0.88235294117647056</v>
      </c>
      <c r="T22" s="22">
        <v>7.0588235294117645</v>
      </c>
      <c r="U22" s="22">
        <v>5.6470588235294121</v>
      </c>
      <c r="V22" s="22">
        <v>55.882352941176471</v>
      </c>
      <c r="W22" s="22">
        <v>0</v>
      </c>
      <c r="X22" s="22">
        <v>0.94117647058823528</v>
      </c>
      <c r="Y22" s="22">
        <v>0.47058823529411764</v>
      </c>
      <c r="Z22" s="22">
        <v>0.17647058823529413</v>
      </c>
      <c r="AA22" s="22">
        <v>0.11764705882352941</v>
      </c>
      <c r="AB22" s="22">
        <v>0</v>
      </c>
      <c r="AC22" s="22" t="e">
        <f>#REF!</f>
        <v>#REF!</v>
      </c>
      <c r="AD22" s="22" t="e">
        <f>#REF!</f>
        <v>#REF!</v>
      </c>
    </row>
    <row r="23" spans="1:30" x14ac:dyDescent="0.35">
      <c r="A23" s="57" t="s">
        <v>45</v>
      </c>
      <c r="B23" s="22" t="e">
        <f>#REF!</f>
        <v>#REF!</v>
      </c>
      <c r="C23" s="22" t="e">
        <f>#REF!</f>
        <v>#REF!</v>
      </c>
      <c r="D23" s="22" t="e">
        <f>#REF!</f>
        <v>#REF!</v>
      </c>
      <c r="E23" s="22" t="e">
        <f>#REF!</f>
        <v>#REF!</v>
      </c>
      <c r="F23" s="25" t="e">
        <f>Table948[[#This Row],[RB1R]]+Table948[[#This Row],[RB2+]]</f>
        <v>#REF!</v>
      </c>
      <c r="G23" s="22" t="e">
        <f>#REF!</f>
        <v>#REF!</v>
      </c>
      <c r="H23" s="22" t="e">
        <f>#REF!</f>
        <v>#REF!</v>
      </c>
      <c r="I23" s="22" t="e">
        <f>#REF!</f>
        <v>#REF!</v>
      </c>
      <c r="J23" s="22" t="e">
        <f>#REF!</f>
        <v>#REF!</v>
      </c>
      <c r="K23" s="22" t="e">
        <f>#REF!</f>
        <v>#REF!</v>
      </c>
      <c r="L23" s="22" t="e">
        <f>#REF!</f>
        <v>#REF!</v>
      </c>
      <c r="M23" s="22">
        <v>5.1764705882352944</v>
      </c>
      <c r="N23" s="22">
        <v>64.941176470588232</v>
      </c>
      <c r="O23" s="22">
        <v>5.5294117647058822</v>
      </c>
      <c r="P23" s="22">
        <v>68.882352941176464</v>
      </c>
      <c r="Q23" s="22">
        <v>3.0588235294117645</v>
      </c>
      <c r="R23" s="22">
        <v>37.117647058823529</v>
      </c>
      <c r="S23" s="22">
        <v>1.1176470588235294</v>
      </c>
      <c r="T23" s="22">
        <v>12.294117647058824</v>
      </c>
      <c r="U23" s="22">
        <v>5.1764705882352944</v>
      </c>
      <c r="V23" s="22">
        <v>51.764705882352942</v>
      </c>
      <c r="W23" s="22">
        <v>5.8823529411764705E-2</v>
      </c>
      <c r="X23" s="22">
        <v>0.82352941176470584</v>
      </c>
      <c r="Y23" s="22">
        <v>0.41176470588235292</v>
      </c>
      <c r="Z23" s="22">
        <v>0.29411764705882354</v>
      </c>
      <c r="AA23" s="22">
        <v>0.29411764705882354</v>
      </c>
      <c r="AB23" s="22">
        <v>5.8823529411764705E-2</v>
      </c>
      <c r="AC23" s="22" t="e">
        <f>#REF!</f>
        <v>#REF!</v>
      </c>
      <c r="AD23" s="22" t="e">
        <f>#REF!</f>
        <v>#REF!</v>
      </c>
    </row>
    <row r="24" spans="1:30" x14ac:dyDescent="0.35">
      <c r="A24" s="58" t="s">
        <v>46</v>
      </c>
      <c r="B24" s="22" t="e">
        <f>#REF!</f>
        <v>#REF!</v>
      </c>
      <c r="C24" s="22" t="e">
        <f>#REF!</f>
        <v>#REF!</v>
      </c>
      <c r="D24" s="22" t="e">
        <f>#REF!</f>
        <v>#REF!</v>
      </c>
      <c r="E24" s="22" t="e">
        <f>#REF!</f>
        <v>#REF!</v>
      </c>
      <c r="F24" s="25" t="e">
        <f>Table948[[#This Row],[RB1R]]+Table948[[#This Row],[RB2+]]</f>
        <v>#REF!</v>
      </c>
      <c r="G24" s="22" t="e">
        <f>#REF!</f>
        <v>#REF!</v>
      </c>
      <c r="H24" s="22" t="e">
        <f>#REF!</f>
        <v>#REF!</v>
      </c>
      <c r="I24" s="22" t="e">
        <f>#REF!</f>
        <v>#REF!</v>
      </c>
      <c r="J24" s="22" t="e">
        <f>#REF!</f>
        <v>#REF!</v>
      </c>
      <c r="K24" s="22" t="e">
        <f>#REF!</f>
        <v>#REF!</v>
      </c>
      <c r="L24" s="22" t="e">
        <f>#REF!</f>
        <v>#REF!</v>
      </c>
      <c r="M24" s="22">
        <v>4.5294117647058822</v>
      </c>
      <c r="N24" s="22">
        <v>56.235294117647058</v>
      </c>
      <c r="O24" s="22">
        <v>4.9411764705882355</v>
      </c>
      <c r="P24" s="22">
        <v>62.058823529411768</v>
      </c>
      <c r="Q24" s="22">
        <v>1.7647058823529411</v>
      </c>
      <c r="R24" s="22">
        <v>21.058823529411764</v>
      </c>
      <c r="S24" s="22">
        <v>0.76470588235294112</v>
      </c>
      <c r="T24" s="22">
        <v>7.3529411764705879</v>
      </c>
      <c r="U24" s="22">
        <v>5.117647058823529</v>
      </c>
      <c r="V24" s="22">
        <v>50.235294117647058</v>
      </c>
      <c r="W24" s="22">
        <v>5.8823529411764705E-2</v>
      </c>
      <c r="X24" s="22">
        <v>1.2352941176470589</v>
      </c>
      <c r="Y24" s="22">
        <v>0.41176470588235292</v>
      </c>
      <c r="Z24" s="22">
        <v>0.41176470588235292</v>
      </c>
      <c r="AA24" s="22">
        <v>5.8823529411764705E-2</v>
      </c>
      <c r="AB24" s="22">
        <v>5.8823529411764705E-2</v>
      </c>
      <c r="AC24" s="22" t="e">
        <f>#REF!</f>
        <v>#REF!</v>
      </c>
      <c r="AD24" s="22" t="e">
        <f>#REF!</f>
        <v>#REF!</v>
      </c>
    </row>
    <row r="25" spans="1:30" x14ac:dyDescent="0.35">
      <c r="A25" s="57" t="s">
        <v>47</v>
      </c>
      <c r="B25" s="22" t="e">
        <f>#REF!</f>
        <v>#REF!</v>
      </c>
      <c r="C25" s="22" t="e">
        <f>#REF!</f>
        <v>#REF!</v>
      </c>
      <c r="D25" s="22" t="e">
        <f>#REF!</f>
        <v>#REF!</v>
      </c>
      <c r="E25" s="22" t="e">
        <f>#REF!</f>
        <v>#REF!</v>
      </c>
      <c r="F25" s="25" t="e">
        <f>Table948[[#This Row],[RB1R]]+Table948[[#This Row],[RB2+]]</f>
        <v>#REF!</v>
      </c>
      <c r="G25" s="22" t="e">
        <f>#REF!</f>
        <v>#REF!</v>
      </c>
      <c r="H25" s="22" t="e">
        <f>#REF!</f>
        <v>#REF!</v>
      </c>
      <c r="I25" s="22" t="e">
        <f>#REF!</f>
        <v>#REF!</v>
      </c>
      <c r="J25" s="22" t="e">
        <f>#REF!</f>
        <v>#REF!</v>
      </c>
      <c r="K25" s="22" t="e">
        <f>#REF!</f>
        <v>#REF!</v>
      </c>
      <c r="L25" s="22" t="e">
        <f>#REF!</f>
        <v>#REF!</v>
      </c>
      <c r="M25" s="22">
        <v>4.7647058823529411</v>
      </c>
      <c r="N25" s="22">
        <v>64.705882352941174</v>
      </c>
      <c r="O25" s="22">
        <v>4.1764705882352944</v>
      </c>
      <c r="P25" s="22">
        <v>56.352941176470587</v>
      </c>
      <c r="Q25" s="22">
        <v>2.7058823529411766</v>
      </c>
      <c r="R25" s="22">
        <v>32.647058823529413</v>
      </c>
      <c r="S25" s="22">
        <v>1.2352941176470589</v>
      </c>
      <c r="T25" s="22">
        <v>12.529411764705882</v>
      </c>
      <c r="U25" s="22">
        <v>4.7647058823529411</v>
      </c>
      <c r="V25" s="22">
        <v>57.117647058823529</v>
      </c>
      <c r="W25" s="22">
        <v>5.8823529411764705E-2</v>
      </c>
      <c r="X25" s="22">
        <v>1.1176470588235294</v>
      </c>
      <c r="Y25" s="22">
        <v>0.41176470588235292</v>
      </c>
      <c r="Z25" s="22">
        <v>0.47058823529411764</v>
      </c>
      <c r="AA25" s="22">
        <v>0.11764705882352941</v>
      </c>
      <c r="AB25" s="22">
        <v>0</v>
      </c>
      <c r="AC25" s="22" t="e">
        <f>#REF!</f>
        <v>#REF!</v>
      </c>
      <c r="AD25" s="22" t="e">
        <f>#REF!</f>
        <v>#REF!</v>
      </c>
    </row>
    <row r="26" spans="1:30" x14ac:dyDescent="0.35">
      <c r="A26" s="58" t="s">
        <v>48</v>
      </c>
      <c r="B26" s="22" t="e">
        <f>#REF!</f>
        <v>#REF!</v>
      </c>
      <c r="C26" s="22" t="e">
        <f>#REF!</f>
        <v>#REF!</v>
      </c>
      <c r="D26" s="22" t="e">
        <f>#REF!</f>
        <v>#REF!</v>
      </c>
      <c r="E26" s="22" t="e">
        <f>#REF!</f>
        <v>#REF!</v>
      </c>
      <c r="F26" s="25" t="e">
        <f>Table948[[#This Row],[RB1R]]+Table948[[#This Row],[RB2+]]</f>
        <v>#REF!</v>
      </c>
      <c r="G26" s="22" t="e">
        <f>#REF!</f>
        <v>#REF!</v>
      </c>
      <c r="H26" s="22" t="e">
        <f>#REF!</f>
        <v>#REF!</v>
      </c>
      <c r="I26" s="22" t="e">
        <f>#REF!</f>
        <v>#REF!</v>
      </c>
      <c r="J26" s="22" t="e">
        <f>#REF!</f>
        <v>#REF!</v>
      </c>
      <c r="K26" s="22" t="e">
        <f>#REF!</f>
        <v>#REF!</v>
      </c>
      <c r="L26" s="22" t="e">
        <f>#REF!</f>
        <v>#REF!</v>
      </c>
      <c r="M26" s="22">
        <v>5</v>
      </c>
      <c r="N26" s="22">
        <v>63.941176470588232</v>
      </c>
      <c r="O26" s="22">
        <v>3.4705882352941178</v>
      </c>
      <c r="P26" s="22">
        <v>39.529411764705884</v>
      </c>
      <c r="Q26" s="22">
        <v>2.2352941176470589</v>
      </c>
      <c r="R26" s="22">
        <v>32.823529411764703</v>
      </c>
      <c r="S26" s="22">
        <v>1.1764705882352942</v>
      </c>
      <c r="T26" s="22">
        <v>13.529411764705882</v>
      </c>
      <c r="U26" s="22">
        <v>3.7647058823529411</v>
      </c>
      <c r="V26" s="22">
        <v>39.705882352941174</v>
      </c>
      <c r="W26" s="22">
        <v>0.23529411764705882</v>
      </c>
      <c r="X26" s="22">
        <v>0.94117647058823528</v>
      </c>
      <c r="Y26" s="22">
        <v>0.47058823529411764</v>
      </c>
      <c r="Z26" s="22">
        <v>0.29411764705882354</v>
      </c>
      <c r="AA26" s="22">
        <v>0.17647058823529413</v>
      </c>
      <c r="AB26" s="22">
        <v>5.8823529411764705E-2</v>
      </c>
      <c r="AC26" s="22" t="e">
        <f>#REF!</f>
        <v>#REF!</v>
      </c>
      <c r="AD26" s="22" t="e">
        <f>#REF!</f>
        <v>#REF!</v>
      </c>
    </row>
    <row r="27" spans="1:30" x14ac:dyDescent="0.35">
      <c r="A27" s="57" t="s">
        <v>49</v>
      </c>
      <c r="B27" s="22" t="e">
        <f>#REF!</f>
        <v>#REF!</v>
      </c>
      <c r="C27" s="22" t="e">
        <f>#REF!</f>
        <v>#REF!</v>
      </c>
      <c r="D27" s="22" t="e">
        <f>#REF!</f>
        <v>#REF!</v>
      </c>
      <c r="E27" s="22" t="e">
        <f>#REF!</f>
        <v>#REF!</v>
      </c>
      <c r="F27" s="25" t="e">
        <f>Table948[[#This Row],[RB1R]]+Table948[[#This Row],[RB2+]]</f>
        <v>#REF!</v>
      </c>
      <c r="G27" s="22" t="e">
        <f>#REF!</f>
        <v>#REF!</v>
      </c>
      <c r="H27" s="22" t="e">
        <f>#REF!</f>
        <v>#REF!</v>
      </c>
      <c r="I27" s="22" t="e">
        <f>#REF!</f>
        <v>#REF!</v>
      </c>
      <c r="J27" s="22" t="e">
        <f>#REF!</f>
        <v>#REF!</v>
      </c>
      <c r="K27" s="22" t="e">
        <f>#REF!</f>
        <v>#REF!</v>
      </c>
      <c r="L27" s="22" t="e">
        <f>#REF!</f>
        <v>#REF!</v>
      </c>
      <c r="M27" s="22">
        <v>4.6470588235294121</v>
      </c>
      <c r="N27" s="22">
        <v>63.529411764705884</v>
      </c>
      <c r="O27" s="22">
        <v>3.4705882352941178</v>
      </c>
      <c r="P27" s="22">
        <v>42.588235294117645</v>
      </c>
      <c r="Q27" s="22">
        <v>2</v>
      </c>
      <c r="R27" s="22">
        <v>22.941176470588236</v>
      </c>
      <c r="S27" s="22">
        <v>0.6470588235294118</v>
      </c>
      <c r="T27" s="22">
        <v>10.529411764705882</v>
      </c>
      <c r="U27" s="22">
        <v>4.8235294117647056</v>
      </c>
      <c r="V27" s="22">
        <v>43.411764705882355</v>
      </c>
      <c r="W27" s="22">
        <v>0.47058823529411764</v>
      </c>
      <c r="X27" s="22">
        <v>0.6470588235294118</v>
      </c>
      <c r="Y27" s="22">
        <v>0.52941176470588236</v>
      </c>
      <c r="Z27" s="22">
        <v>0.17647058823529413</v>
      </c>
      <c r="AA27" s="22">
        <v>0.11764705882352941</v>
      </c>
      <c r="AB27" s="22">
        <v>0.11764705882352941</v>
      </c>
      <c r="AC27" s="22" t="e">
        <f>#REF!</f>
        <v>#REF!</v>
      </c>
      <c r="AD27" s="22" t="e">
        <f>#REF!</f>
        <v>#REF!</v>
      </c>
    </row>
    <row r="28" spans="1:30" x14ac:dyDescent="0.35">
      <c r="A28" s="58" t="s">
        <v>50</v>
      </c>
      <c r="B28" s="22" t="e">
        <f>#REF!</f>
        <v>#REF!</v>
      </c>
      <c r="C28" s="22" t="e">
        <f>#REF!</f>
        <v>#REF!</v>
      </c>
      <c r="D28" s="22" t="e">
        <f>#REF!</f>
        <v>#REF!</v>
      </c>
      <c r="E28" s="22" t="e">
        <f>#REF!</f>
        <v>#REF!</v>
      </c>
      <c r="F28" s="25" t="e">
        <f>Table948[[#This Row],[RB1R]]+Table948[[#This Row],[RB2+]]</f>
        <v>#REF!</v>
      </c>
      <c r="G28" s="22" t="e">
        <f>#REF!</f>
        <v>#REF!</v>
      </c>
      <c r="H28" s="22" t="e">
        <f>#REF!</f>
        <v>#REF!</v>
      </c>
      <c r="I28" s="22" t="e">
        <f>#REF!</f>
        <v>#REF!</v>
      </c>
      <c r="J28" s="22" t="e">
        <f>#REF!</f>
        <v>#REF!</v>
      </c>
      <c r="K28" s="22" t="e">
        <f>#REF!</f>
        <v>#REF!</v>
      </c>
      <c r="L28" s="22" t="e">
        <f>#REF!</f>
        <v>#REF!</v>
      </c>
      <c r="M28" s="22">
        <v>5.2352941176470589</v>
      </c>
      <c r="N28" s="22">
        <v>61.117647058823529</v>
      </c>
      <c r="O28" s="22">
        <v>3.4117647058823528</v>
      </c>
      <c r="P28" s="22">
        <v>36.176470588235297</v>
      </c>
      <c r="Q28" s="22">
        <v>1.6470588235294117</v>
      </c>
      <c r="R28" s="22">
        <v>18.823529411764707</v>
      </c>
      <c r="S28" s="22">
        <v>1.0588235294117647</v>
      </c>
      <c r="T28" s="22">
        <v>10.058823529411764</v>
      </c>
      <c r="U28" s="22">
        <v>4.1764705882352944</v>
      </c>
      <c r="V28" s="22">
        <v>38.117647058823529</v>
      </c>
      <c r="W28" s="22">
        <v>0.17647058823529413</v>
      </c>
      <c r="X28" s="22">
        <v>0.29411764705882354</v>
      </c>
      <c r="Y28" s="22">
        <v>0.52941176470588236</v>
      </c>
      <c r="Z28" s="22">
        <v>0.29411764705882354</v>
      </c>
      <c r="AA28" s="22">
        <v>0.11764705882352941</v>
      </c>
      <c r="AB28" s="22">
        <v>0.11764705882352941</v>
      </c>
      <c r="AC28" s="22" t="e">
        <f>#REF!</f>
        <v>#REF!</v>
      </c>
      <c r="AD28" s="22" t="e">
        <f>#REF!</f>
        <v>#REF!</v>
      </c>
    </row>
    <row r="29" spans="1:30" x14ac:dyDescent="0.35">
      <c r="A29" s="57" t="s">
        <v>51</v>
      </c>
      <c r="B29" s="22" t="e">
        <f>#REF!</f>
        <v>#REF!</v>
      </c>
      <c r="C29" s="22" t="e">
        <f>#REF!</f>
        <v>#REF!</v>
      </c>
      <c r="D29" s="22" t="e">
        <f>#REF!</f>
        <v>#REF!</v>
      </c>
      <c r="E29" s="22" t="e">
        <f>#REF!</f>
        <v>#REF!</v>
      </c>
      <c r="F29" s="25" t="e">
        <f>Table948[[#This Row],[RB1R]]+Table948[[#This Row],[RB2+]]</f>
        <v>#REF!</v>
      </c>
      <c r="G29" s="22" t="e">
        <f>#REF!</f>
        <v>#REF!</v>
      </c>
      <c r="H29" s="22" t="e">
        <f>#REF!</f>
        <v>#REF!</v>
      </c>
      <c r="I29" s="22" t="e">
        <f>#REF!</f>
        <v>#REF!</v>
      </c>
      <c r="J29" s="22" t="e">
        <f>#REF!</f>
        <v>#REF!</v>
      </c>
      <c r="K29" s="22" t="e">
        <f>#REF!</f>
        <v>#REF!</v>
      </c>
      <c r="L29" s="22" t="e">
        <f>#REF!</f>
        <v>#REF!</v>
      </c>
      <c r="M29" s="22">
        <v>4.5294117647058822</v>
      </c>
      <c r="N29" s="22">
        <v>64.588235294117652</v>
      </c>
      <c r="O29" s="22">
        <v>4.4117647058823533</v>
      </c>
      <c r="P29" s="22">
        <v>56.647058823529413</v>
      </c>
      <c r="Q29" s="22">
        <v>2.3529411764705883</v>
      </c>
      <c r="R29" s="22">
        <v>26.705882352941178</v>
      </c>
      <c r="S29" s="22">
        <v>0.6470588235294118</v>
      </c>
      <c r="T29" s="22">
        <v>7.0588235294117645</v>
      </c>
      <c r="U29" s="22">
        <v>6.1764705882352944</v>
      </c>
      <c r="V29" s="22">
        <v>56.411764705882355</v>
      </c>
      <c r="W29" s="22">
        <v>0.11764705882352941</v>
      </c>
      <c r="X29" s="22">
        <v>0.76470588235294112</v>
      </c>
      <c r="Y29" s="22">
        <v>0.35294117647058826</v>
      </c>
      <c r="Z29" s="22">
        <v>0.35294117647058826</v>
      </c>
      <c r="AA29" s="22">
        <v>0.11764705882352941</v>
      </c>
      <c r="AB29" s="22">
        <v>5.8823529411764705E-2</v>
      </c>
      <c r="AC29" s="22" t="e">
        <f>#REF!</f>
        <v>#REF!</v>
      </c>
      <c r="AD29" s="22" t="e">
        <f>#REF!</f>
        <v>#REF!</v>
      </c>
    </row>
    <row r="30" spans="1:30" x14ac:dyDescent="0.35">
      <c r="A30" s="58" t="s">
        <v>52</v>
      </c>
      <c r="B30" s="22" t="e">
        <f>#REF!</f>
        <v>#REF!</v>
      </c>
      <c r="C30" s="22" t="e">
        <f>#REF!</f>
        <v>#REF!</v>
      </c>
      <c r="D30" s="22" t="e">
        <f>#REF!</f>
        <v>#REF!</v>
      </c>
      <c r="E30" s="22" t="e">
        <f>#REF!</f>
        <v>#REF!</v>
      </c>
      <c r="F30" s="25" t="e">
        <f>Table948[[#This Row],[RB1R]]+Table948[[#This Row],[RB2+]]</f>
        <v>#REF!</v>
      </c>
      <c r="G30" s="22" t="e">
        <f>#REF!</f>
        <v>#REF!</v>
      </c>
      <c r="H30" s="22" t="e">
        <f>#REF!</f>
        <v>#REF!</v>
      </c>
      <c r="I30" s="22" t="e">
        <f>#REF!</f>
        <v>#REF!</v>
      </c>
      <c r="J30" s="22" t="e">
        <f>#REF!</f>
        <v>#REF!</v>
      </c>
      <c r="K30" s="22" t="e">
        <f>#REF!</f>
        <v>#REF!</v>
      </c>
      <c r="L30" s="22" t="e">
        <f>#REF!</f>
        <v>#REF!</v>
      </c>
      <c r="M30" s="22">
        <v>4.6470588235294121</v>
      </c>
      <c r="N30" s="22">
        <v>50.235294117647058</v>
      </c>
      <c r="O30" s="22">
        <v>4.4117647058823533</v>
      </c>
      <c r="P30" s="22">
        <v>55.411764705882355</v>
      </c>
      <c r="Q30" s="22">
        <v>2.2941176470588234</v>
      </c>
      <c r="R30" s="22">
        <v>27.411764705882351</v>
      </c>
      <c r="S30" s="22">
        <v>0.82352941176470584</v>
      </c>
      <c r="T30" s="22">
        <v>9.0588235294117645</v>
      </c>
      <c r="U30" s="22">
        <v>5.0588235294117645</v>
      </c>
      <c r="V30" s="22">
        <v>52.352941176470587</v>
      </c>
      <c r="W30" s="22">
        <v>0.17647058823529413</v>
      </c>
      <c r="X30" s="22">
        <v>0.6470588235294118</v>
      </c>
      <c r="Y30" s="22">
        <v>0.35294117647058826</v>
      </c>
      <c r="Z30" s="22">
        <v>0.35294117647058826</v>
      </c>
      <c r="AA30" s="22">
        <v>0.35294117647058826</v>
      </c>
      <c r="AB30" s="22">
        <v>5.8823529411764705E-2</v>
      </c>
      <c r="AC30" s="22" t="e">
        <f>#REF!</f>
        <v>#REF!</v>
      </c>
      <c r="AD30" s="22" t="e">
        <f>#REF!</f>
        <v>#REF!</v>
      </c>
    </row>
    <row r="31" spans="1:30" x14ac:dyDescent="0.35">
      <c r="A31" s="57" t="s">
        <v>53</v>
      </c>
      <c r="B31" s="22" t="e">
        <f>#REF!</f>
        <v>#REF!</v>
      </c>
      <c r="C31" s="22" t="e">
        <f>#REF!</f>
        <v>#REF!</v>
      </c>
      <c r="D31" s="22" t="e">
        <f>#REF!</f>
        <v>#REF!</v>
      </c>
      <c r="E31" s="22" t="e">
        <f>#REF!</f>
        <v>#REF!</v>
      </c>
      <c r="F31" s="25" t="e">
        <f>Table948[[#This Row],[RB1R]]+Table948[[#This Row],[RB2+]]</f>
        <v>#REF!</v>
      </c>
      <c r="G31" s="22" t="e">
        <f>#REF!</f>
        <v>#REF!</v>
      </c>
      <c r="H31" s="22" t="e">
        <f>#REF!</f>
        <v>#REF!</v>
      </c>
      <c r="I31" s="22" t="e">
        <f>#REF!</f>
        <v>#REF!</v>
      </c>
      <c r="J31" s="22" t="e">
        <f>#REF!</f>
        <v>#REF!</v>
      </c>
      <c r="K31" s="22" t="e">
        <f>#REF!</f>
        <v>#REF!</v>
      </c>
      <c r="L31" s="22" t="e">
        <f>#REF!</f>
        <v>#REF!</v>
      </c>
      <c r="M31" s="22">
        <v>4.2352941176470589</v>
      </c>
      <c r="N31" s="22">
        <v>48.411764705882355</v>
      </c>
      <c r="O31" s="22">
        <v>4.117647058823529</v>
      </c>
      <c r="P31" s="22">
        <v>54.411764705882355</v>
      </c>
      <c r="Q31" s="22">
        <v>1.7058823529411764</v>
      </c>
      <c r="R31" s="22">
        <v>18.470588235294116</v>
      </c>
      <c r="S31" s="22">
        <v>0.58823529411764708</v>
      </c>
      <c r="T31" s="22">
        <v>5.6470588235294121</v>
      </c>
      <c r="U31" s="22">
        <v>4.5294117647058822</v>
      </c>
      <c r="V31" s="22">
        <v>40.823529411764703</v>
      </c>
      <c r="W31" s="22">
        <v>0.29411764705882354</v>
      </c>
      <c r="X31" s="22">
        <v>1.1764705882352942</v>
      </c>
      <c r="Y31" s="22">
        <v>0.35294117647058826</v>
      </c>
      <c r="Z31" s="22">
        <v>0.58823529411764708</v>
      </c>
      <c r="AA31" s="22">
        <v>0.11764705882352941</v>
      </c>
      <c r="AB31" s="22">
        <v>5.8823529411764705E-2</v>
      </c>
      <c r="AC31" s="22" t="e">
        <f>#REF!</f>
        <v>#REF!</v>
      </c>
      <c r="AD31" s="22" t="e">
        <f>#REF!</f>
        <v>#REF!</v>
      </c>
    </row>
    <row r="32" spans="1:30" x14ac:dyDescent="0.35">
      <c r="A32" s="58" t="s">
        <v>54</v>
      </c>
      <c r="B32" s="22" t="e">
        <f>#REF!</f>
        <v>#REF!</v>
      </c>
      <c r="C32" s="22" t="e">
        <f>#REF!</f>
        <v>#REF!</v>
      </c>
      <c r="D32" s="22" t="e">
        <f>#REF!</f>
        <v>#REF!</v>
      </c>
      <c r="E32" s="22" t="e">
        <f>#REF!</f>
        <v>#REF!</v>
      </c>
      <c r="F32" s="25" t="e">
        <f>Table948[[#This Row],[RB1R]]+Table948[[#This Row],[RB2+]]</f>
        <v>#REF!</v>
      </c>
      <c r="G32" s="22" t="e">
        <f>#REF!</f>
        <v>#REF!</v>
      </c>
      <c r="H32" s="22" t="e">
        <f>#REF!</f>
        <v>#REF!</v>
      </c>
      <c r="I32" s="22" t="e">
        <f>#REF!</f>
        <v>#REF!</v>
      </c>
      <c r="J32" s="22" t="e">
        <f>#REF!</f>
        <v>#REF!</v>
      </c>
      <c r="K32" s="22" t="e">
        <f>#REF!</f>
        <v>#REF!</v>
      </c>
      <c r="L32" s="22" t="e">
        <f>#REF!</f>
        <v>#REF!</v>
      </c>
      <c r="M32" s="22">
        <v>5.5294117647058822</v>
      </c>
      <c r="N32" s="22">
        <v>64.882352941176464</v>
      </c>
      <c r="O32" s="22">
        <v>3.8823529411764706</v>
      </c>
      <c r="P32" s="22">
        <v>48.470588235294116</v>
      </c>
      <c r="Q32" s="22">
        <v>2.7058823529411766</v>
      </c>
      <c r="R32" s="22">
        <v>26.294117647058822</v>
      </c>
      <c r="S32" s="22">
        <v>1.3529411764705883</v>
      </c>
      <c r="T32" s="22">
        <v>15.941176470588236</v>
      </c>
      <c r="U32" s="22">
        <v>6.117647058823529</v>
      </c>
      <c r="V32" s="22">
        <v>68.117647058823536</v>
      </c>
      <c r="W32" s="22">
        <v>0.35294117647058826</v>
      </c>
      <c r="X32" s="22">
        <v>0.6470588235294118</v>
      </c>
      <c r="Y32" s="22">
        <v>0.41176470588235292</v>
      </c>
      <c r="Z32" s="22">
        <v>0.29411764705882354</v>
      </c>
      <c r="AA32" s="22">
        <v>0.23529411764705882</v>
      </c>
      <c r="AB32" s="22">
        <v>0.11764705882352941</v>
      </c>
      <c r="AC32" s="22" t="e">
        <f>#REF!</f>
        <v>#REF!</v>
      </c>
      <c r="AD32" s="22" t="e">
        <f>#REF!</f>
        <v>#REF!</v>
      </c>
    </row>
    <row r="33" spans="1:30" x14ac:dyDescent="0.35">
      <c r="A33" s="57" t="s">
        <v>55</v>
      </c>
      <c r="B33" s="22" t="e">
        <f>#REF!</f>
        <v>#REF!</v>
      </c>
      <c r="C33" s="22" t="e">
        <f>#REF!</f>
        <v>#REF!</v>
      </c>
      <c r="D33" s="22" t="e">
        <f>#REF!</f>
        <v>#REF!</v>
      </c>
      <c r="E33" s="22" t="e">
        <f>#REF!</f>
        <v>#REF!</v>
      </c>
      <c r="F33" s="25" t="e">
        <f>Table948[[#This Row],[RB1R]]+Table948[[#This Row],[RB2+]]</f>
        <v>#REF!</v>
      </c>
      <c r="G33" s="22" t="e">
        <f>#REF!</f>
        <v>#REF!</v>
      </c>
      <c r="H33" s="22" t="e">
        <f>#REF!</f>
        <v>#REF!</v>
      </c>
      <c r="I33" s="22" t="e">
        <f>#REF!</f>
        <v>#REF!</v>
      </c>
      <c r="J33" s="22" t="e">
        <f>#REF!</f>
        <v>#REF!</v>
      </c>
      <c r="K33" s="22" t="e">
        <f>#REF!</f>
        <v>#REF!</v>
      </c>
      <c r="L33" s="22" t="e">
        <f>#REF!</f>
        <v>#REF!</v>
      </c>
      <c r="M33" s="22">
        <v>5.1764705882352944</v>
      </c>
      <c r="N33" s="22">
        <v>54.941176470588232</v>
      </c>
      <c r="O33" s="22">
        <v>3.2352941176470589</v>
      </c>
      <c r="P33" s="22">
        <v>46.588235294117645</v>
      </c>
      <c r="Q33" s="22">
        <v>1.588235294117647</v>
      </c>
      <c r="R33" s="22">
        <v>19.882352941176471</v>
      </c>
      <c r="S33" s="22">
        <v>1</v>
      </c>
      <c r="T33" s="22">
        <v>6.6470588235294121</v>
      </c>
      <c r="U33" s="22">
        <v>4.1764705882352944</v>
      </c>
      <c r="V33" s="22">
        <v>37.529411764705884</v>
      </c>
      <c r="W33" s="22">
        <v>0.35294117647058826</v>
      </c>
      <c r="X33" s="22">
        <v>1.2941176470588236</v>
      </c>
      <c r="Y33" s="22">
        <v>0.41176470588235292</v>
      </c>
      <c r="Z33" s="22">
        <v>0.41176470588235292</v>
      </c>
      <c r="AA33" s="22">
        <v>5.8823529411764705E-2</v>
      </c>
      <c r="AB33" s="22">
        <v>0</v>
      </c>
      <c r="AC33" s="22" t="e">
        <f>#REF!</f>
        <v>#REF!</v>
      </c>
      <c r="AD33" s="22" t="e">
        <f>#REF!</f>
        <v>#REF!</v>
      </c>
    </row>
    <row r="34" spans="1:30" x14ac:dyDescent="0.35">
      <c r="A34" s="58" t="s">
        <v>56</v>
      </c>
      <c r="B34" s="22" t="e">
        <f>#REF!</f>
        <v>#REF!</v>
      </c>
      <c r="C34" s="22" t="e">
        <f>#REF!</f>
        <v>#REF!</v>
      </c>
      <c r="D34" s="22" t="e">
        <f>#REF!</f>
        <v>#REF!</v>
      </c>
      <c r="E34" s="22" t="e">
        <f>#REF!</f>
        <v>#REF!</v>
      </c>
      <c r="F34" s="25" t="e">
        <f>Table948[[#This Row],[RB1R]]+Table948[[#This Row],[RB2+]]</f>
        <v>#REF!</v>
      </c>
      <c r="G34" s="22" t="e">
        <f>#REF!</f>
        <v>#REF!</v>
      </c>
      <c r="H34" s="22" t="e">
        <f>#REF!</f>
        <v>#REF!</v>
      </c>
      <c r="I34" s="22" t="e">
        <f>#REF!</f>
        <v>#REF!</v>
      </c>
      <c r="J34" s="22" t="e">
        <f>#REF!</f>
        <v>#REF!</v>
      </c>
      <c r="K34" s="22" t="e">
        <f>#REF!</f>
        <v>#REF!</v>
      </c>
      <c r="L34" s="22" t="e">
        <f>#REF!</f>
        <v>#REF!</v>
      </c>
      <c r="M34" s="22">
        <v>5.4705882352941178</v>
      </c>
      <c r="N34" s="22">
        <v>70.352941176470594</v>
      </c>
      <c r="O34" s="22">
        <v>3.1176470588235294</v>
      </c>
      <c r="P34" s="22">
        <v>37.352941176470587</v>
      </c>
      <c r="Q34" s="22">
        <v>2.0588235294117645</v>
      </c>
      <c r="R34" s="22">
        <v>29.823529411764707</v>
      </c>
      <c r="S34" s="22">
        <v>0.52941176470588236</v>
      </c>
      <c r="T34" s="22">
        <v>5.2352941176470589</v>
      </c>
      <c r="U34" s="22">
        <v>4.0588235294117645</v>
      </c>
      <c r="V34" s="22">
        <v>39.882352941176471</v>
      </c>
      <c r="W34" s="22">
        <v>0.11764705882352941</v>
      </c>
      <c r="X34" s="22">
        <v>1</v>
      </c>
      <c r="Y34" s="22">
        <v>0.47058823529411764</v>
      </c>
      <c r="Z34" s="22">
        <v>0.17647058823529413</v>
      </c>
      <c r="AA34" s="22">
        <v>0.29411764705882354</v>
      </c>
      <c r="AB34" s="22">
        <v>0</v>
      </c>
      <c r="AC34" s="22" t="e">
        <f>#REF!</f>
        <v>#REF!</v>
      </c>
      <c r="AD34" s="22" t="e">
        <f>#REF!</f>
        <v>#REF!</v>
      </c>
    </row>
    <row r="35" spans="1:30" ht="16.5" thickBot="1" x14ac:dyDescent="0.45">
      <c r="A35" s="56" t="s">
        <v>58</v>
      </c>
      <c r="B35" s="231" t="s">
        <v>62</v>
      </c>
      <c r="C35" s="231"/>
      <c r="D35" s="231"/>
      <c r="E35" s="237" t="s">
        <v>61</v>
      </c>
      <c r="F35" s="237"/>
      <c r="G35" s="237"/>
      <c r="H35" s="237"/>
      <c r="I35" s="237"/>
      <c r="J35" s="237"/>
      <c r="K35" s="236" t="s">
        <v>60</v>
      </c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5" t="s">
        <v>59</v>
      </c>
      <c r="X35" s="235"/>
      <c r="Y35" s="235"/>
      <c r="Z35" s="235"/>
      <c r="AA35" s="235"/>
      <c r="AB35" s="235"/>
      <c r="AC35" s="235"/>
      <c r="AD35" s="235"/>
    </row>
    <row r="36" spans="1:30" ht="15" thickBot="1" x14ac:dyDescent="0.4">
      <c r="A36" s="28" t="s">
        <v>28</v>
      </c>
      <c r="B36" s="43" t="s">
        <v>75</v>
      </c>
      <c r="C36" s="44" t="s">
        <v>76</v>
      </c>
      <c r="D36" s="44" t="s">
        <v>77</v>
      </c>
      <c r="E36" s="45" t="s">
        <v>78</v>
      </c>
      <c r="F36" s="46" t="s">
        <v>79</v>
      </c>
      <c r="G36" s="47" t="s">
        <v>80</v>
      </c>
      <c r="H36" s="48" t="s">
        <v>97</v>
      </c>
      <c r="I36" s="35" t="s">
        <v>81</v>
      </c>
      <c r="J36" s="60" t="s">
        <v>82</v>
      </c>
      <c r="K36" s="49" t="s">
        <v>83</v>
      </c>
      <c r="L36" s="49" t="s">
        <v>84</v>
      </c>
      <c r="M36" s="50" t="s">
        <v>85</v>
      </c>
      <c r="N36" s="50" t="s">
        <v>86</v>
      </c>
      <c r="O36" s="51" t="s">
        <v>87</v>
      </c>
      <c r="P36" s="51" t="s">
        <v>88</v>
      </c>
      <c r="Q36" s="52" t="s">
        <v>89</v>
      </c>
      <c r="R36" s="52" t="s">
        <v>90</v>
      </c>
      <c r="S36" s="53" t="s">
        <v>91</v>
      </c>
      <c r="T36" s="53" t="s">
        <v>92</v>
      </c>
      <c r="U36" s="54" t="s">
        <v>93</v>
      </c>
      <c r="V36" s="54" t="s">
        <v>94</v>
      </c>
      <c r="W36" s="55" t="s">
        <v>65</v>
      </c>
      <c r="X36" s="55" t="s">
        <v>64</v>
      </c>
      <c r="Y36" s="55" t="s">
        <v>66</v>
      </c>
      <c r="Z36" s="55" t="s">
        <v>67</v>
      </c>
      <c r="AA36" s="55" t="s">
        <v>68</v>
      </c>
      <c r="AB36" s="55" t="s">
        <v>69</v>
      </c>
      <c r="AC36" s="55" t="s">
        <v>70</v>
      </c>
      <c r="AD36" s="55" t="s">
        <v>71</v>
      </c>
    </row>
    <row r="37" spans="1:30" x14ac:dyDescent="0.35">
      <c r="A37" s="57" t="s">
        <v>0</v>
      </c>
      <c r="B37" s="24" t="e">
        <f>RANK(B3,Table948[QBP])</f>
        <v>#REF!</v>
      </c>
      <c r="C37" s="24" t="e">
        <f>RANK(C3,Table948[PTD])</f>
        <v>#REF!</v>
      </c>
      <c r="D37" s="24" t="e">
        <f>RANK(D3,Table948[QBP+R])</f>
        <v>#REF!</v>
      </c>
      <c r="E37" s="24" t="e">
        <f>RANK(E3,Table948[QBR])</f>
        <v>#REF!</v>
      </c>
      <c r="F37" s="26" t="e">
        <f>RANK(F3,Table948[RBR])</f>
        <v>#REF!</v>
      </c>
      <c r="G37" s="24" t="e">
        <f>RANK(G3,Table948[RB1R])</f>
        <v>#REF!</v>
      </c>
      <c r="H37" s="24" t="e">
        <f>RANK(H3,Table948[RB2+])</f>
        <v>#REF!</v>
      </c>
      <c r="I37" s="24" t="e">
        <f>RANK(I3,Table948[RBR+R])</f>
        <v>#REF!</v>
      </c>
      <c r="J37" s="24" t="e">
        <f>RANK(J3,Table948[WRR])</f>
        <v>#REF!</v>
      </c>
      <c r="K37" s="24" t="e">
        <f>RANK(K3,Table948[RBC])</f>
        <v>#REF!</v>
      </c>
      <c r="L37" s="24" t="e">
        <f>RANK(L3,Table948[RBY])</f>
        <v>#REF!</v>
      </c>
      <c r="M37" s="24">
        <f>RANK(M3,Table948[WR1C])</f>
        <v>13</v>
      </c>
      <c r="N37" s="24">
        <f>RANK(N3,Table948[WR1Y])</f>
        <v>30</v>
      </c>
      <c r="O37" s="24">
        <f>RANK(O3,Table948[WR2C])</f>
        <v>12</v>
      </c>
      <c r="P37" s="24">
        <f>RANK(P3,Table948[WR2Y])</f>
        <v>13</v>
      </c>
      <c r="Q37" s="24">
        <f>RANK(Q3,Table948[WR3C])</f>
        <v>12</v>
      </c>
      <c r="R37" s="24">
        <f>RANK(R3,Table948[WR3Y])</f>
        <v>6</v>
      </c>
      <c r="S37" s="24">
        <f>RANK(S3,Table948[WR4+C])</f>
        <v>9</v>
      </c>
      <c r="T37" s="24">
        <f>RANK(T3,Table948[WR4+Y])</f>
        <v>4</v>
      </c>
      <c r="U37" s="24">
        <f>RANK(U3,Table948[TEC])</f>
        <v>23</v>
      </c>
      <c r="V37" s="24">
        <f>RANK(V3,Table948[TEY])</f>
        <v>25</v>
      </c>
      <c r="W37" s="24">
        <f>RANK(W3,Table948[QB])</f>
        <v>3</v>
      </c>
      <c r="X37" s="24">
        <f>RANK(X3,Table948[RB])</f>
        <v>11</v>
      </c>
      <c r="Y37" s="24">
        <f>RANK(Y3,Table948[WR1])</f>
        <v>21</v>
      </c>
      <c r="Z37" s="24">
        <f>RANK(Z3,Table948[WR2])</f>
        <v>27</v>
      </c>
      <c r="AA37" s="24">
        <f>RANK(AA3,Table948[WR3])</f>
        <v>7</v>
      </c>
      <c r="AB37" s="24">
        <f>RANK(AB3,Table948[WR4+])</f>
        <v>22</v>
      </c>
      <c r="AC37" s="24" t="e">
        <f>RANK(AC3,Table948[TE])</f>
        <v>#REF!</v>
      </c>
      <c r="AD37" s="24" t="e">
        <f>RANK(AD3,Table948[D/ST])</f>
        <v>#REF!</v>
      </c>
    </row>
    <row r="38" spans="1:30" x14ac:dyDescent="0.35">
      <c r="A38" s="58" t="s">
        <v>15</v>
      </c>
      <c r="B38" s="24" t="e">
        <f>RANK(B4,Table948[QBP])</f>
        <v>#REF!</v>
      </c>
      <c r="C38" s="24" t="e">
        <f>RANK(C4,Table948[PTD])</f>
        <v>#REF!</v>
      </c>
      <c r="D38" s="24" t="e">
        <f>RANK(D4,Table948[QBP+R])</f>
        <v>#REF!</v>
      </c>
      <c r="E38" s="24" t="e">
        <f>RANK(E4,Table948[QBR])</f>
        <v>#REF!</v>
      </c>
      <c r="F38" s="26" t="e">
        <f>RANK(F4,Table948[RBR])</f>
        <v>#REF!</v>
      </c>
      <c r="G38" s="24" t="e">
        <f>RANK(G4,Table948[RB1R])</f>
        <v>#REF!</v>
      </c>
      <c r="H38" s="24" t="e">
        <f>RANK(H4,Table948[RB2+])</f>
        <v>#REF!</v>
      </c>
      <c r="I38" s="24" t="e">
        <f>RANK(I4,Table948[RBR+R])</f>
        <v>#REF!</v>
      </c>
      <c r="J38" s="24" t="e">
        <f>RANK(J4,Table948[WRR])</f>
        <v>#REF!</v>
      </c>
      <c r="K38" s="24" t="e">
        <f>RANK(K4,Table948[RBC])</f>
        <v>#REF!</v>
      </c>
      <c r="L38" s="24" t="e">
        <f>RANK(L4,Table948[RBY])</f>
        <v>#REF!</v>
      </c>
      <c r="M38" s="24">
        <f>RANK(M4,Table948[WR1C])</f>
        <v>2</v>
      </c>
      <c r="N38" s="24">
        <f>RANK(N4,Table948[WR1Y])</f>
        <v>3</v>
      </c>
      <c r="O38" s="24">
        <f>RANK(O4,Table948[WR2C])</f>
        <v>10</v>
      </c>
      <c r="P38" s="24">
        <f>RANK(P4,Table948[WR2Y])</f>
        <v>26</v>
      </c>
      <c r="Q38" s="24">
        <f>RANK(Q4,Table948[WR3C])</f>
        <v>15</v>
      </c>
      <c r="R38" s="24">
        <f>RANK(R4,Table948[WR3Y])</f>
        <v>27</v>
      </c>
      <c r="S38" s="24">
        <f>RANK(S4,Table948[WR4+C])</f>
        <v>3</v>
      </c>
      <c r="T38" s="24">
        <f>RANK(T4,Table948[WR4+Y])</f>
        <v>3</v>
      </c>
      <c r="U38" s="24">
        <f>RANK(U4,Table948[TEC])</f>
        <v>24</v>
      </c>
      <c r="V38" s="24">
        <f>RANK(V4,Table948[TEY])</f>
        <v>21</v>
      </c>
      <c r="W38" s="24">
        <f>RANK(W4,Table948[QB])</f>
        <v>7</v>
      </c>
      <c r="X38" s="24">
        <f>RANK(X4,Table948[RB])</f>
        <v>24</v>
      </c>
      <c r="Y38" s="24">
        <f>RANK(Y4,Table948[WR1])</f>
        <v>1</v>
      </c>
      <c r="Z38" s="24">
        <f>RANK(Z4,Table948[WR2])</f>
        <v>15</v>
      </c>
      <c r="AA38" s="24">
        <f>RANK(AA4,Table948[WR3])</f>
        <v>13</v>
      </c>
      <c r="AB38" s="24">
        <f>RANK(AB4,Table948[WR4+])</f>
        <v>1</v>
      </c>
      <c r="AC38" s="24" t="e">
        <f>RANK(AC4,Table948[TE])</f>
        <v>#REF!</v>
      </c>
      <c r="AD38" s="24" t="e">
        <f>RANK(AD4,Table948[D/ST])</f>
        <v>#REF!</v>
      </c>
    </row>
    <row r="39" spans="1:30" x14ac:dyDescent="0.35">
      <c r="A39" s="57" t="s">
        <v>16</v>
      </c>
      <c r="B39" s="24" t="e">
        <f>RANK(B5,Table948[QBP])</f>
        <v>#REF!</v>
      </c>
      <c r="C39" s="24" t="e">
        <f>RANK(C5,Table948[PTD])</f>
        <v>#REF!</v>
      </c>
      <c r="D39" s="24" t="e">
        <f>RANK(D5,Table948[QBP+R])</f>
        <v>#REF!</v>
      </c>
      <c r="E39" s="24" t="e">
        <f>RANK(E5,Table948[QBR])</f>
        <v>#REF!</v>
      </c>
      <c r="F39" s="26" t="e">
        <f>RANK(F5,Table948[RBR])</f>
        <v>#REF!</v>
      </c>
      <c r="G39" s="24" t="e">
        <f>RANK(G5,Table948[RB1R])</f>
        <v>#REF!</v>
      </c>
      <c r="H39" s="24" t="e">
        <f>RANK(H5,Table948[RB2+])</f>
        <v>#REF!</v>
      </c>
      <c r="I39" s="24" t="e">
        <f>RANK(I5,Table948[RBR+R])</f>
        <v>#REF!</v>
      </c>
      <c r="J39" s="24" t="e">
        <f>RANK(J5,Table948[WRR])</f>
        <v>#REF!</v>
      </c>
      <c r="K39" s="24" t="e">
        <f>RANK(K5,Table948[RBC])</f>
        <v>#REF!</v>
      </c>
      <c r="L39" s="24" t="e">
        <f>RANK(L5,Table948[RBY])</f>
        <v>#REF!</v>
      </c>
      <c r="M39" s="24">
        <f>RANK(M5,Table948[WR1C])</f>
        <v>1</v>
      </c>
      <c r="N39" s="24">
        <f>RANK(N5,Table948[WR1Y])</f>
        <v>1</v>
      </c>
      <c r="O39" s="24">
        <f>RANK(O5,Table948[WR2C])</f>
        <v>29</v>
      </c>
      <c r="P39" s="24">
        <f>RANK(P5,Table948[WR2Y])</f>
        <v>29</v>
      </c>
      <c r="Q39" s="24">
        <f>RANK(Q5,Table948[WR3C])</f>
        <v>21</v>
      </c>
      <c r="R39" s="24">
        <f>RANK(R5,Table948[WR3Y])</f>
        <v>24</v>
      </c>
      <c r="S39" s="24">
        <f>RANK(S5,Table948[WR4+C])</f>
        <v>9</v>
      </c>
      <c r="T39" s="24">
        <f>RANK(T5,Table948[WR4+Y])</f>
        <v>10</v>
      </c>
      <c r="U39" s="24">
        <f>RANK(U5,Table948[TEC])</f>
        <v>10</v>
      </c>
      <c r="V39" s="24">
        <f>RANK(V5,Table948[TEY])</f>
        <v>10</v>
      </c>
      <c r="W39" s="24">
        <f>RANK(W5,Table948[QB])</f>
        <v>10</v>
      </c>
      <c r="X39" s="24">
        <f>RANK(X5,Table948[RB])</f>
        <v>23</v>
      </c>
      <c r="Y39" s="24">
        <f>RANK(Y5,Table948[WR1])</f>
        <v>3</v>
      </c>
      <c r="Z39" s="24">
        <f>RANK(Z5,Table948[WR2])</f>
        <v>15</v>
      </c>
      <c r="AA39" s="24">
        <f>RANK(AA5,Table948[WR3])</f>
        <v>26</v>
      </c>
      <c r="AB39" s="24">
        <f>RANK(AB5,Table948[WR4+])</f>
        <v>7</v>
      </c>
      <c r="AC39" s="24" t="e">
        <f>RANK(AC5,Table948[TE])</f>
        <v>#REF!</v>
      </c>
      <c r="AD39" s="24" t="e">
        <f>RANK(AD5,Table948[D/ST])</f>
        <v>#REF!</v>
      </c>
    </row>
    <row r="40" spans="1:30" x14ac:dyDescent="0.35">
      <c r="A40" s="58" t="s">
        <v>17</v>
      </c>
      <c r="B40" s="24" t="e">
        <f>RANK(B6,Table948[QBP])</f>
        <v>#REF!</v>
      </c>
      <c r="C40" s="24" t="e">
        <f>RANK(C6,Table948[PTD])</f>
        <v>#REF!</v>
      </c>
      <c r="D40" s="24" t="e">
        <f>RANK(D6,Table948[QBP+R])</f>
        <v>#REF!</v>
      </c>
      <c r="E40" s="24" t="e">
        <f>RANK(E6,Table948[QBR])</f>
        <v>#REF!</v>
      </c>
      <c r="F40" s="26" t="e">
        <f>RANK(F6,Table948[RBR])</f>
        <v>#REF!</v>
      </c>
      <c r="G40" s="24" t="e">
        <f>RANK(G6,Table948[RB1R])</f>
        <v>#REF!</v>
      </c>
      <c r="H40" s="24" t="e">
        <f>RANK(H6,Table948[RB2+])</f>
        <v>#REF!</v>
      </c>
      <c r="I40" s="24" t="e">
        <f>RANK(I6,Table948[RBR+R])</f>
        <v>#REF!</v>
      </c>
      <c r="J40" s="24" t="e">
        <f>RANK(J6,Table948[WRR])</f>
        <v>#REF!</v>
      </c>
      <c r="K40" s="24" t="e">
        <f>RANK(K6,Table948[RBC])</f>
        <v>#REF!</v>
      </c>
      <c r="L40" s="24" t="e">
        <f>RANK(L6,Table948[RBY])</f>
        <v>#REF!</v>
      </c>
      <c r="M40" s="24">
        <f>RANK(M6,Table948[WR1C])</f>
        <v>23</v>
      </c>
      <c r="N40" s="24">
        <f>RANK(N6,Table948[WR1Y])</f>
        <v>21</v>
      </c>
      <c r="O40" s="24">
        <f>RANK(O6,Table948[WR2C])</f>
        <v>6</v>
      </c>
      <c r="P40" s="24">
        <f>RANK(P6,Table948[WR2Y])</f>
        <v>7</v>
      </c>
      <c r="Q40" s="24">
        <f>RANK(Q6,Table948[WR3C])</f>
        <v>6</v>
      </c>
      <c r="R40" s="24">
        <f>RANK(R6,Table948[WR3Y])</f>
        <v>22</v>
      </c>
      <c r="S40" s="24">
        <f>RANK(S6,Table948[WR4+C])</f>
        <v>17</v>
      </c>
      <c r="T40" s="24">
        <f>RANK(T6,Table948[WR4+Y])</f>
        <v>23</v>
      </c>
      <c r="U40" s="24">
        <f>RANK(U6,Table948[TEC])</f>
        <v>11</v>
      </c>
      <c r="V40" s="24">
        <f>RANK(V6,Table948[TEY])</f>
        <v>19</v>
      </c>
      <c r="W40" s="24">
        <f>RANK(W6,Table948[QB])</f>
        <v>22</v>
      </c>
      <c r="X40" s="24">
        <f>RANK(X6,Table948[RB])</f>
        <v>11</v>
      </c>
      <c r="Y40" s="24">
        <f>RANK(Y6,Table948[WR1])</f>
        <v>29</v>
      </c>
      <c r="Z40" s="24">
        <f>RANK(Z6,Table948[WR2])</f>
        <v>1</v>
      </c>
      <c r="AA40" s="24">
        <f>RANK(AA6,Table948[WR3])</f>
        <v>26</v>
      </c>
      <c r="AB40" s="24">
        <f>RANK(AB6,Table948[WR4+])</f>
        <v>7</v>
      </c>
      <c r="AC40" s="24" t="e">
        <f>RANK(AC6,Table948[TE])</f>
        <v>#REF!</v>
      </c>
      <c r="AD40" s="24" t="e">
        <f>RANK(AD6,Table948[D/ST])</f>
        <v>#REF!</v>
      </c>
    </row>
    <row r="41" spans="1:30" x14ac:dyDescent="0.35">
      <c r="A41" s="57" t="s">
        <v>29</v>
      </c>
      <c r="B41" s="24" t="e">
        <f>RANK(B7,Table948[QBP])</f>
        <v>#REF!</v>
      </c>
      <c r="C41" s="24" t="e">
        <f>RANK(C7,Table948[PTD])</f>
        <v>#REF!</v>
      </c>
      <c r="D41" s="24" t="e">
        <f>RANK(D7,Table948[QBP+R])</f>
        <v>#REF!</v>
      </c>
      <c r="E41" s="24" t="e">
        <f>RANK(E7,Table948[QBR])</f>
        <v>#REF!</v>
      </c>
      <c r="F41" s="26" t="e">
        <f>RANK(F7,Table948[RBR])</f>
        <v>#REF!</v>
      </c>
      <c r="G41" s="24" t="e">
        <f>RANK(G7,Table948[RB1R])</f>
        <v>#REF!</v>
      </c>
      <c r="H41" s="24" t="e">
        <f>RANK(H7,Table948[RB2+])</f>
        <v>#REF!</v>
      </c>
      <c r="I41" s="24" t="e">
        <f>RANK(I7,Table948[RBR+R])</f>
        <v>#REF!</v>
      </c>
      <c r="J41" s="24" t="e">
        <f>RANK(J7,Table948[WRR])</f>
        <v>#REF!</v>
      </c>
      <c r="K41" s="24" t="e">
        <f>RANK(K7,Table948[RBC])</f>
        <v>#REF!</v>
      </c>
      <c r="L41" s="24" t="e">
        <f>RANK(L7,Table948[RBY])</f>
        <v>#REF!</v>
      </c>
      <c r="M41" s="24">
        <f>RANK(M7,Table948[WR1C])</f>
        <v>8</v>
      </c>
      <c r="N41" s="24">
        <f>RANK(N7,Table948[WR1Y])</f>
        <v>6</v>
      </c>
      <c r="O41" s="24">
        <f>RANK(O7,Table948[WR2C])</f>
        <v>12</v>
      </c>
      <c r="P41" s="24">
        <f>RANK(P7,Table948[WR2Y])</f>
        <v>22</v>
      </c>
      <c r="Q41" s="24">
        <f>RANK(Q7,Table948[WR3C])</f>
        <v>14</v>
      </c>
      <c r="R41" s="24">
        <f>RANK(R7,Table948[WR3Y])</f>
        <v>19</v>
      </c>
      <c r="S41" s="24">
        <f>RANK(S7,Table948[WR4+C])</f>
        <v>31</v>
      </c>
      <c r="T41" s="24">
        <f>RANK(T7,Table948[WR4+Y])</f>
        <v>30</v>
      </c>
      <c r="U41" s="24">
        <f>RANK(U7,Table948[TEC])</f>
        <v>19</v>
      </c>
      <c r="V41" s="24">
        <f>RANK(V7,Table948[TEY])</f>
        <v>14</v>
      </c>
      <c r="W41" s="24">
        <f>RANK(W7,Table948[QB])</f>
        <v>7</v>
      </c>
      <c r="X41" s="24">
        <f>RANK(X7,Table948[RB])</f>
        <v>2</v>
      </c>
      <c r="Y41" s="24">
        <f>RANK(Y7,Table948[WR1])</f>
        <v>1</v>
      </c>
      <c r="Z41" s="24">
        <f>RANK(Z7,Table948[WR2])</f>
        <v>10</v>
      </c>
      <c r="AA41" s="24">
        <f>RANK(AA7,Table948[WR3])</f>
        <v>15</v>
      </c>
      <c r="AB41" s="24">
        <f>RANK(AB7,Table948[WR4+])</f>
        <v>7</v>
      </c>
      <c r="AC41" s="24" t="e">
        <f>RANK(AC7,Table948[TE])</f>
        <v>#REF!</v>
      </c>
      <c r="AD41" s="24" t="e">
        <f>RANK(AD7,Table948[D/ST])</f>
        <v>#REF!</v>
      </c>
    </row>
    <row r="42" spans="1:30" x14ac:dyDescent="0.35">
      <c r="A42" s="58" t="s">
        <v>30</v>
      </c>
      <c r="B42" s="24" t="e">
        <f>RANK(B8,Table948[QBP])</f>
        <v>#REF!</v>
      </c>
      <c r="C42" s="24" t="e">
        <f>RANK(C8,Table948[PTD])</f>
        <v>#REF!</v>
      </c>
      <c r="D42" s="24" t="e">
        <f>RANK(D8,Table948[QBP+R])</f>
        <v>#REF!</v>
      </c>
      <c r="E42" s="24" t="e">
        <f>RANK(E8,Table948[QBR])</f>
        <v>#REF!</v>
      </c>
      <c r="F42" s="26" t="e">
        <f>RANK(F8,Table948[RBR])</f>
        <v>#REF!</v>
      </c>
      <c r="G42" s="24" t="e">
        <f>RANK(G8,Table948[RB1R])</f>
        <v>#REF!</v>
      </c>
      <c r="H42" s="24" t="e">
        <f>RANK(H8,Table948[RB2+])</f>
        <v>#REF!</v>
      </c>
      <c r="I42" s="24" t="e">
        <f>RANK(I8,Table948[RBR+R])</f>
        <v>#REF!</v>
      </c>
      <c r="J42" s="24" t="e">
        <f>RANK(J8,Table948[WRR])</f>
        <v>#REF!</v>
      </c>
      <c r="K42" s="24" t="e">
        <f>RANK(K8,Table948[RBC])</f>
        <v>#REF!</v>
      </c>
      <c r="L42" s="24" t="e">
        <f>RANK(L8,Table948[RBY])</f>
        <v>#REF!</v>
      </c>
      <c r="M42" s="24">
        <f>RANK(M8,Table948[WR1C])</f>
        <v>31</v>
      </c>
      <c r="N42" s="24">
        <f>RANK(N8,Table948[WR1Y])</f>
        <v>24</v>
      </c>
      <c r="O42" s="24">
        <f>RANK(O8,Table948[WR2C])</f>
        <v>22</v>
      </c>
      <c r="P42" s="24">
        <f>RANK(P8,Table948[WR2Y])</f>
        <v>18</v>
      </c>
      <c r="Q42" s="24">
        <f>RANK(Q8,Table948[WR3C])</f>
        <v>24</v>
      </c>
      <c r="R42" s="24">
        <f>RANK(R8,Table948[WR3Y])</f>
        <v>13</v>
      </c>
      <c r="S42" s="24">
        <f>RANK(S8,Table948[WR4+C])</f>
        <v>24</v>
      </c>
      <c r="T42" s="24">
        <f>RANK(T8,Table948[WR4+Y])</f>
        <v>25</v>
      </c>
      <c r="U42" s="24">
        <f>RANK(U8,Table948[TEC])</f>
        <v>19</v>
      </c>
      <c r="V42" s="24">
        <f>RANK(V8,Table948[TEY])</f>
        <v>6</v>
      </c>
      <c r="W42" s="24">
        <f>RANK(W8,Table948[QB])</f>
        <v>27</v>
      </c>
      <c r="X42" s="24">
        <f>RANK(X8,Table948[RB])</f>
        <v>7</v>
      </c>
      <c r="Y42" s="24">
        <f>RANK(Y8,Table948[WR1])</f>
        <v>21</v>
      </c>
      <c r="Z42" s="24">
        <f>RANK(Z8,Table948[WR2])</f>
        <v>28</v>
      </c>
      <c r="AA42" s="24">
        <f>RANK(AA8,Table948[WR3])</f>
        <v>7</v>
      </c>
      <c r="AB42" s="24">
        <f>RANK(AB8,Table948[WR4+])</f>
        <v>22</v>
      </c>
      <c r="AC42" s="24" t="e">
        <f>RANK(AC8,Table948[TE])</f>
        <v>#REF!</v>
      </c>
      <c r="AD42" s="24" t="e">
        <f>RANK(AD8,Table948[D/ST])</f>
        <v>#REF!</v>
      </c>
    </row>
    <row r="43" spans="1:30" x14ac:dyDescent="0.35">
      <c r="A43" s="57" t="s">
        <v>31</v>
      </c>
      <c r="B43" s="24" t="e">
        <f>RANK(B9,Table948[QBP])</f>
        <v>#REF!</v>
      </c>
      <c r="C43" s="24" t="e">
        <f>RANK(C9,Table948[PTD])</f>
        <v>#REF!</v>
      </c>
      <c r="D43" s="24" t="e">
        <f>RANK(D9,Table948[QBP+R])</f>
        <v>#REF!</v>
      </c>
      <c r="E43" s="24" t="e">
        <f>RANK(E9,Table948[QBR])</f>
        <v>#REF!</v>
      </c>
      <c r="F43" s="26" t="e">
        <f>RANK(F9,Table948[RBR])</f>
        <v>#REF!</v>
      </c>
      <c r="G43" s="24" t="e">
        <f>RANK(G9,Table948[RB1R])</f>
        <v>#REF!</v>
      </c>
      <c r="H43" s="24" t="e">
        <f>RANK(H9,Table948[RB2+])</f>
        <v>#REF!</v>
      </c>
      <c r="I43" s="24" t="e">
        <f>RANK(I9,Table948[RBR+R])</f>
        <v>#REF!</v>
      </c>
      <c r="J43" s="24" t="e">
        <f>RANK(J9,Table948[WRR])</f>
        <v>#REF!</v>
      </c>
      <c r="K43" s="24" t="e">
        <f>RANK(K9,Table948[RBC])</f>
        <v>#REF!</v>
      </c>
      <c r="L43" s="24" t="e">
        <f>RANK(L9,Table948[RBY])</f>
        <v>#REF!</v>
      </c>
      <c r="M43" s="24">
        <f>RANK(M9,Table948[WR1C])</f>
        <v>19</v>
      </c>
      <c r="N43" s="24">
        <f>RANK(N9,Table948[WR1Y])</f>
        <v>12</v>
      </c>
      <c r="O43" s="24">
        <f>RANK(O9,Table948[WR2C])</f>
        <v>28</v>
      </c>
      <c r="P43" s="24">
        <f>RANK(P9,Table948[WR2Y])</f>
        <v>31</v>
      </c>
      <c r="Q43" s="24">
        <f>RANK(Q9,Table948[WR3C])</f>
        <v>26</v>
      </c>
      <c r="R43" s="24">
        <f>RANK(R9,Table948[WR3Y])</f>
        <v>28</v>
      </c>
      <c r="S43" s="24">
        <f>RANK(S9,Table948[WR4+C])</f>
        <v>14</v>
      </c>
      <c r="T43" s="24">
        <f>RANK(T9,Table948[WR4+Y])</f>
        <v>2</v>
      </c>
      <c r="U43" s="24">
        <f>RANK(U9,Table948[TEC])</f>
        <v>1</v>
      </c>
      <c r="V43" s="24">
        <f>RANK(V9,Table948[TEY])</f>
        <v>3</v>
      </c>
      <c r="W43" s="24">
        <f>RANK(W9,Table948[QB])</f>
        <v>10</v>
      </c>
      <c r="X43" s="24">
        <f>RANK(X9,Table948[RB])</f>
        <v>8</v>
      </c>
      <c r="Y43" s="24">
        <f>RANK(Y9,Table948[WR1])</f>
        <v>21</v>
      </c>
      <c r="Z43" s="24">
        <f>RANK(Z9,Table948[WR2])</f>
        <v>15</v>
      </c>
      <c r="AA43" s="24">
        <f>RANK(AA9,Table948[WR3])</f>
        <v>7</v>
      </c>
      <c r="AB43" s="24">
        <f>RANK(AB9,Table948[WR4+])</f>
        <v>7</v>
      </c>
      <c r="AC43" s="24" t="e">
        <f>RANK(AC9,Table948[TE])</f>
        <v>#REF!</v>
      </c>
      <c r="AD43" s="24" t="e">
        <f>RANK(AD9,Table948[D/ST])</f>
        <v>#REF!</v>
      </c>
    </row>
    <row r="44" spans="1:30" x14ac:dyDescent="0.35">
      <c r="A44" s="58" t="s">
        <v>32</v>
      </c>
      <c r="B44" s="24" t="e">
        <f>RANK(B10,Table948[QBP])</f>
        <v>#REF!</v>
      </c>
      <c r="C44" s="24" t="e">
        <f>RANK(C10,Table948[PTD])</f>
        <v>#REF!</v>
      </c>
      <c r="D44" s="24" t="e">
        <f>RANK(D10,Table948[QBP+R])</f>
        <v>#REF!</v>
      </c>
      <c r="E44" s="24" t="e">
        <f>RANK(E10,Table948[QBR])</f>
        <v>#REF!</v>
      </c>
      <c r="F44" s="26" t="e">
        <f>RANK(F10,Table948[RBR])</f>
        <v>#REF!</v>
      </c>
      <c r="G44" s="24" t="e">
        <f>RANK(G10,Table948[RB1R])</f>
        <v>#REF!</v>
      </c>
      <c r="H44" s="24" t="e">
        <f>RANK(H10,Table948[RB2+])</f>
        <v>#REF!</v>
      </c>
      <c r="I44" s="24" t="e">
        <f>RANK(I10,Table948[RBR+R])</f>
        <v>#REF!</v>
      </c>
      <c r="J44" s="24" t="e">
        <f>RANK(J10,Table948[WRR])</f>
        <v>#REF!</v>
      </c>
      <c r="K44" s="24" t="e">
        <f>RANK(K10,Table948[RBC])</f>
        <v>#REF!</v>
      </c>
      <c r="L44" s="24" t="e">
        <f>RANK(L10,Table948[RBY])</f>
        <v>#REF!</v>
      </c>
      <c r="M44" s="24">
        <f>RANK(M10,Table948[WR1C])</f>
        <v>13</v>
      </c>
      <c r="N44" s="24">
        <f>RANK(N10,Table948[WR1Y])</f>
        <v>5</v>
      </c>
      <c r="O44" s="24">
        <f>RANK(O10,Table948[WR2C])</f>
        <v>27</v>
      </c>
      <c r="P44" s="24">
        <f>RANK(P10,Table948[WR2Y])</f>
        <v>20</v>
      </c>
      <c r="Q44" s="24">
        <f>RANK(Q10,Table948[WR3C])</f>
        <v>32</v>
      </c>
      <c r="R44" s="24">
        <f>RANK(R10,Table948[WR3Y])</f>
        <v>20</v>
      </c>
      <c r="S44" s="24">
        <f>RANK(S10,Table948[WR4+C])</f>
        <v>24</v>
      </c>
      <c r="T44" s="24">
        <f>RANK(T10,Table948[WR4+Y])</f>
        <v>12</v>
      </c>
      <c r="U44" s="24">
        <f>RANK(U10,Table948[TEC])</f>
        <v>18</v>
      </c>
      <c r="V44" s="24">
        <f>RANK(V10,Table948[TEY])</f>
        <v>19</v>
      </c>
      <c r="W44" s="24">
        <f>RANK(W10,Table948[QB])</f>
        <v>22</v>
      </c>
      <c r="X44" s="24">
        <f>RANK(X10,Table948[RB])</f>
        <v>16</v>
      </c>
      <c r="Y44" s="24">
        <f>RANK(Y10,Table948[WR1])</f>
        <v>13</v>
      </c>
      <c r="Z44" s="24">
        <f>RANK(Z10,Table948[WR2])</f>
        <v>5</v>
      </c>
      <c r="AA44" s="24">
        <f>RANK(AA10,Table948[WR3])</f>
        <v>1</v>
      </c>
      <c r="AB44" s="24">
        <f>RANK(AB10,Table948[WR4+])</f>
        <v>7</v>
      </c>
      <c r="AC44" s="24" t="e">
        <f>RANK(AC10,Table948[TE])</f>
        <v>#REF!</v>
      </c>
      <c r="AD44" s="24" t="e">
        <f>RANK(AD10,Table948[D/ST])</f>
        <v>#REF!</v>
      </c>
    </row>
    <row r="45" spans="1:30" x14ac:dyDescent="0.35">
      <c r="A45" s="57" t="s">
        <v>33</v>
      </c>
      <c r="B45" s="24" t="e">
        <f>RANK(B11,Table948[QBP])</f>
        <v>#REF!</v>
      </c>
      <c r="C45" s="24" t="e">
        <f>RANK(C11,Table948[PTD])</f>
        <v>#REF!</v>
      </c>
      <c r="D45" s="24" t="e">
        <f>RANK(D11,Table948[QBP+R])</f>
        <v>#REF!</v>
      </c>
      <c r="E45" s="24" t="e">
        <f>RANK(E11,Table948[QBR])</f>
        <v>#REF!</v>
      </c>
      <c r="F45" s="26" t="e">
        <f>RANK(F11,Table948[RBR])</f>
        <v>#REF!</v>
      </c>
      <c r="G45" s="24" t="e">
        <f>RANK(G11,Table948[RB1R])</f>
        <v>#REF!</v>
      </c>
      <c r="H45" s="24" t="e">
        <f>RANK(H11,Table948[RB2+])</f>
        <v>#REF!</v>
      </c>
      <c r="I45" s="24" t="e">
        <f>RANK(I11,Table948[RBR+R])</f>
        <v>#REF!</v>
      </c>
      <c r="J45" s="24" t="e">
        <f>RANK(J11,Table948[WRR])</f>
        <v>#REF!</v>
      </c>
      <c r="K45" s="24" t="e">
        <f>RANK(K11,Table948[RBC])</f>
        <v>#REF!</v>
      </c>
      <c r="L45" s="24" t="e">
        <f>RANK(L11,Table948[RBY])</f>
        <v>#REF!</v>
      </c>
      <c r="M45" s="24">
        <f>RANK(M11,Table948[WR1C])</f>
        <v>8</v>
      </c>
      <c r="N45" s="24">
        <f>RANK(N11,Table948[WR1Y])</f>
        <v>13</v>
      </c>
      <c r="O45" s="24">
        <f>RANK(O11,Table948[WR2C])</f>
        <v>14</v>
      </c>
      <c r="P45" s="24">
        <f>RANK(P11,Table948[WR2Y])</f>
        <v>12</v>
      </c>
      <c r="Q45" s="24">
        <f>RANK(Q11,Table948[WR3C])</f>
        <v>17</v>
      </c>
      <c r="R45" s="24">
        <f>RANK(R11,Table948[WR3Y])</f>
        <v>10</v>
      </c>
      <c r="S45" s="24">
        <f>RANK(S11,Table948[WR4+C])</f>
        <v>2</v>
      </c>
      <c r="T45" s="24">
        <f>RANK(T11,Table948[WR4+Y])</f>
        <v>9</v>
      </c>
      <c r="U45" s="24">
        <f>RANK(U11,Table948[TEC])</f>
        <v>31</v>
      </c>
      <c r="V45" s="24">
        <f>RANK(V11,Table948[TEY])</f>
        <v>26</v>
      </c>
      <c r="W45" s="24">
        <f>RANK(W11,Table948[QB])</f>
        <v>1</v>
      </c>
      <c r="X45" s="24">
        <f>RANK(X11,Table948[RB])</f>
        <v>8</v>
      </c>
      <c r="Y45" s="24">
        <f>RANK(Y11,Table948[WR1])</f>
        <v>13</v>
      </c>
      <c r="Z45" s="24">
        <f>RANK(Z11,Table948[WR2])</f>
        <v>5</v>
      </c>
      <c r="AA45" s="24">
        <f>RANK(AA11,Table948[WR3])</f>
        <v>15</v>
      </c>
      <c r="AB45" s="24">
        <f>RANK(AB11,Table948[WR4+])</f>
        <v>3</v>
      </c>
      <c r="AC45" s="24" t="e">
        <f>RANK(AC11,Table948[TE])</f>
        <v>#REF!</v>
      </c>
      <c r="AD45" s="24" t="e">
        <f>RANK(AD11,Table948[D/ST])</f>
        <v>#REF!</v>
      </c>
    </row>
    <row r="46" spans="1:30" x14ac:dyDescent="0.35">
      <c r="A46" s="58" t="s">
        <v>34</v>
      </c>
      <c r="B46" s="24" t="e">
        <f>RANK(B12,Table948[QBP])</f>
        <v>#REF!</v>
      </c>
      <c r="C46" s="24" t="e">
        <f>RANK(C12,Table948[PTD])</f>
        <v>#REF!</v>
      </c>
      <c r="D46" s="24" t="e">
        <f>RANK(D12,Table948[QBP+R])</f>
        <v>#REF!</v>
      </c>
      <c r="E46" s="24" t="e">
        <f>RANK(E12,Table948[QBR])</f>
        <v>#REF!</v>
      </c>
      <c r="F46" s="26" t="e">
        <f>RANK(F12,Table948[RBR])</f>
        <v>#REF!</v>
      </c>
      <c r="G46" s="24" t="e">
        <f>RANK(G12,Table948[RB1R])</f>
        <v>#REF!</v>
      </c>
      <c r="H46" s="24" t="e">
        <f>RANK(H12,Table948[RB2+])</f>
        <v>#REF!</v>
      </c>
      <c r="I46" s="24" t="e">
        <f>RANK(I12,Table948[RBR+R])</f>
        <v>#REF!</v>
      </c>
      <c r="J46" s="24" t="e">
        <f>RANK(J12,Table948[WRR])</f>
        <v>#REF!</v>
      </c>
      <c r="K46" s="24" t="e">
        <f>RANK(K12,Table948[RBC])</f>
        <v>#REF!</v>
      </c>
      <c r="L46" s="24" t="e">
        <f>RANK(L12,Table948[RBY])</f>
        <v>#REF!</v>
      </c>
      <c r="M46" s="24">
        <f>RANK(M12,Table948[WR1C])</f>
        <v>18</v>
      </c>
      <c r="N46" s="24">
        <f>RANK(N12,Table948[WR1Y])</f>
        <v>11</v>
      </c>
      <c r="O46" s="24">
        <f>RANK(O12,Table948[WR2C])</f>
        <v>10</v>
      </c>
      <c r="P46" s="24">
        <f>RANK(P12,Table948[WR2Y])</f>
        <v>21</v>
      </c>
      <c r="Q46" s="24">
        <f>RANK(Q12,Table948[WR3C])</f>
        <v>2</v>
      </c>
      <c r="R46" s="24">
        <f>RANK(R12,Table948[WR3Y])</f>
        <v>3</v>
      </c>
      <c r="S46" s="24">
        <f>RANK(S12,Table948[WR4+C])</f>
        <v>20</v>
      </c>
      <c r="T46" s="24">
        <f>RANK(T12,Table948[WR4+Y])</f>
        <v>19</v>
      </c>
      <c r="U46" s="24">
        <f>RANK(U12,Table948[TEC])</f>
        <v>8</v>
      </c>
      <c r="V46" s="24">
        <f>RANK(V12,Table948[TEY])</f>
        <v>18</v>
      </c>
      <c r="W46" s="24">
        <f>RANK(W12,Table948[QB])</f>
        <v>15</v>
      </c>
      <c r="X46" s="24">
        <f>RANK(X12,Table948[RB])</f>
        <v>21</v>
      </c>
      <c r="Y46" s="24">
        <f>RANK(Y12,Table948[WR1])</f>
        <v>29</v>
      </c>
      <c r="Z46" s="24">
        <f>RANK(Z12,Table948[WR2])</f>
        <v>15</v>
      </c>
      <c r="AA46" s="24">
        <f>RANK(AA12,Table948[WR3])</f>
        <v>32</v>
      </c>
      <c r="AB46" s="24">
        <f>RANK(AB12,Table948[WR4+])</f>
        <v>7</v>
      </c>
      <c r="AC46" s="24" t="e">
        <f>RANK(AC12,Table948[TE])</f>
        <v>#REF!</v>
      </c>
      <c r="AD46" s="24" t="e">
        <f>RANK(AD12,Table948[D/ST])</f>
        <v>#REF!</v>
      </c>
    </row>
    <row r="47" spans="1:30" x14ac:dyDescent="0.35">
      <c r="A47" s="57" t="s">
        <v>35</v>
      </c>
      <c r="B47" s="24" t="e">
        <f>RANK(B13,Table948[QBP])</f>
        <v>#REF!</v>
      </c>
      <c r="C47" s="24" t="e">
        <f>RANK(C13,Table948[PTD])</f>
        <v>#REF!</v>
      </c>
      <c r="D47" s="24" t="e">
        <f>RANK(D13,Table948[QBP+R])</f>
        <v>#REF!</v>
      </c>
      <c r="E47" s="24" t="e">
        <f>RANK(E13,Table948[QBR])</f>
        <v>#REF!</v>
      </c>
      <c r="F47" s="26" t="e">
        <f>RANK(F13,Table948[RBR])</f>
        <v>#REF!</v>
      </c>
      <c r="G47" s="24" t="e">
        <f>RANK(G13,Table948[RB1R])</f>
        <v>#REF!</v>
      </c>
      <c r="H47" s="24" t="e">
        <f>RANK(H13,Table948[RB2+])</f>
        <v>#REF!</v>
      </c>
      <c r="I47" s="24" t="e">
        <f>RANK(I13,Table948[RBR+R])</f>
        <v>#REF!</v>
      </c>
      <c r="J47" s="24" t="e">
        <f>RANK(J13,Table948[WRR])</f>
        <v>#REF!</v>
      </c>
      <c r="K47" s="24" t="e">
        <f>RANK(K13,Table948[RBC])</f>
        <v>#REF!</v>
      </c>
      <c r="L47" s="24" t="e">
        <f>RANK(L13,Table948[RBY])</f>
        <v>#REF!</v>
      </c>
      <c r="M47" s="24">
        <f>RANK(M13,Table948[WR1C])</f>
        <v>3</v>
      </c>
      <c r="N47" s="24">
        <f>RANK(N13,Table948[WR1Y])</f>
        <v>4</v>
      </c>
      <c r="O47" s="24">
        <f>RANK(O13,Table948[WR2C])</f>
        <v>3</v>
      </c>
      <c r="P47" s="24">
        <f>RANK(P13,Table948[WR2Y])</f>
        <v>3</v>
      </c>
      <c r="Q47" s="24">
        <f>RANK(Q13,Table948[WR3C])</f>
        <v>5</v>
      </c>
      <c r="R47" s="24">
        <f>RANK(R13,Table948[WR3Y])</f>
        <v>1</v>
      </c>
      <c r="S47" s="24">
        <f>RANK(S13,Table948[WR4+C])</f>
        <v>9</v>
      </c>
      <c r="T47" s="24">
        <f>RANK(T13,Table948[WR4+Y])</f>
        <v>6</v>
      </c>
      <c r="U47" s="24">
        <f>RANK(U13,Table948[TEC])</f>
        <v>30</v>
      </c>
      <c r="V47" s="24">
        <f>RANK(V13,Table948[TEY])</f>
        <v>30</v>
      </c>
      <c r="W47" s="24">
        <f>RANK(W13,Table948[QB])</f>
        <v>3</v>
      </c>
      <c r="X47" s="24">
        <f>RANK(X13,Table948[RB])</f>
        <v>19</v>
      </c>
      <c r="Y47" s="24">
        <f>RANK(Y13,Table948[WR1])</f>
        <v>28</v>
      </c>
      <c r="Z47" s="24">
        <f>RANK(Z13,Table948[WR2])</f>
        <v>15</v>
      </c>
      <c r="AA47" s="24">
        <f>RANK(AA13,Table948[WR3])</f>
        <v>15</v>
      </c>
      <c r="AB47" s="24">
        <f>RANK(AB13,Table948[WR4+])</f>
        <v>22</v>
      </c>
      <c r="AC47" s="24" t="e">
        <f>RANK(AC13,Table948[TE])</f>
        <v>#REF!</v>
      </c>
      <c r="AD47" s="24" t="e">
        <f>RANK(AD13,Table948[D/ST])</f>
        <v>#REF!</v>
      </c>
    </row>
    <row r="48" spans="1:30" x14ac:dyDescent="0.35">
      <c r="A48" s="58" t="s">
        <v>36</v>
      </c>
      <c r="B48" s="24" t="e">
        <f>RANK(B14,Table948[QBP])</f>
        <v>#REF!</v>
      </c>
      <c r="C48" s="24" t="e">
        <f>RANK(C14,Table948[PTD])</f>
        <v>#REF!</v>
      </c>
      <c r="D48" s="24" t="e">
        <f>RANK(D14,Table948[QBP+R])</f>
        <v>#REF!</v>
      </c>
      <c r="E48" s="24" t="e">
        <f>RANK(E14,Table948[QBR])</f>
        <v>#REF!</v>
      </c>
      <c r="F48" s="26" t="e">
        <f>RANK(F14,Table948[RBR])</f>
        <v>#REF!</v>
      </c>
      <c r="G48" s="24" t="e">
        <f>RANK(G14,Table948[RB1R])</f>
        <v>#REF!</v>
      </c>
      <c r="H48" s="24" t="e">
        <f>RANK(H14,Table948[RB2+])</f>
        <v>#REF!</v>
      </c>
      <c r="I48" s="24" t="e">
        <f>RANK(I14,Table948[RBR+R])</f>
        <v>#REF!</v>
      </c>
      <c r="J48" s="24" t="e">
        <f>RANK(J14,Table948[WRR])</f>
        <v>#REF!</v>
      </c>
      <c r="K48" s="24" t="e">
        <f>RANK(K14,Table948[RBC])</f>
        <v>#REF!</v>
      </c>
      <c r="L48" s="24" t="e">
        <f>RANK(L14,Table948[RBY])</f>
        <v>#REF!</v>
      </c>
      <c r="M48" s="24">
        <f>RANK(M14,Table948[WR1C])</f>
        <v>24</v>
      </c>
      <c r="N48" s="24">
        <f>RANK(N14,Table948[WR1Y])</f>
        <v>29</v>
      </c>
      <c r="O48" s="24">
        <f>RANK(O14,Table948[WR2C])</f>
        <v>7</v>
      </c>
      <c r="P48" s="24">
        <f>RANK(P14,Table948[WR2Y])</f>
        <v>11</v>
      </c>
      <c r="Q48" s="24">
        <f>RANK(Q14,Table948[WR3C])</f>
        <v>15</v>
      </c>
      <c r="R48" s="24">
        <f>RANK(R14,Table948[WR3Y])</f>
        <v>18</v>
      </c>
      <c r="S48" s="24">
        <f>RANK(S14,Table948[WR4+C])</f>
        <v>24</v>
      </c>
      <c r="T48" s="24">
        <f>RANK(T14,Table948[WR4+Y])</f>
        <v>31</v>
      </c>
      <c r="U48" s="24">
        <f>RANK(U14,Table948[TEC])</f>
        <v>12</v>
      </c>
      <c r="V48" s="24">
        <f>RANK(V14,Table948[TEY])</f>
        <v>9</v>
      </c>
      <c r="W48" s="24">
        <f>RANK(W14,Table948[QB])</f>
        <v>27</v>
      </c>
      <c r="X48" s="24">
        <f>RANK(X14,Table948[RB])</f>
        <v>16</v>
      </c>
      <c r="Y48" s="24">
        <f>RANK(Y14,Table948[WR1])</f>
        <v>21</v>
      </c>
      <c r="Z48" s="24">
        <f>RANK(Z14,Table948[WR2])</f>
        <v>15</v>
      </c>
      <c r="AA48" s="24">
        <f>RANK(AA14,Table948[WR3])</f>
        <v>7</v>
      </c>
      <c r="AB48" s="24">
        <f>RANK(AB14,Table948[WR4+])</f>
        <v>22</v>
      </c>
      <c r="AC48" s="24" t="e">
        <f>RANK(AC14,Table948[TE])</f>
        <v>#REF!</v>
      </c>
      <c r="AD48" s="24" t="e">
        <f>RANK(AD14,Table948[D/ST])</f>
        <v>#REF!</v>
      </c>
    </row>
    <row r="49" spans="1:30" x14ac:dyDescent="0.35">
      <c r="A49" s="57" t="s">
        <v>37</v>
      </c>
      <c r="B49" s="24" t="e">
        <f>RANK(B15,Table948[QBP])</f>
        <v>#REF!</v>
      </c>
      <c r="C49" s="24" t="e">
        <f>RANK(C15,Table948[PTD])</f>
        <v>#REF!</v>
      </c>
      <c r="D49" s="24" t="e">
        <f>RANK(D15,Table948[QBP+R])</f>
        <v>#REF!</v>
      </c>
      <c r="E49" s="24" t="e">
        <f>RANK(E15,Table948[QBR])</f>
        <v>#REF!</v>
      </c>
      <c r="F49" s="26" t="e">
        <f>RANK(F15,Table948[RBR])</f>
        <v>#REF!</v>
      </c>
      <c r="G49" s="24" t="e">
        <f>RANK(G15,Table948[RB1R])</f>
        <v>#REF!</v>
      </c>
      <c r="H49" s="24" t="e">
        <f>RANK(H15,Table948[RB2+])</f>
        <v>#REF!</v>
      </c>
      <c r="I49" s="24" t="e">
        <f>RANK(I15,Table948[RBR+R])</f>
        <v>#REF!</v>
      </c>
      <c r="J49" s="24" t="e">
        <f>RANK(J15,Table948[WRR])</f>
        <v>#REF!</v>
      </c>
      <c r="K49" s="24" t="e">
        <f>RANK(K15,Table948[RBC])</f>
        <v>#REF!</v>
      </c>
      <c r="L49" s="24" t="e">
        <f>RANK(L15,Table948[RBY])</f>
        <v>#REF!</v>
      </c>
      <c r="M49" s="24">
        <f>RANK(M15,Table948[WR1C])</f>
        <v>30</v>
      </c>
      <c r="N49" s="24">
        <f>RANK(N15,Table948[WR1Y])</f>
        <v>25</v>
      </c>
      <c r="O49" s="24">
        <f>RANK(O15,Table948[WR2C])</f>
        <v>14</v>
      </c>
      <c r="P49" s="24">
        <f>RANK(P15,Table948[WR2Y])</f>
        <v>5</v>
      </c>
      <c r="Q49" s="24">
        <f>RANK(Q15,Table948[WR3C])</f>
        <v>19</v>
      </c>
      <c r="R49" s="24">
        <f>RANK(R15,Table948[WR3Y])</f>
        <v>12</v>
      </c>
      <c r="S49" s="24">
        <f>RANK(S15,Table948[WR4+C])</f>
        <v>20</v>
      </c>
      <c r="T49" s="24">
        <f>RANK(T15,Table948[WR4+Y])</f>
        <v>18</v>
      </c>
      <c r="U49" s="24">
        <f>RANK(U15,Table948[TEC])</f>
        <v>26</v>
      </c>
      <c r="V49" s="24">
        <f>RANK(V15,Table948[TEY])</f>
        <v>24</v>
      </c>
      <c r="W49" s="24">
        <f>RANK(W15,Table948[QB])</f>
        <v>15</v>
      </c>
      <c r="X49" s="24">
        <f>RANK(X15,Table948[RB])</f>
        <v>28</v>
      </c>
      <c r="Y49" s="24">
        <f>RANK(Y15,Table948[WR1])</f>
        <v>13</v>
      </c>
      <c r="Z49" s="24">
        <f>RANK(Z15,Table948[WR2])</f>
        <v>5</v>
      </c>
      <c r="AA49" s="24">
        <f>RANK(AA15,Table948[WR3])</f>
        <v>3</v>
      </c>
      <c r="AB49" s="24">
        <f>RANK(AB15,Table948[WR4+])</f>
        <v>7</v>
      </c>
      <c r="AC49" s="24" t="e">
        <f>RANK(AC15,Table948[TE])</f>
        <v>#REF!</v>
      </c>
      <c r="AD49" s="24" t="e">
        <f>RANK(AD15,Table948[D/ST])</f>
        <v>#REF!</v>
      </c>
    </row>
    <row r="50" spans="1:30" x14ac:dyDescent="0.35">
      <c r="A50" s="58" t="s">
        <v>38</v>
      </c>
      <c r="B50" s="24" t="e">
        <f>RANK(B16,Table948[QBP])</f>
        <v>#REF!</v>
      </c>
      <c r="C50" s="24" t="e">
        <f>RANK(C16,Table948[PTD])</f>
        <v>#REF!</v>
      </c>
      <c r="D50" s="24" t="e">
        <f>RANK(D16,Table948[QBP+R])</f>
        <v>#REF!</v>
      </c>
      <c r="E50" s="24" t="e">
        <f>RANK(E16,Table948[QBR])</f>
        <v>#REF!</v>
      </c>
      <c r="F50" s="26" t="e">
        <f>RANK(F16,Table948[RBR])</f>
        <v>#REF!</v>
      </c>
      <c r="G50" s="24" t="e">
        <f>RANK(G16,Table948[RB1R])</f>
        <v>#REF!</v>
      </c>
      <c r="H50" s="24" t="e">
        <f>RANK(H16,Table948[RB2+])</f>
        <v>#REF!</v>
      </c>
      <c r="I50" s="24" t="e">
        <f>RANK(I16,Table948[RBR+R])</f>
        <v>#REF!</v>
      </c>
      <c r="J50" s="24" t="e">
        <f>RANK(J16,Table948[WRR])</f>
        <v>#REF!</v>
      </c>
      <c r="K50" s="24" t="e">
        <f>RANK(K16,Table948[RBC])</f>
        <v>#REF!</v>
      </c>
      <c r="L50" s="24" t="e">
        <f>RANK(L16,Table948[RBY])</f>
        <v>#REF!</v>
      </c>
      <c r="M50" s="24">
        <f>RANK(M16,Table948[WR1C])</f>
        <v>19</v>
      </c>
      <c r="N50" s="24">
        <f>RANK(N16,Table948[WR1Y])</f>
        <v>7</v>
      </c>
      <c r="O50" s="24">
        <f>RANK(O16,Table948[WR2C])</f>
        <v>17</v>
      </c>
      <c r="P50" s="24">
        <f>RANK(P16,Table948[WR2Y])</f>
        <v>15</v>
      </c>
      <c r="Q50" s="24">
        <f>RANK(Q16,Table948[WR3C])</f>
        <v>8</v>
      </c>
      <c r="R50" s="24">
        <f>RANK(R16,Table948[WR3Y])</f>
        <v>21</v>
      </c>
      <c r="S50" s="24">
        <f>RANK(S16,Table948[WR4+C])</f>
        <v>24</v>
      </c>
      <c r="T50" s="24">
        <f>RANK(T16,Table948[WR4+Y])</f>
        <v>28</v>
      </c>
      <c r="U50" s="24">
        <f>RANK(U16,Table948[TEC])</f>
        <v>7</v>
      </c>
      <c r="V50" s="24">
        <f>RANK(V16,Table948[TEY])</f>
        <v>7</v>
      </c>
      <c r="W50" s="24">
        <f>RANK(W16,Table948[QB])</f>
        <v>10</v>
      </c>
      <c r="X50" s="24">
        <f>RANK(X16,Table948[RB])</f>
        <v>11</v>
      </c>
      <c r="Y50" s="24">
        <f>RANK(Y16,Table948[WR1])</f>
        <v>29</v>
      </c>
      <c r="Z50" s="24">
        <f>RANK(Z16,Table948[WR2])</f>
        <v>4</v>
      </c>
      <c r="AA50" s="24">
        <f>RANK(AA16,Table948[WR3])</f>
        <v>15</v>
      </c>
      <c r="AB50" s="24">
        <f>RANK(AB16,Table948[WR4+])</f>
        <v>7</v>
      </c>
      <c r="AC50" s="24" t="e">
        <f>RANK(AC16,Table948[TE])</f>
        <v>#REF!</v>
      </c>
      <c r="AD50" s="24" t="e">
        <f>RANK(AD16,Table948[D/ST])</f>
        <v>#REF!</v>
      </c>
    </row>
    <row r="51" spans="1:30" x14ac:dyDescent="0.35">
      <c r="A51" s="57" t="s">
        <v>39</v>
      </c>
      <c r="B51" s="24" t="e">
        <f>RANK(B17,Table948[QBP])</f>
        <v>#REF!</v>
      </c>
      <c r="C51" s="24" t="e">
        <f>RANK(C17,Table948[PTD])</f>
        <v>#REF!</v>
      </c>
      <c r="D51" s="24" t="e">
        <f>RANK(D17,Table948[QBP+R])</f>
        <v>#REF!</v>
      </c>
      <c r="E51" s="24" t="e">
        <f>RANK(E17,Table948[QBR])</f>
        <v>#REF!</v>
      </c>
      <c r="F51" s="26" t="e">
        <f>RANK(F17,Table948[RBR])</f>
        <v>#REF!</v>
      </c>
      <c r="G51" s="24" t="e">
        <f>RANK(G17,Table948[RB1R])</f>
        <v>#REF!</v>
      </c>
      <c r="H51" s="24" t="e">
        <f>RANK(H17,Table948[RB2+])</f>
        <v>#REF!</v>
      </c>
      <c r="I51" s="24" t="e">
        <f>RANK(I17,Table948[RBR+R])</f>
        <v>#REF!</v>
      </c>
      <c r="J51" s="24" t="e">
        <f>RANK(J17,Table948[WRR])</f>
        <v>#REF!</v>
      </c>
      <c r="K51" s="24" t="e">
        <f>RANK(K17,Table948[RBC])</f>
        <v>#REF!</v>
      </c>
      <c r="L51" s="24" t="e">
        <f>RANK(L17,Table948[RBY])</f>
        <v>#REF!</v>
      </c>
      <c r="M51" s="24">
        <f>RANK(M17,Table948[WR1C])</f>
        <v>4</v>
      </c>
      <c r="N51" s="24">
        <f>RANK(N17,Table948[WR1Y])</f>
        <v>2</v>
      </c>
      <c r="O51" s="24">
        <f>RANK(O17,Table948[WR2C])</f>
        <v>19</v>
      </c>
      <c r="P51" s="24">
        <f>RANK(P17,Table948[WR2Y])</f>
        <v>8</v>
      </c>
      <c r="Q51" s="24">
        <f>RANK(Q17,Table948[WR3C])</f>
        <v>22</v>
      </c>
      <c r="R51" s="24">
        <f>RANK(R17,Table948[WR3Y])</f>
        <v>7</v>
      </c>
      <c r="S51" s="24">
        <f>RANK(S17,Table948[WR4+C])</f>
        <v>3</v>
      </c>
      <c r="T51" s="24">
        <f>RANK(T17,Table948[WR4+Y])</f>
        <v>11</v>
      </c>
      <c r="U51" s="24">
        <f>RANK(U17,Table948[TEC])</f>
        <v>14</v>
      </c>
      <c r="V51" s="24">
        <f>RANK(V17,Table948[TEY])</f>
        <v>13</v>
      </c>
      <c r="W51" s="24">
        <f>RANK(W17,Table948[QB])</f>
        <v>22</v>
      </c>
      <c r="X51" s="24">
        <f>RANK(X17,Table948[RB])</f>
        <v>4</v>
      </c>
      <c r="Y51" s="24">
        <f>RANK(Y17,Table948[WR1])</f>
        <v>8</v>
      </c>
      <c r="Z51" s="24">
        <f>RANK(Z17,Table948[WR2])</f>
        <v>5</v>
      </c>
      <c r="AA51" s="24">
        <f>RANK(AA17,Table948[WR3])</f>
        <v>15</v>
      </c>
      <c r="AB51" s="24">
        <f>RANK(AB17,Table948[WR4+])</f>
        <v>22</v>
      </c>
      <c r="AC51" s="24" t="e">
        <f>RANK(AC17,Table948[TE])</f>
        <v>#REF!</v>
      </c>
      <c r="AD51" s="24" t="e">
        <f>RANK(AD17,Table948[D/ST])</f>
        <v>#REF!</v>
      </c>
    </row>
    <row r="52" spans="1:30" x14ac:dyDescent="0.35">
      <c r="A52" s="58" t="s">
        <v>40</v>
      </c>
      <c r="B52" s="24" t="e">
        <f>RANK(B18,Table948[QBP])</f>
        <v>#REF!</v>
      </c>
      <c r="C52" s="24" t="e">
        <f>RANK(C18,Table948[PTD])</f>
        <v>#REF!</v>
      </c>
      <c r="D52" s="24" t="e">
        <f>RANK(D18,Table948[QBP+R])</f>
        <v>#REF!</v>
      </c>
      <c r="E52" s="24" t="e">
        <f>RANK(E18,Table948[QBR])</f>
        <v>#REF!</v>
      </c>
      <c r="F52" s="26" t="e">
        <f>RANK(F18,Table948[RBR])</f>
        <v>#REF!</v>
      </c>
      <c r="G52" s="24" t="e">
        <f>RANK(G18,Table948[RB1R])</f>
        <v>#REF!</v>
      </c>
      <c r="H52" s="24" t="e">
        <f>RANK(H18,Table948[RB2+])</f>
        <v>#REF!</v>
      </c>
      <c r="I52" s="24" t="e">
        <f>RANK(I18,Table948[RBR+R])</f>
        <v>#REF!</v>
      </c>
      <c r="J52" s="24" t="e">
        <f>RANK(J18,Table948[WRR])</f>
        <v>#REF!</v>
      </c>
      <c r="K52" s="24" t="e">
        <f>RANK(K18,Table948[RBC])</f>
        <v>#REF!</v>
      </c>
      <c r="L52" s="24" t="e">
        <f>RANK(L18,Table948[RBY])</f>
        <v>#REF!</v>
      </c>
      <c r="M52" s="24">
        <f>RANK(M18,Table948[WR1C])</f>
        <v>19</v>
      </c>
      <c r="N52" s="24">
        <f>RANK(N18,Table948[WR1Y])</f>
        <v>26</v>
      </c>
      <c r="O52" s="24">
        <f>RANK(O18,Table948[WR2C])</f>
        <v>17</v>
      </c>
      <c r="P52" s="24">
        <f>RANK(P18,Table948[WR2Y])</f>
        <v>24</v>
      </c>
      <c r="Q52" s="24">
        <f>RANK(Q18,Table948[WR3C])</f>
        <v>10</v>
      </c>
      <c r="R52" s="24">
        <f>RANK(R18,Table948[WR3Y])</f>
        <v>11</v>
      </c>
      <c r="S52" s="24">
        <f>RANK(S18,Table948[WR4+C])</f>
        <v>3</v>
      </c>
      <c r="T52" s="24">
        <f>RANK(T18,Table948[WR4+Y])</f>
        <v>16</v>
      </c>
      <c r="U52" s="24">
        <f>RANK(U18,Table948[TEC])</f>
        <v>2</v>
      </c>
      <c r="V52" s="24">
        <f>RANK(V18,Table948[TEY])</f>
        <v>1</v>
      </c>
      <c r="W52" s="24">
        <f>RANK(W18,Table948[QB])</f>
        <v>10</v>
      </c>
      <c r="X52" s="24">
        <f>RANK(X18,Table948[RB])</f>
        <v>30</v>
      </c>
      <c r="Y52" s="24">
        <f>RANK(Y18,Table948[WR1])</f>
        <v>29</v>
      </c>
      <c r="Z52" s="24">
        <f>RANK(Z18,Table948[WR2])</f>
        <v>2</v>
      </c>
      <c r="AA52" s="24">
        <f>RANK(AA18,Table948[WR3])</f>
        <v>3</v>
      </c>
      <c r="AB52" s="24">
        <f>RANK(AB18,Table948[WR4+])</f>
        <v>22</v>
      </c>
      <c r="AC52" s="24" t="e">
        <f>RANK(AC18,Table948[TE])</f>
        <v>#REF!</v>
      </c>
      <c r="AD52" s="24" t="e">
        <f>RANK(AD18,Table948[D/ST])</f>
        <v>#REF!</v>
      </c>
    </row>
    <row r="53" spans="1:30" x14ac:dyDescent="0.35">
      <c r="A53" s="57" t="s">
        <v>41</v>
      </c>
      <c r="B53" s="24" t="e">
        <f>RANK(B19,Table948[QBP])</f>
        <v>#REF!</v>
      </c>
      <c r="C53" s="24" t="e">
        <f>RANK(C19,Table948[PTD])</f>
        <v>#REF!</v>
      </c>
      <c r="D53" s="24" t="e">
        <f>RANK(D19,Table948[QBP+R])</f>
        <v>#REF!</v>
      </c>
      <c r="E53" s="24" t="e">
        <f>RANK(E19,Table948[QBR])</f>
        <v>#REF!</v>
      </c>
      <c r="F53" s="26" t="e">
        <f>RANK(F19,Table948[RBR])</f>
        <v>#REF!</v>
      </c>
      <c r="G53" s="24" t="e">
        <f>RANK(G19,Table948[RB1R])</f>
        <v>#REF!</v>
      </c>
      <c r="H53" s="24" t="e">
        <f>RANK(H19,Table948[RB2+])</f>
        <v>#REF!</v>
      </c>
      <c r="I53" s="24" t="e">
        <f>RANK(I19,Table948[RBR+R])</f>
        <v>#REF!</v>
      </c>
      <c r="J53" s="24" t="e">
        <f>RANK(J19,Table948[WRR])</f>
        <v>#REF!</v>
      </c>
      <c r="K53" s="24" t="e">
        <f>RANK(K19,Table948[RBC])</f>
        <v>#REF!</v>
      </c>
      <c r="L53" s="24" t="e">
        <f>RANK(L19,Table948[RBY])</f>
        <v>#REF!</v>
      </c>
      <c r="M53" s="24">
        <f>RANK(M19,Table948[WR1C])</f>
        <v>5</v>
      </c>
      <c r="N53" s="24">
        <f>RANK(N19,Table948[WR1Y])</f>
        <v>10</v>
      </c>
      <c r="O53" s="24">
        <f>RANK(O19,Table948[WR2C])</f>
        <v>25</v>
      </c>
      <c r="P53" s="24">
        <f>RANK(P19,Table948[WR2Y])</f>
        <v>22</v>
      </c>
      <c r="Q53" s="24">
        <f>RANK(Q19,Table948[WR3C])</f>
        <v>22</v>
      </c>
      <c r="R53" s="24">
        <f>RANK(R19,Table948[WR3Y])</f>
        <v>8</v>
      </c>
      <c r="S53" s="24">
        <f>RANK(S19,Table948[WR4+C])</f>
        <v>32</v>
      </c>
      <c r="T53" s="24">
        <f>RANK(T19,Table948[WR4+Y])</f>
        <v>32</v>
      </c>
      <c r="U53" s="24">
        <f>RANK(U19,Table948[TEC])</f>
        <v>13</v>
      </c>
      <c r="V53" s="24">
        <f>RANK(V19,Table948[TEY])</f>
        <v>22</v>
      </c>
      <c r="W53" s="24">
        <f>RANK(W19,Table948[QB])</f>
        <v>15</v>
      </c>
      <c r="X53" s="24">
        <f>RANK(X19,Table948[RB])</f>
        <v>30</v>
      </c>
      <c r="Y53" s="24">
        <f>RANK(Y19,Table948[WR1])</f>
        <v>5</v>
      </c>
      <c r="Z53" s="24">
        <f>RANK(Z19,Table948[WR2])</f>
        <v>10</v>
      </c>
      <c r="AA53" s="24">
        <f>RANK(AA19,Table948[WR3])</f>
        <v>26</v>
      </c>
      <c r="AB53" s="24">
        <f>RANK(AB19,Table948[WR4+])</f>
        <v>22</v>
      </c>
      <c r="AC53" s="24" t="e">
        <f>RANK(AC19,Table948[TE])</f>
        <v>#REF!</v>
      </c>
      <c r="AD53" s="24" t="e">
        <f>RANK(AD19,Table948[D/ST])</f>
        <v>#REF!</v>
      </c>
    </row>
    <row r="54" spans="1:30" x14ac:dyDescent="0.35">
      <c r="A54" s="58" t="s">
        <v>42</v>
      </c>
      <c r="B54" s="24" t="e">
        <f>RANK(B20,Table948[QBP])</f>
        <v>#REF!</v>
      </c>
      <c r="C54" s="24" t="e">
        <f>RANK(C20,Table948[PTD])</f>
        <v>#REF!</v>
      </c>
      <c r="D54" s="24" t="e">
        <f>RANK(D20,Table948[QBP+R])</f>
        <v>#REF!</v>
      </c>
      <c r="E54" s="24" t="e">
        <f>RANK(E20,Table948[QBR])</f>
        <v>#REF!</v>
      </c>
      <c r="F54" s="26" t="e">
        <f>RANK(F20,Table948[RBR])</f>
        <v>#REF!</v>
      </c>
      <c r="G54" s="24" t="e">
        <f>RANK(G20,Table948[RB1R])</f>
        <v>#REF!</v>
      </c>
      <c r="H54" s="24" t="e">
        <f>RANK(H20,Table948[RB2+])</f>
        <v>#REF!</v>
      </c>
      <c r="I54" s="24" t="e">
        <f>RANK(I20,Table948[RBR+R])</f>
        <v>#REF!</v>
      </c>
      <c r="J54" s="24" t="e">
        <f>RANK(J20,Table948[WRR])</f>
        <v>#REF!</v>
      </c>
      <c r="K54" s="24" t="e">
        <f>RANK(K20,Table948[RBC])</f>
        <v>#REF!</v>
      </c>
      <c r="L54" s="24" t="e">
        <f>RANK(L20,Table948[RBY])</f>
        <v>#REF!</v>
      </c>
      <c r="M54" s="24">
        <f>RANK(M20,Table948[WR1C])</f>
        <v>27</v>
      </c>
      <c r="N54" s="24">
        <f>RANK(N20,Table948[WR1Y])</f>
        <v>9</v>
      </c>
      <c r="O54" s="24">
        <f>RANK(O20,Table948[WR2C])</f>
        <v>19</v>
      </c>
      <c r="P54" s="24">
        <f>RANK(P20,Table948[WR2Y])</f>
        <v>14</v>
      </c>
      <c r="Q54" s="24">
        <f>RANK(Q20,Table948[WR3C])</f>
        <v>28</v>
      </c>
      <c r="R54" s="24">
        <f>RANK(R20,Table948[WR3Y])</f>
        <v>32</v>
      </c>
      <c r="S54" s="24">
        <f>RANK(S20,Table948[WR4+C])</f>
        <v>30</v>
      </c>
      <c r="T54" s="24">
        <f>RANK(T20,Table948[WR4+Y])</f>
        <v>26</v>
      </c>
      <c r="U54" s="24">
        <f>RANK(U20,Table948[TEC])</f>
        <v>2</v>
      </c>
      <c r="V54" s="24">
        <f>RANK(V20,Table948[TEY])</f>
        <v>4</v>
      </c>
      <c r="W54" s="24">
        <f>RANK(W20,Table948[QB])</f>
        <v>15</v>
      </c>
      <c r="X54" s="24">
        <f>RANK(X20,Table948[RB])</f>
        <v>28</v>
      </c>
      <c r="Y54" s="24">
        <f>RANK(Y20,Table948[WR1])</f>
        <v>3</v>
      </c>
      <c r="Z54" s="24">
        <f>RANK(Z20,Table948[WR2])</f>
        <v>10</v>
      </c>
      <c r="AA54" s="24">
        <f>RANK(AA20,Table948[WR3])</f>
        <v>26</v>
      </c>
      <c r="AB54" s="24">
        <f>RANK(AB20,Table948[WR4+])</f>
        <v>1</v>
      </c>
      <c r="AC54" s="24" t="e">
        <f>RANK(AC20,Table948[TE])</f>
        <v>#REF!</v>
      </c>
      <c r="AD54" s="24" t="e">
        <f>RANK(AD20,Table948[D/ST])</f>
        <v>#REF!</v>
      </c>
    </row>
    <row r="55" spans="1:30" x14ac:dyDescent="0.35">
      <c r="A55" s="57" t="s">
        <v>43</v>
      </c>
      <c r="B55" s="24" t="e">
        <f>RANK(B21,Table948[QBP])</f>
        <v>#REF!</v>
      </c>
      <c r="C55" s="24" t="e">
        <f>RANK(C21,Table948[PTD])</f>
        <v>#REF!</v>
      </c>
      <c r="D55" s="24" t="e">
        <f>RANK(D21,Table948[QBP+R])</f>
        <v>#REF!</v>
      </c>
      <c r="E55" s="24" t="e">
        <f>RANK(E21,Table948[QBR])</f>
        <v>#REF!</v>
      </c>
      <c r="F55" s="26" t="e">
        <f>RANK(F21,Table948[RBR])</f>
        <v>#REF!</v>
      </c>
      <c r="G55" s="24" t="e">
        <f>RANK(G21,Table948[RB1R])</f>
        <v>#REF!</v>
      </c>
      <c r="H55" s="24" t="e">
        <f>RANK(H21,Table948[RB2+])</f>
        <v>#REF!</v>
      </c>
      <c r="I55" s="24" t="e">
        <f>RANK(I21,Table948[RBR+R])</f>
        <v>#REF!</v>
      </c>
      <c r="J55" s="24" t="e">
        <f>RANK(J21,Table948[WRR])</f>
        <v>#REF!</v>
      </c>
      <c r="K55" s="24" t="e">
        <f>RANK(K21,Table948[RBC])</f>
        <v>#REF!</v>
      </c>
      <c r="L55" s="24" t="e">
        <f>RANK(L21,Table948[RBY])</f>
        <v>#REF!</v>
      </c>
      <c r="M55" s="24">
        <f>RANK(M21,Table948[WR1C])</f>
        <v>13</v>
      </c>
      <c r="N55" s="24">
        <f>RANK(N21,Table948[WR1Y])</f>
        <v>15</v>
      </c>
      <c r="O55" s="24">
        <f>RANK(O21,Table948[WR2C])</f>
        <v>19</v>
      </c>
      <c r="P55" s="24">
        <f>RANK(P21,Table948[WR2Y])</f>
        <v>17</v>
      </c>
      <c r="Q55" s="24">
        <f>RANK(Q21,Table948[WR3C])</f>
        <v>24</v>
      </c>
      <c r="R55" s="24">
        <f>RANK(R21,Table948[WR3Y])</f>
        <v>26</v>
      </c>
      <c r="S55" s="24">
        <f>RANK(S21,Table948[WR4+C])</f>
        <v>15</v>
      </c>
      <c r="T55" s="24">
        <f>RANK(T21,Table948[WR4+Y])</f>
        <v>16</v>
      </c>
      <c r="U55" s="24">
        <f>RANK(U21,Table948[TEC])</f>
        <v>6</v>
      </c>
      <c r="V55" s="24">
        <f>RANK(V21,Table948[TEY])</f>
        <v>5</v>
      </c>
      <c r="W55" s="24">
        <f>RANK(W21,Table948[QB])</f>
        <v>15</v>
      </c>
      <c r="X55" s="24">
        <f>RANK(X21,Table948[RB])</f>
        <v>16</v>
      </c>
      <c r="Y55" s="24">
        <f>RANK(Y21,Table948[WR1])</f>
        <v>8</v>
      </c>
      <c r="Z55" s="24">
        <f>RANK(Z21,Table948[WR2])</f>
        <v>28</v>
      </c>
      <c r="AA55" s="24">
        <f>RANK(AA21,Table948[WR3])</f>
        <v>7</v>
      </c>
      <c r="AB55" s="24">
        <f>RANK(AB21,Table948[WR4+])</f>
        <v>7</v>
      </c>
      <c r="AC55" s="24" t="e">
        <f>RANK(AC21,Table948[TE])</f>
        <v>#REF!</v>
      </c>
      <c r="AD55" s="24" t="e">
        <f>RANK(AD21,Table948[D/ST])</f>
        <v>#REF!</v>
      </c>
    </row>
    <row r="56" spans="1:30" x14ac:dyDescent="0.35">
      <c r="A56" s="58" t="s">
        <v>44</v>
      </c>
      <c r="B56" s="24" t="e">
        <f>RANK(B22,Table948[QBP])</f>
        <v>#REF!</v>
      </c>
      <c r="C56" s="24" t="e">
        <f>RANK(C22,Table948[PTD])</f>
        <v>#REF!</v>
      </c>
      <c r="D56" s="24" t="e">
        <f>RANK(D22,Table948[QBP+R])</f>
        <v>#REF!</v>
      </c>
      <c r="E56" s="24" t="e">
        <f>RANK(E22,Table948[QBR])</f>
        <v>#REF!</v>
      </c>
      <c r="F56" s="26" t="e">
        <f>RANK(F22,Table948[RBR])</f>
        <v>#REF!</v>
      </c>
      <c r="G56" s="24" t="e">
        <f>RANK(G22,Table948[RB1R])</f>
        <v>#REF!</v>
      </c>
      <c r="H56" s="24" t="e">
        <f>RANK(H22,Table948[RB2+])</f>
        <v>#REF!</v>
      </c>
      <c r="I56" s="24" t="e">
        <f>RANK(I22,Table948[RBR+R])</f>
        <v>#REF!</v>
      </c>
      <c r="J56" s="24" t="e">
        <f>RANK(J22,Table948[WRR])</f>
        <v>#REF!</v>
      </c>
      <c r="K56" s="24" t="e">
        <f>RANK(K22,Table948[RBC])</f>
        <v>#REF!</v>
      </c>
      <c r="L56" s="24" t="e">
        <f>RANK(L22,Table948[RBY])</f>
        <v>#REF!</v>
      </c>
      <c r="M56" s="24">
        <f>RANK(M22,Table948[WR1C])</f>
        <v>13</v>
      </c>
      <c r="N56" s="24">
        <f>RANK(N22,Table948[WR1Y])</f>
        <v>23</v>
      </c>
      <c r="O56" s="24">
        <f>RANK(O22,Table948[WR2C])</f>
        <v>29</v>
      </c>
      <c r="P56" s="24">
        <f>RANK(P22,Table948[WR2Y])</f>
        <v>27</v>
      </c>
      <c r="Q56" s="24">
        <f>RANK(Q22,Table948[WR3C])</f>
        <v>7</v>
      </c>
      <c r="R56" s="24">
        <f>RANK(R22,Table948[WR3Y])</f>
        <v>15</v>
      </c>
      <c r="S56" s="24">
        <f>RANK(S22,Table948[WR4+C])</f>
        <v>15</v>
      </c>
      <c r="T56" s="24">
        <f>RANK(T22,Table948[WR4+Y])</f>
        <v>21</v>
      </c>
      <c r="U56" s="24">
        <f>RANK(U22,Table948[TEC])</f>
        <v>9</v>
      </c>
      <c r="V56" s="24">
        <f>RANK(V22,Table948[TEY])</f>
        <v>12</v>
      </c>
      <c r="W56" s="24">
        <f>RANK(W22,Table948[QB])</f>
        <v>32</v>
      </c>
      <c r="X56" s="24">
        <f>RANK(X22,Table948[RB])</f>
        <v>11</v>
      </c>
      <c r="Y56" s="24">
        <f>RANK(Y22,Table948[WR1])</f>
        <v>8</v>
      </c>
      <c r="Z56" s="24">
        <f>RANK(Z22,Table948[WR2])</f>
        <v>28</v>
      </c>
      <c r="AA56" s="24">
        <f>RANK(AA22,Table948[WR3])</f>
        <v>15</v>
      </c>
      <c r="AB56" s="24">
        <f>RANK(AB22,Table948[WR4+])</f>
        <v>22</v>
      </c>
      <c r="AC56" s="24" t="e">
        <f>RANK(AC22,Table948[TE])</f>
        <v>#REF!</v>
      </c>
      <c r="AD56" s="24" t="e">
        <f>RANK(AD22,Table948[D/ST])</f>
        <v>#REF!</v>
      </c>
    </row>
    <row r="57" spans="1:30" x14ac:dyDescent="0.35">
      <c r="A57" s="57" t="s">
        <v>45</v>
      </c>
      <c r="B57" s="24" t="e">
        <f>RANK(B23,Table948[QBP])</f>
        <v>#REF!</v>
      </c>
      <c r="C57" s="24" t="e">
        <f>RANK(C23,Table948[PTD])</f>
        <v>#REF!</v>
      </c>
      <c r="D57" s="24" t="e">
        <f>RANK(D23,Table948[QBP+R])</f>
        <v>#REF!</v>
      </c>
      <c r="E57" s="24" t="e">
        <f>RANK(E23,Table948[QBR])</f>
        <v>#REF!</v>
      </c>
      <c r="F57" s="26" t="e">
        <f>RANK(F23,Table948[RBR])</f>
        <v>#REF!</v>
      </c>
      <c r="G57" s="24" t="e">
        <f>RANK(G23,Table948[RB1R])</f>
        <v>#REF!</v>
      </c>
      <c r="H57" s="24" t="e">
        <f>RANK(H23,Table948[RB2+])</f>
        <v>#REF!</v>
      </c>
      <c r="I57" s="24" t="e">
        <f>RANK(I23,Table948[RBR+R])</f>
        <v>#REF!</v>
      </c>
      <c r="J57" s="24" t="e">
        <f>RANK(J23,Table948[WRR])</f>
        <v>#REF!</v>
      </c>
      <c r="K57" s="24" t="e">
        <f>RANK(K23,Table948[RBC])</f>
        <v>#REF!</v>
      </c>
      <c r="L57" s="24" t="e">
        <f>RANK(L23,Table948[RBY])</f>
        <v>#REF!</v>
      </c>
      <c r="M57" s="24">
        <f>RANK(M23,Table948[WR1C])</f>
        <v>11</v>
      </c>
      <c r="N57" s="24">
        <f>RANK(N23,Table948[WR1Y])</f>
        <v>14</v>
      </c>
      <c r="O57" s="24">
        <f>RANK(O23,Table948[WR2C])</f>
        <v>1</v>
      </c>
      <c r="P57" s="24">
        <f>RANK(P23,Table948[WR2Y])</f>
        <v>1</v>
      </c>
      <c r="Q57" s="24">
        <f>RANK(Q23,Table948[WR3C])</f>
        <v>1</v>
      </c>
      <c r="R57" s="24">
        <f>RANK(R23,Table948[WR3Y])</f>
        <v>2</v>
      </c>
      <c r="S57" s="24">
        <f>RANK(S23,Table948[WR4+C])</f>
        <v>8</v>
      </c>
      <c r="T57" s="24">
        <f>RANK(T23,Table948[WR4+Y])</f>
        <v>8</v>
      </c>
      <c r="U57" s="24">
        <f>RANK(U23,Table948[TEC])</f>
        <v>15</v>
      </c>
      <c r="V57" s="24">
        <f>RANK(V23,Table948[TEY])</f>
        <v>16</v>
      </c>
      <c r="W57" s="24">
        <f>RANK(W23,Table948[QB])</f>
        <v>27</v>
      </c>
      <c r="X57" s="24">
        <f>RANK(X23,Table948[RB])</f>
        <v>19</v>
      </c>
      <c r="Y57" s="24">
        <f>RANK(Y23,Table948[WR1])</f>
        <v>13</v>
      </c>
      <c r="Z57" s="24">
        <f>RANK(Z23,Table948[WR2])</f>
        <v>23</v>
      </c>
      <c r="AA57" s="24">
        <f>RANK(AA23,Table948[WR3])</f>
        <v>3</v>
      </c>
      <c r="AB57" s="24">
        <f>RANK(AB23,Table948[WR4+])</f>
        <v>7</v>
      </c>
      <c r="AC57" s="24" t="e">
        <f>RANK(AC23,Table948[TE])</f>
        <v>#REF!</v>
      </c>
      <c r="AD57" s="24" t="e">
        <f>RANK(AD23,Table948[D/ST])</f>
        <v>#REF!</v>
      </c>
    </row>
    <row r="58" spans="1:30" x14ac:dyDescent="0.35">
      <c r="A58" s="58" t="s">
        <v>46</v>
      </c>
      <c r="B58" s="24" t="e">
        <f>RANK(B24,Table948[QBP])</f>
        <v>#REF!</v>
      </c>
      <c r="C58" s="24" t="e">
        <f>RANK(C24,Table948[PTD])</f>
        <v>#REF!</v>
      </c>
      <c r="D58" s="24" t="e">
        <f>RANK(D24,Table948[QBP+R])</f>
        <v>#REF!</v>
      </c>
      <c r="E58" s="24" t="e">
        <f>RANK(E24,Table948[QBR])</f>
        <v>#REF!</v>
      </c>
      <c r="F58" s="26" t="e">
        <f>RANK(F24,Table948[RBR])</f>
        <v>#REF!</v>
      </c>
      <c r="G58" s="24" t="e">
        <f>RANK(G24,Table948[RB1R])</f>
        <v>#REF!</v>
      </c>
      <c r="H58" s="24" t="e">
        <f>RANK(H24,Table948[RB2+])</f>
        <v>#REF!</v>
      </c>
      <c r="I58" s="24" t="e">
        <f>RANK(I24,Table948[RBR+R])</f>
        <v>#REF!</v>
      </c>
      <c r="J58" s="24" t="e">
        <f>RANK(J24,Table948[WRR])</f>
        <v>#REF!</v>
      </c>
      <c r="K58" s="24" t="e">
        <f>RANK(K24,Table948[RBC])</f>
        <v>#REF!</v>
      </c>
      <c r="L58" s="24" t="e">
        <f>RANK(L24,Table948[RBY])</f>
        <v>#REF!</v>
      </c>
      <c r="M58" s="24">
        <f>RANK(M24,Table948[WR1C])</f>
        <v>27</v>
      </c>
      <c r="N58" s="24">
        <f>RANK(N24,Table948[WR1Y])</f>
        <v>27</v>
      </c>
      <c r="O58" s="24">
        <f>RANK(O24,Table948[WR2C])</f>
        <v>2</v>
      </c>
      <c r="P58" s="24">
        <f>RANK(P24,Table948[WR2Y])</f>
        <v>2</v>
      </c>
      <c r="Q58" s="24">
        <f>RANK(Q24,Table948[WR3C])</f>
        <v>26</v>
      </c>
      <c r="R58" s="24">
        <f>RANK(R24,Table948[WR3Y])</f>
        <v>25</v>
      </c>
      <c r="S58" s="24">
        <f>RANK(S24,Table948[WR4+C])</f>
        <v>19</v>
      </c>
      <c r="T58" s="24">
        <f>RANK(T24,Table948[WR4+Y])</f>
        <v>19</v>
      </c>
      <c r="U58" s="24">
        <f>RANK(U24,Table948[TEC])</f>
        <v>16</v>
      </c>
      <c r="V58" s="24">
        <f>RANK(V24,Table948[TEY])</f>
        <v>17</v>
      </c>
      <c r="W58" s="24">
        <f>RANK(W24,Table948[QB])</f>
        <v>27</v>
      </c>
      <c r="X58" s="24">
        <f>RANK(X24,Table948[RB])</f>
        <v>2</v>
      </c>
      <c r="Y58" s="24">
        <f>RANK(Y24,Table948[WR1])</f>
        <v>13</v>
      </c>
      <c r="Z58" s="24">
        <f>RANK(Z24,Table948[WR2])</f>
        <v>10</v>
      </c>
      <c r="AA58" s="24">
        <f>RANK(AA24,Table948[WR3])</f>
        <v>26</v>
      </c>
      <c r="AB58" s="24">
        <f>RANK(AB24,Table948[WR4+])</f>
        <v>7</v>
      </c>
      <c r="AC58" s="24" t="e">
        <f>RANK(AC24,Table948[TE])</f>
        <v>#REF!</v>
      </c>
      <c r="AD58" s="24" t="e">
        <f>RANK(AD24,Table948[D/ST])</f>
        <v>#REF!</v>
      </c>
    </row>
    <row r="59" spans="1:30" x14ac:dyDescent="0.35">
      <c r="A59" s="57" t="s">
        <v>47</v>
      </c>
      <c r="B59" s="24" t="e">
        <f>RANK(B25,Table948[QBP])</f>
        <v>#REF!</v>
      </c>
      <c r="C59" s="24" t="e">
        <f>RANK(C25,Table948[PTD])</f>
        <v>#REF!</v>
      </c>
      <c r="D59" s="24" t="e">
        <f>RANK(D25,Table948[QBP+R])</f>
        <v>#REF!</v>
      </c>
      <c r="E59" s="24" t="e">
        <f>RANK(E25,Table948[QBR])</f>
        <v>#REF!</v>
      </c>
      <c r="F59" s="26" t="e">
        <f>RANK(F25,Table948[RBR])</f>
        <v>#REF!</v>
      </c>
      <c r="G59" s="24" t="e">
        <f>RANK(G25,Table948[RB1R])</f>
        <v>#REF!</v>
      </c>
      <c r="H59" s="24" t="e">
        <f>RANK(H25,Table948[RB2+])</f>
        <v>#REF!</v>
      </c>
      <c r="I59" s="24" t="e">
        <f>RANK(I25,Table948[RBR+R])</f>
        <v>#REF!</v>
      </c>
      <c r="J59" s="24" t="e">
        <f>RANK(J25,Table948[WRR])</f>
        <v>#REF!</v>
      </c>
      <c r="K59" s="24" t="e">
        <f>RANK(K25,Table948[RBC])</f>
        <v>#REF!</v>
      </c>
      <c r="L59" s="24" t="e">
        <f>RANK(L25,Table948[RBY])</f>
        <v>#REF!</v>
      </c>
      <c r="M59" s="24">
        <f>RANK(M25,Table948[WR1C])</f>
        <v>22</v>
      </c>
      <c r="N59" s="24">
        <f>RANK(N25,Table948[WR1Y])</f>
        <v>17</v>
      </c>
      <c r="O59" s="24">
        <f>RANK(O25,Table948[WR2C])</f>
        <v>8</v>
      </c>
      <c r="P59" s="24">
        <f>RANK(P25,Table948[WR2Y])</f>
        <v>5</v>
      </c>
      <c r="Q59" s="24">
        <f>RANK(Q25,Table948[WR3C])</f>
        <v>3</v>
      </c>
      <c r="R59" s="24">
        <f>RANK(R25,Table948[WR3Y])</f>
        <v>5</v>
      </c>
      <c r="S59" s="24">
        <f>RANK(S25,Table948[WR4+C])</f>
        <v>3</v>
      </c>
      <c r="T59" s="24">
        <f>RANK(T25,Table948[WR4+Y])</f>
        <v>7</v>
      </c>
      <c r="U59" s="24">
        <f>RANK(U25,Table948[TEC])</f>
        <v>22</v>
      </c>
      <c r="V59" s="24">
        <f>RANK(V25,Table948[TEY])</f>
        <v>8</v>
      </c>
      <c r="W59" s="24">
        <f>RANK(W25,Table948[QB])</f>
        <v>27</v>
      </c>
      <c r="X59" s="24">
        <f>RANK(X25,Table948[RB])</f>
        <v>6</v>
      </c>
      <c r="Y59" s="24">
        <f>RANK(Y25,Table948[WR1])</f>
        <v>13</v>
      </c>
      <c r="Z59" s="24">
        <f>RANK(Z25,Table948[WR2])</f>
        <v>5</v>
      </c>
      <c r="AA59" s="24">
        <f>RANK(AA25,Table948[WR3])</f>
        <v>15</v>
      </c>
      <c r="AB59" s="24">
        <f>RANK(AB25,Table948[WR4+])</f>
        <v>22</v>
      </c>
      <c r="AC59" s="24" t="e">
        <f>RANK(AC25,Table948[TE])</f>
        <v>#REF!</v>
      </c>
      <c r="AD59" s="24" t="e">
        <f>RANK(AD25,Table948[D/ST])</f>
        <v>#REF!</v>
      </c>
    </row>
    <row r="60" spans="1:30" x14ac:dyDescent="0.35">
      <c r="A60" s="58" t="s">
        <v>48</v>
      </c>
      <c r="B60" s="24" t="e">
        <f>RANK(B26,Table948[QBP])</f>
        <v>#REF!</v>
      </c>
      <c r="C60" s="24" t="e">
        <f>RANK(C26,Table948[PTD])</f>
        <v>#REF!</v>
      </c>
      <c r="D60" s="24" t="e">
        <f>RANK(D26,Table948[QBP+R])</f>
        <v>#REF!</v>
      </c>
      <c r="E60" s="24" t="e">
        <f>RANK(E26,Table948[QBR])</f>
        <v>#REF!</v>
      </c>
      <c r="F60" s="26" t="e">
        <f>RANK(F26,Table948[RBR])</f>
        <v>#REF!</v>
      </c>
      <c r="G60" s="24" t="e">
        <f>RANK(G26,Table948[RB1R])</f>
        <v>#REF!</v>
      </c>
      <c r="H60" s="24" t="e">
        <f>RANK(H26,Table948[RB2+])</f>
        <v>#REF!</v>
      </c>
      <c r="I60" s="24" t="e">
        <f>RANK(I26,Table948[RBR+R])</f>
        <v>#REF!</v>
      </c>
      <c r="J60" s="24" t="e">
        <f>RANK(J26,Table948[WRR])</f>
        <v>#REF!</v>
      </c>
      <c r="K60" s="24" t="e">
        <f>RANK(K26,Table948[RBC])</f>
        <v>#REF!</v>
      </c>
      <c r="L60" s="24" t="e">
        <f>RANK(L26,Table948[RBY])</f>
        <v>#REF!</v>
      </c>
      <c r="M60" s="24">
        <f>RANK(M26,Table948[WR1C])</f>
        <v>17</v>
      </c>
      <c r="N60" s="24">
        <f>RANK(N26,Table948[WR1Y])</f>
        <v>19</v>
      </c>
      <c r="O60" s="24">
        <f>RANK(O26,Table948[WR2C])</f>
        <v>22</v>
      </c>
      <c r="P60" s="24">
        <f>RANK(P26,Table948[WR2Y])</f>
        <v>28</v>
      </c>
      <c r="Q60" s="24">
        <f>RANK(Q26,Table948[WR3C])</f>
        <v>12</v>
      </c>
      <c r="R60" s="24">
        <f>RANK(R26,Table948[WR3Y])</f>
        <v>4</v>
      </c>
      <c r="S60" s="24">
        <f>RANK(S26,Table948[WR4+C])</f>
        <v>7</v>
      </c>
      <c r="T60" s="24">
        <f>RANK(T26,Table948[WR4+Y])</f>
        <v>5</v>
      </c>
      <c r="U60" s="24">
        <f>RANK(U26,Table948[TEC])</f>
        <v>32</v>
      </c>
      <c r="V60" s="24">
        <f>RANK(V26,Table948[TEY])</f>
        <v>29</v>
      </c>
      <c r="W60" s="24">
        <f>RANK(W26,Table948[QB])</f>
        <v>10</v>
      </c>
      <c r="X60" s="24">
        <f>RANK(X26,Table948[RB])</f>
        <v>11</v>
      </c>
      <c r="Y60" s="24">
        <f>RANK(Y26,Table948[WR1])</f>
        <v>8</v>
      </c>
      <c r="Z60" s="24">
        <f>RANK(Z26,Table948[WR2])</f>
        <v>23</v>
      </c>
      <c r="AA60" s="24">
        <f>RANK(AA26,Table948[WR3])</f>
        <v>13</v>
      </c>
      <c r="AB60" s="24">
        <f>RANK(AB26,Table948[WR4+])</f>
        <v>7</v>
      </c>
      <c r="AC60" s="24" t="e">
        <f>RANK(AC26,Table948[TE])</f>
        <v>#REF!</v>
      </c>
      <c r="AD60" s="24" t="e">
        <f>RANK(AD26,Table948[D/ST])</f>
        <v>#REF!</v>
      </c>
    </row>
    <row r="61" spans="1:30" x14ac:dyDescent="0.35">
      <c r="A61" s="57" t="s">
        <v>49</v>
      </c>
      <c r="B61" s="24" t="e">
        <f>RANK(B27,Table948[QBP])</f>
        <v>#REF!</v>
      </c>
      <c r="C61" s="24" t="e">
        <f>RANK(C27,Table948[PTD])</f>
        <v>#REF!</v>
      </c>
      <c r="D61" s="24" t="e">
        <f>RANK(D27,Table948[QBP+R])</f>
        <v>#REF!</v>
      </c>
      <c r="E61" s="24" t="e">
        <f>RANK(E27,Table948[QBR])</f>
        <v>#REF!</v>
      </c>
      <c r="F61" s="26" t="e">
        <f>RANK(F27,Table948[RBR])</f>
        <v>#REF!</v>
      </c>
      <c r="G61" s="24" t="e">
        <f>RANK(G27,Table948[RB1R])</f>
        <v>#REF!</v>
      </c>
      <c r="H61" s="24" t="e">
        <f>RANK(H27,Table948[RB2+])</f>
        <v>#REF!</v>
      </c>
      <c r="I61" s="24" t="e">
        <f>RANK(I27,Table948[RBR+R])</f>
        <v>#REF!</v>
      </c>
      <c r="J61" s="24" t="e">
        <f>RANK(J27,Table948[WRR])</f>
        <v>#REF!</v>
      </c>
      <c r="K61" s="24" t="e">
        <f>RANK(K27,Table948[RBC])</f>
        <v>#REF!</v>
      </c>
      <c r="L61" s="24" t="e">
        <f>RANK(L27,Table948[RBY])</f>
        <v>#REF!</v>
      </c>
      <c r="M61" s="24">
        <f>RANK(M27,Table948[WR1C])</f>
        <v>24</v>
      </c>
      <c r="N61" s="24">
        <f>RANK(N27,Table948[WR1Y])</f>
        <v>20</v>
      </c>
      <c r="O61" s="24">
        <f>RANK(O27,Table948[WR2C])</f>
        <v>22</v>
      </c>
      <c r="P61" s="24">
        <f>RANK(P27,Table948[WR2Y])</f>
        <v>25</v>
      </c>
      <c r="Q61" s="24">
        <f>RANK(Q27,Table948[WR3C])</f>
        <v>19</v>
      </c>
      <c r="R61" s="24">
        <f>RANK(R27,Table948[WR3Y])</f>
        <v>23</v>
      </c>
      <c r="S61" s="24">
        <f>RANK(S27,Table948[WR4+C])</f>
        <v>22</v>
      </c>
      <c r="T61" s="24">
        <f>RANK(T27,Table948[WR4+Y])</f>
        <v>12</v>
      </c>
      <c r="U61" s="24">
        <f>RANK(U27,Table948[TEC])</f>
        <v>21</v>
      </c>
      <c r="V61" s="24">
        <f>RANK(V27,Table948[TEY])</f>
        <v>23</v>
      </c>
      <c r="W61" s="24">
        <f>RANK(W27,Table948[QB])</f>
        <v>2</v>
      </c>
      <c r="X61" s="24">
        <f>RANK(X27,Table948[RB])</f>
        <v>24</v>
      </c>
      <c r="Y61" s="24">
        <f>RANK(Y27,Table948[WR1])</f>
        <v>5</v>
      </c>
      <c r="Z61" s="24">
        <f>RANK(Z27,Table948[WR2])</f>
        <v>28</v>
      </c>
      <c r="AA61" s="24">
        <f>RANK(AA27,Table948[WR3])</f>
        <v>15</v>
      </c>
      <c r="AB61" s="24">
        <f>RANK(AB27,Table948[WR4+])</f>
        <v>3</v>
      </c>
      <c r="AC61" s="24" t="e">
        <f>RANK(AC27,Table948[TE])</f>
        <v>#REF!</v>
      </c>
      <c r="AD61" s="24" t="e">
        <f>RANK(AD27,Table948[D/ST])</f>
        <v>#REF!</v>
      </c>
    </row>
    <row r="62" spans="1:30" x14ac:dyDescent="0.35">
      <c r="A62" s="58" t="s">
        <v>50</v>
      </c>
      <c r="B62" s="24" t="e">
        <f>RANK(B28,Table948[QBP])</f>
        <v>#REF!</v>
      </c>
      <c r="C62" s="24" t="e">
        <f>RANK(C28,Table948[PTD])</f>
        <v>#REF!</v>
      </c>
      <c r="D62" s="24" t="e">
        <f>RANK(D28,Table948[QBP+R])</f>
        <v>#REF!</v>
      </c>
      <c r="E62" s="24" t="e">
        <f>RANK(E28,Table948[QBR])</f>
        <v>#REF!</v>
      </c>
      <c r="F62" s="26" t="e">
        <f>RANK(F28,Table948[RBR])</f>
        <v>#REF!</v>
      </c>
      <c r="G62" s="24" t="e">
        <f>RANK(G28,Table948[RB1R])</f>
        <v>#REF!</v>
      </c>
      <c r="H62" s="24" t="e">
        <f>RANK(H28,Table948[RB2+])</f>
        <v>#REF!</v>
      </c>
      <c r="I62" s="24" t="e">
        <f>RANK(I28,Table948[RBR+R])</f>
        <v>#REF!</v>
      </c>
      <c r="J62" s="24" t="e">
        <f>RANK(J28,Table948[WRR])</f>
        <v>#REF!</v>
      </c>
      <c r="K62" s="24" t="e">
        <f>RANK(K28,Table948[RBC])</f>
        <v>#REF!</v>
      </c>
      <c r="L62" s="24" t="e">
        <f>RANK(L28,Table948[RBY])</f>
        <v>#REF!</v>
      </c>
      <c r="M62" s="24">
        <f>RANK(M28,Table948[WR1C])</f>
        <v>10</v>
      </c>
      <c r="N62" s="24">
        <f>RANK(N28,Table948[WR1Y])</f>
        <v>22</v>
      </c>
      <c r="O62" s="24">
        <f>RANK(O28,Table948[WR2C])</f>
        <v>25</v>
      </c>
      <c r="P62" s="24">
        <f>RANK(P28,Table948[WR2Y])</f>
        <v>32</v>
      </c>
      <c r="Q62" s="24">
        <f>RANK(Q28,Table948[WR3C])</f>
        <v>30</v>
      </c>
      <c r="R62" s="24">
        <f>RANK(R28,Table948[WR3Y])</f>
        <v>30</v>
      </c>
      <c r="S62" s="24">
        <f>RANK(S28,Table948[WR4+C])</f>
        <v>9</v>
      </c>
      <c r="T62" s="24">
        <f>RANK(T28,Table948[WR4+Y])</f>
        <v>14</v>
      </c>
      <c r="U62" s="24">
        <f>RANK(U28,Table948[TEC])</f>
        <v>27</v>
      </c>
      <c r="V62" s="24">
        <f>RANK(V28,Table948[TEY])</f>
        <v>31</v>
      </c>
      <c r="W62" s="24">
        <f>RANK(W28,Table948[QB])</f>
        <v>15</v>
      </c>
      <c r="X62" s="24">
        <f>RANK(X28,Table948[RB])</f>
        <v>32</v>
      </c>
      <c r="Y62" s="24">
        <f>RANK(Y28,Table948[WR1])</f>
        <v>5</v>
      </c>
      <c r="Z62" s="24">
        <f>RANK(Z28,Table948[WR2])</f>
        <v>23</v>
      </c>
      <c r="AA62" s="24">
        <f>RANK(AA28,Table948[WR3])</f>
        <v>15</v>
      </c>
      <c r="AB62" s="24">
        <f>RANK(AB28,Table948[WR4+])</f>
        <v>3</v>
      </c>
      <c r="AC62" s="24" t="e">
        <f>RANK(AC28,Table948[TE])</f>
        <v>#REF!</v>
      </c>
      <c r="AD62" s="24" t="e">
        <f>RANK(AD28,Table948[D/ST])</f>
        <v>#REF!</v>
      </c>
    </row>
    <row r="63" spans="1:30" x14ac:dyDescent="0.35">
      <c r="A63" s="57" t="s">
        <v>51</v>
      </c>
      <c r="B63" s="24" t="e">
        <f>RANK(B29,Table948[QBP])</f>
        <v>#REF!</v>
      </c>
      <c r="C63" s="24" t="e">
        <f>RANK(C29,Table948[PTD])</f>
        <v>#REF!</v>
      </c>
      <c r="D63" s="24" t="e">
        <f>RANK(D29,Table948[QBP+R])</f>
        <v>#REF!</v>
      </c>
      <c r="E63" s="24" t="e">
        <f>RANK(E29,Table948[QBR])</f>
        <v>#REF!</v>
      </c>
      <c r="F63" s="26" t="e">
        <f>RANK(F29,Table948[RBR])</f>
        <v>#REF!</v>
      </c>
      <c r="G63" s="24" t="e">
        <f>RANK(G29,Table948[RB1R])</f>
        <v>#REF!</v>
      </c>
      <c r="H63" s="24" t="e">
        <f>RANK(H29,Table948[RB2+])</f>
        <v>#REF!</v>
      </c>
      <c r="I63" s="24" t="e">
        <f>RANK(I29,Table948[RBR+R])</f>
        <v>#REF!</v>
      </c>
      <c r="J63" s="24" t="e">
        <f>RANK(J29,Table948[WRR])</f>
        <v>#REF!</v>
      </c>
      <c r="K63" s="24" t="e">
        <f>RANK(K29,Table948[RBC])</f>
        <v>#REF!</v>
      </c>
      <c r="L63" s="24" t="e">
        <f>RANK(L29,Table948[RBY])</f>
        <v>#REF!</v>
      </c>
      <c r="M63" s="24">
        <f>RANK(M29,Table948[WR1C])</f>
        <v>27</v>
      </c>
      <c r="N63" s="24">
        <f>RANK(N29,Table948[WR1Y])</f>
        <v>18</v>
      </c>
      <c r="O63" s="24">
        <f>RANK(O29,Table948[WR2C])</f>
        <v>4</v>
      </c>
      <c r="P63" s="24">
        <f>RANK(P29,Table948[WR2Y])</f>
        <v>4</v>
      </c>
      <c r="Q63" s="24">
        <f>RANK(Q29,Table948[WR3C])</f>
        <v>8</v>
      </c>
      <c r="R63" s="24">
        <f>RANK(R29,Table948[WR3Y])</f>
        <v>16</v>
      </c>
      <c r="S63" s="24">
        <f>RANK(S29,Table948[WR4+C])</f>
        <v>22</v>
      </c>
      <c r="T63" s="24">
        <f>RANK(T29,Table948[WR4+Y])</f>
        <v>21</v>
      </c>
      <c r="U63" s="24">
        <f>RANK(U29,Table948[TEC])</f>
        <v>4</v>
      </c>
      <c r="V63" s="24">
        <f>RANK(V29,Table948[TEY])</f>
        <v>11</v>
      </c>
      <c r="W63" s="24">
        <f>RANK(W29,Table948[QB])</f>
        <v>22</v>
      </c>
      <c r="X63" s="24">
        <f>RANK(X29,Table948[RB])</f>
        <v>21</v>
      </c>
      <c r="Y63" s="24">
        <f>RANK(Y29,Table948[WR1])</f>
        <v>21</v>
      </c>
      <c r="Z63" s="24">
        <f>RANK(Z29,Table948[WR2])</f>
        <v>15</v>
      </c>
      <c r="AA63" s="24">
        <f>RANK(AA29,Table948[WR3])</f>
        <v>15</v>
      </c>
      <c r="AB63" s="24">
        <f>RANK(AB29,Table948[WR4+])</f>
        <v>7</v>
      </c>
      <c r="AC63" s="24" t="e">
        <f>RANK(AC29,Table948[TE])</f>
        <v>#REF!</v>
      </c>
      <c r="AD63" s="24" t="e">
        <f>RANK(AD29,Table948[D/ST])</f>
        <v>#REF!</v>
      </c>
    </row>
    <row r="64" spans="1:30" x14ac:dyDescent="0.35">
      <c r="A64" s="58" t="s">
        <v>52</v>
      </c>
      <c r="B64" s="24" t="e">
        <f>RANK(B30,Table948[QBP])</f>
        <v>#REF!</v>
      </c>
      <c r="C64" s="24" t="e">
        <f>RANK(C30,Table948[PTD])</f>
        <v>#REF!</v>
      </c>
      <c r="D64" s="24" t="e">
        <f>RANK(D30,Table948[QBP+R])</f>
        <v>#REF!</v>
      </c>
      <c r="E64" s="24" t="e">
        <f>RANK(E30,Table948[QBR])</f>
        <v>#REF!</v>
      </c>
      <c r="F64" s="26" t="e">
        <f>RANK(F30,Table948[RBR])</f>
        <v>#REF!</v>
      </c>
      <c r="G64" s="24" t="e">
        <f>RANK(G30,Table948[RB1R])</f>
        <v>#REF!</v>
      </c>
      <c r="H64" s="24" t="e">
        <f>RANK(H30,Table948[RB2+])</f>
        <v>#REF!</v>
      </c>
      <c r="I64" s="24" t="e">
        <f>RANK(I30,Table948[RBR+R])</f>
        <v>#REF!</v>
      </c>
      <c r="J64" s="24" t="e">
        <f>RANK(J30,Table948[WRR])</f>
        <v>#REF!</v>
      </c>
      <c r="K64" s="24" t="e">
        <f>RANK(K30,Table948[RBC])</f>
        <v>#REF!</v>
      </c>
      <c r="L64" s="24" t="e">
        <f>RANK(L30,Table948[RBY])</f>
        <v>#REF!</v>
      </c>
      <c r="M64" s="24">
        <f>RANK(M30,Table948[WR1C])</f>
        <v>24</v>
      </c>
      <c r="N64" s="24">
        <f>RANK(N30,Table948[WR1Y])</f>
        <v>31</v>
      </c>
      <c r="O64" s="24">
        <f>RANK(O30,Table948[WR2C])</f>
        <v>4</v>
      </c>
      <c r="P64" s="24">
        <f>RANK(P30,Table948[WR2Y])</f>
        <v>9</v>
      </c>
      <c r="Q64" s="24">
        <f>RANK(Q30,Table948[WR3C])</f>
        <v>10</v>
      </c>
      <c r="R64" s="24">
        <f>RANK(R30,Table948[WR3Y])</f>
        <v>14</v>
      </c>
      <c r="S64" s="24">
        <f>RANK(S30,Table948[WR4+C])</f>
        <v>17</v>
      </c>
      <c r="T64" s="24">
        <f>RANK(T30,Table948[WR4+Y])</f>
        <v>15</v>
      </c>
      <c r="U64" s="24">
        <f>RANK(U30,Table948[TEC])</f>
        <v>17</v>
      </c>
      <c r="V64" s="24">
        <f>RANK(V30,Table948[TEY])</f>
        <v>15</v>
      </c>
      <c r="W64" s="24">
        <f>RANK(W30,Table948[QB])</f>
        <v>15</v>
      </c>
      <c r="X64" s="24">
        <f>RANK(X30,Table948[RB])</f>
        <v>24</v>
      </c>
      <c r="Y64" s="24">
        <f>RANK(Y30,Table948[WR1])</f>
        <v>21</v>
      </c>
      <c r="Z64" s="24">
        <f>RANK(Z30,Table948[WR2])</f>
        <v>15</v>
      </c>
      <c r="AA64" s="24">
        <f>RANK(AA30,Table948[WR3])</f>
        <v>2</v>
      </c>
      <c r="AB64" s="24">
        <f>RANK(AB30,Table948[WR4+])</f>
        <v>7</v>
      </c>
      <c r="AC64" s="24" t="e">
        <f>RANK(AC30,Table948[TE])</f>
        <v>#REF!</v>
      </c>
      <c r="AD64" s="24" t="e">
        <f>RANK(AD30,Table948[D/ST])</f>
        <v>#REF!</v>
      </c>
    </row>
    <row r="65" spans="1:30" x14ac:dyDescent="0.35">
      <c r="A65" s="57" t="s">
        <v>53</v>
      </c>
      <c r="B65" s="24" t="e">
        <f>RANK(B31,Table948[QBP])</f>
        <v>#REF!</v>
      </c>
      <c r="C65" s="24" t="e">
        <f>RANK(C31,Table948[PTD])</f>
        <v>#REF!</v>
      </c>
      <c r="D65" s="24" t="e">
        <f>RANK(D31,Table948[QBP+R])</f>
        <v>#REF!</v>
      </c>
      <c r="E65" s="24" t="e">
        <f>RANK(E31,Table948[QBR])</f>
        <v>#REF!</v>
      </c>
      <c r="F65" s="26" t="e">
        <f>RANK(F31,Table948[RBR])</f>
        <v>#REF!</v>
      </c>
      <c r="G65" s="24" t="e">
        <f>RANK(G31,Table948[RB1R])</f>
        <v>#REF!</v>
      </c>
      <c r="H65" s="24" t="e">
        <f>RANK(H31,Table948[RB2+])</f>
        <v>#REF!</v>
      </c>
      <c r="I65" s="24" t="e">
        <f>RANK(I31,Table948[RBR+R])</f>
        <v>#REF!</v>
      </c>
      <c r="J65" s="24" t="e">
        <f>RANK(J31,Table948[WRR])</f>
        <v>#REF!</v>
      </c>
      <c r="K65" s="24" t="e">
        <f>RANK(K31,Table948[RBC])</f>
        <v>#REF!</v>
      </c>
      <c r="L65" s="24" t="e">
        <f>RANK(L31,Table948[RBY])</f>
        <v>#REF!</v>
      </c>
      <c r="M65" s="24">
        <f>RANK(M31,Table948[WR1C])</f>
        <v>31</v>
      </c>
      <c r="N65" s="24">
        <f>RANK(N31,Table948[WR1Y])</f>
        <v>32</v>
      </c>
      <c r="O65" s="24">
        <f>RANK(O31,Table948[WR2C])</f>
        <v>9</v>
      </c>
      <c r="P65" s="24">
        <f>RANK(P31,Table948[WR2Y])</f>
        <v>10</v>
      </c>
      <c r="Q65" s="24">
        <f>RANK(Q31,Table948[WR3C])</f>
        <v>28</v>
      </c>
      <c r="R65" s="24">
        <f>RANK(R31,Table948[WR3Y])</f>
        <v>31</v>
      </c>
      <c r="S65" s="24">
        <f>RANK(S31,Table948[WR4+C])</f>
        <v>24</v>
      </c>
      <c r="T65" s="24">
        <f>RANK(T31,Table948[WR4+Y])</f>
        <v>26</v>
      </c>
      <c r="U65" s="24">
        <f>RANK(U31,Table948[TEC])</f>
        <v>25</v>
      </c>
      <c r="V65" s="24">
        <f>RANK(V31,Table948[TEY])</f>
        <v>27</v>
      </c>
      <c r="W65" s="24">
        <f>RANK(W31,Table948[QB])</f>
        <v>7</v>
      </c>
      <c r="X65" s="24">
        <f>RANK(X31,Table948[RB])</f>
        <v>4</v>
      </c>
      <c r="Y65" s="24">
        <f>RANK(Y31,Table948[WR1])</f>
        <v>21</v>
      </c>
      <c r="Z65" s="24">
        <f>RANK(Z31,Table948[WR2])</f>
        <v>2</v>
      </c>
      <c r="AA65" s="24">
        <f>RANK(AA31,Table948[WR3])</f>
        <v>15</v>
      </c>
      <c r="AB65" s="24">
        <f>RANK(AB31,Table948[WR4+])</f>
        <v>7</v>
      </c>
      <c r="AC65" s="24" t="e">
        <f>RANK(AC31,Table948[TE])</f>
        <v>#REF!</v>
      </c>
      <c r="AD65" s="24" t="e">
        <f>RANK(AD31,Table948[D/ST])</f>
        <v>#REF!</v>
      </c>
    </row>
    <row r="66" spans="1:30" x14ac:dyDescent="0.35">
      <c r="A66" s="58" t="s">
        <v>54</v>
      </c>
      <c r="B66" s="24" t="e">
        <f>RANK(B32,Table948[QBP])</f>
        <v>#REF!</v>
      </c>
      <c r="C66" s="24" t="e">
        <f>RANK(C32,Table948[PTD])</f>
        <v>#REF!</v>
      </c>
      <c r="D66" s="24" t="e">
        <f>RANK(D32,Table948[QBP+R])</f>
        <v>#REF!</v>
      </c>
      <c r="E66" s="24" t="e">
        <f>RANK(E32,Table948[QBR])</f>
        <v>#REF!</v>
      </c>
      <c r="F66" s="26" t="e">
        <f>RANK(F32,Table948[RBR])</f>
        <v>#REF!</v>
      </c>
      <c r="G66" s="24" t="e">
        <f>RANK(G32,Table948[RB1R])</f>
        <v>#REF!</v>
      </c>
      <c r="H66" s="24" t="e">
        <f>RANK(H32,Table948[RB2+])</f>
        <v>#REF!</v>
      </c>
      <c r="I66" s="24" t="e">
        <f>RANK(I32,Table948[RBR+R])</f>
        <v>#REF!</v>
      </c>
      <c r="J66" s="24" t="e">
        <f>RANK(J32,Table948[WRR])</f>
        <v>#REF!</v>
      </c>
      <c r="K66" s="24" t="e">
        <f>RANK(K32,Table948[RBC])</f>
        <v>#REF!</v>
      </c>
      <c r="L66" s="24" t="e">
        <f>RANK(L32,Table948[RBY])</f>
        <v>#REF!</v>
      </c>
      <c r="M66" s="24">
        <f>RANK(M32,Table948[WR1C])</f>
        <v>6</v>
      </c>
      <c r="N66" s="24">
        <f>RANK(N32,Table948[WR1Y])</f>
        <v>15</v>
      </c>
      <c r="O66" s="24">
        <f>RANK(O32,Table948[WR2C])</f>
        <v>16</v>
      </c>
      <c r="P66" s="24">
        <f>RANK(P32,Table948[WR2Y])</f>
        <v>16</v>
      </c>
      <c r="Q66" s="24">
        <f>RANK(Q32,Table948[WR3C])</f>
        <v>3</v>
      </c>
      <c r="R66" s="24">
        <f>RANK(R32,Table948[WR3Y])</f>
        <v>17</v>
      </c>
      <c r="S66" s="24">
        <f>RANK(S32,Table948[WR4+C])</f>
        <v>1</v>
      </c>
      <c r="T66" s="24">
        <f>RANK(T32,Table948[WR4+Y])</f>
        <v>1</v>
      </c>
      <c r="U66" s="24">
        <f>RANK(U32,Table948[TEC])</f>
        <v>5</v>
      </c>
      <c r="V66" s="24">
        <f>RANK(V32,Table948[TEY])</f>
        <v>2</v>
      </c>
      <c r="W66" s="24">
        <f>RANK(W32,Table948[QB])</f>
        <v>3</v>
      </c>
      <c r="X66" s="24">
        <f>RANK(X32,Table948[RB])</f>
        <v>24</v>
      </c>
      <c r="Y66" s="24">
        <f>RANK(Y32,Table948[WR1])</f>
        <v>13</v>
      </c>
      <c r="Z66" s="24">
        <f>RANK(Z32,Table948[WR2])</f>
        <v>23</v>
      </c>
      <c r="AA66" s="24">
        <f>RANK(AA32,Table948[WR3])</f>
        <v>7</v>
      </c>
      <c r="AB66" s="24">
        <f>RANK(AB32,Table948[WR4+])</f>
        <v>3</v>
      </c>
      <c r="AC66" s="24" t="e">
        <f>RANK(AC32,Table948[TE])</f>
        <v>#REF!</v>
      </c>
      <c r="AD66" s="24" t="e">
        <f>RANK(AD32,Table948[D/ST])</f>
        <v>#REF!</v>
      </c>
    </row>
    <row r="67" spans="1:30" x14ac:dyDescent="0.35">
      <c r="A67" s="57" t="s">
        <v>55</v>
      </c>
      <c r="B67" s="24" t="e">
        <f>RANK(B33,Table948[QBP])</f>
        <v>#REF!</v>
      </c>
      <c r="C67" s="24" t="e">
        <f>RANK(C33,Table948[PTD])</f>
        <v>#REF!</v>
      </c>
      <c r="D67" s="24" t="e">
        <f>RANK(D33,Table948[QBP+R])</f>
        <v>#REF!</v>
      </c>
      <c r="E67" s="24" t="e">
        <f>RANK(E33,Table948[QBR])</f>
        <v>#REF!</v>
      </c>
      <c r="F67" s="26" t="e">
        <f>RANK(F33,Table948[RBR])</f>
        <v>#REF!</v>
      </c>
      <c r="G67" s="24" t="e">
        <f>RANK(G33,Table948[RB1R])</f>
        <v>#REF!</v>
      </c>
      <c r="H67" s="24" t="e">
        <f>RANK(H33,Table948[RB2+])</f>
        <v>#REF!</v>
      </c>
      <c r="I67" s="24" t="e">
        <f>RANK(I33,Table948[RBR+R])</f>
        <v>#REF!</v>
      </c>
      <c r="J67" s="24" t="e">
        <f>RANK(J33,Table948[WRR])</f>
        <v>#REF!</v>
      </c>
      <c r="K67" s="24" t="e">
        <f>RANK(K33,Table948[RBC])</f>
        <v>#REF!</v>
      </c>
      <c r="L67" s="24" t="e">
        <f>RANK(L33,Table948[RBY])</f>
        <v>#REF!</v>
      </c>
      <c r="M67" s="24">
        <f>RANK(M33,Table948[WR1C])</f>
        <v>11</v>
      </c>
      <c r="N67" s="24">
        <f>RANK(N33,Table948[WR1Y])</f>
        <v>28</v>
      </c>
      <c r="O67" s="24">
        <f>RANK(O33,Table948[WR2C])</f>
        <v>29</v>
      </c>
      <c r="P67" s="24">
        <f>RANK(P33,Table948[WR2Y])</f>
        <v>19</v>
      </c>
      <c r="Q67" s="24">
        <f>RANK(Q33,Table948[WR3C])</f>
        <v>31</v>
      </c>
      <c r="R67" s="24">
        <f>RANK(R33,Table948[WR3Y])</f>
        <v>29</v>
      </c>
      <c r="S67" s="24">
        <f>RANK(S33,Table948[WR4+C])</f>
        <v>13</v>
      </c>
      <c r="T67" s="24">
        <f>RANK(T33,Table948[WR4+Y])</f>
        <v>24</v>
      </c>
      <c r="U67" s="24">
        <f>RANK(U33,Table948[TEC])</f>
        <v>27</v>
      </c>
      <c r="V67" s="24">
        <f>RANK(V33,Table948[TEY])</f>
        <v>32</v>
      </c>
      <c r="W67" s="24">
        <f>RANK(W33,Table948[QB])</f>
        <v>3</v>
      </c>
      <c r="X67" s="24">
        <f>RANK(X33,Table948[RB])</f>
        <v>1</v>
      </c>
      <c r="Y67" s="24">
        <f>RANK(Y33,Table948[WR1])</f>
        <v>13</v>
      </c>
      <c r="Z67" s="24">
        <f>RANK(Z33,Table948[WR2])</f>
        <v>10</v>
      </c>
      <c r="AA67" s="24">
        <f>RANK(AA33,Table948[WR3])</f>
        <v>26</v>
      </c>
      <c r="AB67" s="24">
        <f>RANK(AB33,Table948[WR4+])</f>
        <v>22</v>
      </c>
      <c r="AC67" s="24" t="e">
        <f>RANK(AC33,Table948[TE])</f>
        <v>#REF!</v>
      </c>
      <c r="AD67" s="24" t="e">
        <f>RANK(AD33,Table948[D/ST])</f>
        <v>#REF!</v>
      </c>
    </row>
    <row r="68" spans="1:30" x14ac:dyDescent="0.35">
      <c r="A68" s="58" t="s">
        <v>56</v>
      </c>
      <c r="B68" s="24" t="e">
        <f>RANK(B34,Table948[QBP])</f>
        <v>#REF!</v>
      </c>
      <c r="C68" s="24" t="e">
        <f>RANK(C34,Table948[PTD])</f>
        <v>#REF!</v>
      </c>
      <c r="D68" s="24" t="e">
        <f>RANK(D34,Table948[QBP+R])</f>
        <v>#REF!</v>
      </c>
      <c r="E68" s="24" t="e">
        <f>RANK(E34,Table948[QBR])</f>
        <v>#REF!</v>
      </c>
      <c r="F68" s="26" t="e">
        <f>RANK(F34,Table948[RBR])</f>
        <v>#REF!</v>
      </c>
      <c r="G68" s="24" t="e">
        <f>RANK(G34,Table948[RB1R])</f>
        <v>#REF!</v>
      </c>
      <c r="H68" s="24" t="e">
        <f>RANK(H34,Table948[RB2+])</f>
        <v>#REF!</v>
      </c>
      <c r="I68" s="24" t="e">
        <f>RANK(I34,Table948[RBR+R])</f>
        <v>#REF!</v>
      </c>
      <c r="J68" s="24" t="e">
        <f>RANK(J34,Table948[WRR])</f>
        <v>#REF!</v>
      </c>
      <c r="K68" s="24" t="e">
        <f>RANK(K34,Table948[RBC])</f>
        <v>#REF!</v>
      </c>
      <c r="L68" s="24" t="e">
        <f>RANK(L34,Table948[RBY])</f>
        <v>#REF!</v>
      </c>
      <c r="M68" s="24">
        <f>RANK(M34,Table948[WR1C])</f>
        <v>7</v>
      </c>
      <c r="N68" s="24">
        <f>RANK(N34,Table948[WR1Y])</f>
        <v>8</v>
      </c>
      <c r="O68" s="24">
        <f>RANK(O34,Table948[WR2C])</f>
        <v>32</v>
      </c>
      <c r="P68" s="24">
        <f>RANK(P34,Table948[WR2Y])</f>
        <v>30</v>
      </c>
      <c r="Q68" s="24">
        <f>RANK(Q34,Table948[WR3C])</f>
        <v>17</v>
      </c>
      <c r="R68" s="24">
        <f>RANK(R34,Table948[WR3Y])</f>
        <v>9</v>
      </c>
      <c r="S68" s="24">
        <f>RANK(S34,Table948[WR4+C])</f>
        <v>29</v>
      </c>
      <c r="T68" s="24">
        <f>RANK(T34,Table948[WR4+Y])</f>
        <v>29</v>
      </c>
      <c r="U68" s="24">
        <f>RANK(U34,Table948[TEC])</f>
        <v>29</v>
      </c>
      <c r="V68" s="24">
        <f>RANK(V34,Table948[TEY])</f>
        <v>28</v>
      </c>
      <c r="W68" s="24">
        <f>RANK(W34,Table948[QB])</f>
        <v>22</v>
      </c>
      <c r="X68" s="24">
        <f>RANK(X34,Table948[RB])</f>
        <v>8</v>
      </c>
      <c r="Y68" s="24">
        <f>RANK(Y34,Table948[WR1])</f>
        <v>8</v>
      </c>
      <c r="Z68" s="24">
        <f>RANK(Z34,Table948[WR2])</f>
        <v>28</v>
      </c>
      <c r="AA68" s="24">
        <f>RANK(AA34,Table948[WR3])</f>
        <v>3</v>
      </c>
      <c r="AB68" s="24">
        <f>RANK(AB34,Table948[WR4+])</f>
        <v>22</v>
      </c>
      <c r="AC68" s="24" t="e">
        <f>RANK(AC34,Table948[TE])</f>
        <v>#REF!</v>
      </c>
      <c r="AD68" s="24" t="e">
        <f>RANK(AD34,Table948[D/ST])</f>
        <v>#REF!</v>
      </c>
    </row>
  </sheetData>
  <mergeCells count="8">
    <mergeCell ref="B1:D1"/>
    <mergeCell ref="E1:J1"/>
    <mergeCell ref="K1:V1"/>
    <mergeCell ref="W1:AD1"/>
    <mergeCell ref="B35:D35"/>
    <mergeCell ref="E35:J35"/>
    <mergeCell ref="K35:V35"/>
    <mergeCell ref="W35:AD35"/>
  </mergeCells>
  <conditionalFormatting sqref="A3:A34">
    <cfRule type="cellIs" dxfId="6182" priority="60" operator="equal">
      <formula>"LV"</formula>
    </cfRule>
    <cfRule type="cellIs" dxfId="6181" priority="61" operator="equal">
      <formula>"NE"</formula>
    </cfRule>
    <cfRule type="cellIs" dxfId="6180" priority="62" operator="equal">
      <formula>"MIN"</formula>
    </cfRule>
    <cfRule type="cellIs" dxfId="6179" priority="63" operator="equal">
      <formula>"PIT"</formula>
    </cfRule>
    <cfRule type="cellIs" dxfId="6178" priority="64" operator="equal">
      <formula>"DEN"</formula>
    </cfRule>
    <cfRule type="cellIs" dxfId="6177" priority="65" operator="equal">
      <formula>"CAR"</formula>
    </cfRule>
    <cfRule type="cellIs" dxfId="6176" priority="66" operator="equal">
      <formula>"NYG"</formula>
    </cfRule>
    <cfRule type="cellIs" dxfId="6175" priority="67" operator="equal">
      <formula>"NO"</formula>
    </cfRule>
    <cfRule type="cellIs" dxfId="6174" priority="68" operator="equal">
      <formula>"TEN"</formula>
    </cfRule>
    <cfRule type="cellIs" dxfId="6173" priority="69" operator="equal">
      <formula>"TB"</formula>
    </cfRule>
    <cfRule type="cellIs" dxfId="6172" priority="70" operator="equal">
      <formula>"CLE"</formula>
    </cfRule>
    <cfRule type="cellIs" dxfId="6171" priority="71" operator="equal">
      <formula>"NYJ"</formula>
    </cfRule>
    <cfRule type="cellIs" dxfId="6170" priority="72" operator="equal">
      <formula>"SEA"</formula>
    </cfRule>
    <cfRule type="cellIs" dxfId="6169" priority="73" operator="equal">
      <formula>"LAC"</formula>
    </cfRule>
    <cfRule type="cellIs" dxfId="6168" priority="74" operator="equal">
      <formula>"LAR"</formula>
    </cfRule>
    <cfRule type="cellIs" dxfId="6167" priority="75" operator="equal">
      <formula>"ATL"</formula>
    </cfRule>
    <cfRule type="cellIs" dxfId="6166" priority="76" operator="equal">
      <formula>"JAX"</formula>
    </cfRule>
    <cfRule type="cellIs" dxfId="6165" priority="77" operator="equal">
      <formula>"CHI"</formula>
    </cfRule>
    <cfRule type="cellIs" dxfId="6164" priority="78" operator="equal">
      <formula>"MIA"</formula>
    </cfRule>
    <cfRule type="cellIs" dxfId="6163" priority="79" operator="equal">
      <formula>"DET"</formula>
    </cfRule>
    <cfRule type="cellIs" dxfId="6162" priority="80" operator="equal">
      <formula>"SF"</formula>
    </cfRule>
    <cfRule type="cellIs" dxfId="6161" priority="81" operator="equal">
      <formula>"WAS"</formula>
    </cfRule>
    <cfRule type="cellIs" dxfId="6160" priority="82" operator="equal">
      <formula>"GB"</formula>
    </cfRule>
    <cfRule type="cellIs" dxfId="6159" priority="83" operator="equal">
      <formula>"DAL"</formula>
    </cfRule>
    <cfRule type="cellIs" dxfId="6158" priority="84" operator="equal">
      <formula>"CIN"</formula>
    </cfRule>
    <cfRule type="cellIs" dxfId="6157" priority="85" operator="equal">
      <formula>"ARI"</formula>
    </cfRule>
    <cfRule type="cellIs" dxfId="6156" priority="86" operator="equal">
      <formula>"HOU"</formula>
    </cfRule>
    <cfRule type="cellIs" dxfId="6155" priority="87" operator="equal">
      <formula>"IND"</formula>
    </cfRule>
    <cfRule type="cellIs" dxfId="6154" priority="88" operator="equal">
      <formula>"KC"</formula>
    </cfRule>
    <cfRule type="cellIs" dxfId="6153" priority="89" operator="equal">
      <formula>"BAL"</formula>
    </cfRule>
    <cfRule type="cellIs" dxfId="6152" priority="90" operator="equal">
      <formula>"PHI"</formula>
    </cfRule>
    <cfRule type="cellIs" dxfId="6151" priority="91" operator="equal">
      <formula>"BUF"</formula>
    </cfRule>
  </conditionalFormatting>
  <conditionalFormatting sqref="A37:A68">
    <cfRule type="cellIs" dxfId="6150" priority="3" operator="equal">
      <formula>"LV"</formula>
    </cfRule>
    <cfRule type="cellIs" dxfId="6149" priority="4" operator="equal">
      <formula>"NE"</formula>
    </cfRule>
    <cfRule type="cellIs" dxfId="6148" priority="5" operator="equal">
      <formula>"MIN"</formula>
    </cfRule>
    <cfRule type="cellIs" dxfId="6147" priority="6" operator="equal">
      <formula>"PIT"</formula>
    </cfRule>
    <cfRule type="cellIs" dxfId="6146" priority="7" operator="equal">
      <formula>"DEN"</formula>
    </cfRule>
    <cfRule type="cellIs" dxfId="6145" priority="8" operator="equal">
      <formula>"CAR"</formula>
    </cfRule>
    <cfRule type="cellIs" dxfId="6144" priority="9" operator="equal">
      <formula>"NYG"</formula>
    </cfRule>
    <cfRule type="cellIs" dxfId="6143" priority="10" operator="equal">
      <formula>"NO"</formula>
    </cfRule>
    <cfRule type="cellIs" dxfId="6142" priority="11" operator="equal">
      <formula>"TEN"</formula>
    </cfRule>
    <cfRule type="cellIs" dxfId="6141" priority="12" operator="equal">
      <formula>"TB"</formula>
    </cfRule>
    <cfRule type="cellIs" dxfId="6140" priority="13" operator="equal">
      <formula>"CLE"</formula>
    </cfRule>
    <cfRule type="cellIs" dxfId="6139" priority="14" operator="equal">
      <formula>"NYJ"</formula>
    </cfRule>
    <cfRule type="cellIs" dxfId="6138" priority="15" operator="equal">
      <formula>"SEA"</formula>
    </cfRule>
    <cfRule type="cellIs" dxfId="6137" priority="16" operator="equal">
      <formula>"LAC"</formula>
    </cfRule>
    <cfRule type="cellIs" dxfId="6136" priority="17" operator="equal">
      <formula>"LAR"</formula>
    </cfRule>
    <cfRule type="cellIs" dxfId="6135" priority="18" operator="equal">
      <formula>"ATL"</formula>
    </cfRule>
    <cfRule type="cellIs" dxfId="6134" priority="19" operator="equal">
      <formula>"JAX"</formula>
    </cfRule>
    <cfRule type="cellIs" dxfId="6133" priority="20" operator="equal">
      <formula>"CHI"</formula>
    </cfRule>
    <cfRule type="cellIs" dxfId="6132" priority="21" operator="equal">
      <formula>"MIA"</formula>
    </cfRule>
    <cfRule type="cellIs" dxfId="6131" priority="22" operator="equal">
      <formula>"DET"</formula>
    </cfRule>
    <cfRule type="cellIs" dxfId="6130" priority="23" operator="equal">
      <formula>"SF"</formula>
    </cfRule>
    <cfRule type="cellIs" dxfId="6129" priority="24" operator="equal">
      <formula>"WAS"</formula>
    </cfRule>
    <cfRule type="cellIs" dxfId="6128" priority="25" operator="equal">
      <formula>"GB"</formula>
    </cfRule>
    <cfRule type="cellIs" dxfId="6127" priority="26" operator="equal">
      <formula>"DAL"</formula>
    </cfRule>
    <cfRule type="cellIs" dxfId="6126" priority="27" operator="equal">
      <formula>"CIN"</formula>
    </cfRule>
    <cfRule type="cellIs" dxfId="6125" priority="28" operator="equal">
      <formula>"ARI"</formula>
    </cfRule>
    <cfRule type="cellIs" dxfId="6124" priority="29" operator="equal">
      <formula>"HOU"</formula>
    </cfRule>
    <cfRule type="cellIs" dxfId="6123" priority="30" operator="equal">
      <formula>"IND"</formula>
    </cfRule>
    <cfRule type="cellIs" dxfId="6122" priority="31" operator="equal">
      <formula>"KC"</formula>
    </cfRule>
    <cfRule type="cellIs" dxfId="6121" priority="32" operator="equal">
      <formula>"BAL"</formula>
    </cfRule>
    <cfRule type="cellIs" dxfId="6120" priority="33" operator="equal">
      <formula>"PHI"</formula>
    </cfRule>
    <cfRule type="cellIs" dxfId="6119" priority="34" operator="equal">
      <formula>"BUF"</formula>
    </cfRule>
  </conditionalFormatting>
  <conditionalFormatting sqref="B3:B3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:E68 G37:AD68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34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4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:F6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34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3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3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3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3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3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3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3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3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3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3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3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3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3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3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25" bottom="0.25" header="0.3" footer="0.3"/>
  <pageSetup paperSize="8" scale="75" orientation="landscape"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B728-89F1-402D-AF4C-E2F544256AC1}">
  <sheetPr>
    <tabColor theme="0" tint="-0.34998626667073579"/>
  </sheetPr>
  <dimension ref="A1:AM91"/>
  <sheetViews>
    <sheetView zoomScale="91" zoomScaleNormal="91" workbookViewId="0">
      <selection activeCell="H37" sqref="H37"/>
    </sheetView>
  </sheetViews>
  <sheetFormatPr defaultRowHeight="14.5" x14ac:dyDescent="0.35"/>
  <cols>
    <col min="1" max="1" width="14.81640625" bestFit="1" customWidth="1"/>
    <col min="2" max="2" width="10.90625" bestFit="1" customWidth="1"/>
    <col min="3" max="3" width="9.90625" bestFit="1" customWidth="1"/>
    <col min="4" max="4" width="9.36328125" bestFit="1" customWidth="1"/>
    <col min="5" max="5" width="1.6328125" customWidth="1"/>
    <col min="6" max="6" width="12.1796875" bestFit="1" customWidth="1"/>
    <col min="7" max="7" width="10.90625" bestFit="1" customWidth="1"/>
    <col min="8" max="8" width="9.90625" bestFit="1" customWidth="1"/>
    <col min="9" max="9" width="9.36328125" bestFit="1" customWidth="1"/>
    <col min="10" max="10" width="1.6328125" customWidth="1"/>
    <col min="11" max="11" width="13.54296875" bestFit="1" customWidth="1"/>
    <col min="12" max="12" width="10.90625" bestFit="1" customWidth="1"/>
    <col min="13" max="13" width="9.90625" bestFit="1" customWidth="1"/>
    <col min="14" max="14" width="9.36328125" bestFit="1" customWidth="1"/>
    <col min="15" max="15" width="1.6328125" customWidth="1"/>
    <col min="16" max="16" width="17.81640625" bestFit="1" customWidth="1"/>
    <col min="17" max="17" width="10.90625" bestFit="1" customWidth="1"/>
    <col min="18" max="18" width="9.90625" bestFit="1" customWidth="1"/>
    <col min="19" max="19" width="9.36328125" bestFit="1" customWidth="1"/>
    <col min="20" max="20" width="1.6328125" customWidth="1"/>
    <col min="21" max="21" width="16.7265625" bestFit="1" customWidth="1"/>
    <col min="22" max="22" width="10.90625" bestFit="1" customWidth="1"/>
    <col min="23" max="23" width="9.90625" bestFit="1" customWidth="1"/>
    <col min="24" max="24" width="9.36328125" bestFit="1" customWidth="1"/>
    <col min="25" max="25" width="1.6328125" customWidth="1"/>
    <col min="26" max="26" width="14.54296875" bestFit="1" customWidth="1"/>
    <col min="27" max="27" width="10.90625" bestFit="1" customWidth="1"/>
    <col min="28" max="28" width="9.90625" bestFit="1" customWidth="1"/>
    <col min="29" max="29" width="9.36328125" bestFit="1" customWidth="1"/>
    <col min="30" max="30" width="1.6328125" customWidth="1"/>
    <col min="31" max="31" width="16.36328125" bestFit="1" customWidth="1"/>
    <col min="32" max="32" width="10.90625" bestFit="1" customWidth="1"/>
    <col min="33" max="33" width="9.90625" bestFit="1" customWidth="1"/>
    <col min="34" max="34" width="9.36328125" bestFit="1" customWidth="1"/>
    <col min="35" max="35" width="1.6328125" customWidth="1"/>
    <col min="36" max="36" width="15.36328125" bestFit="1" customWidth="1"/>
    <col min="37" max="37" width="10.90625" bestFit="1" customWidth="1"/>
    <col min="38" max="38" width="9.90625" bestFit="1" customWidth="1"/>
    <col min="39" max="39" width="9.36328125" bestFit="1" customWidth="1"/>
  </cols>
  <sheetData>
    <row r="1" spans="1:39" x14ac:dyDescent="0.35">
      <c r="A1" s="230" t="s">
        <v>0</v>
      </c>
      <c r="B1" s="230"/>
      <c r="C1" s="230"/>
      <c r="D1" s="230"/>
      <c r="E1" s="70"/>
      <c r="F1" s="230" t="s">
        <v>15</v>
      </c>
      <c r="G1" s="230"/>
      <c r="H1" s="230"/>
      <c r="I1" s="230"/>
      <c r="J1" s="70"/>
      <c r="K1" s="230" t="s">
        <v>16</v>
      </c>
      <c r="L1" s="230"/>
      <c r="M1" s="230"/>
      <c r="N1" s="230"/>
      <c r="O1" s="70"/>
      <c r="P1" s="230" t="s">
        <v>17</v>
      </c>
      <c r="Q1" s="230"/>
      <c r="R1" s="230"/>
      <c r="S1" s="230"/>
      <c r="T1" s="70"/>
      <c r="U1" s="230" t="s">
        <v>29</v>
      </c>
      <c r="V1" s="230"/>
      <c r="W1" s="230"/>
      <c r="X1" s="230"/>
      <c r="Y1" s="70"/>
      <c r="Z1" s="230" t="s">
        <v>30</v>
      </c>
      <c r="AA1" s="230"/>
      <c r="AB1" s="230"/>
      <c r="AC1" s="230"/>
      <c r="AE1" s="230" t="s">
        <v>31</v>
      </c>
      <c r="AF1" s="230"/>
      <c r="AG1" s="230"/>
      <c r="AH1" s="230"/>
      <c r="AJ1" s="230" t="s">
        <v>32</v>
      </c>
      <c r="AK1" s="230"/>
      <c r="AL1" s="230"/>
      <c r="AM1" s="230"/>
    </row>
    <row r="2" spans="1:39" x14ac:dyDescent="0.35">
      <c r="A2" s="71" t="s">
        <v>107</v>
      </c>
      <c r="B2" s="71" t="s">
        <v>58</v>
      </c>
      <c r="C2" s="71" t="s">
        <v>392</v>
      </c>
      <c r="D2" s="71" t="s">
        <v>393</v>
      </c>
      <c r="E2" s="70"/>
      <c r="F2" s="71" t="s">
        <v>107</v>
      </c>
      <c r="G2" s="71" t="s">
        <v>58</v>
      </c>
      <c r="H2" s="71" t="s">
        <v>392</v>
      </c>
      <c r="I2" s="71" t="s">
        <v>393</v>
      </c>
      <c r="J2" s="70"/>
      <c r="K2" s="71" t="s">
        <v>107</v>
      </c>
      <c r="L2" s="71" t="s">
        <v>58</v>
      </c>
      <c r="M2" s="71" t="s">
        <v>392</v>
      </c>
      <c r="N2" s="71" t="s">
        <v>393</v>
      </c>
      <c r="O2" s="70"/>
      <c r="P2" s="71" t="s">
        <v>107</v>
      </c>
      <c r="Q2" s="71" t="s">
        <v>58</v>
      </c>
      <c r="R2" s="71" t="s">
        <v>392</v>
      </c>
      <c r="S2" s="71" t="s">
        <v>393</v>
      </c>
      <c r="T2" s="70"/>
      <c r="U2" s="71" t="s">
        <v>107</v>
      </c>
      <c r="V2" s="71" t="s">
        <v>58</v>
      </c>
      <c r="W2" s="71" t="s">
        <v>392</v>
      </c>
      <c r="X2" s="71" t="s">
        <v>393</v>
      </c>
      <c r="Y2" s="70"/>
      <c r="Z2" s="71" t="s">
        <v>107</v>
      </c>
      <c r="AA2" s="71" t="s">
        <v>58</v>
      </c>
      <c r="AB2" s="71" t="s">
        <v>392</v>
      </c>
      <c r="AC2" s="71" t="s">
        <v>393</v>
      </c>
      <c r="AE2" s="71" t="s">
        <v>107</v>
      </c>
      <c r="AF2" s="71" t="s">
        <v>58</v>
      </c>
      <c r="AG2" s="71" t="s">
        <v>392</v>
      </c>
      <c r="AH2" s="71" t="s">
        <v>393</v>
      </c>
      <c r="AJ2" s="71" t="s">
        <v>107</v>
      </c>
      <c r="AK2" s="71" t="s">
        <v>58</v>
      </c>
      <c r="AL2" s="71" t="s">
        <v>392</v>
      </c>
      <c r="AM2" s="71" t="s">
        <v>393</v>
      </c>
    </row>
    <row r="3" spans="1:39" x14ac:dyDescent="0.35">
      <c r="A3" s="70" t="s">
        <v>108</v>
      </c>
      <c r="B3" s="72" t="s">
        <v>0</v>
      </c>
      <c r="C3" s="72" t="s">
        <v>399</v>
      </c>
      <c r="D3" s="70">
        <v>1</v>
      </c>
      <c r="E3" s="70"/>
      <c r="F3" s="70" t="s">
        <v>109</v>
      </c>
      <c r="G3" s="72" t="s">
        <v>15</v>
      </c>
      <c r="H3" s="72" t="s">
        <v>399</v>
      </c>
      <c r="I3" s="70">
        <v>1</v>
      </c>
      <c r="J3" s="70"/>
      <c r="K3" s="70" t="s">
        <v>110</v>
      </c>
      <c r="L3" s="72" t="s">
        <v>16</v>
      </c>
      <c r="M3" s="72" t="s">
        <v>399</v>
      </c>
      <c r="N3" s="70">
        <v>0</v>
      </c>
      <c r="O3" s="70"/>
      <c r="P3" s="70" t="s">
        <v>111</v>
      </c>
      <c r="Q3" s="72" t="s">
        <v>17</v>
      </c>
      <c r="R3" s="72" t="s">
        <v>399</v>
      </c>
      <c r="S3" s="70">
        <v>1</v>
      </c>
      <c r="T3" s="70"/>
      <c r="U3" s="70" t="s">
        <v>112</v>
      </c>
      <c r="V3" s="72" t="s">
        <v>29</v>
      </c>
      <c r="W3" s="72" t="s">
        <v>399</v>
      </c>
      <c r="X3" s="70">
        <v>1</v>
      </c>
      <c r="Y3" s="70"/>
      <c r="Z3" s="73" t="s">
        <v>150</v>
      </c>
      <c r="AA3" s="19" t="s">
        <v>30</v>
      </c>
      <c r="AB3" s="72" t="s">
        <v>399</v>
      </c>
      <c r="AC3" s="70">
        <v>1</v>
      </c>
      <c r="AE3" s="73" t="s">
        <v>159</v>
      </c>
      <c r="AF3" s="19" t="s">
        <v>31</v>
      </c>
      <c r="AG3" s="72" t="s">
        <v>399</v>
      </c>
      <c r="AH3" s="70">
        <v>1</v>
      </c>
      <c r="AJ3" s="24" t="s">
        <v>170</v>
      </c>
      <c r="AK3" s="23" t="s">
        <v>32</v>
      </c>
      <c r="AL3" s="23" t="s">
        <v>399</v>
      </c>
      <c r="AM3" s="24">
        <v>1</v>
      </c>
    </row>
    <row r="4" spans="1:39" x14ac:dyDescent="0.35">
      <c r="A4" s="70" t="s">
        <v>553</v>
      </c>
      <c r="B4" s="72" t="s">
        <v>0</v>
      </c>
      <c r="C4" s="72" t="s">
        <v>405</v>
      </c>
      <c r="D4" s="70">
        <v>1</v>
      </c>
      <c r="E4" s="70"/>
      <c r="F4" s="70" t="s">
        <v>114</v>
      </c>
      <c r="G4" s="72" t="s">
        <v>15</v>
      </c>
      <c r="H4" s="72" t="s">
        <v>405</v>
      </c>
      <c r="I4" s="70">
        <v>1</v>
      </c>
      <c r="J4" s="70"/>
      <c r="K4" s="70" t="s">
        <v>468</v>
      </c>
      <c r="L4" s="72" t="s">
        <v>16</v>
      </c>
      <c r="M4" s="72" t="s">
        <v>405</v>
      </c>
      <c r="N4" s="70">
        <v>1</v>
      </c>
      <c r="O4" s="70"/>
      <c r="P4" s="70" t="s">
        <v>404</v>
      </c>
      <c r="Q4" s="72" t="s">
        <v>17</v>
      </c>
      <c r="R4" s="72" t="s">
        <v>405</v>
      </c>
      <c r="S4" s="70">
        <v>1</v>
      </c>
      <c r="T4" s="70"/>
      <c r="U4" s="70" t="s">
        <v>607</v>
      </c>
      <c r="V4" s="72" t="s">
        <v>29</v>
      </c>
      <c r="W4" s="72" t="s">
        <v>405</v>
      </c>
      <c r="X4" s="70">
        <v>0</v>
      </c>
      <c r="Y4" s="70"/>
      <c r="Z4" s="73" t="s">
        <v>496</v>
      </c>
      <c r="AA4" s="19" t="s">
        <v>30</v>
      </c>
      <c r="AB4" s="72" t="s">
        <v>405</v>
      </c>
      <c r="AC4" s="70">
        <v>1</v>
      </c>
      <c r="AE4" s="73" t="s">
        <v>160</v>
      </c>
      <c r="AF4" s="19" t="s">
        <v>31</v>
      </c>
      <c r="AG4" s="72" t="s">
        <v>405</v>
      </c>
      <c r="AH4" s="70">
        <v>1</v>
      </c>
      <c r="AJ4" s="24" t="s">
        <v>173</v>
      </c>
      <c r="AK4" s="23" t="s">
        <v>32</v>
      </c>
      <c r="AL4" s="23" t="s">
        <v>405</v>
      </c>
      <c r="AM4" s="24">
        <v>1</v>
      </c>
    </row>
    <row r="5" spans="1:39" x14ac:dyDescent="0.35">
      <c r="A5" s="70" t="s">
        <v>118</v>
      </c>
      <c r="B5" s="72" t="s">
        <v>0</v>
      </c>
      <c r="C5" s="72" t="s">
        <v>395</v>
      </c>
      <c r="D5" s="70">
        <v>1</v>
      </c>
      <c r="E5" s="70"/>
      <c r="F5" s="70" t="s">
        <v>597</v>
      </c>
      <c r="G5" s="72" t="s">
        <v>15</v>
      </c>
      <c r="H5" s="72" t="s">
        <v>425</v>
      </c>
      <c r="I5" s="70">
        <v>-1</v>
      </c>
      <c r="J5" s="70"/>
      <c r="K5" s="70" t="s">
        <v>115</v>
      </c>
      <c r="L5" s="72" t="s">
        <v>16</v>
      </c>
      <c r="M5" s="72" t="s">
        <v>395</v>
      </c>
      <c r="N5" s="70">
        <v>1</v>
      </c>
      <c r="O5" s="70"/>
      <c r="P5" s="70" t="s">
        <v>121</v>
      </c>
      <c r="Q5" s="72" t="s">
        <v>17</v>
      </c>
      <c r="R5" s="72" t="s">
        <v>395</v>
      </c>
      <c r="S5" s="70">
        <v>1</v>
      </c>
      <c r="T5" s="70"/>
      <c r="U5" s="70" t="s">
        <v>117</v>
      </c>
      <c r="V5" s="72" t="s">
        <v>29</v>
      </c>
      <c r="W5" s="72" t="s">
        <v>395</v>
      </c>
      <c r="X5" s="70">
        <v>1</v>
      </c>
      <c r="Y5" s="70"/>
      <c r="Z5" s="73" t="s">
        <v>497</v>
      </c>
      <c r="AA5" s="19" t="s">
        <v>30</v>
      </c>
      <c r="AB5" s="72" t="s">
        <v>425</v>
      </c>
      <c r="AC5" s="70">
        <v>0</v>
      </c>
      <c r="AE5" s="73" t="s">
        <v>161</v>
      </c>
      <c r="AF5" s="19" t="s">
        <v>31</v>
      </c>
      <c r="AG5" s="72" t="s">
        <v>395</v>
      </c>
      <c r="AH5" s="70">
        <v>1</v>
      </c>
      <c r="AJ5" s="24" t="s">
        <v>169</v>
      </c>
      <c r="AK5" s="23" t="s">
        <v>32</v>
      </c>
      <c r="AL5" s="23" t="s">
        <v>425</v>
      </c>
      <c r="AM5" s="24">
        <v>1</v>
      </c>
    </row>
    <row r="6" spans="1:39" x14ac:dyDescent="0.35">
      <c r="A6" s="73" t="s">
        <v>113</v>
      </c>
      <c r="B6" s="19" t="s">
        <v>0</v>
      </c>
      <c r="C6" s="19" t="s">
        <v>394</v>
      </c>
      <c r="D6" s="70">
        <v>1</v>
      </c>
      <c r="E6" s="70"/>
      <c r="F6" s="73" t="s">
        <v>119</v>
      </c>
      <c r="G6" s="19" t="s">
        <v>15</v>
      </c>
      <c r="H6" s="19" t="s">
        <v>395</v>
      </c>
      <c r="I6" s="70">
        <v>1</v>
      </c>
      <c r="J6" s="70"/>
      <c r="K6" s="73" t="s">
        <v>120</v>
      </c>
      <c r="L6" s="19" t="s">
        <v>16</v>
      </c>
      <c r="M6" s="19" t="s">
        <v>394</v>
      </c>
      <c r="N6" s="70">
        <v>1</v>
      </c>
      <c r="O6" s="70"/>
      <c r="P6" s="70" t="s">
        <v>116</v>
      </c>
      <c r="Q6" s="72" t="s">
        <v>17</v>
      </c>
      <c r="R6" s="72" t="s">
        <v>394</v>
      </c>
      <c r="S6" s="70">
        <v>1</v>
      </c>
      <c r="T6" s="70"/>
      <c r="U6" s="70" t="s">
        <v>122</v>
      </c>
      <c r="V6" s="72" t="s">
        <v>29</v>
      </c>
      <c r="W6" s="72" t="s">
        <v>394</v>
      </c>
      <c r="X6" s="70">
        <v>1</v>
      </c>
      <c r="Y6" s="70"/>
      <c r="Z6" s="73" t="s">
        <v>151</v>
      </c>
      <c r="AA6" s="19" t="s">
        <v>30</v>
      </c>
      <c r="AB6" s="72" t="s">
        <v>395</v>
      </c>
      <c r="AC6" s="70">
        <v>1</v>
      </c>
      <c r="AE6" s="73" t="s">
        <v>162</v>
      </c>
      <c r="AF6" s="19" t="s">
        <v>31</v>
      </c>
      <c r="AG6" s="72" t="s">
        <v>394</v>
      </c>
      <c r="AH6" s="70">
        <v>1</v>
      </c>
      <c r="AJ6" s="24" t="s">
        <v>171</v>
      </c>
      <c r="AK6" s="23" t="s">
        <v>32</v>
      </c>
      <c r="AL6" s="23" t="s">
        <v>480</v>
      </c>
      <c r="AM6" s="24">
        <v>-1</v>
      </c>
    </row>
    <row r="7" spans="1:39" x14ac:dyDescent="0.35">
      <c r="A7" s="73" t="s">
        <v>123</v>
      </c>
      <c r="B7" s="19" t="s">
        <v>0</v>
      </c>
      <c r="C7" s="19" t="s">
        <v>396</v>
      </c>
      <c r="D7" s="70">
        <v>1</v>
      </c>
      <c r="E7" s="70"/>
      <c r="F7" s="73" t="s">
        <v>124</v>
      </c>
      <c r="G7" s="19" t="s">
        <v>15</v>
      </c>
      <c r="H7" s="19" t="s">
        <v>394</v>
      </c>
      <c r="I7" s="70">
        <v>1</v>
      </c>
      <c r="J7" s="70"/>
      <c r="K7" s="73" t="s">
        <v>125</v>
      </c>
      <c r="L7" s="19" t="s">
        <v>16</v>
      </c>
      <c r="M7" s="19" t="s">
        <v>396</v>
      </c>
      <c r="N7" s="70">
        <v>1</v>
      </c>
      <c r="O7" s="70"/>
      <c r="P7" s="73" t="s">
        <v>126</v>
      </c>
      <c r="Q7" s="19" t="s">
        <v>17</v>
      </c>
      <c r="R7" s="19" t="s">
        <v>396</v>
      </c>
      <c r="S7" s="70">
        <v>1</v>
      </c>
      <c r="T7" s="70"/>
      <c r="U7" s="73" t="s">
        <v>127</v>
      </c>
      <c r="V7" s="19" t="s">
        <v>29</v>
      </c>
      <c r="W7" s="19" t="s">
        <v>396</v>
      </c>
      <c r="X7" s="70">
        <v>1</v>
      </c>
      <c r="Y7" s="70"/>
      <c r="Z7" s="73" t="s">
        <v>152</v>
      </c>
      <c r="AA7" s="19" t="s">
        <v>30</v>
      </c>
      <c r="AB7" s="19" t="s">
        <v>394</v>
      </c>
      <c r="AC7" s="70">
        <v>0</v>
      </c>
      <c r="AE7" s="73" t="s">
        <v>163</v>
      </c>
      <c r="AF7" s="19" t="s">
        <v>31</v>
      </c>
      <c r="AG7" s="19" t="s">
        <v>396</v>
      </c>
      <c r="AH7" s="70">
        <v>1</v>
      </c>
      <c r="AJ7" s="24" t="s">
        <v>176</v>
      </c>
      <c r="AK7" s="23" t="s">
        <v>32</v>
      </c>
      <c r="AL7" s="23" t="s">
        <v>395</v>
      </c>
      <c r="AM7" s="24">
        <v>1</v>
      </c>
    </row>
    <row r="8" spans="1:39" x14ac:dyDescent="0.35">
      <c r="A8" s="73" t="s">
        <v>554</v>
      </c>
      <c r="B8" s="19" t="s">
        <v>0</v>
      </c>
      <c r="C8" s="19" t="s">
        <v>407</v>
      </c>
      <c r="D8" s="70">
        <v>1</v>
      </c>
      <c r="E8" s="70"/>
      <c r="F8" s="73" t="s">
        <v>598</v>
      </c>
      <c r="G8" s="19" t="s">
        <v>15</v>
      </c>
      <c r="H8" s="19" t="s">
        <v>396</v>
      </c>
      <c r="I8" s="70">
        <v>1</v>
      </c>
      <c r="J8" s="70"/>
      <c r="K8" s="73" t="s">
        <v>469</v>
      </c>
      <c r="L8" s="19" t="s">
        <v>16</v>
      </c>
      <c r="M8" s="19" t="s">
        <v>407</v>
      </c>
      <c r="N8" s="70">
        <v>1</v>
      </c>
      <c r="O8" s="70"/>
      <c r="P8" s="73" t="s">
        <v>130</v>
      </c>
      <c r="Q8" s="19" t="s">
        <v>17</v>
      </c>
      <c r="R8" s="19" t="s">
        <v>397</v>
      </c>
      <c r="S8" s="70">
        <v>1</v>
      </c>
      <c r="T8" s="70"/>
      <c r="U8" s="73" t="s">
        <v>608</v>
      </c>
      <c r="V8" s="19" t="s">
        <v>29</v>
      </c>
      <c r="W8" s="19" t="s">
        <v>407</v>
      </c>
      <c r="X8" s="70">
        <v>-1</v>
      </c>
      <c r="Y8" s="70"/>
      <c r="Z8" s="73" t="s">
        <v>153</v>
      </c>
      <c r="AA8" s="19" t="s">
        <v>30</v>
      </c>
      <c r="AB8" s="19" t="s">
        <v>396</v>
      </c>
      <c r="AC8" s="70">
        <v>0</v>
      </c>
      <c r="AE8" s="73" t="s">
        <v>165</v>
      </c>
      <c r="AF8" s="19" t="s">
        <v>31</v>
      </c>
      <c r="AG8" s="19" t="s">
        <v>397</v>
      </c>
      <c r="AH8" s="70">
        <v>1</v>
      </c>
      <c r="AJ8" s="24" t="s">
        <v>174</v>
      </c>
      <c r="AK8" s="23" t="s">
        <v>32</v>
      </c>
      <c r="AL8" s="23" t="s">
        <v>394</v>
      </c>
      <c r="AM8" s="24">
        <v>1</v>
      </c>
    </row>
    <row r="9" spans="1:39" x14ac:dyDescent="0.35">
      <c r="A9" s="73" t="s">
        <v>128</v>
      </c>
      <c r="B9" s="19" t="s">
        <v>0</v>
      </c>
      <c r="C9" s="19" t="s">
        <v>397</v>
      </c>
      <c r="D9" s="70">
        <v>1</v>
      </c>
      <c r="E9" s="70"/>
      <c r="F9" s="73" t="s">
        <v>596</v>
      </c>
      <c r="G9" s="19" t="s">
        <v>15</v>
      </c>
      <c r="H9" s="19" t="s">
        <v>397</v>
      </c>
      <c r="I9" s="70">
        <v>1</v>
      </c>
      <c r="J9" s="70"/>
      <c r="K9" s="73" t="s">
        <v>537</v>
      </c>
      <c r="L9" s="19" t="s">
        <v>16</v>
      </c>
      <c r="M9" s="19" t="s">
        <v>536</v>
      </c>
      <c r="N9" s="70">
        <v>1</v>
      </c>
      <c r="O9" s="70"/>
      <c r="P9" s="73" t="s">
        <v>135</v>
      </c>
      <c r="Q9" s="19" t="s">
        <v>17</v>
      </c>
      <c r="R9" s="19" t="s">
        <v>398</v>
      </c>
      <c r="S9" s="70">
        <v>1</v>
      </c>
      <c r="T9" s="70"/>
      <c r="U9" s="73" t="s">
        <v>131</v>
      </c>
      <c r="V9" s="19" t="s">
        <v>29</v>
      </c>
      <c r="W9" s="19" t="s">
        <v>397</v>
      </c>
      <c r="X9" s="70">
        <v>1</v>
      </c>
      <c r="Y9" s="70"/>
      <c r="Z9" s="73" t="s">
        <v>498</v>
      </c>
      <c r="AA9" s="19" t="s">
        <v>30</v>
      </c>
      <c r="AB9" s="19" t="s">
        <v>407</v>
      </c>
      <c r="AC9" s="70">
        <v>-1</v>
      </c>
      <c r="AE9" s="73" t="s">
        <v>164</v>
      </c>
      <c r="AF9" s="19" t="s">
        <v>31</v>
      </c>
      <c r="AG9" s="19" t="s">
        <v>398</v>
      </c>
      <c r="AH9" s="70">
        <v>0</v>
      </c>
      <c r="AJ9" s="24" t="s">
        <v>175</v>
      </c>
      <c r="AK9" s="23" t="s">
        <v>32</v>
      </c>
      <c r="AL9" s="23" t="s">
        <v>396</v>
      </c>
      <c r="AM9" s="24">
        <v>1</v>
      </c>
    </row>
    <row r="10" spans="1:39" x14ac:dyDescent="0.35">
      <c r="A10" s="73" t="s">
        <v>132</v>
      </c>
      <c r="B10" s="19" t="s">
        <v>0</v>
      </c>
      <c r="C10" s="19" t="s">
        <v>398</v>
      </c>
      <c r="D10" s="70">
        <v>1</v>
      </c>
      <c r="E10" s="70"/>
      <c r="F10" s="73" t="s">
        <v>604</v>
      </c>
      <c r="G10" s="19" t="s">
        <v>15</v>
      </c>
      <c r="H10" s="19" t="s">
        <v>398</v>
      </c>
      <c r="I10" s="70">
        <v>1</v>
      </c>
      <c r="J10" s="70"/>
      <c r="K10" s="73" t="s">
        <v>129</v>
      </c>
      <c r="L10" s="19" t="s">
        <v>16</v>
      </c>
      <c r="M10" s="19" t="s">
        <v>397</v>
      </c>
      <c r="N10" s="70">
        <v>1</v>
      </c>
      <c r="O10" s="70"/>
      <c r="P10" s="73" t="s">
        <v>429</v>
      </c>
      <c r="Q10" s="19" t="s">
        <v>17</v>
      </c>
      <c r="R10" s="19" t="s">
        <v>430</v>
      </c>
      <c r="S10" s="70">
        <v>1</v>
      </c>
      <c r="T10" s="70"/>
      <c r="U10" s="73" t="s">
        <v>614</v>
      </c>
      <c r="V10" s="19" t="s">
        <v>29</v>
      </c>
      <c r="W10" s="19" t="s">
        <v>398</v>
      </c>
      <c r="X10" s="70">
        <v>0</v>
      </c>
      <c r="Y10" s="70"/>
      <c r="Z10" s="73" t="s">
        <v>154</v>
      </c>
      <c r="AA10" s="19" t="s">
        <v>30</v>
      </c>
      <c r="AB10" s="19" t="s">
        <v>397</v>
      </c>
      <c r="AC10" s="70">
        <v>1</v>
      </c>
      <c r="AE10" s="73" t="s">
        <v>475</v>
      </c>
      <c r="AF10" s="19" t="s">
        <v>31</v>
      </c>
      <c r="AG10" s="19" t="s">
        <v>430</v>
      </c>
      <c r="AH10" s="70">
        <v>0</v>
      </c>
      <c r="AJ10" s="24" t="s">
        <v>481</v>
      </c>
      <c r="AK10" s="23" t="s">
        <v>32</v>
      </c>
      <c r="AL10" s="23" t="s">
        <v>407</v>
      </c>
      <c r="AM10" s="24">
        <v>1</v>
      </c>
    </row>
    <row r="11" spans="1:39" x14ac:dyDescent="0.35">
      <c r="A11" s="73" t="s">
        <v>558</v>
      </c>
      <c r="B11" s="19" t="s">
        <v>0</v>
      </c>
      <c r="C11" s="19" t="s">
        <v>430</v>
      </c>
      <c r="D11" s="70">
        <v>1</v>
      </c>
      <c r="E11" s="70"/>
      <c r="F11" s="73" t="s">
        <v>605</v>
      </c>
      <c r="G11" s="19" t="s">
        <v>15</v>
      </c>
      <c r="H11" s="19" t="s">
        <v>430</v>
      </c>
      <c r="I11" s="70">
        <v>1</v>
      </c>
      <c r="J11" s="70"/>
      <c r="K11" s="73" t="s">
        <v>134</v>
      </c>
      <c r="L11" s="19" t="s">
        <v>16</v>
      </c>
      <c r="M11" s="19" t="s">
        <v>398</v>
      </c>
      <c r="N11" s="70">
        <v>0</v>
      </c>
      <c r="O11" s="70"/>
      <c r="P11" s="73" t="s">
        <v>144</v>
      </c>
      <c r="Q11" s="19" t="s">
        <v>17</v>
      </c>
      <c r="R11" s="19" t="s">
        <v>66</v>
      </c>
      <c r="S11" s="70">
        <v>1</v>
      </c>
      <c r="T11" s="70"/>
      <c r="U11" s="83" t="s">
        <v>372</v>
      </c>
      <c r="V11" s="19" t="s">
        <v>29</v>
      </c>
      <c r="W11" s="19" t="s">
        <v>430</v>
      </c>
      <c r="X11" s="70">
        <v>1</v>
      </c>
      <c r="Y11" s="70"/>
      <c r="Z11" s="73" t="s">
        <v>155</v>
      </c>
      <c r="AA11" s="19" t="s">
        <v>30</v>
      </c>
      <c r="AB11" s="19" t="s">
        <v>398</v>
      </c>
      <c r="AC11" s="70">
        <v>1</v>
      </c>
      <c r="AE11" s="73" t="s">
        <v>476</v>
      </c>
      <c r="AF11" s="19" t="s">
        <v>31</v>
      </c>
      <c r="AG11" s="19" t="s">
        <v>435</v>
      </c>
      <c r="AH11" s="70">
        <v>1</v>
      </c>
      <c r="AJ11" s="24" t="s">
        <v>177</v>
      </c>
      <c r="AK11" s="23" t="s">
        <v>32</v>
      </c>
      <c r="AL11" s="23" t="s">
        <v>397</v>
      </c>
      <c r="AM11" s="24">
        <v>1</v>
      </c>
    </row>
    <row r="12" spans="1:39" x14ac:dyDescent="0.35">
      <c r="A12" s="73" t="s">
        <v>559</v>
      </c>
      <c r="B12" s="19" t="s">
        <v>0</v>
      </c>
      <c r="C12" s="19" t="s">
        <v>435</v>
      </c>
      <c r="D12" s="70">
        <v>1</v>
      </c>
      <c r="E12" s="70"/>
      <c r="F12" s="73" t="s">
        <v>606</v>
      </c>
      <c r="G12" s="19" t="s">
        <v>15</v>
      </c>
      <c r="H12" s="19" t="s">
        <v>435</v>
      </c>
      <c r="I12" s="70">
        <v>1</v>
      </c>
      <c r="J12" s="70"/>
      <c r="K12" s="73" t="s">
        <v>474</v>
      </c>
      <c r="L12" s="19" t="s">
        <v>16</v>
      </c>
      <c r="M12" s="19" t="s">
        <v>430</v>
      </c>
      <c r="N12" s="70">
        <v>1</v>
      </c>
      <c r="O12" s="70"/>
      <c r="P12" s="73" t="s">
        <v>140</v>
      </c>
      <c r="Q12" s="19" t="s">
        <v>17</v>
      </c>
      <c r="R12" s="19" t="s">
        <v>67</v>
      </c>
      <c r="S12" s="70">
        <v>0</v>
      </c>
      <c r="T12" s="70"/>
      <c r="U12" s="73" t="s">
        <v>615</v>
      </c>
      <c r="V12" s="19" t="s">
        <v>29</v>
      </c>
      <c r="W12" s="19" t="s">
        <v>435</v>
      </c>
      <c r="X12" s="70">
        <v>1</v>
      </c>
      <c r="Y12" s="70"/>
      <c r="Z12" s="73" t="s">
        <v>502</v>
      </c>
      <c r="AA12" s="19" t="s">
        <v>30</v>
      </c>
      <c r="AB12" s="19" t="s">
        <v>430</v>
      </c>
      <c r="AC12" s="70">
        <v>1</v>
      </c>
      <c r="AE12" s="73" t="s">
        <v>167</v>
      </c>
      <c r="AF12" s="19" t="s">
        <v>31</v>
      </c>
      <c r="AG12" s="19" t="s">
        <v>66</v>
      </c>
      <c r="AH12" s="70">
        <v>1</v>
      </c>
      <c r="AJ12" s="24" t="s">
        <v>178</v>
      </c>
      <c r="AK12" s="23" t="s">
        <v>32</v>
      </c>
      <c r="AL12" s="23" t="s">
        <v>398</v>
      </c>
      <c r="AM12" s="24">
        <v>1</v>
      </c>
    </row>
    <row r="13" spans="1:39" x14ac:dyDescent="0.35">
      <c r="A13" s="70" t="s">
        <v>137</v>
      </c>
      <c r="B13" s="72" t="s">
        <v>0</v>
      </c>
      <c r="C13" s="72" t="s">
        <v>66</v>
      </c>
      <c r="D13" s="70">
        <v>1</v>
      </c>
      <c r="E13" s="70"/>
      <c r="F13" s="70" t="s">
        <v>138</v>
      </c>
      <c r="G13" s="72" t="s">
        <v>15</v>
      </c>
      <c r="H13" s="72" t="s">
        <v>66</v>
      </c>
      <c r="I13" s="70">
        <v>1</v>
      </c>
      <c r="J13" s="70"/>
      <c r="K13" s="70" t="s">
        <v>143</v>
      </c>
      <c r="L13" s="72" t="s">
        <v>16</v>
      </c>
      <c r="M13" s="72" t="s">
        <v>66</v>
      </c>
      <c r="N13" s="70">
        <v>1</v>
      </c>
      <c r="O13" s="70"/>
      <c r="P13" s="73" t="s">
        <v>148</v>
      </c>
      <c r="Q13" s="19" t="s">
        <v>17</v>
      </c>
      <c r="R13" s="19" t="s">
        <v>68</v>
      </c>
      <c r="S13" s="70">
        <v>1</v>
      </c>
      <c r="T13" s="70"/>
      <c r="U13" s="73" t="s">
        <v>141</v>
      </c>
      <c r="V13" s="19" t="s">
        <v>29</v>
      </c>
      <c r="W13" s="19" t="s">
        <v>66</v>
      </c>
      <c r="X13" s="70">
        <v>0</v>
      </c>
      <c r="Y13" s="70"/>
      <c r="Z13" s="73" t="s">
        <v>156</v>
      </c>
      <c r="AA13" s="19" t="s">
        <v>30</v>
      </c>
      <c r="AB13" s="19" t="s">
        <v>66</v>
      </c>
      <c r="AC13" s="70">
        <v>1</v>
      </c>
      <c r="AE13" s="73" t="s">
        <v>166</v>
      </c>
      <c r="AF13" s="19" t="s">
        <v>31</v>
      </c>
      <c r="AG13" s="19" t="s">
        <v>67</v>
      </c>
      <c r="AH13" s="70">
        <v>1</v>
      </c>
      <c r="AJ13" s="24" t="s">
        <v>488</v>
      </c>
      <c r="AK13" s="23" t="s">
        <v>32</v>
      </c>
      <c r="AL13" s="23" t="s">
        <v>430</v>
      </c>
      <c r="AM13" s="24">
        <v>0</v>
      </c>
    </row>
    <row r="14" spans="1:39" x14ac:dyDescent="0.35">
      <c r="A14" s="70" t="s">
        <v>142</v>
      </c>
      <c r="B14" s="72" t="s">
        <v>0</v>
      </c>
      <c r="C14" s="72" t="s">
        <v>67</v>
      </c>
      <c r="D14" s="70">
        <v>1</v>
      </c>
      <c r="F14" s="70" t="s">
        <v>133</v>
      </c>
      <c r="G14" s="72" t="s">
        <v>15</v>
      </c>
      <c r="H14" s="72" t="s">
        <v>67</v>
      </c>
      <c r="I14" s="70">
        <v>0</v>
      </c>
      <c r="K14" s="70" t="s">
        <v>139</v>
      </c>
      <c r="L14" s="72" t="s">
        <v>16</v>
      </c>
      <c r="M14" s="72" t="s">
        <v>67</v>
      </c>
      <c r="N14" s="70">
        <v>1</v>
      </c>
      <c r="P14" s="70" t="s">
        <v>400</v>
      </c>
      <c r="Q14" s="72" t="s">
        <v>17</v>
      </c>
      <c r="R14" s="72" t="s">
        <v>401</v>
      </c>
      <c r="S14" s="70">
        <v>1</v>
      </c>
      <c r="U14" s="70" t="s">
        <v>145</v>
      </c>
      <c r="V14" s="72" t="s">
        <v>29</v>
      </c>
      <c r="W14" s="72" t="s">
        <v>67</v>
      </c>
      <c r="X14" s="70">
        <v>1</v>
      </c>
      <c r="Z14" s="73" t="s">
        <v>157</v>
      </c>
      <c r="AA14" s="19" t="s">
        <v>30</v>
      </c>
      <c r="AB14" s="72" t="s">
        <v>67</v>
      </c>
      <c r="AC14" s="70">
        <v>1</v>
      </c>
      <c r="AE14" s="73" t="s">
        <v>168</v>
      </c>
      <c r="AF14" s="19" t="s">
        <v>31</v>
      </c>
      <c r="AG14" s="72" t="s">
        <v>68</v>
      </c>
      <c r="AH14" s="70">
        <v>1</v>
      </c>
      <c r="AJ14" s="24" t="s">
        <v>179</v>
      </c>
      <c r="AK14" s="23" t="s">
        <v>32</v>
      </c>
      <c r="AL14" s="23" t="s">
        <v>66</v>
      </c>
      <c r="AM14" s="24">
        <v>1</v>
      </c>
    </row>
    <row r="15" spans="1:39" x14ac:dyDescent="0.35">
      <c r="A15" s="70" t="s">
        <v>555</v>
      </c>
      <c r="B15" s="72" t="s">
        <v>0</v>
      </c>
      <c r="C15" s="72" t="s">
        <v>68</v>
      </c>
      <c r="D15" s="70">
        <v>1</v>
      </c>
      <c r="F15" s="70" t="s">
        <v>599</v>
      </c>
      <c r="G15" s="72" t="s">
        <v>15</v>
      </c>
      <c r="H15" s="72" t="s">
        <v>68</v>
      </c>
      <c r="I15" s="70">
        <v>1</v>
      </c>
      <c r="K15" s="70" t="s">
        <v>147</v>
      </c>
      <c r="L15" s="72" t="s">
        <v>16</v>
      </c>
      <c r="M15" s="72" t="s">
        <v>68</v>
      </c>
      <c r="N15" s="70">
        <v>0</v>
      </c>
      <c r="P15" s="70" t="s">
        <v>402</v>
      </c>
      <c r="Q15" s="72" t="s">
        <v>17</v>
      </c>
      <c r="R15" s="72" t="s">
        <v>403</v>
      </c>
      <c r="S15" s="70">
        <v>0</v>
      </c>
      <c r="U15" s="70" t="s">
        <v>609</v>
      </c>
      <c r="V15" s="72" t="s">
        <v>29</v>
      </c>
      <c r="W15" s="72" t="s">
        <v>68</v>
      </c>
      <c r="X15" s="70">
        <v>1</v>
      </c>
      <c r="Z15" s="73" t="s">
        <v>158</v>
      </c>
      <c r="AA15" s="19" t="s">
        <v>30</v>
      </c>
      <c r="AB15" s="72" t="s">
        <v>68</v>
      </c>
      <c r="AC15" s="70">
        <v>1</v>
      </c>
      <c r="AE15" s="73" t="s">
        <v>477</v>
      </c>
      <c r="AF15" s="19" t="s">
        <v>31</v>
      </c>
      <c r="AG15" s="72" t="s">
        <v>401</v>
      </c>
      <c r="AH15" s="70">
        <v>0</v>
      </c>
      <c r="AJ15" s="24" t="s">
        <v>180</v>
      </c>
      <c r="AK15" s="23" t="s">
        <v>32</v>
      </c>
      <c r="AL15" s="23" t="s">
        <v>67</v>
      </c>
      <c r="AM15" s="24">
        <v>1</v>
      </c>
    </row>
    <row r="16" spans="1:39" x14ac:dyDescent="0.35">
      <c r="A16" s="70" t="s">
        <v>146</v>
      </c>
      <c r="B16" s="72" t="s">
        <v>0</v>
      </c>
      <c r="C16" s="72" t="s">
        <v>401</v>
      </c>
      <c r="D16" s="70">
        <v>1</v>
      </c>
      <c r="F16" s="70" t="s">
        <v>600</v>
      </c>
      <c r="G16" s="72" t="s">
        <v>15</v>
      </c>
      <c r="H16" s="72" t="s">
        <v>401</v>
      </c>
      <c r="I16" s="70">
        <v>1</v>
      </c>
      <c r="K16" s="70" t="s">
        <v>470</v>
      </c>
      <c r="L16" s="72" t="s">
        <v>16</v>
      </c>
      <c r="M16" s="72" t="s">
        <v>401</v>
      </c>
      <c r="N16" s="70">
        <v>1</v>
      </c>
      <c r="P16" s="70" t="s">
        <v>410</v>
      </c>
      <c r="Q16" s="72" t="s">
        <v>17</v>
      </c>
      <c r="R16" s="72" t="s">
        <v>411</v>
      </c>
      <c r="S16" s="70">
        <v>1</v>
      </c>
      <c r="U16" s="73" t="s">
        <v>610</v>
      </c>
      <c r="V16" s="19" t="s">
        <v>29</v>
      </c>
      <c r="W16" s="72" t="s">
        <v>401</v>
      </c>
      <c r="X16" s="70">
        <v>1</v>
      </c>
      <c r="Z16" s="73" t="s">
        <v>499</v>
      </c>
      <c r="AA16" s="19" t="s">
        <v>30</v>
      </c>
      <c r="AB16" s="72" t="s">
        <v>401</v>
      </c>
      <c r="AC16" s="70">
        <v>1</v>
      </c>
      <c r="AE16" s="73" t="s">
        <v>478</v>
      </c>
      <c r="AF16" s="19" t="s">
        <v>31</v>
      </c>
      <c r="AG16" s="72" t="s">
        <v>403</v>
      </c>
      <c r="AH16" s="70">
        <v>1</v>
      </c>
      <c r="AJ16" s="24" t="s">
        <v>482</v>
      </c>
      <c r="AK16" s="23" t="s">
        <v>32</v>
      </c>
      <c r="AL16" s="23" t="s">
        <v>68</v>
      </c>
      <c r="AM16" s="24">
        <v>1</v>
      </c>
    </row>
    <row r="17" spans="1:39" x14ac:dyDescent="0.35">
      <c r="A17" s="70" t="s">
        <v>556</v>
      </c>
      <c r="B17" s="72" t="s">
        <v>0</v>
      </c>
      <c r="C17" s="72" t="s">
        <v>403</v>
      </c>
      <c r="D17" s="70">
        <v>1</v>
      </c>
      <c r="F17" s="73" t="s">
        <v>601</v>
      </c>
      <c r="G17" s="19" t="s">
        <v>15</v>
      </c>
      <c r="H17" s="19" t="s">
        <v>403</v>
      </c>
      <c r="I17" s="70">
        <v>1</v>
      </c>
      <c r="K17" s="70" t="s">
        <v>471</v>
      </c>
      <c r="L17" s="72" t="s">
        <v>16</v>
      </c>
      <c r="M17" s="72" t="s">
        <v>403</v>
      </c>
      <c r="N17" s="70">
        <v>1</v>
      </c>
      <c r="P17" s="70"/>
      <c r="Q17" s="72"/>
      <c r="R17" s="72"/>
      <c r="S17" s="70"/>
      <c r="U17" s="73" t="s">
        <v>611</v>
      </c>
      <c r="V17" s="19" t="s">
        <v>29</v>
      </c>
      <c r="W17" s="72" t="s">
        <v>403</v>
      </c>
      <c r="X17" s="70">
        <v>1</v>
      </c>
      <c r="Z17" s="73" t="s">
        <v>500</v>
      </c>
      <c r="AA17" s="19" t="s">
        <v>30</v>
      </c>
      <c r="AB17" s="72" t="s">
        <v>403</v>
      </c>
      <c r="AC17" s="70">
        <v>1</v>
      </c>
      <c r="AE17" s="73" t="s">
        <v>479</v>
      </c>
      <c r="AF17" s="19" t="s">
        <v>31</v>
      </c>
      <c r="AG17" s="72" t="s">
        <v>411</v>
      </c>
      <c r="AH17" s="70">
        <v>1</v>
      </c>
      <c r="AJ17" s="24" t="s">
        <v>483</v>
      </c>
      <c r="AK17" s="23" t="s">
        <v>32</v>
      </c>
      <c r="AL17" s="23" t="s">
        <v>401</v>
      </c>
      <c r="AM17" s="24">
        <v>1</v>
      </c>
    </row>
    <row r="18" spans="1:39" x14ac:dyDescent="0.35">
      <c r="A18" s="70" t="s">
        <v>557</v>
      </c>
      <c r="B18" s="72" t="s">
        <v>0</v>
      </c>
      <c r="C18" s="72" t="s">
        <v>411</v>
      </c>
      <c r="D18" s="70">
        <v>-1</v>
      </c>
      <c r="F18" s="73" t="s">
        <v>602</v>
      </c>
      <c r="G18" s="19" t="s">
        <v>15</v>
      </c>
      <c r="H18" s="19" t="s">
        <v>411</v>
      </c>
      <c r="I18" s="70">
        <v>1</v>
      </c>
      <c r="K18" s="70" t="s">
        <v>472</v>
      </c>
      <c r="L18" s="72" t="s">
        <v>16</v>
      </c>
      <c r="M18" s="72" t="s">
        <v>411</v>
      </c>
      <c r="N18" s="70">
        <v>1</v>
      </c>
      <c r="P18" s="70"/>
      <c r="Q18" s="72"/>
      <c r="R18" s="72"/>
      <c r="S18" s="70"/>
      <c r="U18" s="73" t="s">
        <v>612</v>
      </c>
      <c r="V18" s="19" t="s">
        <v>29</v>
      </c>
      <c r="W18" s="72" t="s">
        <v>411</v>
      </c>
      <c r="X18" s="70">
        <v>1</v>
      </c>
      <c r="Z18" s="73" t="s">
        <v>501</v>
      </c>
      <c r="AA18" s="19" t="s">
        <v>30</v>
      </c>
      <c r="AB18" s="72" t="s">
        <v>411</v>
      </c>
      <c r="AC18" s="70">
        <v>1</v>
      </c>
      <c r="AE18" s="73"/>
      <c r="AF18" s="19"/>
      <c r="AG18" s="72"/>
      <c r="AH18" s="70"/>
      <c r="AJ18" s="24" t="s">
        <v>484</v>
      </c>
      <c r="AK18" s="23" t="s">
        <v>32</v>
      </c>
      <c r="AL18" s="23" t="s">
        <v>403</v>
      </c>
      <c r="AM18" s="24">
        <v>1</v>
      </c>
    </row>
    <row r="19" spans="1:39" x14ac:dyDescent="0.35">
      <c r="A19" s="74"/>
      <c r="B19" s="75"/>
      <c r="C19" s="76"/>
      <c r="D19" s="70"/>
      <c r="F19" s="74" t="s">
        <v>603</v>
      </c>
      <c r="G19" s="75" t="s">
        <v>15</v>
      </c>
      <c r="H19" s="75" t="s">
        <v>441</v>
      </c>
      <c r="I19" s="70">
        <v>0</v>
      </c>
      <c r="K19" s="74" t="s">
        <v>473</v>
      </c>
      <c r="L19" s="75" t="s">
        <v>16</v>
      </c>
      <c r="M19" s="75" t="s">
        <v>441</v>
      </c>
      <c r="N19" s="70">
        <v>-1</v>
      </c>
      <c r="P19" s="70"/>
      <c r="Q19" s="72"/>
      <c r="R19" s="72"/>
      <c r="S19" s="70"/>
      <c r="U19" s="74" t="s">
        <v>613</v>
      </c>
      <c r="V19" s="75" t="s">
        <v>29</v>
      </c>
      <c r="W19" s="75" t="s">
        <v>441</v>
      </c>
      <c r="X19" s="70">
        <v>1</v>
      </c>
      <c r="Z19" s="77"/>
      <c r="AA19" s="75"/>
      <c r="AB19" s="75"/>
      <c r="AC19" s="70"/>
      <c r="AE19" s="73"/>
      <c r="AF19" s="19"/>
      <c r="AG19" s="72"/>
      <c r="AH19" s="70"/>
      <c r="AJ19" s="24" t="s">
        <v>485</v>
      </c>
      <c r="AK19" s="23" t="s">
        <v>32</v>
      </c>
      <c r="AL19" s="23" t="s">
        <v>411</v>
      </c>
      <c r="AM19" s="24">
        <v>1</v>
      </c>
    </row>
    <row r="20" spans="1:39" x14ac:dyDescent="0.35">
      <c r="A20" s="74"/>
      <c r="B20" s="75"/>
      <c r="C20" s="75"/>
      <c r="D20" s="70"/>
      <c r="F20" s="74"/>
      <c r="G20" s="75"/>
      <c r="H20" s="75"/>
      <c r="I20" s="70"/>
      <c r="K20" s="74"/>
      <c r="L20" s="75"/>
      <c r="M20" s="75"/>
      <c r="N20" s="70"/>
      <c r="P20" s="74"/>
      <c r="Q20" s="75"/>
      <c r="R20" s="75"/>
      <c r="S20" s="70"/>
      <c r="U20" s="74" t="s">
        <v>149</v>
      </c>
      <c r="V20" s="75" t="s">
        <v>29</v>
      </c>
      <c r="W20" s="75" t="s">
        <v>443</v>
      </c>
      <c r="X20" s="70">
        <v>-1</v>
      </c>
      <c r="Z20" s="74"/>
      <c r="AA20" s="75"/>
      <c r="AB20" s="75"/>
      <c r="AC20" s="70"/>
      <c r="AE20" s="73"/>
      <c r="AF20" s="19"/>
      <c r="AG20" s="72"/>
      <c r="AH20" s="70"/>
      <c r="AJ20" s="24" t="s">
        <v>486</v>
      </c>
      <c r="AK20" s="23" t="s">
        <v>32</v>
      </c>
      <c r="AL20" s="23" t="s">
        <v>441</v>
      </c>
      <c r="AM20" s="24">
        <v>-1</v>
      </c>
    </row>
    <row r="21" spans="1:39" x14ac:dyDescent="0.35">
      <c r="A21" s="74"/>
      <c r="B21" s="75"/>
      <c r="C21" s="75"/>
      <c r="D21" s="70"/>
      <c r="F21" s="74"/>
      <c r="G21" s="75"/>
      <c r="H21" s="75"/>
      <c r="I21" s="70"/>
      <c r="K21" s="74"/>
      <c r="L21" s="75"/>
      <c r="M21" s="75"/>
      <c r="N21" s="70"/>
      <c r="P21" s="74"/>
      <c r="Q21" s="75"/>
      <c r="R21" s="75"/>
      <c r="S21" s="70"/>
      <c r="U21" s="74"/>
      <c r="V21" s="75"/>
      <c r="W21" s="75"/>
      <c r="X21" s="70"/>
      <c r="Z21" s="74"/>
      <c r="AA21" s="75"/>
      <c r="AB21" s="75"/>
      <c r="AC21" s="70"/>
      <c r="AE21" s="74"/>
      <c r="AF21" s="75"/>
      <c r="AG21" s="75"/>
      <c r="AH21" s="70"/>
      <c r="AJ21" s="24" t="s">
        <v>487</v>
      </c>
      <c r="AK21" s="23" t="s">
        <v>32</v>
      </c>
      <c r="AL21" s="23" t="s">
        <v>443</v>
      </c>
      <c r="AM21" s="24">
        <v>-1</v>
      </c>
    </row>
    <row r="22" spans="1:39" x14ac:dyDescent="0.35">
      <c r="A22" s="74"/>
      <c r="B22" s="75"/>
      <c r="C22" s="75"/>
      <c r="D22" s="70"/>
      <c r="F22" s="74"/>
      <c r="G22" s="75"/>
      <c r="H22" s="75"/>
      <c r="I22" s="70"/>
      <c r="K22" s="74"/>
      <c r="L22" s="75"/>
      <c r="M22" s="75"/>
      <c r="N22" s="70"/>
      <c r="P22" s="74"/>
      <c r="Q22" s="75"/>
      <c r="R22" s="75"/>
      <c r="S22" s="70"/>
      <c r="U22" s="74"/>
      <c r="V22" s="75"/>
      <c r="W22" s="75"/>
      <c r="X22" s="70"/>
      <c r="Z22" s="74"/>
      <c r="AA22" s="75"/>
      <c r="AB22" s="75"/>
      <c r="AC22" s="70"/>
      <c r="AE22" s="74"/>
      <c r="AF22" s="75"/>
      <c r="AG22" s="75"/>
      <c r="AH22" s="70"/>
      <c r="AJ22" s="24"/>
      <c r="AK22" s="23"/>
      <c r="AL22" s="23"/>
      <c r="AM22" s="24"/>
    </row>
    <row r="23" spans="1:39" ht="1" customHeight="1" x14ac:dyDescent="0.35">
      <c r="P23" s="70"/>
      <c r="Q23" s="72"/>
      <c r="R23" s="72"/>
      <c r="S23" s="70"/>
    </row>
    <row r="24" spans="1:39" x14ac:dyDescent="0.35">
      <c r="A24" s="230" t="s">
        <v>33</v>
      </c>
      <c r="B24" s="230"/>
      <c r="C24" s="230"/>
      <c r="D24" s="230"/>
      <c r="F24" s="230" t="s">
        <v>34</v>
      </c>
      <c r="G24" s="230"/>
      <c r="H24" s="230"/>
      <c r="I24" s="230"/>
      <c r="K24" s="230" t="s">
        <v>35</v>
      </c>
      <c r="L24" s="230"/>
      <c r="M24" s="230"/>
      <c r="N24" s="230"/>
      <c r="P24" s="230" t="s">
        <v>36</v>
      </c>
      <c r="Q24" s="230"/>
      <c r="R24" s="230"/>
      <c r="S24" s="230"/>
      <c r="U24" s="230" t="s">
        <v>37</v>
      </c>
      <c r="V24" s="230"/>
      <c r="W24" s="230"/>
      <c r="X24" s="230"/>
      <c r="Z24" s="230" t="s">
        <v>38</v>
      </c>
      <c r="AA24" s="230"/>
      <c r="AB24" s="230"/>
      <c r="AC24" s="230"/>
      <c r="AE24" s="230" t="s">
        <v>39</v>
      </c>
      <c r="AF24" s="230"/>
      <c r="AG24" s="230"/>
      <c r="AH24" s="230"/>
      <c r="AJ24" s="230" t="s">
        <v>40</v>
      </c>
      <c r="AK24" s="230"/>
      <c r="AL24" s="230"/>
      <c r="AM24" s="230"/>
    </row>
    <row r="25" spans="1:39" x14ac:dyDescent="0.35">
      <c r="A25" s="71" t="s">
        <v>107</v>
      </c>
      <c r="B25" s="71" t="s">
        <v>58</v>
      </c>
      <c r="C25" s="71" t="s">
        <v>392</v>
      </c>
      <c r="D25" s="71" t="s">
        <v>393</v>
      </c>
      <c r="F25" s="71" t="s">
        <v>107</v>
      </c>
      <c r="G25" s="71" t="s">
        <v>58</v>
      </c>
      <c r="H25" s="71" t="s">
        <v>392</v>
      </c>
      <c r="I25" s="71" t="s">
        <v>393</v>
      </c>
      <c r="K25" s="71" t="s">
        <v>107</v>
      </c>
      <c r="L25" s="71" t="s">
        <v>58</v>
      </c>
      <c r="M25" s="71" t="s">
        <v>392</v>
      </c>
      <c r="N25" s="71" t="s">
        <v>393</v>
      </c>
      <c r="P25" s="71" t="s">
        <v>107</v>
      </c>
      <c r="Q25" s="71" t="s">
        <v>58</v>
      </c>
      <c r="R25" s="71" t="s">
        <v>392</v>
      </c>
      <c r="S25" s="71" t="s">
        <v>393</v>
      </c>
      <c r="U25" s="71" t="s">
        <v>107</v>
      </c>
      <c r="V25" s="71" t="s">
        <v>58</v>
      </c>
      <c r="W25" s="71" t="s">
        <v>392</v>
      </c>
      <c r="X25" s="71" t="s">
        <v>393</v>
      </c>
      <c r="Z25" s="71" t="s">
        <v>107</v>
      </c>
      <c r="AA25" s="71" t="s">
        <v>58</v>
      </c>
      <c r="AB25" s="71" t="s">
        <v>392</v>
      </c>
      <c r="AC25" s="71" t="s">
        <v>393</v>
      </c>
      <c r="AE25" s="71" t="s">
        <v>107</v>
      </c>
      <c r="AF25" s="71" t="s">
        <v>58</v>
      </c>
      <c r="AG25" s="71" t="s">
        <v>392</v>
      </c>
      <c r="AH25" s="71" t="s">
        <v>393</v>
      </c>
      <c r="AJ25" s="71" t="s">
        <v>107</v>
      </c>
      <c r="AK25" s="71" t="s">
        <v>58</v>
      </c>
      <c r="AL25" s="71" t="s">
        <v>392</v>
      </c>
      <c r="AM25" s="71" t="s">
        <v>393</v>
      </c>
    </row>
    <row r="26" spans="1:39" x14ac:dyDescent="0.35">
      <c r="A26" s="73" t="s">
        <v>181</v>
      </c>
      <c r="B26" s="19" t="s">
        <v>33</v>
      </c>
      <c r="C26" s="72" t="s">
        <v>399</v>
      </c>
      <c r="D26" s="70">
        <v>1</v>
      </c>
      <c r="F26" s="74" t="s">
        <v>191</v>
      </c>
      <c r="G26" s="75" t="s">
        <v>34</v>
      </c>
      <c r="H26" s="72" t="s">
        <v>399</v>
      </c>
      <c r="I26" s="70">
        <v>1</v>
      </c>
      <c r="K26" s="74" t="s">
        <v>199</v>
      </c>
      <c r="L26" s="75" t="s">
        <v>35</v>
      </c>
      <c r="M26" s="72" t="s">
        <v>399</v>
      </c>
      <c r="N26" s="70">
        <v>1</v>
      </c>
      <c r="P26" s="74" t="s">
        <v>204</v>
      </c>
      <c r="Q26" s="75" t="s">
        <v>36</v>
      </c>
      <c r="R26" s="72" t="s">
        <v>399</v>
      </c>
      <c r="S26" s="70">
        <v>1</v>
      </c>
      <c r="U26" s="74" t="s">
        <v>215</v>
      </c>
      <c r="V26" s="75" t="s">
        <v>37</v>
      </c>
      <c r="W26" s="72" t="s">
        <v>399</v>
      </c>
      <c r="X26" s="70">
        <v>1</v>
      </c>
      <c r="Z26" s="74" t="s">
        <v>226</v>
      </c>
      <c r="AA26" s="75" t="s">
        <v>38</v>
      </c>
      <c r="AB26" s="72" t="s">
        <v>399</v>
      </c>
      <c r="AC26" s="70">
        <v>1</v>
      </c>
      <c r="AE26" s="73" t="s">
        <v>234</v>
      </c>
      <c r="AF26" s="19" t="s">
        <v>39</v>
      </c>
      <c r="AG26" s="72" t="s">
        <v>399</v>
      </c>
      <c r="AH26" s="70">
        <v>1</v>
      </c>
      <c r="AJ26" s="73" t="s">
        <v>243</v>
      </c>
      <c r="AK26" s="19" t="s">
        <v>40</v>
      </c>
      <c r="AL26" s="72" t="s">
        <v>399</v>
      </c>
      <c r="AM26" s="70">
        <v>1</v>
      </c>
    </row>
    <row r="27" spans="1:39" x14ac:dyDescent="0.35">
      <c r="A27" s="73" t="s">
        <v>182</v>
      </c>
      <c r="B27" s="19" t="s">
        <v>33</v>
      </c>
      <c r="C27" s="72" t="s">
        <v>405</v>
      </c>
      <c r="D27" s="70">
        <v>1</v>
      </c>
      <c r="F27" s="74" t="s">
        <v>576</v>
      </c>
      <c r="G27" s="75" t="s">
        <v>34</v>
      </c>
      <c r="H27" s="72" t="s">
        <v>405</v>
      </c>
      <c r="I27" s="70">
        <v>1</v>
      </c>
      <c r="K27" s="74" t="s">
        <v>261</v>
      </c>
      <c r="L27" s="75" t="s">
        <v>35</v>
      </c>
      <c r="M27" s="72" t="s">
        <v>405</v>
      </c>
      <c r="N27" s="70">
        <v>1</v>
      </c>
      <c r="P27" s="74" t="s">
        <v>205</v>
      </c>
      <c r="Q27" s="75" t="s">
        <v>36</v>
      </c>
      <c r="R27" s="72" t="s">
        <v>405</v>
      </c>
      <c r="S27" s="70">
        <v>1</v>
      </c>
      <c r="U27" s="74" t="s">
        <v>630</v>
      </c>
      <c r="V27" s="75" t="s">
        <v>37</v>
      </c>
      <c r="W27" s="72" t="s">
        <v>405</v>
      </c>
      <c r="X27" s="70">
        <v>1</v>
      </c>
      <c r="Z27" s="73" t="s">
        <v>639</v>
      </c>
      <c r="AA27" s="19" t="s">
        <v>38</v>
      </c>
      <c r="AB27" s="72" t="s">
        <v>405</v>
      </c>
      <c r="AC27" s="70">
        <v>1</v>
      </c>
      <c r="AE27" s="73" t="s">
        <v>235</v>
      </c>
      <c r="AF27" s="19" t="s">
        <v>39</v>
      </c>
      <c r="AG27" s="72" t="s">
        <v>405</v>
      </c>
      <c r="AH27" s="70">
        <v>1</v>
      </c>
      <c r="AJ27" s="73" t="s">
        <v>244</v>
      </c>
      <c r="AK27" s="19" t="s">
        <v>40</v>
      </c>
      <c r="AL27" s="72" t="s">
        <v>405</v>
      </c>
      <c r="AM27" s="70">
        <v>1</v>
      </c>
    </row>
    <row r="28" spans="1:39" x14ac:dyDescent="0.35">
      <c r="A28" s="73" t="s">
        <v>184</v>
      </c>
      <c r="B28" s="19" t="s">
        <v>33</v>
      </c>
      <c r="C28" s="72" t="s">
        <v>395</v>
      </c>
      <c r="D28" s="70">
        <v>1</v>
      </c>
      <c r="F28" s="74" t="s">
        <v>193</v>
      </c>
      <c r="G28" s="75" t="s">
        <v>34</v>
      </c>
      <c r="H28" s="72" t="s">
        <v>395</v>
      </c>
      <c r="I28" s="70">
        <v>1</v>
      </c>
      <c r="K28" s="74" t="s">
        <v>200</v>
      </c>
      <c r="L28" s="75" t="s">
        <v>35</v>
      </c>
      <c r="M28" s="72" t="s">
        <v>395</v>
      </c>
      <c r="N28" s="70">
        <v>1</v>
      </c>
      <c r="P28" s="74" t="s">
        <v>206</v>
      </c>
      <c r="Q28" s="75" t="s">
        <v>36</v>
      </c>
      <c r="R28" s="72" t="s">
        <v>395</v>
      </c>
      <c r="S28" s="70">
        <v>1</v>
      </c>
      <c r="U28" s="74" t="s">
        <v>631</v>
      </c>
      <c r="V28" s="75" t="s">
        <v>37</v>
      </c>
      <c r="W28" s="72" t="s">
        <v>425</v>
      </c>
      <c r="X28" s="70">
        <v>1</v>
      </c>
      <c r="Z28" s="73" t="s">
        <v>641</v>
      </c>
      <c r="AA28" s="19" t="s">
        <v>38</v>
      </c>
      <c r="AB28" s="72" t="s">
        <v>425</v>
      </c>
      <c r="AC28" s="70">
        <v>1</v>
      </c>
      <c r="AE28" s="73" t="s">
        <v>236</v>
      </c>
      <c r="AF28" s="19" t="s">
        <v>39</v>
      </c>
      <c r="AG28" s="72" t="s">
        <v>395</v>
      </c>
      <c r="AH28" s="70">
        <v>1</v>
      </c>
      <c r="AJ28" s="73" t="s">
        <v>245</v>
      </c>
      <c r="AK28" s="19" t="s">
        <v>40</v>
      </c>
      <c r="AL28" s="19" t="s">
        <v>395</v>
      </c>
      <c r="AM28" s="70">
        <v>1</v>
      </c>
    </row>
    <row r="29" spans="1:39" x14ac:dyDescent="0.35">
      <c r="A29" s="73" t="s">
        <v>185</v>
      </c>
      <c r="B29" s="19" t="s">
        <v>33</v>
      </c>
      <c r="C29" s="72" t="s">
        <v>394</v>
      </c>
      <c r="D29" s="70">
        <v>1</v>
      </c>
      <c r="F29" s="74" t="s">
        <v>192</v>
      </c>
      <c r="G29" s="75" t="s">
        <v>34</v>
      </c>
      <c r="H29" s="72" t="s">
        <v>394</v>
      </c>
      <c r="I29" s="70">
        <v>1</v>
      </c>
      <c r="K29" s="74" t="s">
        <v>201</v>
      </c>
      <c r="L29" s="75" t="s">
        <v>35</v>
      </c>
      <c r="M29" s="72" t="s">
        <v>394</v>
      </c>
      <c r="N29" s="70">
        <v>1</v>
      </c>
      <c r="P29" s="74" t="s">
        <v>207</v>
      </c>
      <c r="Q29" s="75" t="s">
        <v>36</v>
      </c>
      <c r="R29" s="72" t="s">
        <v>394</v>
      </c>
      <c r="S29" s="70">
        <v>1</v>
      </c>
      <c r="U29" s="74" t="s">
        <v>218</v>
      </c>
      <c r="V29" s="75" t="s">
        <v>37</v>
      </c>
      <c r="W29" s="72" t="s">
        <v>395</v>
      </c>
      <c r="X29" s="70">
        <v>1</v>
      </c>
      <c r="Z29" s="73" t="s">
        <v>227</v>
      </c>
      <c r="AA29" s="19" t="s">
        <v>38</v>
      </c>
      <c r="AB29" s="72" t="s">
        <v>395</v>
      </c>
      <c r="AC29" s="70">
        <v>1</v>
      </c>
      <c r="AE29" s="73" t="s">
        <v>238</v>
      </c>
      <c r="AF29" s="19" t="s">
        <v>39</v>
      </c>
      <c r="AG29" s="72" t="s">
        <v>394</v>
      </c>
      <c r="AH29" s="70">
        <v>1</v>
      </c>
      <c r="AJ29" s="73" t="s">
        <v>246</v>
      </c>
      <c r="AK29" s="19" t="s">
        <v>40</v>
      </c>
      <c r="AL29" s="19" t="s">
        <v>394</v>
      </c>
      <c r="AM29" s="70">
        <v>1</v>
      </c>
    </row>
    <row r="30" spans="1:39" x14ac:dyDescent="0.35">
      <c r="A30" s="73" t="s">
        <v>183</v>
      </c>
      <c r="B30" s="19" t="s">
        <v>33</v>
      </c>
      <c r="C30" s="72" t="s">
        <v>396</v>
      </c>
      <c r="D30" s="70">
        <v>1</v>
      </c>
      <c r="F30" s="74" t="s">
        <v>577</v>
      </c>
      <c r="G30" s="75" t="s">
        <v>34</v>
      </c>
      <c r="H30" s="72" t="s">
        <v>396</v>
      </c>
      <c r="I30" s="70">
        <v>1</v>
      </c>
      <c r="K30" s="74" t="s">
        <v>503</v>
      </c>
      <c r="L30" s="75" t="s">
        <v>35</v>
      </c>
      <c r="M30" s="72" t="s">
        <v>396</v>
      </c>
      <c r="N30" s="70">
        <v>1</v>
      </c>
      <c r="P30" s="73" t="s">
        <v>511</v>
      </c>
      <c r="Q30" s="19" t="s">
        <v>36</v>
      </c>
      <c r="R30" s="19" t="s">
        <v>396</v>
      </c>
      <c r="S30" s="70">
        <v>1</v>
      </c>
      <c r="U30" s="73" t="s">
        <v>219</v>
      </c>
      <c r="V30" s="19" t="s">
        <v>37</v>
      </c>
      <c r="W30" s="19" t="s">
        <v>394</v>
      </c>
      <c r="X30" s="70">
        <v>1</v>
      </c>
      <c r="Z30" s="73" t="s">
        <v>229</v>
      </c>
      <c r="AA30" s="19" t="s">
        <v>38</v>
      </c>
      <c r="AB30" s="19" t="s">
        <v>394</v>
      </c>
      <c r="AC30" s="70">
        <v>0</v>
      </c>
      <c r="AE30" s="73" t="s">
        <v>237</v>
      </c>
      <c r="AF30" s="19" t="s">
        <v>39</v>
      </c>
      <c r="AG30" s="72" t="s">
        <v>396</v>
      </c>
      <c r="AH30" s="70">
        <v>1</v>
      </c>
      <c r="AJ30" s="73" t="s">
        <v>248</v>
      </c>
      <c r="AK30" s="19" t="s">
        <v>40</v>
      </c>
      <c r="AL30" s="19" t="s">
        <v>396</v>
      </c>
      <c r="AM30" s="70">
        <v>1</v>
      </c>
    </row>
    <row r="31" spans="1:39" x14ac:dyDescent="0.35">
      <c r="A31" s="74" t="s">
        <v>423</v>
      </c>
      <c r="B31" s="75" t="s">
        <v>33</v>
      </c>
      <c r="C31" s="72" t="s">
        <v>407</v>
      </c>
      <c r="D31" s="70">
        <v>-1</v>
      </c>
      <c r="F31" s="74" t="s">
        <v>194</v>
      </c>
      <c r="G31" s="75" t="s">
        <v>34</v>
      </c>
      <c r="H31" s="72" t="s">
        <v>407</v>
      </c>
      <c r="I31" s="70">
        <v>1</v>
      </c>
      <c r="K31" s="74" t="s">
        <v>504</v>
      </c>
      <c r="L31" s="75" t="s">
        <v>35</v>
      </c>
      <c r="M31" s="72" t="s">
        <v>407</v>
      </c>
      <c r="N31" s="70">
        <v>0</v>
      </c>
      <c r="P31" s="73" t="s">
        <v>208</v>
      </c>
      <c r="Q31" s="19" t="s">
        <v>36</v>
      </c>
      <c r="R31" s="19" t="s">
        <v>407</v>
      </c>
      <c r="S31" s="70">
        <v>-1</v>
      </c>
      <c r="U31" s="73" t="s">
        <v>217</v>
      </c>
      <c r="V31" s="19" t="s">
        <v>37</v>
      </c>
      <c r="W31" s="19" t="s">
        <v>396</v>
      </c>
      <c r="X31" s="70">
        <v>1</v>
      </c>
      <c r="Z31" s="73" t="s">
        <v>228</v>
      </c>
      <c r="AA31" s="19" t="s">
        <v>38</v>
      </c>
      <c r="AB31" s="19" t="s">
        <v>396</v>
      </c>
      <c r="AC31" s="70">
        <v>1</v>
      </c>
      <c r="AE31" s="73" t="s">
        <v>624</v>
      </c>
      <c r="AF31" s="19" t="s">
        <v>39</v>
      </c>
      <c r="AG31" s="19" t="s">
        <v>407</v>
      </c>
      <c r="AH31" s="70">
        <v>1</v>
      </c>
      <c r="AJ31" s="73" t="s">
        <v>247</v>
      </c>
      <c r="AK31" s="19" t="s">
        <v>40</v>
      </c>
      <c r="AL31" s="19" t="s">
        <v>407</v>
      </c>
      <c r="AM31" s="70">
        <v>1</v>
      </c>
    </row>
    <row r="32" spans="1:39" x14ac:dyDescent="0.35">
      <c r="A32" s="74" t="s">
        <v>186</v>
      </c>
      <c r="B32" s="75" t="s">
        <v>33</v>
      </c>
      <c r="C32" s="72" t="s">
        <v>397</v>
      </c>
      <c r="D32" s="70">
        <v>1</v>
      </c>
      <c r="F32" s="74" t="s">
        <v>195</v>
      </c>
      <c r="G32" s="75" t="s">
        <v>34</v>
      </c>
      <c r="H32" s="72" t="s">
        <v>397</v>
      </c>
      <c r="I32" s="70">
        <v>1</v>
      </c>
      <c r="K32" s="73" t="s">
        <v>202</v>
      </c>
      <c r="L32" s="19" t="s">
        <v>35</v>
      </c>
      <c r="M32" s="19" t="s">
        <v>397</v>
      </c>
      <c r="N32" s="70">
        <v>1</v>
      </c>
      <c r="P32" s="73" t="s">
        <v>209</v>
      </c>
      <c r="Q32" s="19" t="s">
        <v>36</v>
      </c>
      <c r="R32" s="19" t="s">
        <v>397</v>
      </c>
      <c r="S32" s="70">
        <v>1</v>
      </c>
      <c r="U32" s="73" t="s">
        <v>220</v>
      </c>
      <c r="V32" s="19" t="s">
        <v>37</v>
      </c>
      <c r="W32" s="19" t="s">
        <v>407</v>
      </c>
      <c r="X32" s="70">
        <v>1</v>
      </c>
      <c r="Z32" s="73" t="s">
        <v>640</v>
      </c>
      <c r="AA32" s="19" t="s">
        <v>38</v>
      </c>
      <c r="AB32" s="19" t="s">
        <v>407</v>
      </c>
      <c r="AC32" s="70">
        <v>-1</v>
      </c>
      <c r="AE32" s="73" t="s">
        <v>239</v>
      </c>
      <c r="AF32" s="19" t="s">
        <v>39</v>
      </c>
      <c r="AG32" s="19" t="s">
        <v>397</v>
      </c>
      <c r="AH32" s="70">
        <v>1</v>
      </c>
      <c r="AJ32" s="73" t="s">
        <v>249</v>
      </c>
      <c r="AK32" s="19" t="s">
        <v>40</v>
      </c>
      <c r="AL32" s="19" t="s">
        <v>397</v>
      </c>
      <c r="AM32" s="70">
        <v>1</v>
      </c>
    </row>
    <row r="33" spans="1:39" x14ac:dyDescent="0.35">
      <c r="A33" s="74" t="s">
        <v>424</v>
      </c>
      <c r="B33" s="75" t="s">
        <v>33</v>
      </c>
      <c r="C33" s="72" t="s">
        <v>398</v>
      </c>
      <c r="D33" s="70">
        <v>1</v>
      </c>
      <c r="F33" s="74" t="s">
        <v>580</v>
      </c>
      <c r="G33" s="75" t="s">
        <v>34</v>
      </c>
      <c r="H33" s="72" t="s">
        <v>398</v>
      </c>
      <c r="I33" s="70">
        <v>1</v>
      </c>
      <c r="K33" s="73" t="s">
        <v>508</v>
      </c>
      <c r="L33" s="19" t="s">
        <v>35</v>
      </c>
      <c r="M33" s="19" t="s">
        <v>398</v>
      </c>
      <c r="N33" s="70">
        <v>1</v>
      </c>
      <c r="P33" s="73" t="s">
        <v>210</v>
      </c>
      <c r="Q33" s="19" t="s">
        <v>36</v>
      </c>
      <c r="R33" s="19" t="s">
        <v>398</v>
      </c>
      <c r="S33" s="70">
        <v>1</v>
      </c>
      <c r="U33" s="73" t="s">
        <v>221</v>
      </c>
      <c r="V33" s="19" t="s">
        <v>37</v>
      </c>
      <c r="W33" s="19" t="s">
        <v>397</v>
      </c>
      <c r="X33" s="70">
        <v>1</v>
      </c>
      <c r="Z33" s="73" t="s">
        <v>230</v>
      </c>
      <c r="AA33" s="19" t="s">
        <v>38</v>
      </c>
      <c r="AB33" s="19" t="s">
        <v>397</v>
      </c>
      <c r="AC33" s="70">
        <v>1</v>
      </c>
      <c r="AE33" s="73" t="s">
        <v>628</v>
      </c>
      <c r="AF33" s="19" t="s">
        <v>39</v>
      </c>
      <c r="AG33" s="19" t="s">
        <v>398</v>
      </c>
      <c r="AH33" s="70">
        <v>1</v>
      </c>
      <c r="AJ33" s="73" t="s">
        <v>250</v>
      </c>
      <c r="AK33" s="19" t="s">
        <v>40</v>
      </c>
      <c r="AL33" s="72" t="s">
        <v>398</v>
      </c>
      <c r="AM33" s="70">
        <v>1</v>
      </c>
    </row>
    <row r="34" spans="1:39" x14ac:dyDescent="0.35">
      <c r="A34" s="73" t="s">
        <v>436</v>
      </c>
      <c r="B34" s="19" t="s">
        <v>33</v>
      </c>
      <c r="C34" s="19" t="s">
        <v>430</v>
      </c>
      <c r="D34" s="70">
        <v>1</v>
      </c>
      <c r="F34" s="73" t="s">
        <v>581</v>
      </c>
      <c r="G34" s="19" t="s">
        <v>34</v>
      </c>
      <c r="H34" s="19" t="s">
        <v>430</v>
      </c>
      <c r="I34" s="70">
        <v>-1</v>
      </c>
      <c r="K34" s="73" t="s">
        <v>509</v>
      </c>
      <c r="L34" s="19" t="s">
        <v>35</v>
      </c>
      <c r="M34" s="19" t="s">
        <v>430</v>
      </c>
      <c r="N34" s="70">
        <v>1</v>
      </c>
      <c r="P34" s="73" t="s">
        <v>515</v>
      </c>
      <c r="Q34" s="19" t="s">
        <v>36</v>
      </c>
      <c r="R34" s="19" t="s">
        <v>430</v>
      </c>
      <c r="S34" s="70">
        <v>1</v>
      </c>
      <c r="U34" s="73" t="s">
        <v>636</v>
      </c>
      <c r="V34" s="19" t="s">
        <v>37</v>
      </c>
      <c r="W34" s="19" t="s">
        <v>398</v>
      </c>
      <c r="X34" s="70">
        <v>1</v>
      </c>
      <c r="Z34" s="73" t="s">
        <v>646</v>
      </c>
      <c r="AA34" s="19" t="s">
        <v>38</v>
      </c>
      <c r="AB34" s="19" t="s">
        <v>398</v>
      </c>
      <c r="AC34" s="70">
        <v>1</v>
      </c>
      <c r="AE34" s="73" t="s">
        <v>629</v>
      </c>
      <c r="AF34" s="19" t="s">
        <v>39</v>
      </c>
      <c r="AG34" s="19" t="s">
        <v>430</v>
      </c>
      <c r="AH34" s="70">
        <v>1</v>
      </c>
      <c r="AJ34" s="73" t="s">
        <v>574</v>
      </c>
      <c r="AK34" s="19" t="s">
        <v>40</v>
      </c>
      <c r="AL34" s="72" t="s">
        <v>430</v>
      </c>
      <c r="AM34" s="70">
        <v>1</v>
      </c>
    </row>
    <row r="35" spans="1:39" x14ac:dyDescent="0.35">
      <c r="A35" s="73" t="s">
        <v>437</v>
      </c>
      <c r="B35" s="19" t="s">
        <v>33</v>
      </c>
      <c r="C35" s="19" t="s">
        <v>435</v>
      </c>
      <c r="D35" s="70">
        <v>-1</v>
      </c>
      <c r="F35" s="73" t="s">
        <v>582</v>
      </c>
      <c r="G35" s="19" t="s">
        <v>34</v>
      </c>
      <c r="H35" s="19" t="s">
        <v>435</v>
      </c>
      <c r="I35" s="70">
        <v>1</v>
      </c>
      <c r="K35" s="73" t="s">
        <v>510</v>
      </c>
      <c r="L35" s="19" t="s">
        <v>35</v>
      </c>
      <c r="M35" s="19" t="s">
        <v>435</v>
      </c>
      <c r="N35" s="70">
        <v>-1</v>
      </c>
      <c r="P35" s="74" t="s">
        <v>516</v>
      </c>
      <c r="Q35" s="75" t="s">
        <v>36</v>
      </c>
      <c r="R35" s="72" t="s">
        <v>435</v>
      </c>
      <c r="S35" s="70">
        <v>1</v>
      </c>
      <c r="U35" s="74" t="s">
        <v>637</v>
      </c>
      <c r="V35" s="75" t="s">
        <v>37</v>
      </c>
      <c r="W35" s="72" t="s">
        <v>430</v>
      </c>
      <c r="X35" s="70">
        <v>-1</v>
      </c>
      <c r="Z35" s="73" t="s">
        <v>647</v>
      </c>
      <c r="AA35" s="19" t="s">
        <v>38</v>
      </c>
      <c r="AB35" s="72" t="s">
        <v>430</v>
      </c>
      <c r="AC35" s="70">
        <v>1</v>
      </c>
      <c r="AE35" s="73" t="s">
        <v>240</v>
      </c>
      <c r="AF35" s="19" t="s">
        <v>39</v>
      </c>
      <c r="AG35" s="19" t="s">
        <v>66</v>
      </c>
      <c r="AH35" s="70">
        <v>1</v>
      </c>
      <c r="AJ35" s="73" t="s">
        <v>575</v>
      </c>
      <c r="AK35" s="19" t="s">
        <v>40</v>
      </c>
      <c r="AL35" s="72" t="s">
        <v>435</v>
      </c>
      <c r="AM35" s="70">
        <v>1</v>
      </c>
    </row>
    <row r="36" spans="1:39" x14ac:dyDescent="0.35">
      <c r="A36" s="73" t="s">
        <v>188</v>
      </c>
      <c r="B36" s="19" t="s">
        <v>33</v>
      </c>
      <c r="C36" s="19" t="s">
        <v>66</v>
      </c>
      <c r="D36" s="70">
        <v>1</v>
      </c>
      <c r="F36" s="73" t="s">
        <v>196</v>
      </c>
      <c r="G36" s="19" t="s">
        <v>34</v>
      </c>
      <c r="H36" s="19" t="s">
        <v>66</v>
      </c>
      <c r="I36" s="70">
        <v>1</v>
      </c>
      <c r="K36" s="73" t="s">
        <v>203</v>
      </c>
      <c r="L36" s="19" t="s">
        <v>35</v>
      </c>
      <c r="M36" s="19" t="s">
        <v>66</v>
      </c>
      <c r="N36" s="70">
        <v>1</v>
      </c>
      <c r="P36" s="74" t="s">
        <v>212</v>
      </c>
      <c r="Q36" s="75" t="s">
        <v>36</v>
      </c>
      <c r="R36" s="72" t="s">
        <v>66</v>
      </c>
      <c r="S36" s="70">
        <v>0</v>
      </c>
      <c r="U36" s="73" t="s">
        <v>638</v>
      </c>
      <c r="V36" s="19" t="s">
        <v>37</v>
      </c>
      <c r="W36" s="19" t="s">
        <v>435</v>
      </c>
      <c r="X36" s="70">
        <v>-1</v>
      </c>
      <c r="Z36" s="73" t="s">
        <v>648</v>
      </c>
      <c r="AA36" s="19" t="s">
        <v>38</v>
      </c>
      <c r="AB36" s="19" t="s">
        <v>435</v>
      </c>
      <c r="AC36" s="70">
        <v>1</v>
      </c>
      <c r="AE36" s="73" t="s">
        <v>241</v>
      </c>
      <c r="AF36" s="19" t="s">
        <v>39</v>
      </c>
      <c r="AG36" s="19" t="s">
        <v>67</v>
      </c>
      <c r="AH36" s="70">
        <v>1</v>
      </c>
      <c r="AJ36" s="73" t="s">
        <v>253</v>
      </c>
      <c r="AK36" s="19" t="s">
        <v>40</v>
      </c>
      <c r="AL36" s="19" t="s">
        <v>66</v>
      </c>
      <c r="AM36" s="70">
        <v>1</v>
      </c>
    </row>
    <row r="37" spans="1:39" x14ac:dyDescent="0.35">
      <c r="A37" s="73" t="s">
        <v>187</v>
      </c>
      <c r="B37" s="19" t="s">
        <v>33</v>
      </c>
      <c r="C37" s="19" t="s">
        <v>67</v>
      </c>
      <c r="D37" s="70">
        <v>1</v>
      </c>
      <c r="F37" s="73" t="s">
        <v>197</v>
      </c>
      <c r="G37" s="19" t="s">
        <v>34</v>
      </c>
      <c r="H37" s="19" t="s">
        <v>67</v>
      </c>
      <c r="I37" s="70">
        <v>0</v>
      </c>
      <c r="K37" s="70" t="s">
        <v>184</v>
      </c>
      <c r="L37" s="72" t="s">
        <v>35</v>
      </c>
      <c r="M37" s="72" t="s">
        <v>67</v>
      </c>
      <c r="N37" s="70">
        <v>1</v>
      </c>
      <c r="P37" s="73" t="s">
        <v>211</v>
      </c>
      <c r="Q37" s="19" t="s">
        <v>36</v>
      </c>
      <c r="R37" s="19" t="s">
        <v>67</v>
      </c>
      <c r="S37" s="70">
        <v>1</v>
      </c>
      <c r="U37" s="73" t="s">
        <v>224</v>
      </c>
      <c r="V37" s="19" t="s">
        <v>37</v>
      </c>
      <c r="W37" s="19" t="s">
        <v>66</v>
      </c>
      <c r="X37" s="70">
        <v>1</v>
      </c>
      <c r="Z37" s="73" t="s">
        <v>231</v>
      </c>
      <c r="AA37" s="19" t="s">
        <v>38</v>
      </c>
      <c r="AB37" s="19" t="s">
        <v>66</v>
      </c>
      <c r="AC37" s="70">
        <v>1</v>
      </c>
      <c r="AE37" s="73" t="s">
        <v>242</v>
      </c>
      <c r="AF37" s="19" t="s">
        <v>39</v>
      </c>
      <c r="AG37" s="19" t="s">
        <v>68</v>
      </c>
      <c r="AH37" s="70">
        <v>1</v>
      </c>
      <c r="AJ37" s="73" t="s">
        <v>251</v>
      </c>
      <c r="AK37" s="19" t="s">
        <v>40</v>
      </c>
      <c r="AL37" s="19" t="s">
        <v>67</v>
      </c>
      <c r="AM37" s="70">
        <v>1</v>
      </c>
    </row>
    <row r="38" spans="1:39" x14ac:dyDescent="0.35">
      <c r="A38" s="73" t="s">
        <v>189</v>
      </c>
      <c r="B38" s="19" t="s">
        <v>33</v>
      </c>
      <c r="C38" s="19" t="s">
        <v>68</v>
      </c>
      <c r="D38" s="70">
        <v>1</v>
      </c>
      <c r="F38" s="73" t="s">
        <v>198</v>
      </c>
      <c r="G38" s="19" t="s">
        <v>34</v>
      </c>
      <c r="H38" s="19" t="s">
        <v>68</v>
      </c>
      <c r="I38" s="70">
        <v>1</v>
      </c>
      <c r="K38" s="73" t="s">
        <v>505</v>
      </c>
      <c r="L38" s="19" t="s">
        <v>35</v>
      </c>
      <c r="M38" s="19" t="s">
        <v>68</v>
      </c>
      <c r="N38" s="70">
        <v>1</v>
      </c>
      <c r="P38" s="73" t="s">
        <v>213</v>
      </c>
      <c r="Q38" s="19" t="s">
        <v>36</v>
      </c>
      <c r="R38" s="19" t="s">
        <v>68</v>
      </c>
      <c r="S38" s="70">
        <v>1</v>
      </c>
      <c r="U38" s="74" t="s">
        <v>222</v>
      </c>
      <c r="V38" s="75" t="s">
        <v>37</v>
      </c>
      <c r="W38" s="72" t="s">
        <v>67</v>
      </c>
      <c r="X38" s="70">
        <v>1</v>
      </c>
      <c r="Z38" s="73" t="s">
        <v>232</v>
      </c>
      <c r="AA38" s="19" t="s">
        <v>38</v>
      </c>
      <c r="AB38" s="72" t="s">
        <v>67</v>
      </c>
      <c r="AC38" s="70">
        <v>0</v>
      </c>
      <c r="AE38" s="73" t="s">
        <v>625</v>
      </c>
      <c r="AF38" s="19" t="s">
        <v>39</v>
      </c>
      <c r="AG38" s="72" t="s">
        <v>401</v>
      </c>
      <c r="AH38" s="70">
        <v>1</v>
      </c>
      <c r="AJ38" s="73" t="s">
        <v>570</v>
      </c>
      <c r="AK38" s="19" t="s">
        <v>40</v>
      </c>
      <c r="AL38" s="72" t="s">
        <v>68</v>
      </c>
      <c r="AM38" s="70">
        <v>1</v>
      </c>
    </row>
    <row r="39" spans="1:39" x14ac:dyDescent="0.35">
      <c r="A39" s="73" t="s">
        <v>190</v>
      </c>
      <c r="B39" s="19" t="s">
        <v>33</v>
      </c>
      <c r="C39" s="19" t="s">
        <v>401</v>
      </c>
      <c r="D39" s="70">
        <v>1</v>
      </c>
      <c r="F39" s="73" t="s">
        <v>578</v>
      </c>
      <c r="G39" s="19" t="s">
        <v>34</v>
      </c>
      <c r="H39" s="19" t="s">
        <v>401</v>
      </c>
      <c r="I39" s="70">
        <v>1</v>
      </c>
      <c r="K39" s="73" t="s">
        <v>506</v>
      </c>
      <c r="L39" s="19" t="s">
        <v>35</v>
      </c>
      <c r="M39" s="19" t="s">
        <v>401</v>
      </c>
      <c r="N39" s="70">
        <v>1</v>
      </c>
      <c r="P39" s="74" t="s">
        <v>214</v>
      </c>
      <c r="Q39" s="75" t="s">
        <v>36</v>
      </c>
      <c r="R39" s="72" t="s">
        <v>401</v>
      </c>
      <c r="S39" s="70">
        <v>0</v>
      </c>
      <c r="U39" s="74" t="s">
        <v>223</v>
      </c>
      <c r="V39" s="75" t="s">
        <v>37</v>
      </c>
      <c r="W39" s="72" t="s">
        <v>68</v>
      </c>
      <c r="X39" s="70">
        <v>1</v>
      </c>
      <c r="Z39" s="73" t="s">
        <v>233</v>
      </c>
      <c r="AA39" s="19" t="s">
        <v>38</v>
      </c>
      <c r="AB39" s="72" t="s">
        <v>68</v>
      </c>
      <c r="AC39" s="70">
        <v>1</v>
      </c>
      <c r="AE39" s="73" t="s">
        <v>626</v>
      </c>
      <c r="AF39" s="19" t="s">
        <v>39</v>
      </c>
      <c r="AG39" s="72" t="s">
        <v>403</v>
      </c>
      <c r="AH39" s="70">
        <v>1</v>
      </c>
      <c r="AJ39" s="73" t="s">
        <v>254</v>
      </c>
      <c r="AK39" s="19" t="s">
        <v>40</v>
      </c>
      <c r="AL39" s="72" t="s">
        <v>401</v>
      </c>
      <c r="AM39" s="70">
        <v>0</v>
      </c>
    </row>
    <row r="40" spans="1:39" x14ac:dyDescent="0.35">
      <c r="A40" s="73" t="s">
        <v>422</v>
      </c>
      <c r="B40" s="19" t="s">
        <v>33</v>
      </c>
      <c r="C40" s="19" t="s">
        <v>403</v>
      </c>
      <c r="D40" s="70">
        <v>-1</v>
      </c>
      <c r="F40" s="73" t="s">
        <v>579</v>
      </c>
      <c r="G40" s="19" t="s">
        <v>34</v>
      </c>
      <c r="H40" s="19" t="s">
        <v>403</v>
      </c>
      <c r="I40" s="70">
        <v>1</v>
      </c>
      <c r="K40" s="70" t="s">
        <v>507</v>
      </c>
      <c r="L40" s="72" t="s">
        <v>35</v>
      </c>
      <c r="M40" s="72" t="s">
        <v>403</v>
      </c>
      <c r="N40" s="70">
        <v>1</v>
      </c>
      <c r="P40" s="74" t="s">
        <v>512</v>
      </c>
      <c r="Q40" s="75" t="s">
        <v>36</v>
      </c>
      <c r="R40" s="72" t="s">
        <v>403</v>
      </c>
      <c r="S40" s="70">
        <v>0</v>
      </c>
      <c r="U40" s="74" t="s">
        <v>225</v>
      </c>
      <c r="V40" s="75" t="s">
        <v>37</v>
      </c>
      <c r="W40" s="72" t="s">
        <v>401</v>
      </c>
      <c r="X40" s="70">
        <v>1</v>
      </c>
      <c r="Z40" s="73" t="s">
        <v>642</v>
      </c>
      <c r="AA40" s="19" t="s">
        <v>38</v>
      </c>
      <c r="AB40" s="72" t="s">
        <v>401</v>
      </c>
      <c r="AC40" s="70">
        <v>1</v>
      </c>
      <c r="AE40" s="73" t="s">
        <v>627</v>
      </c>
      <c r="AF40" s="19" t="s">
        <v>39</v>
      </c>
      <c r="AG40" s="72" t="s">
        <v>411</v>
      </c>
      <c r="AH40" s="70">
        <v>-1</v>
      </c>
      <c r="AJ40" s="73" t="s">
        <v>571</v>
      </c>
      <c r="AK40" s="19" t="s">
        <v>40</v>
      </c>
      <c r="AL40" s="72" t="s">
        <v>403</v>
      </c>
      <c r="AM40" s="70">
        <v>1</v>
      </c>
    </row>
    <row r="41" spans="1:39" x14ac:dyDescent="0.35">
      <c r="A41" s="74"/>
      <c r="B41" s="75"/>
      <c r="C41" s="72"/>
      <c r="D41" s="70"/>
      <c r="F41" s="70"/>
      <c r="G41" s="72"/>
      <c r="H41" s="72"/>
      <c r="I41" s="70"/>
      <c r="K41" s="70"/>
      <c r="L41" s="72"/>
      <c r="M41" s="72"/>
      <c r="N41" s="70"/>
      <c r="P41" s="74" t="s">
        <v>513</v>
      </c>
      <c r="Q41" s="75" t="s">
        <v>36</v>
      </c>
      <c r="R41" s="72" t="s">
        <v>411</v>
      </c>
      <c r="S41" s="70">
        <v>1</v>
      </c>
      <c r="U41" s="74" t="s">
        <v>632</v>
      </c>
      <c r="V41" s="75" t="s">
        <v>37</v>
      </c>
      <c r="W41" s="72" t="s">
        <v>403</v>
      </c>
      <c r="X41" s="70">
        <v>1</v>
      </c>
      <c r="Z41" s="73" t="s">
        <v>643</v>
      </c>
      <c r="AA41" s="19" t="s">
        <v>38</v>
      </c>
      <c r="AB41" s="72" t="s">
        <v>403</v>
      </c>
      <c r="AC41" s="70">
        <v>0</v>
      </c>
      <c r="AE41" s="73"/>
      <c r="AF41" s="19"/>
      <c r="AG41" s="72"/>
      <c r="AH41" s="70"/>
      <c r="AJ41" s="73" t="s">
        <v>572</v>
      </c>
      <c r="AK41" s="19" t="s">
        <v>40</v>
      </c>
      <c r="AL41" s="72" t="s">
        <v>411</v>
      </c>
      <c r="AM41" s="70">
        <v>1</v>
      </c>
    </row>
    <row r="42" spans="1:39" x14ac:dyDescent="0.35">
      <c r="A42" s="74"/>
      <c r="B42" s="75"/>
      <c r="C42" s="72"/>
      <c r="D42" s="70"/>
      <c r="F42" s="74"/>
      <c r="G42" s="75"/>
      <c r="H42" s="76"/>
      <c r="I42" s="70"/>
      <c r="K42" s="74"/>
      <c r="L42" s="75"/>
      <c r="M42" s="76"/>
      <c r="N42" s="70"/>
      <c r="P42" s="74" t="s">
        <v>514</v>
      </c>
      <c r="Q42" s="75" t="s">
        <v>36</v>
      </c>
      <c r="R42" s="72" t="s">
        <v>441</v>
      </c>
      <c r="S42" s="70">
        <v>-1</v>
      </c>
      <c r="U42" s="74" t="s">
        <v>633</v>
      </c>
      <c r="V42" s="75" t="s">
        <v>37</v>
      </c>
      <c r="W42" s="72" t="s">
        <v>411</v>
      </c>
      <c r="X42" s="70">
        <v>1</v>
      </c>
      <c r="Z42" s="73" t="s">
        <v>644</v>
      </c>
      <c r="AA42" s="19" t="s">
        <v>38</v>
      </c>
      <c r="AB42" s="72" t="s">
        <v>411</v>
      </c>
      <c r="AC42" s="70">
        <v>1</v>
      </c>
      <c r="AE42" s="74"/>
      <c r="AF42" s="75"/>
      <c r="AG42" s="76"/>
      <c r="AH42" s="70"/>
      <c r="AJ42" s="73" t="s">
        <v>573</v>
      </c>
      <c r="AK42" s="19" t="s">
        <v>40</v>
      </c>
      <c r="AL42" s="72" t="s">
        <v>441</v>
      </c>
      <c r="AM42" s="70">
        <v>1</v>
      </c>
    </row>
    <row r="43" spans="1:39" x14ac:dyDescent="0.35">
      <c r="A43" s="74"/>
      <c r="B43" s="75"/>
      <c r="C43" s="75"/>
      <c r="D43" s="70"/>
      <c r="F43" s="74"/>
      <c r="G43" s="75"/>
      <c r="H43" s="75"/>
      <c r="I43" s="70"/>
      <c r="K43" s="74"/>
      <c r="L43" s="75"/>
      <c r="M43" s="75"/>
      <c r="N43" s="70"/>
      <c r="P43" s="74"/>
      <c r="Q43" s="75"/>
      <c r="R43" s="72"/>
      <c r="S43" s="70"/>
      <c r="U43" s="74" t="s">
        <v>634</v>
      </c>
      <c r="V43" s="75" t="s">
        <v>37</v>
      </c>
      <c r="W43" s="72" t="s">
        <v>441</v>
      </c>
      <c r="X43" s="70">
        <v>1</v>
      </c>
      <c r="Z43" s="74" t="s">
        <v>645</v>
      </c>
      <c r="AA43" s="75" t="s">
        <v>38</v>
      </c>
      <c r="AB43" s="75" t="s">
        <v>441</v>
      </c>
      <c r="AC43" s="70">
        <v>-1</v>
      </c>
      <c r="AE43" s="74"/>
      <c r="AF43" s="75"/>
      <c r="AG43" s="75"/>
      <c r="AH43" s="70"/>
      <c r="AJ43" s="73" t="s">
        <v>252</v>
      </c>
      <c r="AK43" s="19" t="s">
        <v>40</v>
      </c>
      <c r="AL43" s="72" t="s">
        <v>443</v>
      </c>
      <c r="AM43" s="70">
        <v>-1</v>
      </c>
    </row>
    <row r="44" spans="1:39" x14ac:dyDescent="0.35">
      <c r="A44" s="74"/>
      <c r="B44" s="75"/>
      <c r="C44" s="75"/>
      <c r="D44" s="70"/>
      <c r="F44" s="74"/>
      <c r="G44" s="75"/>
      <c r="H44" s="75"/>
      <c r="I44" s="70"/>
      <c r="K44" s="74"/>
      <c r="L44" s="75"/>
      <c r="M44" s="75"/>
      <c r="N44" s="70"/>
      <c r="P44" s="74"/>
      <c r="Q44" s="75"/>
      <c r="R44" s="75"/>
      <c r="S44" s="70"/>
      <c r="U44" s="74" t="s">
        <v>635</v>
      </c>
      <c r="V44" s="75" t="s">
        <v>37</v>
      </c>
      <c r="W44" s="75" t="s">
        <v>443</v>
      </c>
      <c r="X44" s="70">
        <v>-1</v>
      </c>
      <c r="Z44" s="74"/>
      <c r="AA44" s="75"/>
      <c r="AB44" s="75"/>
      <c r="AC44" s="70"/>
      <c r="AE44" s="74"/>
      <c r="AF44" s="75"/>
      <c r="AG44" s="75"/>
      <c r="AH44" s="70"/>
      <c r="AJ44" s="73"/>
      <c r="AK44" s="19"/>
      <c r="AL44" s="72"/>
      <c r="AM44" s="70"/>
    </row>
    <row r="45" spans="1:39" x14ac:dyDescent="0.35">
      <c r="A45" s="74"/>
      <c r="B45" s="75"/>
      <c r="C45" s="75"/>
      <c r="D45" s="70"/>
      <c r="F45" s="74"/>
      <c r="G45" s="75"/>
      <c r="H45" s="75"/>
      <c r="I45" s="70"/>
      <c r="K45" s="74"/>
      <c r="L45" s="75"/>
      <c r="M45" s="75"/>
      <c r="N45" s="70"/>
      <c r="P45" s="74"/>
      <c r="Q45" s="75"/>
      <c r="R45" s="75"/>
      <c r="S45" s="70"/>
      <c r="U45" s="74" t="s">
        <v>216</v>
      </c>
      <c r="V45" s="75" t="s">
        <v>37</v>
      </c>
      <c r="W45" s="75"/>
      <c r="X45" s="70"/>
      <c r="Z45" s="74"/>
      <c r="AA45" s="75"/>
      <c r="AB45" s="75"/>
      <c r="AC45" s="70"/>
      <c r="AE45" s="74"/>
      <c r="AF45" s="75"/>
      <c r="AG45" s="75"/>
      <c r="AH45" s="70"/>
      <c r="AJ45" s="74"/>
      <c r="AK45" s="75"/>
      <c r="AL45" s="75"/>
      <c r="AM45" s="70"/>
    </row>
    <row r="46" spans="1:39" ht="1" customHeight="1" x14ac:dyDescent="0.35"/>
    <row r="47" spans="1:39" x14ac:dyDescent="0.35">
      <c r="A47" s="230" t="s">
        <v>41</v>
      </c>
      <c r="B47" s="230"/>
      <c r="C47" s="230"/>
      <c r="D47" s="230"/>
      <c r="F47" s="230" t="s">
        <v>42</v>
      </c>
      <c r="G47" s="230"/>
      <c r="H47" s="230"/>
      <c r="I47" s="230"/>
      <c r="K47" s="230" t="s">
        <v>43</v>
      </c>
      <c r="L47" s="230"/>
      <c r="M47" s="230"/>
      <c r="N47" s="230"/>
      <c r="P47" s="230" t="s">
        <v>44</v>
      </c>
      <c r="Q47" s="230"/>
      <c r="R47" s="230"/>
      <c r="S47" s="230"/>
      <c r="U47" s="230" t="s">
        <v>45</v>
      </c>
      <c r="V47" s="230"/>
      <c r="W47" s="230"/>
      <c r="X47" s="230"/>
      <c r="Z47" s="230" t="s">
        <v>46</v>
      </c>
      <c r="AA47" s="230"/>
      <c r="AB47" s="230"/>
      <c r="AC47" s="230"/>
      <c r="AE47" s="230" t="s">
        <v>47</v>
      </c>
      <c r="AF47" s="230"/>
      <c r="AG47" s="230"/>
      <c r="AH47" s="230"/>
      <c r="AJ47" s="230" t="s">
        <v>48</v>
      </c>
      <c r="AK47" s="230"/>
      <c r="AL47" s="230"/>
      <c r="AM47" s="230"/>
    </row>
    <row r="48" spans="1:39" x14ac:dyDescent="0.35">
      <c r="A48" s="71" t="s">
        <v>107</v>
      </c>
      <c r="B48" s="71" t="s">
        <v>58</v>
      </c>
      <c r="C48" s="71" t="s">
        <v>392</v>
      </c>
      <c r="D48" s="71" t="s">
        <v>393</v>
      </c>
      <c r="F48" s="71" t="s">
        <v>107</v>
      </c>
      <c r="G48" s="71" t="s">
        <v>58</v>
      </c>
      <c r="H48" s="71" t="s">
        <v>392</v>
      </c>
      <c r="I48" s="71" t="s">
        <v>393</v>
      </c>
      <c r="K48" s="71" t="s">
        <v>107</v>
      </c>
      <c r="L48" s="71" t="s">
        <v>58</v>
      </c>
      <c r="M48" s="71" t="s">
        <v>392</v>
      </c>
      <c r="N48" s="71" t="s">
        <v>393</v>
      </c>
      <c r="P48" s="71" t="s">
        <v>107</v>
      </c>
      <c r="Q48" s="71" t="s">
        <v>58</v>
      </c>
      <c r="R48" s="71" t="s">
        <v>392</v>
      </c>
      <c r="S48" s="71" t="s">
        <v>393</v>
      </c>
      <c r="U48" s="71" t="s">
        <v>107</v>
      </c>
      <c r="V48" s="71" t="s">
        <v>58</v>
      </c>
      <c r="W48" s="71" t="s">
        <v>392</v>
      </c>
      <c r="X48" s="71" t="s">
        <v>393</v>
      </c>
      <c r="Z48" s="71" t="s">
        <v>107</v>
      </c>
      <c r="AA48" s="71" t="s">
        <v>58</v>
      </c>
      <c r="AB48" s="71" t="s">
        <v>392</v>
      </c>
      <c r="AC48" s="71" t="s">
        <v>393</v>
      </c>
      <c r="AE48" s="71" t="s">
        <v>107</v>
      </c>
      <c r="AF48" s="71" t="s">
        <v>58</v>
      </c>
      <c r="AG48" s="71" t="s">
        <v>392</v>
      </c>
      <c r="AH48" s="71" t="s">
        <v>393</v>
      </c>
      <c r="AJ48" s="71" t="s">
        <v>107</v>
      </c>
      <c r="AK48" s="71" t="s">
        <v>58</v>
      </c>
      <c r="AL48" s="71" t="s">
        <v>392</v>
      </c>
      <c r="AM48" s="71" t="s">
        <v>393</v>
      </c>
    </row>
    <row r="49" spans="1:39" x14ac:dyDescent="0.35">
      <c r="A49" s="73" t="s">
        <v>255</v>
      </c>
      <c r="B49" s="19" t="s">
        <v>41</v>
      </c>
      <c r="C49" s="72" t="s">
        <v>399</v>
      </c>
      <c r="D49" s="70">
        <v>1</v>
      </c>
      <c r="F49" s="73" t="s">
        <v>265</v>
      </c>
      <c r="G49" s="19" t="s">
        <v>42</v>
      </c>
      <c r="H49" s="72" t="s">
        <v>399</v>
      </c>
      <c r="I49" s="70">
        <v>1</v>
      </c>
      <c r="K49" s="74" t="s">
        <v>275</v>
      </c>
      <c r="L49" s="75" t="s">
        <v>43</v>
      </c>
      <c r="M49" s="72" t="s">
        <v>399</v>
      </c>
      <c r="N49" s="70">
        <v>1</v>
      </c>
      <c r="P49" s="74" t="s">
        <v>284</v>
      </c>
      <c r="Q49" s="75" t="s">
        <v>44</v>
      </c>
      <c r="R49" s="72" t="s">
        <v>399</v>
      </c>
      <c r="S49" s="70">
        <v>1</v>
      </c>
      <c r="U49" s="74" t="s">
        <v>293</v>
      </c>
      <c r="V49" s="75" t="s">
        <v>45</v>
      </c>
      <c r="W49" s="72" t="s">
        <v>399</v>
      </c>
      <c r="X49" s="70">
        <v>1</v>
      </c>
      <c r="Z49" s="74" t="s">
        <v>302</v>
      </c>
      <c r="AA49" s="75" t="s">
        <v>46</v>
      </c>
      <c r="AB49" s="72" t="s">
        <v>399</v>
      </c>
      <c r="AC49" s="70">
        <v>1</v>
      </c>
      <c r="AE49" s="73" t="s">
        <v>313</v>
      </c>
      <c r="AF49" s="19" t="s">
        <v>47</v>
      </c>
      <c r="AG49" s="72" t="s">
        <v>399</v>
      </c>
      <c r="AH49" s="70">
        <v>1</v>
      </c>
      <c r="AJ49" s="73" t="s">
        <v>321</v>
      </c>
      <c r="AK49" s="19" t="s">
        <v>48</v>
      </c>
      <c r="AL49" s="72" t="s">
        <v>399</v>
      </c>
      <c r="AM49" s="70">
        <v>1</v>
      </c>
    </row>
    <row r="50" spans="1:39" x14ac:dyDescent="0.35">
      <c r="A50" s="73" t="s">
        <v>256</v>
      </c>
      <c r="B50" s="19" t="s">
        <v>41</v>
      </c>
      <c r="C50" s="72" t="s">
        <v>405</v>
      </c>
      <c r="D50" s="70">
        <v>1</v>
      </c>
      <c r="F50" s="74" t="s">
        <v>547</v>
      </c>
      <c r="G50" s="75" t="s">
        <v>42</v>
      </c>
      <c r="H50" s="72" t="s">
        <v>405</v>
      </c>
      <c r="I50" s="70">
        <v>1</v>
      </c>
      <c r="K50" s="74" t="s">
        <v>172</v>
      </c>
      <c r="L50" s="75" t="s">
        <v>43</v>
      </c>
      <c r="M50" s="72" t="s">
        <v>405</v>
      </c>
      <c r="N50" s="70">
        <v>0</v>
      </c>
      <c r="P50" s="74" t="s">
        <v>406</v>
      </c>
      <c r="Q50" s="75" t="s">
        <v>44</v>
      </c>
      <c r="R50" s="81" t="s">
        <v>405</v>
      </c>
      <c r="S50" s="70">
        <v>1</v>
      </c>
      <c r="U50" s="74" t="s">
        <v>517</v>
      </c>
      <c r="V50" s="75" t="s">
        <v>45</v>
      </c>
      <c r="W50" s="72" t="s">
        <v>405</v>
      </c>
      <c r="X50" s="70">
        <v>1</v>
      </c>
      <c r="Z50" s="74" t="s">
        <v>303</v>
      </c>
      <c r="AA50" s="75" t="s">
        <v>46</v>
      </c>
      <c r="AB50" s="72" t="s">
        <v>405</v>
      </c>
      <c r="AC50" s="70">
        <v>1</v>
      </c>
      <c r="AE50" s="73" t="s">
        <v>312</v>
      </c>
      <c r="AF50" s="19" t="s">
        <v>47</v>
      </c>
      <c r="AG50" s="72" t="s">
        <v>405</v>
      </c>
      <c r="AH50" s="70">
        <v>1</v>
      </c>
      <c r="AJ50" s="73" t="s">
        <v>323</v>
      </c>
      <c r="AK50" s="19" t="s">
        <v>48</v>
      </c>
      <c r="AL50" s="72" t="s">
        <v>405</v>
      </c>
      <c r="AM50" s="70">
        <v>1</v>
      </c>
    </row>
    <row r="51" spans="1:39" x14ac:dyDescent="0.35">
      <c r="A51" s="73" t="s">
        <v>258</v>
      </c>
      <c r="B51" s="19" t="s">
        <v>41</v>
      </c>
      <c r="C51" s="19" t="s">
        <v>395</v>
      </c>
      <c r="D51" s="70">
        <v>1</v>
      </c>
      <c r="F51" s="73" t="s">
        <v>548</v>
      </c>
      <c r="G51" s="19" t="s">
        <v>42</v>
      </c>
      <c r="H51" s="19" t="s">
        <v>425</v>
      </c>
      <c r="I51" s="70">
        <v>1</v>
      </c>
      <c r="K51" s="73" t="s">
        <v>565</v>
      </c>
      <c r="L51" s="19" t="s">
        <v>43</v>
      </c>
      <c r="M51" s="19" t="s">
        <v>425</v>
      </c>
      <c r="N51" s="70">
        <v>-1</v>
      </c>
      <c r="P51" s="74" t="s">
        <v>433</v>
      </c>
      <c r="Q51" s="75" t="s">
        <v>44</v>
      </c>
      <c r="R51" s="72" t="s">
        <v>425</v>
      </c>
      <c r="S51" s="70">
        <v>1</v>
      </c>
      <c r="U51" s="74" t="s">
        <v>518</v>
      </c>
      <c r="V51" s="75" t="s">
        <v>45</v>
      </c>
      <c r="W51" s="72" t="s">
        <v>425</v>
      </c>
      <c r="X51" s="70">
        <v>1</v>
      </c>
      <c r="Z51" s="74" t="s">
        <v>448</v>
      </c>
      <c r="AA51" s="75" t="s">
        <v>46</v>
      </c>
      <c r="AB51" s="72" t="s">
        <v>425</v>
      </c>
      <c r="AC51" s="70">
        <v>1</v>
      </c>
      <c r="AE51" s="73" t="s">
        <v>617</v>
      </c>
      <c r="AF51" s="19" t="s">
        <v>47</v>
      </c>
      <c r="AG51" s="72" t="s">
        <v>425</v>
      </c>
      <c r="AH51" s="70">
        <v>1</v>
      </c>
      <c r="AJ51" s="73" t="s">
        <v>322</v>
      </c>
      <c r="AK51" s="19" t="s">
        <v>48</v>
      </c>
      <c r="AL51" s="72" t="s">
        <v>425</v>
      </c>
      <c r="AM51" s="70">
        <v>1</v>
      </c>
    </row>
    <row r="52" spans="1:39" x14ac:dyDescent="0.35">
      <c r="A52" s="73" t="s">
        <v>257</v>
      </c>
      <c r="B52" s="19" t="s">
        <v>41</v>
      </c>
      <c r="C52" s="19" t="s">
        <v>394</v>
      </c>
      <c r="D52" s="70">
        <v>1</v>
      </c>
      <c r="F52" s="73" t="s">
        <v>266</v>
      </c>
      <c r="G52" s="19" t="s">
        <v>42</v>
      </c>
      <c r="H52" s="19" t="s">
        <v>395</v>
      </c>
      <c r="I52" s="70">
        <v>1</v>
      </c>
      <c r="K52" s="73" t="s">
        <v>276</v>
      </c>
      <c r="L52" s="19" t="s">
        <v>43</v>
      </c>
      <c r="M52" s="19" t="s">
        <v>395</v>
      </c>
      <c r="N52" s="70">
        <v>1</v>
      </c>
      <c r="P52" s="73" t="s">
        <v>286</v>
      </c>
      <c r="Q52" s="19" t="s">
        <v>44</v>
      </c>
      <c r="R52" s="19" t="s">
        <v>395</v>
      </c>
      <c r="S52" s="70">
        <v>0</v>
      </c>
      <c r="U52" s="73" t="s">
        <v>294</v>
      </c>
      <c r="V52" s="19" t="s">
        <v>45</v>
      </c>
      <c r="W52" s="19" t="s">
        <v>395</v>
      </c>
      <c r="X52" s="70">
        <v>1</v>
      </c>
      <c r="Z52" s="73" t="s">
        <v>305</v>
      </c>
      <c r="AA52" s="19" t="s">
        <v>46</v>
      </c>
      <c r="AB52" s="19" t="s">
        <v>395</v>
      </c>
      <c r="AC52" s="70">
        <v>1</v>
      </c>
      <c r="AE52" s="73" t="s">
        <v>314</v>
      </c>
      <c r="AF52" s="19" t="s">
        <v>47</v>
      </c>
      <c r="AG52" s="19" t="s">
        <v>395</v>
      </c>
      <c r="AH52" s="70">
        <v>1</v>
      </c>
      <c r="AJ52" s="73" t="s">
        <v>324</v>
      </c>
      <c r="AK52" s="19" t="s">
        <v>48</v>
      </c>
      <c r="AL52" s="19" t="s">
        <v>395</v>
      </c>
      <c r="AM52" s="70">
        <v>1</v>
      </c>
    </row>
    <row r="53" spans="1:39" x14ac:dyDescent="0.35">
      <c r="A53" s="73" t="s">
        <v>561</v>
      </c>
      <c r="B53" s="19" t="s">
        <v>41</v>
      </c>
      <c r="C53" s="19" t="s">
        <v>396</v>
      </c>
      <c r="D53" s="70">
        <v>1</v>
      </c>
      <c r="F53" s="73" t="s">
        <v>267</v>
      </c>
      <c r="G53" s="19" t="s">
        <v>42</v>
      </c>
      <c r="H53" s="19" t="s">
        <v>394</v>
      </c>
      <c r="I53" s="70">
        <v>1</v>
      </c>
      <c r="K53" s="73" t="s">
        <v>277</v>
      </c>
      <c r="L53" s="19" t="s">
        <v>43</v>
      </c>
      <c r="M53" s="19" t="s">
        <v>394</v>
      </c>
      <c r="N53" s="70">
        <v>1</v>
      </c>
      <c r="P53" s="73" t="s">
        <v>288</v>
      </c>
      <c r="Q53" s="19" t="s">
        <v>44</v>
      </c>
      <c r="R53" s="19" t="s">
        <v>394</v>
      </c>
      <c r="S53" s="70">
        <v>0</v>
      </c>
      <c r="U53" s="73" t="s">
        <v>295</v>
      </c>
      <c r="V53" s="19" t="s">
        <v>45</v>
      </c>
      <c r="W53" s="19" t="s">
        <v>394</v>
      </c>
      <c r="X53" s="70">
        <v>1</v>
      </c>
      <c r="Z53" s="73" t="s">
        <v>304</v>
      </c>
      <c r="AA53" s="19" t="s">
        <v>46</v>
      </c>
      <c r="AB53" s="19" t="s">
        <v>394</v>
      </c>
      <c r="AC53" s="70">
        <v>0</v>
      </c>
      <c r="AE53" s="73" t="s">
        <v>316</v>
      </c>
      <c r="AF53" s="19" t="s">
        <v>47</v>
      </c>
      <c r="AG53" s="19" t="s">
        <v>394</v>
      </c>
      <c r="AH53" s="70">
        <v>1</v>
      </c>
      <c r="AJ53" s="73" t="s">
        <v>326</v>
      </c>
      <c r="AK53" s="19" t="s">
        <v>48</v>
      </c>
      <c r="AL53" s="19" t="s">
        <v>394</v>
      </c>
      <c r="AM53" s="70">
        <v>1</v>
      </c>
    </row>
    <row r="54" spans="1:39" x14ac:dyDescent="0.35">
      <c r="A54" s="73" t="s">
        <v>260</v>
      </c>
      <c r="B54" s="19" t="s">
        <v>41</v>
      </c>
      <c r="C54" s="19" t="s">
        <v>397</v>
      </c>
      <c r="D54" s="70">
        <v>1</v>
      </c>
      <c r="F54" s="73" t="s">
        <v>268</v>
      </c>
      <c r="G54" s="19" t="s">
        <v>42</v>
      </c>
      <c r="H54" s="19" t="s">
        <v>396</v>
      </c>
      <c r="I54" s="70">
        <v>1</v>
      </c>
      <c r="K54" s="73" t="s">
        <v>566</v>
      </c>
      <c r="L54" s="19" t="s">
        <v>43</v>
      </c>
      <c r="M54" s="19" t="s">
        <v>396</v>
      </c>
      <c r="N54" s="70">
        <v>1</v>
      </c>
      <c r="P54" s="73" t="s">
        <v>285</v>
      </c>
      <c r="Q54" s="19" t="s">
        <v>44</v>
      </c>
      <c r="R54" s="19" t="s">
        <v>396</v>
      </c>
      <c r="S54" s="70">
        <v>1</v>
      </c>
      <c r="U54" s="73" t="s">
        <v>296</v>
      </c>
      <c r="V54" s="19" t="s">
        <v>45</v>
      </c>
      <c r="W54" s="19" t="s">
        <v>396</v>
      </c>
      <c r="X54" s="70">
        <v>1</v>
      </c>
      <c r="Z54" s="73" t="s">
        <v>306</v>
      </c>
      <c r="AA54" s="19" t="s">
        <v>46</v>
      </c>
      <c r="AB54" s="19" t="s">
        <v>396</v>
      </c>
      <c r="AC54" s="70">
        <v>1</v>
      </c>
      <c r="AE54" s="73" t="s">
        <v>315</v>
      </c>
      <c r="AF54" s="19" t="s">
        <v>47</v>
      </c>
      <c r="AG54" s="19" t="s">
        <v>396</v>
      </c>
      <c r="AH54" s="70">
        <v>1</v>
      </c>
      <c r="AJ54" s="73" t="s">
        <v>325</v>
      </c>
      <c r="AK54" s="19" t="s">
        <v>48</v>
      </c>
      <c r="AL54" s="19" t="s">
        <v>396</v>
      </c>
      <c r="AM54" s="70">
        <v>1</v>
      </c>
    </row>
    <row r="55" spans="1:39" x14ac:dyDescent="0.35">
      <c r="A55" s="73" t="s">
        <v>259</v>
      </c>
      <c r="B55" s="19" t="s">
        <v>41</v>
      </c>
      <c r="C55" s="19" t="s">
        <v>398</v>
      </c>
      <c r="D55" s="70">
        <v>1</v>
      </c>
      <c r="F55" s="73" t="s">
        <v>269</v>
      </c>
      <c r="G55" s="19" t="s">
        <v>42</v>
      </c>
      <c r="H55" s="19" t="s">
        <v>397</v>
      </c>
      <c r="I55" s="70">
        <v>1</v>
      </c>
      <c r="K55" s="73" t="s">
        <v>567</v>
      </c>
      <c r="L55" s="19" t="s">
        <v>43</v>
      </c>
      <c r="M55" s="19" t="s">
        <v>407</v>
      </c>
      <c r="N55" s="70">
        <v>1</v>
      </c>
      <c r="P55" s="73" t="s">
        <v>287</v>
      </c>
      <c r="Q55" s="19" t="s">
        <v>44</v>
      </c>
      <c r="R55" s="19" t="s">
        <v>407</v>
      </c>
      <c r="S55" s="70">
        <v>-1</v>
      </c>
      <c r="U55" s="73" t="s">
        <v>519</v>
      </c>
      <c r="V55" s="19" t="s">
        <v>45</v>
      </c>
      <c r="W55" s="19" t="s">
        <v>407</v>
      </c>
      <c r="X55" s="70">
        <v>0</v>
      </c>
      <c r="Z55" s="73" t="s">
        <v>449</v>
      </c>
      <c r="AA55" s="19" t="s">
        <v>46</v>
      </c>
      <c r="AB55" s="19" t="s">
        <v>407</v>
      </c>
      <c r="AC55" s="70">
        <v>-1</v>
      </c>
      <c r="AE55" s="73" t="s">
        <v>616</v>
      </c>
      <c r="AF55" s="19" t="s">
        <v>47</v>
      </c>
      <c r="AG55" s="19" t="s">
        <v>407</v>
      </c>
      <c r="AH55" s="70">
        <v>1</v>
      </c>
      <c r="AJ55" s="73" t="s">
        <v>438</v>
      </c>
      <c r="AK55" s="19" t="s">
        <v>48</v>
      </c>
      <c r="AL55" s="19" t="s">
        <v>407</v>
      </c>
      <c r="AM55" s="70">
        <v>-1</v>
      </c>
    </row>
    <row r="56" spans="1:39" x14ac:dyDescent="0.35">
      <c r="A56" s="73" t="s">
        <v>560</v>
      </c>
      <c r="B56" s="19" t="s">
        <v>41</v>
      </c>
      <c r="C56" s="72" t="s">
        <v>430</v>
      </c>
      <c r="D56" s="70">
        <v>1</v>
      </c>
      <c r="F56" s="74" t="s">
        <v>270</v>
      </c>
      <c r="G56" s="75" t="s">
        <v>42</v>
      </c>
      <c r="H56" s="72" t="s">
        <v>398</v>
      </c>
      <c r="I56" s="70">
        <v>1</v>
      </c>
      <c r="K56" s="74" t="s">
        <v>278</v>
      </c>
      <c r="L56" s="75" t="s">
        <v>43</v>
      </c>
      <c r="M56" s="72" t="s">
        <v>397</v>
      </c>
      <c r="N56" s="70">
        <v>1</v>
      </c>
      <c r="P56" s="73" t="s">
        <v>289</v>
      </c>
      <c r="Q56" s="19" t="s">
        <v>44</v>
      </c>
      <c r="R56" s="19" t="s">
        <v>397</v>
      </c>
      <c r="S56" s="70">
        <v>1</v>
      </c>
      <c r="U56" s="73" t="s">
        <v>297</v>
      </c>
      <c r="V56" s="19" t="s">
        <v>45</v>
      </c>
      <c r="W56" s="19" t="s">
        <v>397</v>
      </c>
      <c r="X56" s="70">
        <v>1</v>
      </c>
      <c r="Z56" s="73" t="s">
        <v>307</v>
      </c>
      <c r="AA56" s="19" t="s">
        <v>46</v>
      </c>
      <c r="AB56" s="19" t="s">
        <v>397</v>
      </c>
      <c r="AC56" s="70">
        <v>1</v>
      </c>
      <c r="AE56" s="73" t="s">
        <v>317</v>
      </c>
      <c r="AF56" s="19" t="s">
        <v>47</v>
      </c>
      <c r="AG56" s="19" t="s">
        <v>397</v>
      </c>
      <c r="AH56" s="70">
        <v>1</v>
      </c>
      <c r="AJ56" s="73" t="s">
        <v>126</v>
      </c>
      <c r="AK56" s="19" t="s">
        <v>48</v>
      </c>
      <c r="AL56" s="19" t="s">
        <v>397</v>
      </c>
      <c r="AM56" s="70">
        <v>1</v>
      </c>
    </row>
    <row r="57" spans="1:39" x14ac:dyDescent="0.35">
      <c r="A57" s="73" t="s">
        <v>564</v>
      </c>
      <c r="B57" s="19" t="s">
        <v>41</v>
      </c>
      <c r="C57" s="72" t="s">
        <v>435</v>
      </c>
      <c r="D57" s="70">
        <v>1</v>
      </c>
      <c r="F57" s="74" t="s">
        <v>551</v>
      </c>
      <c r="G57" s="75" t="s">
        <v>42</v>
      </c>
      <c r="H57" s="72" t="s">
        <v>430</v>
      </c>
      <c r="I57" s="70">
        <v>1</v>
      </c>
      <c r="K57" s="74" t="s">
        <v>279</v>
      </c>
      <c r="L57" s="75" t="s">
        <v>43</v>
      </c>
      <c r="M57" s="72" t="s">
        <v>398</v>
      </c>
      <c r="N57" s="70">
        <v>1</v>
      </c>
      <c r="P57" s="74" t="s">
        <v>120</v>
      </c>
      <c r="Q57" s="75" t="s">
        <v>44</v>
      </c>
      <c r="R57" s="72" t="s">
        <v>398</v>
      </c>
      <c r="S57" s="70">
        <v>1</v>
      </c>
      <c r="U57" s="74" t="s">
        <v>298</v>
      </c>
      <c r="V57" s="75" t="s">
        <v>45</v>
      </c>
      <c r="W57" s="72" t="s">
        <v>398</v>
      </c>
      <c r="X57" s="70">
        <v>1</v>
      </c>
      <c r="Z57" s="74" t="s">
        <v>308</v>
      </c>
      <c r="AA57" s="75" t="s">
        <v>46</v>
      </c>
      <c r="AB57" s="72" t="s">
        <v>398</v>
      </c>
      <c r="AC57" s="70">
        <v>1</v>
      </c>
      <c r="AE57" s="73" t="s">
        <v>622</v>
      </c>
      <c r="AF57" s="19" t="s">
        <v>47</v>
      </c>
      <c r="AG57" s="72" t="s">
        <v>398</v>
      </c>
      <c r="AH57" s="70">
        <v>1</v>
      </c>
      <c r="AJ57" s="73" t="s">
        <v>427</v>
      </c>
      <c r="AK57" s="19" t="s">
        <v>48</v>
      </c>
      <c r="AL57" s="72" t="s">
        <v>398</v>
      </c>
      <c r="AM57" s="70">
        <v>1</v>
      </c>
    </row>
    <row r="58" spans="1:39" x14ac:dyDescent="0.35">
      <c r="A58" s="73" t="s">
        <v>262</v>
      </c>
      <c r="B58" s="19" t="s">
        <v>41</v>
      </c>
      <c r="C58" s="72" t="s">
        <v>66</v>
      </c>
      <c r="D58" s="70">
        <v>1</v>
      </c>
      <c r="F58" s="74" t="s">
        <v>552</v>
      </c>
      <c r="G58" s="75" t="s">
        <v>42</v>
      </c>
      <c r="H58" s="72" t="s">
        <v>435</v>
      </c>
      <c r="I58" s="70">
        <v>1</v>
      </c>
      <c r="K58" s="74" t="s">
        <v>569</v>
      </c>
      <c r="L58" s="75" t="s">
        <v>43</v>
      </c>
      <c r="M58" s="72" t="s">
        <v>430</v>
      </c>
      <c r="N58" s="70">
        <v>1</v>
      </c>
      <c r="P58" s="74" t="s">
        <v>432</v>
      </c>
      <c r="Q58" s="75" t="s">
        <v>44</v>
      </c>
      <c r="R58" s="72" t="s">
        <v>430</v>
      </c>
      <c r="S58" s="70">
        <v>1</v>
      </c>
      <c r="U58" s="74" t="s">
        <v>523</v>
      </c>
      <c r="V58" s="75" t="s">
        <v>45</v>
      </c>
      <c r="W58" s="81" t="s">
        <v>430</v>
      </c>
      <c r="X58" s="70">
        <v>-1</v>
      </c>
      <c r="Z58" s="74" t="s">
        <v>309</v>
      </c>
      <c r="AA58" s="75" t="s">
        <v>46</v>
      </c>
      <c r="AB58" s="72" t="s">
        <v>66</v>
      </c>
      <c r="AC58" s="70">
        <v>0</v>
      </c>
      <c r="AE58" s="73" t="s">
        <v>290</v>
      </c>
      <c r="AF58" s="19" t="s">
        <v>47</v>
      </c>
      <c r="AG58" s="72" t="s">
        <v>430</v>
      </c>
      <c r="AH58" s="70">
        <v>-1</v>
      </c>
      <c r="AJ58" s="73" t="s">
        <v>444</v>
      </c>
      <c r="AK58" s="19" t="s">
        <v>48</v>
      </c>
      <c r="AL58" s="72" t="s">
        <v>430</v>
      </c>
      <c r="AM58" s="70">
        <v>1</v>
      </c>
    </row>
    <row r="59" spans="1:39" x14ac:dyDescent="0.35">
      <c r="A59" s="73" t="s">
        <v>264</v>
      </c>
      <c r="B59" s="19" t="s">
        <v>41</v>
      </c>
      <c r="C59" s="72" t="s">
        <v>67</v>
      </c>
      <c r="D59" s="70">
        <v>1</v>
      </c>
      <c r="F59" s="74" t="s">
        <v>272</v>
      </c>
      <c r="G59" s="75" t="s">
        <v>42</v>
      </c>
      <c r="H59" s="72" t="s">
        <v>66</v>
      </c>
      <c r="I59" s="70">
        <v>1</v>
      </c>
      <c r="K59" s="74" t="s">
        <v>281</v>
      </c>
      <c r="L59" s="75" t="s">
        <v>43</v>
      </c>
      <c r="M59" s="72" t="s">
        <v>66</v>
      </c>
      <c r="N59" s="70">
        <v>1</v>
      </c>
      <c r="P59" s="74" t="s">
        <v>434</v>
      </c>
      <c r="Q59" s="75" t="s">
        <v>44</v>
      </c>
      <c r="R59" s="72" t="s">
        <v>435</v>
      </c>
      <c r="S59" s="70">
        <v>-1</v>
      </c>
      <c r="U59" s="74" t="s">
        <v>299</v>
      </c>
      <c r="V59" s="75" t="s">
        <v>45</v>
      </c>
      <c r="W59" s="72" t="s">
        <v>66</v>
      </c>
      <c r="X59" s="70">
        <v>0</v>
      </c>
      <c r="Z59" s="73" t="s">
        <v>310</v>
      </c>
      <c r="AA59" s="19" t="s">
        <v>46</v>
      </c>
      <c r="AB59" s="72" t="s">
        <v>67</v>
      </c>
      <c r="AC59" s="70">
        <v>1</v>
      </c>
      <c r="AE59" s="73" t="s">
        <v>623</v>
      </c>
      <c r="AF59" s="19" t="s">
        <v>47</v>
      </c>
      <c r="AG59" s="72" t="s">
        <v>435</v>
      </c>
      <c r="AH59" s="70">
        <v>-1</v>
      </c>
      <c r="AJ59" s="73" t="s">
        <v>445</v>
      </c>
      <c r="AK59" s="19" t="s">
        <v>48</v>
      </c>
      <c r="AL59" s="72" t="s">
        <v>435</v>
      </c>
      <c r="AM59" s="70">
        <v>1</v>
      </c>
    </row>
    <row r="60" spans="1:39" x14ac:dyDescent="0.35">
      <c r="A60" s="73" t="s">
        <v>261</v>
      </c>
      <c r="B60" s="19" t="s">
        <v>41</v>
      </c>
      <c r="C60" s="72" t="s">
        <v>68</v>
      </c>
      <c r="D60" s="70">
        <v>1</v>
      </c>
      <c r="F60" s="74" t="s">
        <v>271</v>
      </c>
      <c r="G60" s="75" t="s">
        <v>42</v>
      </c>
      <c r="H60" s="72" t="s">
        <v>67</v>
      </c>
      <c r="I60" s="70">
        <v>1</v>
      </c>
      <c r="K60" s="74" t="s">
        <v>568</v>
      </c>
      <c r="L60" s="75" t="s">
        <v>43</v>
      </c>
      <c r="M60" s="72" t="s">
        <v>67</v>
      </c>
      <c r="N60" s="70">
        <v>1</v>
      </c>
      <c r="P60" s="74" t="s">
        <v>290</v>
      </c>
      <c r="Q60" s="75" t="s">
        <v>44</v>
      </c>
      <c r="R60" s="72" t="s">
        <v>66</v>
      </c>
      <c r="S60" s="70">
        <v>0</v>
      </c>
      <c r="U60" s="74" t="s">
        <v>300</v>
      </c>
      <c r="V60" s="75" t="s">
        <v>45</v>
      </c>
      <c r="W60" s="72" t="s">
        <v>67</v>
      </c>
      <c r="X60" s="70">
        <v>-1</v>
      </c>
      <c r="Z60" s="73" t="s">
        <v>311</v>
      </c>
      <c r="AA60" s="19" t="s">
        <v>46</v>
      </c>
      <c r="AB60" s="72" t="s">
        <v>68</v>
      </c>
      <c r="AC60" s="70">
        <v>1</v>
      </c>
      <c r="AE60" s="73" t="s">
        <v>319</v>
      </c>
      <c r="AF60" s="19" t="s">
        <v>47</v>
      </c>
      <c r="AG60" s="72" t="s">
        <v>66</v>
      </c>
      <c r="AH60" s="70">
        <v>1</v>
      </c>
      <c r="AJ60" s="73" t="s">
        <v>327</v>
      </c>
      <c r="AK60" s="19" t="s">
        <v>48</v>
      </c>
      <c r="AL60" s="72" t="s">
        <v>66</v>
      </c>
      <c r="AM60" s="70">
        <v>0</v>
      </c>
    </row>
    <row r="61" spans="1:39" x14ac:dyDescent="0.35">
      <c r="A61" s="73" t="s">
        <v>263</v>
      </c>
      <c r="B61" s="19" t="s">
        <v>41</v>
      </c>
      <c r="C61" s="72" t="s">
        <v>401</v>
      </c>
      <c r="D61" s="70">
        <v>1</v>
      </c>
      <c r="F61" s="74" t="s">
        <v>273</v>
      </c>
      <c r="G61" s="75" t="s">
        <v>42</v>
      </c>
      <c r="H61" s="72" t="s">
        <v>68</v>
      </c>
      <c r="I61" s="70">
        <v>1</v>
      </c>
      <c r="K61" s="74" t="s">
        <v>283</v>
      </c>
      <c r="L61" s="75" t="s">
        <v>43</v>
      </c>
      <c r="M61" s="72" t="s">
        <v>68</v>
      </c>
      <c r="N61" s="70">
        <v>1</v>
      </c>
      <c r="P61" s="74" t="s">
        <v>291</v>
      </c>
      <c r="Q61" s="75" t="s">
        <v>44</v>
      </c>
      <c r="R61" s="72" t="s">
        <v>67</v>
      </c>
      <c r="S61" s="70">
        <v>1</v>
      </c>
      <c r="U61" s="74" t="s">
        <v>136</v>
      </c>
      <c r="V61" s="75" t="s">
        <v>45</v>
      </c>
      <c r="W61" s="72" t="s">
        <v>68</v>
      </c>
      <c r="X61" s="70">
        <v>1</v>
      </c>
      <c r="Z61" s="73" t="s">
        <v>412</v>
      </c>
      <c r="AA61" s="19" t="s">
        <v>46</v>
      </c>
      <c r="AB61" s="72" t="s">
        <v>401</v>
      </c>
      <c r="AC61" s="70">
        <v>1</v>
      </c>
      <c r="AE61" s="73" t="s">
        <v>318</v>
      </c>
      <c r="AF61" s="19" t="s">
        <v>47</v>
      </c>
      <c r="AG61" s="72" t="s">
        <v>67</v>
      </c>
      <c r="AH61" s="70">
        <v>1</v>
      </c>
      <c r="AJ61" s="73" t="s">
        <v>328</v>
      </c>
      <c r="AK61" s="19" t="s">
        <v>48</v>
      </c>
      <c r="AL61" s="19" t="s">
        <v>67</v>
      </c>
      <c r="AM61" s="70">
        <v>1</v>
      </c>
    </row>
    <row r="62" spans="1:39" x14ac:dyDescent="0.35">
      <c r="A62" s="73" t="s">
        <v>562</v>
      </c>
      <c r="B62" s="19" t="s">
        <v>41</v>
      </c>
      <c r="C62" s="72" t="s">
        <v>403</v>
      </c>
      <c r="D62" s="70">
        <v>1</v>
      </c>
      <c r="F62" s="74" t="s">
        <v>274</v>
      </c>
      <c r="G62" s="75" t="s">
        <v>42</v>
      </c>
      <c r="H62" s="72" t="s">
        <v>401</v>
      </c>
      <c r="I62" s="70">
        <v>1</v>
      </c>
      <c r="K62" s="74" t="s">
        <v>282</v>
      </c>
      <c r="L62" s="75" t="s">
        <v>43</v>
      </c>
      <c r="M62" s="72" t="s">
        <v>401</v>
      </c>
      <c r="N62" s="70">
        <v>1</v>
      </c>
      <c r="P62" s="74" t="s">
        <v>408</v>
      </c>
      <c r="Q62" s="75" t="s">
        <v>44</v>
      </c>
      <c r="R62" s="72" t="s">
        <v>68</v>
      </c>
      <c r="S62" s="70">
        <v>1</v>
      </c>
      <c r="U62" s="74" t="s">
        <v>301</v>
      </c>
      <c r="V62" s="75" t="s">
        <v>45</v>
      </c>
      <c r="W62" s="72" t="s">
        <v>401</v>
      </c>
      <c r="X62" s="70">
        <v>0</v>
      </c>
      <c r="Z62" s="73" t="s">
        <v>266</v>
      </c>
      <c r="AA62" s="19" t="s">
        <v>46</v>
      </c>
      <c r="AB62" s="72" t="s">
        <v>403</v>
      </c>
      <c r="AC62" s="70">
        <v>0</v>
      </c>
      <c r="AE62" s="73" t="s">
        <v>320</v>
      </c>
      <c r="AF62" s="19" t="s">
        <v>47</v>
      </c>
      <c r="AG62" s="72" t="s">
        <v>68</v>
      </c>
      <c r="AH62" s="70">
        <v>1</v>
      </c>
      <c r="AJ62" s="73" t="s">
        <v>329</v>
      </c>
      <c r="AK62" s="19" t="s">
        <v>48</v>
      </c>
      <c r="AL62" s="19" t="s">
        <v>68</v>
      </c>
      <c r="AM62" s="70">
        <v>1</v>
      </c>
    </row>
    <row r="63" spans="1:39" x14ac:dyDescent="0.35">
      <c r="A63" s="73" t="s">
        <v>563</v>
      </c>
      <c r="B63" s="19" t="s">
        <v>41</v>
      </c>
      <c r="C63" s="72" t="s">
        <v>411</v>
      </c>
      <c r="D63" s="70">
        <v>1</v>
      </c>
      <c r="F63" s="74" t="s">
        <v>549</v>
      </c>
      <c r="G63" s="75" t="s">
        <v>42</v>
      </c>
      <c r="H63" s="72" t="s">
        <v>403</v>
      </c>
      <c r="I63" s="70">
        <v>1</v>
      </c>
      <c r="K63" s="73" t="s">
        <v>663</v>
      </c>
      <c r="L63" s="19" t="s">
        <v>43</v>
      </c>
      <c r="M63" s="19" t="s">
        <v>403</v>
      </c>
      <c r="N63" s="70">
        <v>1</v>
      </c>
      <c r="P63" s="73" t="s">
        <v>292</v>
      </c>
      <c r="Q63" s="19" t="s">
        <v>44</v>
      </c>
      <c r="R63" s="19" t="s">
        <v>401</v>
      </c>
      <c r="S63" s="70">
        <v>1</v>
      </c>
      <c r="U63" s="73" t="s">
        <v>520</v>
      </c>
      <c r="V63" s="19" t="s">
        <v>45</v>
      </c>
      <c r="W63" s="19" t="s">
        <v>403</v>
      </c>
      <c r="X63" s="70">
        <v>0</v>
      </c>
      <c r="Z63" s="73" t="s">
        <v>450</v>
      </c>
      <c r="AA63" s="19" t="s">
        <v>46</v>
      </c>
      <c r="AB63" s="19" t="s">
        <v>411</v>
      </c>
      <c r="AC63" s="70">
        <v>0</v>
      </c>
      <c r="AE63" s="73" t="s">
        <v>620</v>
      </c>
      <c r="AF63" s="19" t="s">
        <v>47</v>
      </c>
      <c r="AG63" s="19" t="s">
        <v>401</v>
      </c>
      <c r="AH63" s="70">
        <v>1</v>
      </c>
      <c r="AJ63" s="73" t="s">
        <v>426</v>
      </c>
      <c r="AK63" s="19" t="s">
        <v>48</v>
      </c>
      <c r="AL63" s="72" t="s">
        <v>401</v>
      </c>
      <c r="AM63" s="70">
        <v>1</v>
      </c>
    </row>
    <row r="64" spans="1:39" x14ac:dyDescent="0.35">
      <c r="A64" s="73"/>
      <c r="B64" s="19"/>
      <c r="C64" s="72"/>
      <c r="D64" s="70"/>
      <c r="F64" s="73" t="s">
        <v>550</v>
      </c>
      <c r="G64" s="19" t="s">
        <v>42</v>
      </c>
      <c r="H64" s="19" t="s">
        <v>411</v>
      </c>
      <c r="I64" s="70">
        <v>1</v>
      </c>
      <c r="K64" s="73" t="s">
        <v>664</v>
      </c>
      <c r="L64" s="19" t="s">
        <v>43</v>
      </c>
      <c r="M64" s="19" t="s">
        <v>411</v>
      </c>
      <c r="N64" s="70">
        <v>1</v>
      </c>
      <c r="P64" s="73" t="s">
        <v>409</v>
      </c>
      <c r="Q64" s="19" t="s">
        <v>44</v>
      </c>
      <c r="R64" s="19" t="s">
        <v>403</v>
      </c>
      <c r="S64" s="70">
        <v>0</v>
      </c>
      <c r="U64" s="73" t="s">
        <v>521</v>
      </c>
      <c r="V64" s="19" t="s">
        <v>45</v>
      </c>
      <c r="W64" s="19" t="s">
        <v>411</v>
      </c>
      <c r="X64" s="70">
        <v>1</v>
      </c>
      <c r="Z64" s="73" t="s">
        <v>413</v>
      </c>
      <c r="AA64" s="19" t="s">
        <v>46</v>
      </c>
      <c r="AB64" s="19" t="s">
        <v>441</v>
      </c>
      <c r="AC64" s="70">
        <v>-1</v>
      </c>
      <c r="AE64" s="73" t="s">
        <v>618</v>
      </c>
      <c r="AF64" s="19" t="s">
        <v>47</v>
      </c>
      <c r="AG64" s="19" t="s">
        <v>403</v>
      </c>
      <c r="AH64" s="70">
        <v>1</v>
      </c>
      <c r="AJ64" s="73" t="s">
        <v>428</v>
      </c>
      <c r="AK64" s="19" t="s">
        <v>48</v>
      </c>
      <c r="AL64" s="72" t="s">
        <v>403</v>
      </c>
      <c r="AM64" s="70">
        <v>1</v>
      </c>
    </row>
    <row r="65" spans="1:39" x14ac:dyDescent="0.35">
      <c r="A65" s="73"/>
      <c r="B65" s="19"/>
      <c r="C65" s="19"/>
      <c r="D65" s="70"/>
      <c r="F65" s="73"/>
      <c r="G65" s="19"/>
      <c r="H65" s="19"/>
      <c r="I65" s="70"/>
      <c r="K65" s="74"/>
      <c r="L65" s="75"/>
      <c r="M65" s="76"/>
      <c r="N65" s="70"/>
      <c r="P65" s="74" t="s">
        <v>431</v>
      </c>
      <c r="Q65" s="75" t="s">
        <v>44</v>
      </c>
      <c r="R65" s="75" t="s">
        <v>411</v>
      </c>
      <c r="S65" s="70">
        <v>1</v>
      </c>
      <c r="U65" s="74" t="s">
        <v>522</v>
      </c>
      <c r="V65" s="75" t="s">
        <v>45</v>
      </c>
      <c r="W65" s="75" t="s">
        <v>441</v>
      </c>
      <c r="X65" s="70">
        <v>-1</v>
      </c>
      <c r="Z65" s="73"/>
      <c r="AA65" s="19"/>
      <c r="AB65" s="72"/>
      <c r="AC65" s="70"/>
      <c r="AE65" s="73" t="s">
        <v>619</v>
      </c>
      <c r="AF65" s="19" t="s">
        <v>47</v>
      </c>
      <c r="AG65" s="72" t="s">
        <v>411</v>
      </c>
      <c r="AH65" s="70">
        <v>1</v>
      </c>
      <c r="AJ65" s="73" t="s">
        <v>439</v>
      </c>
      <c r="AK65" s="19" t="s">
        <v>48</v>
      </c>
      <c r="AL65" s="72" t="s">
        <v>411</v>
      </c>
      <c r="AM65" s="70">
        <v>1</v>
      </c>
    </row>
    <row r="66" spans="1:39" x14ac:dyDescent="0.35">
      <c r="A66" s="73"/>
      <c r="B66" s="19"/>
      <c r="C66" s="19"/>
      <c r="D66" s="70"/>
      <c r="F66" s="74"/>
      <c r="G66" s="75"/>
      <c r="H66" s="75"/>
      <c r="I66" s="70"/>
      <c r="K66" s="74"/>
      <c r="L66" s="75"/>
      <c r="M66" s="75"/>
      <c r="N66" s="70"/>
      <c r="P66" s="74"/>
      <c r="Q66" s="75"/>
      <c r="R66" s="75"/>
      <c r="S66" s="70"/>
      <c r="U66" s="74"/>
      <c r="V66" s="75"/>
      <c r="W66" s="75"/>
      <c r="X66" s="70"/>
      <c r="Z66" s="73"/>
      <c r="AA66" s="19"/>
      <c r="AB66" s="72"/>
      <c r="AC66" s="70"/>
      <c r="AE66" s="73" t="s">
        <v>621</v>
      </c>
      <c r="AF66" s="19" t="s">
        <v>47</v>
      </c>
      <c r="AG66" s="72" t="s">
        <v>441</v>
      </c>
      <c r="AH66" s="70">
        <v>-1</v>
      </c>
      <c r="AJ66" s="74" t="s">
        <v>440</v>
      </c>
      <c r="AK66" s="75" t="s">
        <v>48</v>
      </c>
      <c r="AL66" s="75" t="s">
        <v>441</v>
      </c>
      <c r="AM66" s="70">
        <v>-1</v>
      </c>
    </row>
    <row r="67" spans="1:39" x14ac:dyDescent="0.35">
      <c r="A67" s="74"/>
      <c r="B67" s="75"/>
      <c r="C67" s="75"/>
      <c r="D67" s="70"/>
      <c r="F67" s="74"/>
      <c r="G67" s="75"/>
      <c r="H67" s="75"/>
      <c r="I67" s="70"/>
      <c r="K67" s="74"/>
      <c r="L67" s="75"/>
      <c r="M67" s="75"/>
      <c r="N67" s="70"/>
      <c r="P67" s="74"/>
      <c r="Q67" s="75"/>
      <c r="R67" s="75"/>
      <c r="S67" s="70"/>
      <c r="U67" s="74"/>
      <c r="V67" s="75"/>
      <c r="W67" s="75"/>
      <c r="X67" s="70"/>
      <c r="Z67" s="74"/>
      <c r="AA67" s="19"/>
      <c r="AB67" s="75"/>
      <c r="AC67" s="70"/>
      <c r="AE67" s="74"/>
      <c r="AF67" s="75"/>
      <c r="AG67" s="75"/>
      <c r="AH67" s="70"/>
      <c r="AJ67" s="74" t="s">
        <v>442</v>
      </c>
      <c r="AK67" s="75" t="s">
        <v>48</v>
      </c>
      <c r="AL67" s="75" t="s">
        <v>443</v>
      </c>
      <c r="AM67" s="70">
        <v>-1</v>
      </c>
    </row>
    <row r="68" spans="1:39" x14ac:dyDescent="0.35">
      <c r="A68" s="74"/>
      <c r="B68" s="75"/>
      <c r="C68" s="75"/>
      <c r="D68" s="70"/>
      <c r="F68" s="74"/>
      <c r="G68" s="75"/>
      <c r="H68" s="75"/>
      <c r="I68" s="70"/>
      <c r="K68" s="74"/>
      <c r="L68" s="75"/>
      <c r="M68" s="75"/>
      <c r="N68" s="70"/>
      <c r="P68" s="74"/>
      <c r="Q68" s="75"/>
      <c r="R68" s="75"/>
      <c r="S68" s="70"/>
      <c r="U68" s="74"/>
      <c r="V68" s="75"/>
      <c r="W68" s="75"/>
      <c r="X68" s="70"/>
      <c r="Z68" s="74"/>
      <c r="AA68" s="19"/>
      <c r="AB68" s="75"/>
      <c r="AC68" s="70"/>
      <c r="AE68" s="74"/>
      <c r="AF68" s="75"/>
      <c r="AG68" s="75"/>
      <c r="AH68" s="70"/>
      <c r="AJ68" s="74"/>
      <c r="AK68" s="75"/>
      <c r="AL68" s="75"/>
      <c r="AM68" s="70"/>
    </row>
    <row r="69" spans="1:39" ht="1" customHeight="1" x14ac:dyDescent="0.35"/>
    <row r="70" spans="1:39" x14ac:dyDescent="0.35">
      <c r="A70" s="230" t="s">
        <v>49</v>
      </c>
      <c r="B70" s="230"/>
      <c r="C70" s="230"/>
      <c r="D70" s="230"/>
      <c r="F70" s="230" t="s">
        <v>50</v>
      </c>
      <c r="G70" s="230"/>
      <c r="H70" s="230"/>
      <c r="I70" s="230"/>
      <c r="K70" s="230" t="s">
        <v>51</v>
      </c>
      <c r="L70" s="230"/>
      <c r="M70" s="230"/>
      <c r="N70" s="230"/>
      <c r="P70" s="230" t="s">
        <v>52</v>
      </c>
      <c r="Q70" s="230"/>
      <c r="R70" s="230"/>
      <c r="S70" s="230"/>
      <c r="U70" s="230" t="s">
        <v>53</v>
      </c>
      <c r="V70" s="230"/>
      <c r="W70" s="230"/>
      <c r="X70" s="230"/>
      <c r="Z70" s="230" t="s">
        <v>54</v>
      </c>
      <c r="AA70" s="230"/>
      <c r="AB70" s="230"/>
      <c r="AC70" s="230"/>
      <c r="AE70" s="230" t="s">
        <v>55</v>
      </c>
      <c r="AF70" s="230"/>
      <c r="AG70" s="230"/>
      <c r="AH70" s="230"/>
      <c r="AJ70" s="230" t="s">
        <v>56</v>
      </c>
      <c r="AK70" s="230"/>
      <c r="AL70" s="230"/>
      <c r="AM70" s="230"/>
    </row>
    <row r="71" spans="1:39" x14ac:dyDescent="0.35">
      <c r="A71" s="71" t="s">
        <v>107</v>
      </c>
      <c r="B71" s="71" t="s">
        <v>58</v>
      </c>
      <c r="C71" s="71" t="s">
        <v>392</v>
      </c>
      <c r="D71" s="71" t="s">
        <v>393</v>
      </c>
      <c r="F71" s="71" t="s">
        <v>107</v>
      </c>
      <c r="G71" s="71" t="s">
        <v>58</v>
      </c>
      <c r="H71" s="71" t="s">
        <v>392</v>
      </c>
      <c r="I71" s="71" t="s">
        <v>393</v>
      </c>
      <c r="K71" s="71" t="s">
        <v>107</v>
      </c>
      <c r="L71" s="71" t="s">
        <v>58</v>
      </c>
      <c r="M71" s="71" t="s">
        <v>392</v>
      </c>
      <c r="N71" s="71" t="s">
        <v>393</v>
      </c>
      <c r="P71" s="71" t="s">
        <v>107</v>
      </c>
      <c r="Q71" s="71" t="s">
        <v>58</v>
      </c>
      <c r="R71" s="71" t="s">
        <v>392</v>
      </c>
      <c r="S71" s="71" t="s">
        <v>393</v>
      </c>
      <c r="U71" s="71" t="s">
        <v>107</v>
      </c>
      <c r="V71" s="71" t="s">
        <v>58</v>
      </c>
      <c r="W71" s="71" t="s">
        <v>392</v>
      </c>
      <c r="X71" s="71" t="s">
        <v>393</v>
      </c>
      <c r="Z71" s="71" t="s">
        <v>107</v>
      </c>
      <c r="AA71" s="71" t="s">
        <v>58</v>
      </c>
      <c r="AB71" s="71" t="s">
        <v>392</v>
      </c>
      <c r="AC71" s="71" t="s">
        <v>393</v>
      </c>
      <c r="AE71" s="71" t="s">
        <v>107</v>
      </c>
      <c r="AF71" s="71" t="s">
        <v>58</v>
      </c>
      <c r="AG71" s="71" t="s">
        <v>392</v>
      </c>
      <c r="AH71" s="71" t="s">
        <v>393</v>
      </c>
      <c r="AJ71" s="71" t="s">
        <v>107</v>
      </c>
      <c r="AK71" s="71" t="s">
        <v>58</v>
      </c>
      <c r="AL71" s="71" t="s">
        <v>392</v>
      </c>
      <c r="AM71" s="71" t="s">
        <v>393</v>
      </c>
    </row>
    <row r="72" spans="1:39" x14ac:dyDescent="0.35">
      <c r="A72" s="73" t="s">
        <v>330</v>
      </c>
      <c r="B72" s="19" t="s">
        <v>49</v>
      </c>
      <c r="C72" s="72" t="s">
        <v>399</v>
      </c>
      <c r="D72" s="70">
        <v>1</v>
      </c>
      <c r="F72" s="73" t="s">
        <v>336</v>
      </c>
      <c r="G72" s="19" t="s">
        <v>50</v>
      </c>
      <c r="H72" s="72" t="s">
        <v>399</v>
      </c>
      <c r="I72" s="70">
        <v>1</v>
      </c>
      <c r="K72" s="74" t="s">
        <v>342</v>
      </c>
      <c r="L72" s="75" t="s">
        <v>51</v>
      </c>
      <c r="M72" s="72" t="s">
        <v>399</v>
      </c>
      <c r="N72" s="70">
        <v>1</v>
      </c>
      <c r="P72" s="78" t="s">
        <v>350</v>
      </c>
      <c r="Q72" s="19" t="s">
        <v>52</v>
      </c>
      <c r="R72" s="79" t="s">
        <v>399</v>
      </c>
      <c r="S72" s="70">
        <v>1</v>
      </c>
      <c r="U72" s="78" t="s">
        <v>357</v>
      </c>
      <c r="V72" s="19" t="s">
        <v>53</v>
      </c>
      <c r="W72" s="79" t="s">
        <v>399</v>
      </c>
      <c r="X72" s="70">
        <v>1</v>
      </c>
      <c r="Z72" s="78" t="s">
        <v>367</v>
      </c>
      <c r="AA72" s="19" t="s">
        <v>54</v>
      </c>
      <c r="AB72" s="79" t="s">
        <v>399</v>
      </c>
      <c r="AC72" s="70">
        <v>1</v>
      </c>
      <c r="AE72" s="78" t="s">
        <v>376</v>
      </c>
      <c r="AF72" s="19" t="s">
        <v>55</v>
      </c>
      <c r="AG72" s="79" t="s">
        <v>399</v>
      </c>
      <c r="AH72" s="70">
        <v>1</v>
      </c>
      <c r="AJ72" s="78" t="s">
        <v>385</v>
      </c>
      <c r="AK72" s="19" t="s">
        <v>56</v>
      </c>
      <c r="AL72" s="79" t="s">
        <v>399</v>
      </c>
      <c r="AM72" s="70">
        <v>1</v>
      </c>
    </row>
    <row r="73" spans="1:39" x14ac:dyDescent="0.35">
      <c r="A73" s="73" t="s">
        <v>414</v>
      </c>
      <c r="B73" s="19" t="s">
        <v>49</v>
      </c>
      <c r="C73" s="72" t="s">
        <v>405</v>
      </c>
      <c r="D73" s="70">
        <v>0</v>
      </c>
      <c r="F73" s="73" t="s">
        <v>451</v>
      </c>
      <c r="G73" s="19" t="s">
        <v>50</v>
      </c>
      <c r="H73" s="72" t="s">
        <v>405</v>
      </c>
      <c r="I73" s="70">
        <v>0</v>
      </c>
      <c r="K73" s="78" t="s">
        <v>489</v>
      </c>
      <c r="L73" s="19" t="s">
        <v>51</v>
      </c>
      <c r="M73" s="82" t="s">
        <v>405</v>
      </c>
      <c r="N73" s="70">
        <v>1</v>
      </c>
      <c r="P73" s="78" t="s">
        <v>524</v>
      </c>
      <c r="Q73" s="19" t="s">
        <v>52</v>
      </c>
      <c r="R73" s="79" t="s">
        <v>405</v>
      </c>
      <c r="S73" s="70">
        <v>1</v>
      </c>
      <c r="U73" s="78" t="s">
        <v>538</v>
      </c>
      <c r="V73" s="19" t="s">
        <v>53</v>
      </c>
      <c r="W73" s="79" t="s">
        <v>405</v>
      </c>
      <c r="X73" s="70">
        <v>0</v>
      </c>
      <c r="Z73" s="78" t="s">
        <v>583</v>
      </c>
      <c r="AA73" s="19" t="s">
        <v>54</v>
      </c>
      <c r="AB73" s="82" t="s">
        <v>405</v>
      </c>
      <c r="AC73" s="70">
        <v>1</v>
      </c>
      <c r="AE73" s="78" t="s">
        <v>331</v>
      </c>
      <c r="AF73" s="19" t="s">
        <v>55</v>
      </c>
      <c r="AG73" s="82" t="s">
        <v>405</v>
      </c>
      <c r="AH73" s="70">
        <v>1</v>
      </c>
      <c r="AJ73" s="78" t="s">
        <v>460</v>
      </c>
      <c r="AK73" s="19" t="s">
        <v>56</v>
      </c>
      <c r="AL73" s="79" t="s">
        <v>405</v>
      </c>
      <c r="AM73" s="70">
        <v>0</v>
      </c>
    </row>
    <row r="74" spans="1:39" x14ac:dyDescent="0.35">
      <c r="A74" s="73" t="s">
        <v>332</v>
      </c>
      <c r="B74" s="19" t="s">
        <v>49</v>
      </c>
      <c r="C74" s="72" t="s">
        <v>395</v>
      </c>
      <c r="D74" s="70">
        <v>1</v>
      </c>
      <c r="F74" s="73" t="s">
        <v>452</v>
      </c>
      <c r="G74" s="19" t="s">
        <v>50</v>
      </c>
      <c r="H74" s="72" t="s">
        <v>425</v>
      </c>
      <c r="I74" s="70">
        <v>1</v>
      </c>
      <c r="K74" s="78" t="s">
        <v>490</v>
      </c>
      <c r="L74" s="19" t="s">
        <v>51</v>
      </c>
      <c r="M74" s="79" t="s">
        <v>425</v>
      </c>
      <c r="N74" s="70">
        <v>1</v>
      </c>
      <c r="P74" s="78" t="s">
        <v>525</v>
      </c>
      <c r="Q74" s="19" t="s">
        <v>52</v>
      </c>
      <c r="R74" s="79" t="s">
        <v>425</v>
      </c>
      <c r="S74" s="70">
        <v>1</v>
      </c>
      <c r="U74" s="78" t="s">
        <v>358</v>
      </c>
      <c r="V74" s="19" t="s">
        <v>53</v>
      </c>
      <c r="W74" s="79" t="s">
        <v>425</v>
      </c>
      <c r="X74" s="70">
        <v>-1</v>
      </c>
      <c r="Z74" s="78" t="s">
        <v>369</v>
      </c>
      <c r="AA74" s="19" t="s">
        <v>54</v>
      </c>
      <c r="AB74" s="79" t="s">
        <v>395</v>
      </c>
      <c r="AC74" s="70">
        <v>1</v>
      </c>
      <c r="AE74" s="78" t="s">
        <v>377</v>
      </c>
      <c r="AF74" s="19" t="s">
        <v>55</v>
      </c>
      <c r="AG74" s="79" t="s">
        <v>425</v>
      </c>
      <c r="AH74" s="70">
        <v>-1</v>
      </c>
      <c r="AJ74" s="78" t="s">
        <v>317</v>
      </c>
      <c r="AK74" s="19" t="s">
        <v>56</v>
      </c>
      <c r="AL74" s="79" t="s">
        <v>425</v>
      </c>
      <c r="AM74" s="70">
        <v>1</v>
      </c>
    </row>
    <row r="75" spans="1:39" x14ac:dyDescent="0.35">
      <c r="A75" s="73" t="s">
        <v>331</v>
      </c>
      <c r="B75" s="19" t="s">
        <v>49</v>
      </c>
      <c r="C75" s="72" t="s">
        <v>394</v>
      </c>
      <c r="D75" s="70">
        <v>1</v>
      </c>
      <c r="F75" s="73" t="s">
        <v>337</v>
      </c>
      <c r="G75" s="19" t="s">
        <v>50</v>
      </c>
      <c r="H75" s="72" t="s">
        <v>395</v>
      </c>
      <c r="I75" s="70">
        <v>1</v>
      </c>
      <c r="K75" s="78" t="s">
        <v>491</v>
      </c>
      <c r="L75" s="19" t="s">
        <v>51</v>
      </c>
      <c r="M75" s="79" t="s">
        <v>480</v>
      </c>
      <c r="N75" s="70">
        <v>-1</v>
      </c>
      <c r="P75" s="78" t="s">
        <v>351</v>
      </c>
      <c r="Q75" s="19" t="s">
        <v>52</v>
      </c>
      <c r="R75" s="79" t="s">
        <v>395</v>
      </c>
      <c r="S75" s="70">
        <v>1</v>
      </c>
      <c r="U75" s="78" t="s">
        <v>539</v>
      </c>
      <c r="V75" s="19" t="s">
        <v>53</v>
      </c>
      <c r="W75" s="79" t="s">
        <v>480</v>
      </c>
      <c r="X75" s="70">
        <v>-1</v>
      </c>
      <c r="Z75" s="78" t="s">
        <v>368</v>
      </c>
      <c r="AA75" s="19" t="s">
        <v>54</v>
      </c>
      <c r="AB75" s="79" t="s">
        <v>394</v>
      </c>
      <c r="AC75" s="70">
        <v>0</v>
      </c>
      <c r="AE75" s="78" t="s">
        <v>378</v>
      </c>
      <c r="AF75" s="19" t="s">
        <v>55</v>
      </c>
      <c r="AG75" s="79" t="s">
        <v>395</v>
      </c>
      <c r="AH75" s="70">
        <v>1</v>
      </c>
      <c r="AJ75" s="78" t="s">
        <v>387</v>
      </c>
      <c r="AK75" s="19" t="s">
        <v>56</v>
      </c>
      <c r="AL75" s="79" t="s">
        <v>395</v>
      </c>
      <c r="AM75" s="70">
        <v>1</v>
      </c>
    </row>
    <row r="76" spans="1:39" x14ac:dyDescent="0.35">
      <c r="A76" s="73" t="s">
        <v>333</v>
      </c>
      <c r="B76" s="19" t="s">
        <v>49</v>
      </c>
      <c r="C76" s="72" t="s">
        <v>396</v>
      </c>
      <c r="D76" s="70">
        <v>0</v>
      </c>
      <c r="F76" s="73" t="s">
        <v>338</v>
      </c>
      <c r="G76" s="19" t="s">
        <v>50</v>
      </c>
      <c r="H76" s="72" t="s">
        <v>394</v>
      </c>
      <c r="I76" s="70">
        <v>1</v>
      </c>
      <c r="K76" s="78" t="s">
        <v>344</v>
      </c>
      <c r="L76" s="19" t="s">
        <v>51</v>
      </c>
      <c r="M76" s="79" t="s">
        <v>395</v>
      </c>
      <c r="N76" s="70">
        <v>1</v>
      </c>
      <c r="P76" s="78" t="s">
        <v>352</v>
      </c>
      <c r="Q76" s="19" t="s">
        <v>52</v>
      </c>
      <c r="R76" s="79" t="s">
        <v>394</v>
      </c>
      <c r="S76" s="70">
        <v>1</v>
      </c>
      <c r="U76" s="78" t="s">
        <v>360</v>
      </c>
      <c r="V76" s="19" t="s">
        <v>53</v>
      </c>
      <c r="W76" s="79" t="s">
        <v>395</v>
      </c>
      <c r="X76" s="70">
        <v>1</v>
      </c>
      <c r="Z76" s="78" t="s">
        <v>370</v>
      </c>
      <c r="AA76" s="19" t="s">
        <v>54</v>
      </c>
      <c r="AB76" s="79" t="s">
        <v>396</v>
      </c>
      <c r="AC76" s="70">
        <v>1</v>
      </c>
      <c r="AE76" s="78" t="s">
        <v>589</v>
      </c>
      <c r="AF76" s="19" t="s">
        <v>55</v>
      </c>
      <c r="AG76" s="79" t="s">
        <v>394</v>
      </c>
      <c r="AH76" s="70">
        <v>1</v>
      </c>
      <c r="AJ76" s="78" t="s">
        <v>386</v>
      </c>
      <c r="AK76" s="19" t="s">
        <v>56</v>
      </c>
      <c r="AL76" s="79" t="s">
        <v>394</v>
      </c>
      <c r="AM76" s="70">
        <v>1</v>
      </c>
    </row>
    <row r="77" spans="1:39" x14ac:dyDescent="0.35">
      <c r="A77" s="73" t="s">
        <v>419</v>
      </c>
      <c r="B77" s="19" t="s">
        <v>49</v>
      </c>
      <c r="C77" s="72" t="s">
        <v>407</v>
      </c>
      <c r="D77" s="70">
        <v>1</v>
      </c>
      <c r="F77" s="73" t="s">
        <v>453</v>
      </c>
      <c r="G77" s="19" t="s">
        <v>50</v>
      </c>
      <c r="H77" s="72" t="s">
        <v>396</v>
      </c>
      <c r="I77" s="70">
        <v>1</v>
      </c>
      <c r="K77" s="78" t="s">
        <v>343</v>
      </c>
      <c r="L77" s="19" t="s">
        <v>51</v>
      </c>
      <c r="M77" s="79" t="s">
        <v>394</v>
      </c>
      <c r="N77" s="70">
        <v>1</v>
      </c>
      <c r="P77" s="78" t="s">
        <v>526</v>
      </c>
      <c r="Q77" s="19" t="s">
        <v>52</v>
      </c>
      <c r="R77" s="82" t="s">
        <v>396</v>
      </c>
      <c r="S77" s="70">
        <v>1</v>
      </c>
      <c r="U77" s="78" t="s">
        <v>359</v>
      </c>
      <c r="V77" s="19" t="s">
        <v>53</v>
      </c>
      <c r="W77" s="79" t="s">
        <v>394</v>
      </c>
      <c r="X77" s="70">
        <v>1</v>
      </c>
      <c r="Z77" s="78" t="s">
        <v>184</v>
      </c>
      <c r="AA77" s="19" t="s">
        <v>54</v>
      </c>
      <c r="AB77" s="79" t="s">
        <v>407</v>
      </c>
      <c r="AC77" s="70">
        <v>1</v>
      </c>
      <c r="AE77" s="78" t="s">
        <v>380</v>
      </c>
      <c r="AF77" s="19" t="s">
        <v>55</v>
      </c>
      <c r="AG77" s="79" t="s">
        <v>396</v>
      </c>
      <c r="AH77" s="70">
        <v>0</v>
      </c>
      <c r="AJ77" s="78" t="s">
        <v>461</v>
      </c>
      <c r="AK77" s="19" t="s">
        <v>56</v>
      </c>
      <c r="AL77" s="82" t="s">
        <v>396</v>
      </c>
      <c r="AM77" s="70">
        <v>1</v>
      </c>
    </row>
    <row r="78" spans="1:39" x14ac:dyDescent="0.35">
      <c r="A78" s="70" t="s">
        <v>334</v>
      </c>
      <c r="B78" s="72" t="s">
        <v>49</v>
      </c>
      <c r="C78" s="72" t="s">
        <v>397</v>
      </c>
      <c r="D78" s="70">
        <v>1</v>
      </c>
      <c r="F78" s="70" t="s">
        <v>339</v>
      </c>
      <c r="G78" s="72" t="s">
        <v>50</v>
      </c>
      <c r="H78" s="72" t="s">
        <v>397</v>
      </c>
      <c r="I78" s="70">
        <v>1</v>
      </c>
      <c r="K78" s="78" t="s">
        <v>345</v>
      </c>
      <c r="L78" s="19" t="s">
        <v>51</v>
      </c>
      <c r="M78" s="79" t="s">
        <v>396</v>
      </c>
      <c r="N78" s="70">
        <v>1</v>
      </c>
      <c r="P78" s="78" t="s">
        <v>527</v>
      </c>
      <c r="Q78" s="19" t="s">
        <v>52</v>
      </c>
      <c r="R78" s="79" t="s">
        <v>407</v>
      </c>
      <c r="S78" s="70">
        <v>-1</v>
      </c>
      <c r="U78" s="78" t="s">
        <v>361</v>
      </c>
      <c r="V78" s="19" t="s">
        <v>53</v>
      </c>
      <c r="W78" s="79" t="s">
        <v>396</v>
      </c>
      <c r="X78" s="70">
        <v>1</v>
      </c>
      <c r="Z78" s="78" t="s">
        <v>371</v>
      </c>
      <c r="AA78" s="19" t="s">
        <v>54</v>
      </c>
      <c r="AB78" s="79" t="s">
        <v>397</v>
      </c>
      <c r="AC78" s="70">
        <v>0</v>
      </c>
      <c r="AE78" s="78" t="s">
        <v>379</v>
      </c>
      <c r="AF78" s="19" t="s">
        <v>55</v>
      </c>
      <c r="AG78" s="79" t="s">
        <v>407</v>
      </c>
      <c r="AH78" s="70">
        <v>-1</v>
      </c>
      <c r="AJ78" s="80" t="s">
        <v>462</v>
      </c>
      <c r="AK78" s="75" t="s">
        <v>56</v>
      </c>
      <c r="AL78" s="79" t="s">
        <v>407</v>
      </c>
      <c r="AM78" s="70">
        <v>1</v>
      </c>
    </row>
    <row r="79" spans="1:39" x14ac:dyDescent="0.35">
      <c r="A79" s="70" t="s">
        <v>418</v>
      </c>
      <c r="B79" s="72" t="s">
        <v>49</v>
      </c>
      <c r="C79" s="72" t="s">
        <v>398</v>
      </c>
      <c r="D79" s="70">
        <v>1</v>
      </c>
      <c r="F79" s="70" t="s">
        <v>458</v>
      </c>
      <c r="G79" s="72" t="s">
        <v>50</v>
      </c>
      <c r="H79" s="72" t="s">
        <v>398</v>
      </c>
      <c r="I79" s="70">
        <v>1</v>
      </c>
      <c r="K79" s="78" t="s">
        <v>347</v>
      </c>
      <c r="L79" s="19" t="s">
        <v>51</v>
      </c>
      <c r="M79" s="79" t="s">
        <v>397</v>
      </c>
      <c r="N79" s="70">
        <v>1</v>
      </c>
      <c r="P79" s="78" t="s">
        <v>354</v>
      </c>
      <c r="Q79" s="19" t="s">
        <v>52</v>
      </c>
      <c r="R79" s="79" t="s">
        <v>397</v>
      </c>
      <c r="S79" s="70">
        <v>1</v>
      </c>
      <c r="U79" s="78" t="s">
        <v>362</v>
      </c>
      <c r="V79" s="19" t="s">
        <v>53</v>
      </c>
      <c r="W79" s="79" t="s">
        <v>407</v>
      </c>
      <c r="X79" s="70">
        <v>0</v>
      </c>
      <c r="Z79" s="78" t="s">
        <v>586</v>
      </c>
      <c r="AA79" s="19" t="s">
        <v>54</v>
      </c>
      <c r="AB79" s="79" t="s">
        <v>398</v>
      </c>
      <c r="AC79" s="70">
        <v>1</v>
      </c>
      <c r="AE79" s="78" t="s">
        <v>381</v>
      </c>
      <c r="AF79" s="19" t="s">
        <v>55</v>
      </c>
      <c r="AG79" s="79" t="s">
        <v>397</v>
      </c>
      <c r="AH79" s="70">
        <v>1</v>
      </c>
      <c r="AJ79" s="70" t="s">
        <v>388</v>
      </c>
      <c r="AK79" s="72" t="s">
        <v>56</v>
      </c>
      <c r="AL79" s="72" t="s">
        <v>397</v>
      </c>
      <c r="AM79" s="70">
        <v>1</v>
      </c>
    </row>
    <row r="80" spans="1:39" x14ac:dyDescent="0.35">
      <c r="A80" s="70" t="s">
        <v>446</v>
      </c>
      <c r="B80" s="72" t="s">
        <v>49</v>
      </c>
      <c r="C80" s="72" t="s">
        <v>430</v>
      </c>
      <c r="D80" s="70">
        <v>1</v>
      </c>
      <c r="F80" s="70" t="s">
        <v>459</v>
      </c>
      <c r="G80" s="72" t="s">
        <v>50</v>
      </c>
      <c r="H80" s="72" t="s">
        <v>430</v>
      </c>
      <c r="I80" s="70">
        <v>1</v>
      </c>
      <c r="K80" s="78" t="s">
        <v>346</v>
      </c>
      <c r="L80" s="19" t="s">
        <v>51</v>
      </c>
      <c r="M80" s="79" t="s">
        <v>398</v>
      </c>
      <c r="N80" s="70">
        <v>0</v>
      </c>
      <c r="P80" s="78" t="s">
        <v>353</v>
      </c>
      <c r="Q80" s="19" t="s">
        <v>52</v>
      </c>
      <c r="R80" s="79" t="s">
        <v>398</v>
      </c>
      <c r="S80" s="70">
        <v>1</v>
      </c>
      <c r="U80" s="78" t="s">
        <v>363</v>
      </c>
      <c r="V80" s="19" t="s">
        <v>53</v>
      </c>
      <c r="W80" s="79" t="s">
        <v>397</v>
      </c>
      <c r="X80" s="70">
        <v>1</v>
      </c>
      <c r="Z80" s="78" t="s">
        <v>587</v>
      </c>
      <c r="AA80" s="19" t="s">
        <v>54</v>
      </c>
      <c r="AB80" s="79" t="s">
        <v>430</v>
      </c>
      <c r="AC80" s="70">
        <v>1</v>
      </c>
      <c r="AE80" s="78" t="s">
        <v>594</v>
      </c>
      <c r="AF80" s="19" t="s">
        <v>55</v>
      </c>
      <c r="AG80" s="79" t="s">
        <v>398</v>
      </c>
      <c r="AH80" s="70">
        <v>1</v>
      </c>
      <c r="AJ80" s="70" t="s">
        <v>466</v>
      </c>
      <c r="AK80" s="72" t="s">
        <v>56</v>
      </c>
      <c r="AL80" s="72" t="s">
        <v>398</v>
      </c>
      <c r="AM80" s="70">
        <v>1</v>
      </c>
    </row>
    <row r="81" spans="1:39" x14ac:dyDescent="0.35">
      <c r="A81" s="74" t="s">
        <v>447</v>
      </c>
      <c r="B81" s="72" t="s">
        <v>49</v>
      </c>
      <c r="C81" s="75" t="s">
        <v>435</v>
      </c>
      <c r="D81" s="70">
        <v>1</v>
      </c>
      <c r="F81" s="74" t="s">
        <v>340</v>
      </c>
      <c r="G81" s="75" t="s">
        <v>50</v>
      </c>
      <c r="H81" s="75" t="s">
        <v>66</v>
      </c>
      <c r="I81" s="70">
        <v>1</v>
      </c>
      <c r="K81" s="74" t="s">
        <v>494</v>
      </c>
      <c r="L81" s="75" t="s">
        <v>51</v>
      </c>
      <c r="M81" s="75" t="s">
        <v>430</v>
      </c>
      <c r="N81" s="70">
        <v>1</v>
      </c>
      <c r="P81" s="74" t="s">
        <v>533</v>
      </c>
      <c r="Q81" s="75" t="s">
        <v>52</v>
      </c>
      <c r="R81" s="75" t="s">
        <v>430</v>
      </c>
      <c r="S81" s="70">
        <v>1</v>
      </c>
      <c r="U81" s="78" t="s">
        <v>535</v>
      </c>
      <c r="V81" s="19" t="s">
        <v>53</v>
      </c>
      <c r="W81" s="79" t="s">
        <v>398</v>
      </c>
      <c r="X81" s="70">
        <v>1</v>
      </c>
      <c r="Z81" s="74" t="s">
        <v>588</v>
      </c>
      <c r="AA81" s="75" t="s">
        <v>54</v>
      </c>
      <c r="AB81" s="75" t="s">
        <v>435</v>
      </c>
      <c r="AC81" s="70">
        <v>1</v>
      </c>
      <c r="AE81" s="74" t="s">
        <v>595</v>
      </c>
      <c r="AF81" s="75" t="s">
        <v>55</v>
      </c>
      <c r="AG81" s="75" t="s">
        <v>430</v>
      </c>
      <c r="AH81" s="70">
        <v>1</v>
      </c>
      <c r="AJ81" s="74" t="s">
        <v>389</v>
      </c>
      <c r="AK81" s="75" t="s">
        <v>56</v>
      </c>
      <c r="AL81" s="75" t="s">
        <v>430</v>
      </c>
      <c r="AM81" s="70">
        <v>1</v>
      </c>
    </row>
    <row r="82" spans="1:39" x14ac:dyDescent="0.35">
      <c r="A82" s="74" t="s">
        <v>335</v>
      </c>
      <c r="B82" s="72" t="s">
        <v>49</v>
      </c>
      <c r="C82" s="75" t="s">
        <v>66</v>
      </c>
      <c r="D82" s="70">
        <v>1</v>
      </c>
      <c r="F82" s="74" t="s">
        <v>341</v>
      </c>
      <c r="G82" s="75" t="s">
        <v>50</v>
      </c>
      <c r="H82" s="75" t="s">
        <v>67</v>
      </c>
      <c r="I82" s="70">
        <v>1</v>
      </c>
      <c r="K82" s="74" t="s">
        <v>495</v>
      </c>
      <c r="L82" s="75" t="s">
        <v>51</v>
      </c>
      <c r="M82" s="75" t="s">
        <v>435</v>
      </c>
      <c r="N82" s="70">
        <v>1</v>
      </c>
      <c r="P82" s="74" t="s">
        <v>534</v>
      </c>
      <c r="Q82" s="75" t="s">
        <v>52</v>
      </c>
      <c r="R82" s="75" t="s">
        <v>435</v>
      </c>
      <c r="S82" s="70">
        <v>1</v>
      </c>
      <c r="U82" s="80" t="s">
        <v>540</v>
      </c>
      <c r="V82" s="75" t="s">
        <v>53</v>
      </c>
      <c r="W82" s="79" t="s">
        <v>430</v>
      </c>
      <c r="X82" s="70">
        <v>1</v>
      </c>
      <c r="Z82" s="74" t="s">
        <v>372</v>
      </c>
      <c r="AA82" s="75" t="s">
        <v>54</v>
      </c>
      <c r="AB82" s="75" t="s">
        <v>66</v>
      </c>
      <c r="AC82" s="70">
        <v>1</v>
      </c>
      <c r="AE82" s="74" t="s">
        <v>383</v>
      </c>
      <c r="AF82" s="75" t="s">
        <v>55</v>
      </c>
      <c r="AG82" s="75" t="s">
        <v>66</v>
      </c>
      <c r="AH82" s="70">
        <v>0</v>
      </c>
      <c r="AJ82" s="74" t="s">
        <v>467</v>
      </c>
      <c r="AK82" s="75" t="s">
        <v>56</v>
      </c>
      <c r="AL82" s="75" t="s">
        <v>435</v>
      </c>
      <c r="AM82" s="70">
        <v>1</v>
      </c>
    </row>
    <row r="83" spans="1:39" x14ac:dyDescent="0.35">
      <c r="A83" s="74" t="s">
        <v>415</v>
      </c>
      <c r="B83" s="72" t="s">
        <v>49</v>
      </c>
      <c r="C83" s="75" t="s">
        <v>67</v>
      </c>
      <c r="D83" s="70">
        <v>1</v>
      </c>
      <c r="F83" s="74" t="s">
        <v>454</v>
      </c>
      <c r="G83" s="75" t="s">
        <v>50</v>
      </c>
      <c r="H83" s="76" t="s">
        <v>68</v>
      </c>
      <c r="I83" s="70">
        <v>1</v>
      </c>
      <c r="K83" s="74" t="s">
        <v>348</v>
      </c>
      <c r="L83" s="75" t="s">
        <v>51</v>
      </c>
      <c r="M83" s="75" t="s">
        <v>66</v>
      </c>
      <c r="N83" s="70">
        <v>1</v>
      </c>
      <c r="P83" s="74" t="s">
        <v>355</v>
      </c>
      <c r="Q83" s="75" t="s">
        <v>52</v>
      </c>
      <c r="R83" s="75" t="s">
        <v>66</v>
      </c>
      <c r="S83" s="70">
        <v>1</v>
      </c>
      <c r="U83" s="78" t="s">
        <v>364</v>
      </c>
      <c r="V83" s="19" t="s">
        <v>53</v>
      </c>
      <c r="W83" s="79" t="s">
        <v>66</v>
      </c>
      <c r="X83" s="70">
        <v>0</v>
      </c>
      <c r="Z83" s="74" t="s">
        <v>374</v>
      </c>
      <c r="AA83" s="75" t="s">
        <v>54</v>
      </c>
      <c r="AB83" s="75" t="s">
        <v>67</v>
      </c>
      <c r="AC83" s="70">
        <v>0</v>
      </c>
      <c r="AE83" s="74" t="s">
        <v>384</v>
      </c>
      <c r="AF83" s="75" t="s">
        <v>55</v>
      </c>
      <c r="AG83" s="75" t="s">
        <v>68</v>
      </c>
      <c r="AH83" s="70">
        <v>1</v>
      </c>
      <c r="AJ83" s="74" t="s">
        <v>390</v>
      </c>
      <c r="AK83" s="75" t="s">
        <v>56</v>
      </c>
      <c r="AL83" s="75" t="s">
        <v>66</v>
      </c>
      <c r="AM83" s="70">
        <v>1</v>
      </c>
    </row>
    <row r="84" spans="1:39" x14ac:dyDescent="0.35">
      <c r="A84" s="74" t="s">
        <v>416</v>
      </c>
      <c r="B84" s="72" t="s">
        <v>49</v>
      </c>
      <c r="C84" s="75" t="s">
        <v>68</v>
      </c>
      <c r="D84" s="70">
        <v>0</v>
      </c>
      <c r="F84" s="74" t="s">
        <v>455</v>
      </c>
      <c r="G84" s="75" t="s">
        <v>50</v>
      </c>
      <c r="H84" s="75" t="s">
        <v>401</v>
      </c>
      <c r="I84" s="70">
        <v>1</v>
      </c>
      <c r="K84" s="74" t="s">
        <v>349</v>
      </c>
      <c r="L84" s="75" t="s">
        <v>51</v>
      </c>
      <c r="M84" s="75" t="s">
        <v>67</v>
      </c>
      <c r="N84" s="70">
        <v>0</v>
      </c>
      <c r="P84" s="74" t="s">
        <v>356</v>
      </c>
      <c r="Q84" s="75" t="s">
        <v>52</v>
      </c>
      <c r="R84" s="75" t="s">
        <v>67</v>
      </c>
      <c r="S84" s="70">
        <v>1</v>
      </c>
      <c r="U84" s="74" t="s">
        <v>365</v>
      </c>
      <c r="V84" s="75" t="s">
        <v>53</v>
      </c>
      <c r="W84" s="75" t="s">
        <v>67</v>
      </c>
      <c r="X84" s="70">
        <v>1</v>
      </c>
      <c r="Z84" s="74" t="s">
        <v>373</v>
      </c>
      <c r="AA84" s="75" t="s">
        <v>54</v>
      </c>
      <c r="AB84" s="75" t="s">
        <v>68</v>
      </c>
      <c r="AC84" s="70">
        <v>1</v>
      </c>
      <c r="AE84" s="74" t="s">
        <v>382</v>
      </c>
      <c r="AF84" s="75" t="s">
        <v>55</v>
      </c>
      <c r="AG84" s="75" t="s">
        <v>67</v>
      </c>
      <c r="AH84" s="70">
        <v>1</v>
      </c>
      <c r="AJ84" s="74" t="s">
        <v>391</v>
      </c>
      <c r="AK84" s="75" t="s">
        <v>56</v>
      </c>
      <c r="AL84" s="75" t="s">
        <v>67</v>
      </c>
      <c r="AM84" s="70">
        <v>1</v>
      </c>
    </row>
    <row r="85" spans="1:39" x14ac:dyDescent="0.35">
      <c r="A85" s="74" t="s">
        <v>421</v>
      </c>
      <c r="B85" s="75" t="s">
        <v>49</v>
      </c>
      <c r="C85" s="76" t="s">
        <v>401</v>
      </c>
      <c r="D85" s="70">
        <v>0</v>
      </c>
      <c r="F85" s="73" t="s">
        <v>456</v>
      </c>
      <c r="G85" s="19" t="s">
        <v>50</v>
      </c>
      <c r="H85" s="19" t="s">
        <v>403</v>
      </c>
      <c r="I85" s="70">
        <v>1</v>
      </c>
      <c r="K85" s="73" t="s">
        <v>321</v>
      </c>
      <c r="L85" s="19" t="s">
        <v>51</v>
      </c>
      <c r="M85" s="19" t="s">
        <v>68</v>
      </c>
      <c r="N85" s="70">
        <v>1</v>
      </c>
      <c r="P85" s="73" t="s">
        <v>528</v>
      </c>
      <c r="Q85" s="19" t="s">
        <v>52</v>
      </c>
      <c r="R85" s="19" t="s">
        <v>68</v>
      </c>
      <c r="S85" s="70">
        <v>0</v>
      </c>
      <c r="U85" s="73" t="s">
        <v>541</v>
      </c>
      <c r="V85" s="19" t="s">
        <v>53</v>
      </c>
      <c r="W85" s="19" t="s">
        <v>68</v>
      </c>
      <c r="X85" s="70">
        <v>1</v>
      </c>
      <c r="Z85" s="73" t="s">
        <v>126</v>
      </c>
      <c r="AA85" s="19" t="s">
        <v>54</v>
      </c>
      <c r="AB85" s="19" t="s">
        <v>401</v>
      </c>
      <c r="AC85" s="70">
        <v>1</v>
      </c>
      <c r="AE85" s="73" t="s">
        <v>590</v>
      </c>
      <c r="AF85" s="19" t="s">
        <v>55</v>
      </c>
      <c r="AG85" s="19" t="s">
        <v>401</v>
      </c>
      <c r="AH85" s="70">
        <v>1</v>
      </c>
      <c r="AJ85" s="73" t="s">
        <v>463</v>
      </c>
      <c r="AK85" s="19" t="s">
        <v>56</v>
      </c>
      <c r="AL85" s="19" t="s">
        <v>68</v>
      </c>
      <c r="AM85" s="70">
        <v>0</v>
      </c>
    </row>
    <row r="86" spans="1:39" x14ac:dyDescent="0.35">
      <c r="A86" s="74" t="s">
        <v>417</v>
      </c>
      <c r="B86" s="75" t="s">
        <v>49</v>
      </c>
      <c r="C86" s="75" t="s">
        <v>403</v>
      </c>
      <c r="D86" s="70">
        <v>1</v>
      </c>
      <c r="F86" s="74" t="s">
        <v>457</v>
      </c>
      <c r="G86" s="75" t="s">
        <v>50</v>
      </c>
      <c r="H86" s="75" t="s">
        <v>411</v>
      </c>
      <c r="I86" s="70">
        <v>-1</v>
      </c>
      <c r="K86" s="74" t="s">
        <v>492</v>
      </c>
      <c r="L86" s="75" t="s">
        <v>51</v>
      </c>
      <c r="M86" s="75" t="s">
        <v>401</v>
      </c>
      <c r="N86" s="70">
        <v>1</v>
      </c>
      <c r="P86" s="74" t="s">
        <v>529</v>
      </c>
      <c r="Q86" s="75" t="s">
        <v>52</v>
      </c>
      <c r="R86" s="75" t="s">
        <v>401</v>
      </c>
      <c r="S86" s="70">
        <v>0</v>
      </c>
      <c r="U86" s="74" t="s">
        <v>542</v>
      </c>
      <c r="V86" s="75" t="s">
        <v>53</v>
      </c>
      <c r="W86" s="75" t="s">
        <v>401</v>
      </c>
      <c r="X86" s="70">
        <v>1</v>
      </c>
      <c r="Z86" s="74" t="s">
        <v>584</v>
      </c>
      <c r="AA86" s="75" t="s">
        <v>54</v>
      </c>
      <c r="AB86" s="75" t="s">
        <v>403</v>
      </c>
      <c r="AC86" s="70">
        <v>1</v>
      </c>
      <c r="AE86" s="74" t="s">
        <v>591</v>
      </c>
      <c r="AF86" s="75" t="s">
        <v>55</v>
      </c>
      <c r="AG86" s="75" t="s">
        <v>403</v>
      </c>
      <c r="AH86" s="70">
        <v>1</v>
      </c>
      <c r="AJ86" s="74" t="s">
        <v>464</v>
      </c>
      <c r="AK86" s="75" t="s">
        <v>56</v>
      </c>
      <c r="AL86" s="75" t="s">
        <v>401</v>
      </c>
      <c r="AM86" s="70">
        <v>1</v>
      </c>
    </row>
    <row r="87" spans="1:39" x14ac:dyDescent="0.35">
      <c r="A87" s="74" t="s">
        <v>420</v>
      </c>
      <c r="B87" s="75" t="s">
        <v>49</v>
      </c>
      <c r="C87" s="75" t="s">
        <v>411</v>
      </c>
      <c r="D87" s="70">
        <v>-1</v>
      </c>
      <c r="F87" s="74"/>
      <c r="G87" s="75"/>
      <c r="H87" s="75"/>
      <c r="I87" s="70"/>
      <c r="K87" s="74" t="s">
        <v>493</v>
      </c>
      <c r="L87" s="75" t="s">
        <v>51</v>
      </c>
      <c r="M87" s="75" t="s">
        <v>403</v>
      </c>
      <c r="N87" s="70">
        <v>1</v>
      </c>
      <c r="P87" s="73" t="s">
        <v>530</v>
      </c>
      <c r="Q87" s="19" t="s">
        <v>52</v>
      </c>
      <c r="R87" s="19" t="s">
        <v>403</v>
      </c>
      <c r="S87" s="70">
        <v>1</v>
      </c>
      <c r="U87" s="73" t="s">
        <v>543</v>
      </c>
      <c r="V87" s="19" t="s">
        <v>53</v>
      </c>
      <c r="W87" s="19" t="s">
        <v>403</v>
      </c>
      <c r="X87" s="70">
        <v>0</v>
      </c>
      <c r="Z87" s="73" t="s">
        <v>343</v>
      </c>
      <c r="AA87" s="19" t="s">
        <v>54</v>
      </c>
      <c r="AB87" s="19" t="s">
        <v>411</v>
      </c>
      <c r="AC87" s="70">
        <v>1</v>
      </c>
      <c r="AE87" s="73" t="s">
        <v>592</v>
      </c>
      <c r="AF87" s="19" t="s">
        <v>55</v>
      </c>
      <c r="AG87" s="19" t="s">
        <v>411</v>
      </c>
      <c r="AH87" s="70">
        <v>1</v>
      </c>
      <c r="AJ87" s="74" t="s">
        <v>465</v>
      </c>
      <c r="AK87" s="75" t="s">
        <v>56</v>
      </c>
      <c r="AL87" s="75" t="s">
        <v>403</v>
      </c>
      <c r="AM87" s="70">
        <v>1</v>
      </c>
    </row>
    <row r="88" spans="1:39" x14ac:dyDescent="0.35">
      <c r="A88" s="74"/>
      <c r="B88" s="75"/>
      <c r="C88" s="75"/>
      <c r="D88" s="70"/>
      <c r="F88" s="74"/>
      <c r="G88" s="75"/>
      <c r="H88" s="75"/>
      <c r="I88" s="70"/>
      <c r="K88" s="74"/>
      <c r="L88" s="75"/>
      <c r="M88" s="75"/>
      <c r="N88" s="70"/>
      <c r="P88" s="73" t="s">
        <v>531</v>
      </c>
      <c r="Q88" s="19" t="s">
        <v>52</v>
      </c>
      <c r="R88" s="19" t="s">
        <v>411</v>
      </c>
      <c r="S88" s="70">
        <v>1</v>
      </c>
      <c r="U88" s="73" t="s">
        <v>544</v>
      </c>
      <c r="V88" s="19" t="s">
        <v>53</v>
      </c>
      <c r="W88" s="19" t="s">
        <v>411</v>
      </c>
      <c r="X88" s="70">
        <v>-1</v>
      </c>
      <c r="Z88" s="73" t="s">
        <v>585</v>
      </c>
      <c r="AA88" s="19" t="s">
        <v>54</v>
      </c>
      <c r="AB88" s="19" t="s">
        <v>441</v>
      </c>
      <c r="AC88" s="70">
        <v>1</v>
      </c>
      <c r="AE88" s="73" t="s">
        <v>593</v>
      </c>
      <c r="AF88" s="19" t="s">
        <v>55</v>
      </c>
      <c r="AG88" s="19" t="s">
        <v>441</v>
      </c>
      <c r="AH88" s="70">
        <v>-1</v>
      </c>
      <c r="AJ88" s="74"/>
      <c r="AK88" s="75"/>
      <c r="AL88" s="75"/>
      <c r="AM88" s="70"/>
    </row>
    <row r="89" spans="1:39" x14ac:dyDescent="0.35">
      <c r="A89" s="74"/>
      <c r="B89" s="75"/>
      <c r="C89" s="75"/>
      <c r="D89" s="70"/>
      <c r="F89" s="74"/>
      <c r="G89" s="75"/>
      <c r="H89" s="75"/>
      <c r="I89" s="70"/>
      <c r="K89" s="74"/>
      <c r="L89" s="75"/>
      <c r="M89" s="75"/>
      <c r="N89" s="70"/>
      <c r="P89" s="73" t="s">
        <v>532</v>
      </c>
      <c r="Q89" s="19" t="s">
        <v>52</v>
      </c>
      <c r="R89" s="19" t="s">
        <v>441</v>
      </c>
      <c r="S89" s="70">
        <v>-1</v>
      </c>
      <c r="U89" s="73" t="s">
        <v>366</v>
      </c>
      <c r="V89" s="19" t="s">
        <v>53</v>
      </c>
      <c r="W89" s="19" t="s">
        <v>441</v>
      </c>
      <c r="X89" s="70">
        <v>-1</v>
      </c>
      <c r="Z89" s="73" t="s">
        <v>375</v>
      </c>
      <c r="AA89" s="19" t="s">
        <v>54</v>
      </c>
      <c r="AB89" s="19" t="s">
        <v>443</v>
      </c>
      <c r="AC89" s="70">
        <v>-1</v>
      </c>
      <c r="AE89" s="73"/>
      <c r="AF89" s="19"/>
      <c r="AG89" s="19"/>
      <c r="AH89" s="70"/>
      <c r="AJ89" s="74"/>
      <c r="AK89" s="75"/>
      <c r="AL89" s="75"/>
      <c r="AM89" s="70"/>
    </row>
    <row r="90" spans="1:39" x14ac:dyDescent="0.35">
      <c r="A90" s="74"/>
      <c r="B90" s="75"/>
      <c r="C90" s="75"/>
      <c r="D90" s="70"/>
      <c r="F90" s="74"/>
      <c r="G90" s="75"/>
      <c r="H90" s="75"/>
      <c r="I90" s="70"/>
      <c r="K90" s="74"/>
      <c r="L90" s="75"/>
      <c r="M90" s="75"/>
      <c r="N90" s="70"/>
      <c r="P90" s="73"/>
      <c r="Q90" s="19"/>
      <c r="R90" s="19"/>
      <c r="S90" s="70"/>
      <c r="U90" s="73" t="s">
        <v>545</v>
      </c>
      <c r="V90" s="19" t="s">
        <v>53</v>
      </c>
      <c r="W90" s="19" t="s">
        <v>443</v>
      </c>
      <c r="X90" s="70">
        <v>-1</v>
      </c>
      <c r="Z90" s="73" t="s">
        <v>346</v>
      </c>
      <c r="AA90" s="19" t="s">
        <v>54</v>
      </c>
      <c r="AB90" s="19" t="s">
        <v>546</v>
      </c>
      <c r="AC90" s="70">
        <v>-1</v>
      </c>
      <c r="AE90" s="73"/>
      <c r="AF90" s="19"/>
      <c r="AG90" s="19"/>
      <c r="AH90" s="70"/>
      <c r="AJ90" s="74"/>
      <c r="AK90" s="75"/>
      <c r="AL90" s="75"/>
      <c r="AM90" s="70"/>
    </row>
    <row r="91" spans="1:39" x14ac:dyDescent="0.35">
      <c r="A91" s="74"/>
      <c r="B91" s="75"/>
      <c r="C91" s="75"/>
      <c r="D91" s="70"/>
      <c r="F91" s="74"/>
      <c r="G91" s="75"/>
      <c r="H91" s="75"/>
      <c r="I91" s="70"/>
      <c r="K91" s="74"/>
      <c r="L91" s="75"/>
      <c r="M91" s="75"/>
      <c r="N91" s="70"/>
      <c r="P91" s="74"/>
      <c r="Q91" s="75"/>
      <c r="R91" s="75"/>
      <c r="S91" s="70"/>
      <c r="U91" s="74" t="s">
        <v>414</v>
      </c>
      <c r="V91" s="75" t="s">
        <v>53</v>
      </c>
      <c r="W91" s="75" t="s">
        <v>546</v>
      </c>
      <c r="X91" s="70">
        <v>-1</v>
      </c>
      <c r="Z91" s="74"/>
      <c r="AA91" s="75"/>
      <c r="AB91" s="75"/>
      <c r="AC91" s="70"/>
      <c r="AE91" s="74"/>
      <c r="AF91" s="75"/>
      <c r="AG91" s="75"/>
      <c r="AH91" s="70"/>
      <c r="AJ91" s="74"/>
      <c r="AK91" s="75"/>
      <c r="AL91" s="75"/>
      <c r="AM91" s="70"/>
    </row>
  </sheetData>
  <mergeCells count="32">
    <mergeCell ref="AE47:AH47"/>
    <mergeCell ref="AJ47:AM47"/>
    <mergeCell ref="A70:D70"/>
    <mergeCell ref="F70:I70"/>
    <mergeCell ref="K70:N70"/>
    <mergeCell ref="P70:S70"/>
    <mergeCell ref="U70:X70"/>
    <mergeCell ref="Z70:AC70"/>
    <mergeCell ref="AE70:AH70"/>
    <mergeCell ref="AJ70:AM70"/>
    <mergeCell ref="A47:D47"/>
    <mergeCell ref="F47:I47"/>
    <mergeCell ref="K47:N47"/>
    <mergeCell ref="P47:S47"/>
    <mergeCell ref="U47:X47"/>
    <mergeCell ref="Z47:AC47"/>
    <mergeCell ref="AE1:AH1"/>
    <mergeCell ref="AJ1:AM1"/>
    <mergeCell ref="A24:D24"/>
    <mergeCell ref="F24:I24"/>
    <mergeCell ref="K24:N24"/>
    <mergeCell ref="P24:S24"/>
    <mergeCell ref="U24:X24"/>
    <mergeCell ref="Z24:AC24"/>
    <mergeCell ref="AE24:AH24"/>
    <mergeCell ref="AJ24:AM24"/>
    <mergeCell ref="A1:D1"/>
    <mergeCell ref="F1:I1"/>
    <mergeCell ref="K1:N1"/>
    <mergeCell ref="P1:S1"/>
    <mergeCell ref="U1:X1"/>
    <mergeCell ref="Z1:AC1"/>
  </mergeCells>
  <conditionalFormatting sqref="A1">
    <cfRule type="cellIs" dxfId="6051" priority="4600" operator="equal">
      <formula>"LV"</formula>
    </cfRule>
    <cfRule type="cellIs" dxfId="6050" priority="4601" operator="equal">
      <formula>"NE"</formula>
    </cfRule>
    <cfRule type="cellIs" dxfId="6049" priority="4602" operator="equal">
      <formula>"MIN"</formula>
    </cfRule>
    <cfRule type="cellIs" dxfId="6048" priority="4603" operator="equal">
      <formula>"PIT"</formula>
    </cfRule>
    <cfRule type="cellIs" dxfId="6047" priority="4604" operator="equal">
      <formula>"DEN"</formula>
    </cfRule>
    <cfRule type="cellIs" dxfId="6046" priority="4605" operator="equal">
      <formula>"CAR"</formula>
    </cfRule>
    <cfRule type="cellIs" dxfId="6045" priority="4606" operator="equal">
      <formula>"NYG"</formula>
    </cfRule>
    <cfRule type="cellIs" dxfId="6044" priority="4607" operator="equal">
      <formula>"NO"</formula>
    </cfRule>
    <cfRule type="cellIs" dxfId="6043" priority="4608" operator="equal">
      <formula>"TEN"</formula>
    </cfRule>
    <cfRule type="cellIs" dxfId="6042" priority="4609" operator="equal">
      <formula>"TB"</formula>
    </cfRule>
    <cfRule type="cellIs" dxfId="6041" priority="4610" operator="equal">
      <formula>"CLE"</formula>
    </cfRule>
    <cfRule type="cellIs" dxfId="6040" priority="4611" operator="equal">
      <formula>"NYJ"</formula>
    </cfRule>
    <cfRule type="cellIs" dxfId="6039" priority="4612" operator="equal">
      <formula>"SEA"</formula>
    </cfRule>
    <cfRule type="cellIs" dxfId="6038" priority="4613" operator="equal">
      <formula>"LAC"</formula>
    </cfRule>
    <cfRule type="cellIs" dxfId="6037" priority="4614" operator="equal">
      <formula>"LAR"</formula>
    </cfRule>
    <cfRule type="cellIs" dxfId="6036" priority="4615" operator="equal">
      <formula>"ATL"</formula>
    </cfRule>
    <cfRule type="cellIs" dxfId="6035" priority="4616" operator="equal">
      <formula>"JAX"</formula>
    </cfRule>
    <cfRule type="cellIs" dxfId="6034" priority="4617" operator="equal">
      <formula>"CHI"</formula>
    </cfRule>
    <cfRule type="cellIs" dxfId="6033" priority="4618" operator="equal">
      <formula>"MIA"</formula>
    </cfRule>
    <cfRule type="cellIs" dxfId="6032" priority="4619" operator="equal">
      <formula>"DET"</formula>
    </cfRule>
    <cfRule type="cellIs" dxfId="6031" priority="4620" operator="equal">
      <formula>"SF"</formula>
    </cfRule>
    <cfRule type="cellIs" dxfId="6030" priority="4621" operator="equal">
      <formula>"WAS"</formula>
    </cfRule>
    <cfRule type="cellIs" dxfId="6029" priority="4622" operator="equal">
      <formula>"GB"</formula>
    </cfRule>
    <cfRule type="cellIs" dxfId="6028" priority="4623" operator="equal">
      <formula>"DAL"</formula>
    </cfRule>
    <cfRule type="cellIs" dxfId="6027" priority="4624" operator="equal">
      <formula>"CIN"</formula>
    </cfRule>
    <cfRule type="cellIs" dxfId="6026" priority="4625" operator="equal">
      <formula>"ARI"</formula>
    </cfRule>
    <cfRule type="cellIs" dxfId="6025" priority="4626" operator="equal">
      <formula>"HOU"</formula>
    </cfRule>
    <cfRule type="cellIs" dxfId="6024" priority="4627" operator="equal">
      <formula>"IND"</formula>
    </cfRule>
    <cfRule type="cellIs" dxfId="6023" priority="4628" operator="equal">
      <formula>"KC"</formula>
    </cfRule>
    <cfRule type="cellIs" dxfId="6022" priority="4629" operator="equal">
      <formula>"BAL"</formula>
    </cfRule>
    <cfRule type="cellIs" dxfId="6021" priority="4630" operator="equal">
      <formula>"PHI"</formula>
    </cfRule>
    <cfRule type="cellIs" dxfId="6020" priority="4631" operator="equal">
      <formula>"BUF"</formula>
    </cfRule>
  </conditionalFormatting>
  <conditionalFormatting sqref="A24">
    <cfRule type="cellIs" dxfId="6019" priority="3684" operator="equal">
      <formula>"LV"</formula>
    </cfRule>
    <cfRule type="cellIs" dxfId="6018" priority="3685" operator="equal">
      <formula>"NE"</formula>
    </cfRule>
    <cfRule type="cellIs" dxfId="6017" priority="3686" operator="equal">
      <formula>"MIN"</formula>
    </cfRule>
    <cfRule type="cellIs" dxfId="6016" priority="3687" operator="equal">
      <formula>"PIT"</formula>
    </cfRule>
    <cfRule type="cellIs" dxfId="6015" priority="3688" operator="equal">
      <formula>"DEN"</formula>
    </cfRule>
    <cfRule type="cellIs" dxfId="6014" priority="3689" operator="equal">
      <formula>"CAR"</formula>
    </cfRule>
    <cfRule type="cellIs" dxfId="6013" priority="3690" operator="equal">
      <formula>"NYG"</formula>
    </cfRule>
    <cfRule type="cellIs" dxfId="6012" priority="3691" operator="equal">
      <formula>"NO"</formula>
    </cfRule>
    <cfRule type="cellIs" dxfId="6011" priority="3692" operator="equal">
      <formula>"TEN"</formula>
    </cfRule>
    <cfRule type="cellIs" dxfId="6010" priority="3693" operator="equal">
      <formula>"TB"</formula>
    </cfRule>
    <cfRule type="cellIs" dxfId="6009" priority="3694" operator="equal">
      <formula>"CLE"</formula>
    </cfRule>
    <cfRule type="cellIs" dxfId="6008" priority="3695" operator="equal">
      <formula>"NYJ"</formula>
    </cfRule>
    <cfRule type="cellIs" dxfId="6007" priority="3696" operator="equal">
      <formula>"SEA"</formula>
    </cfRule>
    <cfRule type="cellIs" dxfId="6006" priority="3697" operator="equal">
      <formula>"LAC"</formula>
    </cfRule>
    <cfRule type="cellIs" dxfId="6005" priority="3698" operator="equal">
      <formula>"LAR"</formula>
    </cfRule>
    <cfRule type="cellIs" dxfId="6004" priority="3699" operator="equal">
      <formula>"ATL"</formula>
    </cfRule>
    <cfRule type="cellIs" dxfId="6003" priority="3700" operator="equal">
      <formula>"JAX"</formula>
    </cfRule>
    <cfRule type="cellIs" dxfId="6002" priority="3701" operator="equal">
      <formula>"CHI"</formula>
    </cfRule>
    <cfRule type="cellIs" dxfId="6001" priority="3702" operator="equal">
      <formula>"MIA"</formula>
    </cfRule>
    <cfRule type="cellIs" dxfId="6000" priority="3703" operator="equal">
      <formula>"DET"</formula>
    </cfRule>
    <cfRule type="cellIs" dxfId="5999" priority="3704" operator="equal">
      <formula>"SF"</formula>
    </cfRule>
    <cfRule type="cellIs" dxfId="5998" priority="3705" operator="equal">
      <formula>"WAS"</formula>
    </cfRule>
    <cfRule type="cellIs" dxfId="5997" priority="3706" operator="equal">
      <formula>"GB"</formula>
    </cfRule>
    <cfRule type="cellIs" dxfId="5996" priority="3707" operator="equal">
      <formula>"DAL"</formula>
    </cfRule>
    <cfRule type="cellIs" dxfId="5995" priority="3708" operator="equal">
      <formula>"CIN"</formula>
    </cfRule>
    <cfRule type="cellIs" dxfId="5994" priority="3709" operator="equal">
      <formula>"ARI"</formula>
    </cfRule>
    <cfRule type="cellIs" dxfId="5993" priority="3710" operator="equal">
      <formula>"HOU"</formula>
    </cfRule>
    <cfRule type="cellIs" dxfId="5992" priority="3711" operator="equal">
      <formula>"IND"</formula>
    </cfRule>
    <cfRule type="cellIs" dxfId="5991" priority="3712" operator="equal">
      <formula>"KC"</formula>
    </cfRule>
    <cfRule type="cellIs" dxfId="5990" priority="3713" operator="equal">
      <formula>"BAL"</formula>
    </cfRule>
    <cfRule type="cellIs" dxfId="5989" priority="3714" operator="equal">
      <formula>"PHI"</formula>
    </cfRule>
    <cfRule type="cellIs" dxfId="5988" priority="3715" operator="equal">
      <formula>"BUF"</formula>
    </cfRule>
  </conditionalFormatting>
  <conditionalFormatting sqref="A47">
    <cfRule type="cellIs" dxfId="5987" priority="2860" operator="equal">
      <formula>"LV"</formula>
    </cfRule>
    <cfRule type="cellIs" dxfId="5986" priority="2861" operator="equal">
      <formula>"NE"</formula>
    </cfRule>
    <cfRule type="cellIs" dxfId="5985" priority="2862" operator="equal">
      <formula>"MIN"</formula>
    </cfRule>
    <cfRule type="cellIs" dxfId="5984" priority="2863" operator="equal">
      <formula>"PIT"</formula>
    </cfRule>
    <cfRule type="cellIs" dxfId="5983" priority="2864" operator="equal">
      <formula>"DEN"</formula>
    </cfRule>
    <cfRule type="cellIs" dxfId="5982" priority="2865" operator="equal">
      <formula>"CAR"</formula>
    </cfRule>
    <cfRule type="cellIs" dxfId="5981" priority="2866" operator="equal">
      <formula>"NYG"</formula>
    </cfRule>
    <cfRule type="cellIs" dxfId="5980" priority="2867" operator="equal">
      <formula>"NO"</formula>
    </cfRule>
    <cfRule type="cellIs" dxfId="5979" priority="2868" operator="equal">
      <formula>"TEN"</formula>
    </cfRule>
    <cfRule type="cellIs" dxfId="5978" priority="2869" operator="equal">
      <formula>"TB"</formula>
    </cfRule>
    <cfRule type="cellIs" dxfId="5977" priority="2870" operator="equal">
      <formula>"CLE"</formula>
    </cfRule>
    <cfRule type="cellIs" dxfId="5976" priority="2871" operator="equal">
      <formula>"NYJ"</formula>
    </cfRule>
    <cfRule type="cellIs" dxfId="5975" priority="2872" operator="equal">
      <formula>"SEA"</formula>
    </cfRule>
    <cfRule type="cellIs" dxfId="5974" priority="2873" operator="equal">
      <formula>"LAC"</formula>
    </cfRule>
    <cfRule type="cellIs" dxfId="5973" priority="2874" operator="equal">
      <formula>"LAR"</formula>
    </cfRule>
    <cfRule type="cellIs" dxfId="5972" priority="2875" operator="equal">
      <formula>"ATL"</formula>
    </cfRule>
    <cfRule type="cellIs" dxfId="5971" priority="2876" operator="equal">
      <formula>"JAX"</formula>
    </cfRule>
    <cfRule type="cellIs" dxfId="5970" priority="2877" operator="equal">
      <formula>"CHI"</formula>
    </cfRule>
    <cfRule type="cellIs" dxfId="5969" priority="2878" operator="equal">
      <formula>"MIA"</formula>
    </cfRule>
    <cfRule type="cellIs" dxfId="5968" priority="2879" operator="equal">
      <formula>"DET"</formula>
    </cfRule>
    <cfRule type="cellIs" dxfId="5967" priority="2880" operator="equal">
      <formula>"SF"</formula>
    </cfRule>
    <cfRule type="cellIs" dxfId="5966" priority="2881" operator="equal">
      <formula>"WAS"</formula>
    </cfRule>
    <cfRule type="cellIs" dxfId="5965" priority="2882" operator="equal">
      <formula>"GB"</formula>
    </cfRule>
    <cfRule type="cellIs" dxfId="5964" priority="2883" operator="equal">
      <formula>"DAL"</formula>
    </cfRule>
    <cfRule type="cellIs" dxfId="5963" priority="2884" operator="equal">
      <formula>"CIN"</formula>
    </cfRule>
    <cfRule type="cellIs" dxfId="5962" priority="2885" operator="equal">
      <formula>"ARI"</formula>
    </cfRule>
    <cfRule type="cellIs" dxfId="5961" priority="2886" operator="equal">
      <formula>"HOU"</formula>
    </cfRule>
    <cfRule type="cellIs" dxfId="5960" priority="2887" operator="equal">
      <formula>"IND"</formula>
    </cfRule>
    <cfRule type="cellIs" dxfId="5959" priority="2888" operator="equal">
      <formula>"KC"</formula>
    </cfRule>
    <cfRule type="cellIs" dxfId="5958" priority="2889" operator="equal">
      <formula>"BAL"</formula>
    </cfRule>
    <cfRule type="cellIs" dxfId="5957" priority="2890" operator="equal">
      <formula>"PHI"</formula>
    </cfRule>
    <cfRule type="cellIs" dxfId="5956" priority="2891" operator="equal">
      <formula>"BUF"</formula>
    </cfRule>
  </conditionalFormatting>
  <conditionalFormatting sqref="A70">
    <cfRule type="cellIs" dxfId="5955" priority="2036" operator="equal">
      <formula>"LV"</formula>
    </cfRule>
    <cfRule type="cellIs" dxfId="5954" priority="2037" operator="equal">
      <formula>"NE"</formula>
    </cfRule>
    <cfRule type="cellIs" dxfId="5953" priority="2038" operator="equal">
      <formula>"MIN"</formula>
    </cfRule>
    <cfRule type="cellIs" dxfId="5952" priority="2039" operator="equal">
      <formula>"PIT"</formula>
    </cfRule>
    <cfRule type="cellIs" dxfId="5951" priority="2040" operator="equal">
      <formula>"DEN"</formula>
    </cfRule>
    <cfRule type="cellIs" dxfId="5950" priority="2041" operator="equal">
      <formula>"CAR"</formula>
    </cfRule>
    <cfRule type="cellIs" dxfId="5949" priority="2042" operator="equal">
      <formula>"NYG"</formula>
    </cfRule>
    <cfRule type="cellIs" dxfId="5948" priority="2043" operator="equal">
      <formula>"NO"</formula>
    </cfRule>
    <cfRule type="cellIs" dxfId="5947" priority="2044" operator="equal">
      <formula>"TEN"</formula>
    </cfRule>
    <cfRule type="cellIs" dxfId="5946" priority="2045" operator="equal">
      <formula>"TB"</formula>
    </cfRule>
    <cfRule type="cellIs" dxfId="5945" priority="2046" operator="equal">
      <formula>"CLE"</formula>
    </cfRule>
    <cfRule type="cellIs" dxfId="5944" priority="2047" operator="equal">
      <formula>"NYJ"</formula>
    </cfRule>
    <cfRule type="cellIs" dxfId="5943" priority="2048" operator="equal">
      <formula>"SEA"</formula>
    </cfRule>
    <cfRule type="cellIs" dxfId="5942" priority="2049" operator="equal">
      <formula>"LAC"</formula>
    </cfRule>
    <cfRule type="cellIs" dxfId="5941" priority="2050" operator="equal">
      <formula>"LAR"</formula>
    </cfRule>
    <cfRule type="cellIs" dxfId="5940" priority="2051" operator="equal">
      <formula>"ATL"</formula>
    </cfRule>
    <cfRule type="cellIs" dxfId="5939" priority="2052" operator="equal">
      <formula>"JAX"</formula>
    </cfRule>
    <cfRule type="cellIs" dxfId="5938" priority="2053" operator="equal">
      <formula>"CHI"</formula>
    </cfRule>
    <cfRule type="cellIs" dxfId="5937" priority="2054" operator="equal">
      <formula>"MIA"</formula>
    </cfRule>
    <cfRule type="cellIs" dxfId="5936" priority="2055" operator="equal">
      <formula>"DET"</formula>
    </cfRule>
    <cfRule type="cellIs" dxfId="5935" priority="2056" operator="equal">
      <formula>"SF"</formula>
    </cfRule>
    <cfRule type="cellIs" dxfId="5934" priority="2057" operator="equal">
      <formula>"WAS"</formula>
    </cfRule>
    <cfRule type="cellIs" dxfId="5933" priority="2058" operator="equal">
      <formula>"GB"</formula>
    </cfRule>
    <cfRule type="cellIs" dxfId="5932" priority="2059" operator="equal">
      <formula>"DAL"</formula>
    </cfRule>
    <cfRule type="cellIs" dxfId="5931" priority="2060" operator="equal">
      <formula>"CIN"</formula>
    </cfRule>
    <cfRule type="cellIs" dxfId="5930" priority="2061" operator="equal">
      <formula>"ARI"</formula>
    </cfRule>
    <cfRule type="cellIs" dxfId="5929" priority="2062" operator="equal">
      <formula>"HOU"</formula>
    </cfRule>
    <cfRule type="cellIs" dxfId="5928" priority="2063" operator="equal">
      <formula>"IND"</formula>
    </cfRule>
    <cfRule type="cellIs" dxfId="5927" priority="2064" operator="equal">
      <formula>"KC"</formula>
    </cfRule>
    <cfRule type="cellIs" dxfId="5926" priority="2065" operator="equal">
      <formula>"BAL"</formula>
    </cfRule>
    <cfRule type="cellIs" dxfId="5925" priority="2066" operator="equal">
      <formula>"PHI"</formula>
    </cfRule>
    <cfRule type="cellIs" dxfId="5924" priority="2067" operator="equal">
      <formula>"BUF"</formula>
    </cfRule>
  </conditionalFormatting>
  <conditionalFormatting sqref="B3:B22">
    <cfRule type="cellIs" dxfId="5923" priority="4401" operator="equal">
      <formula>"ARI"</formula>
    </cfRule>
  </conditionalFormatting>
  <conditionalFormatting sqref="B26:B45">
    <cfRule type="cellIs" dxfId="5922" priority="3675" operator="equal">
      <formula>"DAL"</formula>
    </cfRule>
  </conditionalFormatting>
  <conditionalFormatting sqref="B49:B68">
    <cfRule type="cellIs" dxfId="5921" priority="813" operator="equal">
      <formula>"LAC"</formula>
    </cfRule>
  </conditionalFormatting>
  <conditionalFormatting sqref="B72:B91">
    <cfRule type="cellIs" dxfId="5920" priority="1982" operator="equal">
      <formula>"NYJ"</formula>
    </cfRule>
  </conditionalFormatting>
  <conditionalFormatting sqref="C3:C22 H3:H22 M3:M22 W3:W22 AB3:AB22 AG3:AG22 AL3:AL22 R3:R23 C26:C45 H26:H45 M26:M45 R26:R45 W26:W45 AB26:AB45 AG26:AG45 AL26:AL45 C49:C68 H49:H68 M49:M68 R49:R68 W49:W68 AB49:AB68 AG49:AG68 AL49:AL68 C72:C91 H72:H91 M72:M91 R72:R91 W72:W91 AB72:AB91 AG72:AG91 AL72:AL91">
    <cfRule type="cellIs" dxfId="5919" priority="1" operator="equal">
      <formula>"WR9"</formula>
    </cfRule>
    <cfRule type="cellIs" dxfId="5918" priority="2" operator="equal">
      <formula>"WR8"</formula>
    </cfRule>
    <cfRule type="cellIs" dxfId="5917" priority="3" operator="equal">
      <formula>"WR7"</formula>
    </cfRule>
    <cfRule type="cellIs" dxfId="5916" priority="4" operator="equal">
      <formula>"WR6"</formula>
    </cfRule>
    <cfRule type="cellIs" dxfId="5915" priority="5" operator="equal">
      <formula>"TE5"</formula>
    </cfRule>
    <cfRule type="cellIs" dxfId="5914" priority="6" operator="equal">
      <formula>"WR5"</formula>
    </cfRule>
    <cfRule type="cellIs" dxfId="5913" priority="7" operator="equal">
      <formula>"RB5"</formula>
    </cfRule>
    <cfRule type="cellIs" dxfId="5912" priority="8" operator="equal">
      <formula>"QB5"</formula>
    </cfRule>
    <cfRule type="cellIs" dxfId="5911" priority="9" operator="equal">
      <formula>"TE4"</formula>
    </cfRule>
    <cfRule type="cellIs" dxfId="5910" priority="10" operator="equal">
      <formula>"WR4"</formula>
    </cfRule>
    <cfRule type="cellIs" dxfId="5909" priority="11" operator="equal">
      <formula>"RB4"</formula>
    </cfRule>
    <cfRule type="cellIs" dxfId="5908" priority="12" operator="equal">
      <formula>"QB4"</formula>
    </cfRule>
    <cfRule type="cellIs" dxfId="5907" priority="13" operator="equal">
      <formula>"TE3"</formula>
    </cfRule>
    <cfRule type="cellIs" dxfId="5906" priority="14" operator="equal">
      <formula>"WR3"</formula>
    </cfRule>
    <cfRule type="cellIs" dxfId="5905" priority="15" operator="equal">
      <formula>"RB3"</formula>
    </cfRule>
    <cfRule type="cellIs" dxfId="5904" priority="16" operator="equal">
      <formula>"QB3"</formula>
    </cfRule>
    <cfRule type="cellIs" dxfId="5903" priority="17" operator="equal">
      <formula>"TE2"</formula>
    </cfRule>
    <cfRule type="cellIs" dxfId="5902" priority="18" operator="equal">
      <formula>"WR2"</formula>
    </cfRule>
    <cfRule type="cellIs" dxfId="5901" priority="21" operator="equal">
      <formula>"RB2"</formula>
    </cfRule>
    <cfRule type="cellIs" dxfId="5900" priority="22" operator="equal">
      <formula>"QB2"</formula>
    </cfRule>
    <cfRule type="cellIs" dxfId="5899" priority="23" operator="equal">
      <formula>"TE1"</formula>
    </cfRule>
    <cfRule type="cellIs" dxfId="5898" priority="24" operator="equal">
      <formula>"WR1"</formula>
    </cfRule>
    <cfRule type="cellIs" dxfId="5897" priority="25" operator="equal">
      <formula>"RB1"</formula>
    </cfRule>
    <cfRule type="cellIs" dxfId="5896" priority="26" operator="equal">
      <formula>"QB1"</formula>
    </cfRule>
  </conditionalFormatting>
  <conditionalFormatting sqref="E1:F1">
    <cfRule type="cellIs" dxfId="5895" priority="4150" operator="equal">
      <formula>"PIT"</formula>
    </cfRule>
    <cfRule type="cellIs" dxfId="5894" priority="4151" operator="equal">
      <formula>"DEN"</formula>
    </cfRule>
    <cfRule type="cellIs" dxfId="5893" priority="4152" operator="equal">
      <formula>"CAR"</formula>
    </cfRule>
    <cfRule type="cellIs" dxfId="5892" priority="4153" operator="equal">
      <formula>"NYG"</formula>
    </cfRule>
    <cfRule type="cellIs" dxfId="5891" priority="4154" operator="equal">
      <formula>"NO"</formula>
    </cfRule>
    <cfRule type="cellIs" dxfId="5890" priority="4155" operator="equal">
      <formula>"TEN"</formula>
    </cfRule>
    <cfRule type="cellIs" dxfId="5889" priority="4156" operator="equal">
      <formula>"TB"</formula>
    </cfRule>
    <cfRule type="cellIs" dxfId="5888" priority="4157" operator="equal">
      <formula>"CLE"</formula>
    </cfRule>
    <cfRule type="cellIs" dxfId="5887" priority="4158" operator="equal">
      <formula>"NYJ"</formula>
    </cfRule>
    <cfRule type="cellIs" dxfId="5886" priority="4159" operator="equal">
      <formula>"SEA"</formula>
    </cfRule>
    <cfRule type="cellIs" dxfId="5885" priority="4160" operator="equal">
      <formula>"LAC"</formula>
    </cfRule>
    <cfRule type="cellIs" dxfId="5884" priority="4161" operator="equal">
      <formula>"LAR"</formula>
    </cfRule>
    <cfRule type="cellIs" dxfId="5883" priority="4162" operator="equal">
      <formula>"ATL"</formula>
    </cfRule>
    <cfRule type="cellIs" dxfId="5882" priority="4163" operator="equal">
      <formula>"JAX"</formula>
    </cfRule>
    <cfRule type="cellIs" dxfId="5881" priority="4164" operator="equal">
      <formula>"CHI"</formula>
    </cfRule>
    <cfRule type="cellIs" dxfId="5880" priority="4165" operator="equal">
      <formula>"MIA"</formula>
    </cfRule>
    <cfRule type="cellIs" dxfId="5879" priority="4166" operator="equal">
      <formula>"DET"</formula>
    </cfRule>
    <cfRule type="cellIs" dxfId="5878" priority="4167" operator="equal">
      <formula>"SF"</formula>
    </cfRule>
    <cfRule type="cellIs" dxfId="5877" priority="4168" operator="equal">
      <formula>"WAS"</formula>
    </cfRule>
    <cfRule type="cellIs" dxfId="5876" priority="4169" operator="equal">
      <formula>"GB"</formula>
    </cfRule>
    <cfRule type="cellIs" dxfId="5875" priority="4170" operator="equal">
      <formula>"DAL"</formula>
    </cfRule>
    <cfRule type="cellIs" dxfId="5874" priority="4171" operator="equal">
      <formula>"CIN"</formula>
    </cfRule>
    <cfRule type="cellIs" dxfId="5873" priority="4172" operator="equal">
      <formula>"ARI"</formula>
    </cfRule>
    <cfRule type="cellIs" dxfId="5872" priority="4173" operator="equal">
      <formula>"HOU"</formula>
    </cfRule>
    <cfRule type="cellIs" dxfId="5871" priority="4174" operator="equal">
      <formula>"IND"</formula>
    </cfRule>
    <cfRule type="cellIs" dxfId="5870" priority="4175" operator="equal">
      <formula>"KC"</formula>
    </cfRule>
    <cfRule type="cellIs" dxfId="5869" priority="4176" operator="equal">
      <formula>"BAL"</formula>
    </cfRule>
    <cfRule type="cellIs" dxfId="5868" priority="4177" operator="equal">
      <formula>"PHI"</formula>
    </cfRule>
    <cfRule type="cellIs" dxfId="5867" priority="4178" operator="equal">
      <formula>"BUF"</formula>
    </cfRule>
    <cfRule type="cellIs" dxfId="5866" priority="4179" operator="equal">
      <formula>"LV"</formula>
    </cfRule>
    <cfRule type="cellIs" dxfId="5865" priority="4180" operator="equal">
      <formula>"NE"</formula>
    </cfRule>
    <cfRule type="cellIs" dxfId="5864" priority="4181" operator="equal">
      <formula>"MIN"</formula>
    </cfRule>
  </conditionalFormatting>
  <conditionalFormatting sqref="F24">
    <cfRule type="cellIs" dxfId="5863" priority="3581" operator="equal">
      <formula>"LV"</formula>
    </cfRule>
    <cfRule type="cellIs" dxfId="5862" priority="3582" operator="equal">
      <formula>"NE"</formula>
    </cfRule>
    <cfRule type="cellIs" dxfId="5861" priority="3583" operator="equal">
      <formula>"MIN"</formula>
    </cfRule>
    <cfRule type="cellIs" dxfId="5860" priority="3584" operator="equal">
      <formula>"PIT"</formula>
    </cfRule>
    <cfRule type="cellIs" dxfId="5859" priority="3585" operator="equal">
      <formula>"DEN"</formula>
    </cfRule>
    <cfRule type="cellIs" dxfId="5858" priority="3586" operator="equal">
      <formula>"CAR"</formula>
    </cfRule>
    <cfRule type="cellIs" dxfId="5857" priority="3587" operator="equal">
      <formula>"NYG"</formula>
    </cfRule>
    <cfRule type="cellIs" dxfId="5856" priority="3588" operator="equal">
      <formula>"NO"</formula>
    </cfRule>
    <cfRule type="cellIs" dxfId="5855" priority="3589" operator="equal">
      <formula>"TEN"</formula>
    </cfRule>
    <cfRule type="cellIs" dxfId="5854" priority="3590" operator="equal">
      <formula>"TB"</formula>
    </cfRule>
    <cfRule type="cellIs" dxfId="5853" priority="3591" operator="equal">
      <formula>"CLE"</formula>
    </cfRule>
    <cfRule type="cellIs" dxfId="5852" priority="3592" operator="equal">
      <formula>"NYJ"</formula>
    </cfRule>
    <cfRule type="cellIs" dxfId="5851" priority="3593" operator="equal">
      <formula>"SEA"</formula>
    </cfRule>
    <cfRule type="cellIs" dxfId="5850" priority="3594" operator="equal">
      <formula>"LAC"</formula>
    </cfRule>
    <cfRule type="cellIs" dxfId="5849" priority="3595" operator="equal">
      <formula>"LAR"</formula>
    </cfRule>
    <cfRule type="cellIs" dxfId="5848" priority="3596" operator="equal">
      <formula>"ATL"</formula>
    </cfRule>
    <cfRule type="cellIs" dxfId="5847" priority="3597" operator="equal">
      <formula>"JAX"</formula>
    </cfRule>
    <cfRule type="cellIs" dxfId="5846" priority="3598" operator="equal">
      <formula>"CHI"</formula>
    </cfRule>
    <cfRule type="cellIs" dxfId="5845" priority="3599" operator="equal">
      <formula>"MIA"</formula>
    </cfRule>
    <cfRule type="cellIs" dxfId="5844" priority="3600" operator="equal">
      <formula>"DET"</formula>
    </cfRule>
    <cfRule type="cellIs" dxfId="5843" priority="3601" operator="equal">
      <formula>"SF"</formula>
    </cfRule>
    <cfRule type="cellIs" dxfId="5842" priority="3602" operator="equal">
      <formula>"WAS"</formula>
    </cfRule>
    <cfRule type="cellIs" dxfId="5841" priority="3603" operator="equal">
      <formula>"GB"</formula>
    </cfRule>
    <cfRule type="cellIs" dxfId="5840" priority="3604" operator="equal">
      <formula>"DAL"</formula>
    </cfRule>
    <cfRule type="cellIs" dxfId="5839" priority="3605" operator="equal">
      <formula>"CIN"</formula>
    </cfRule>
    <cfRule type="cellIs" dxfId="5838" priority="3606" operator="equal">
      <formula>"ARI"</formula>
    </cfRule>
    <cfRule type="cellIs" dxfId="5837" priority="3607" operator="equal">
      <formula>"HOU"</formula>
    </cfRule>
    <cfRule type="cellIs" dxfId="5836" priority="3608" operator="equal">
      <formula>"IND"</formula>
    </cfRule>
    <cfRule type="cellIs" dxfId="5835" priority="3609" operator="equal">
      <formula>"KC"</formula>
    </cfRule>
    <cfRule type="cellIs" dxfId="5834" priority="3610" operator="equal">
      <formula>"BAL"</formula>
    </cfRule>
    <cfRule type="cellIs" dxfId="5833" priority="3611" operator="equal">
      <formula>"PHI"</formula>
    </cfRule>
    <cfRule type="cellIs" dxfId="5832" priority="3612" operator="equal">
      <formula>"BUF"</formula>
    </cfRule>
  </conditionalFormatting>
  <conditionalFormatting sqref="F47">
    <cfRule type="cellIs" dxfId="5831" priority="2757" operator="equal">
      <formula>"LV"</formula>
    </cfRule>
    <cfRule type="cellIs" dxfId="5830" priority="2758" operator="equal">
      <formula>"NE"</formula>
    </cfRule>
    <cfRule type="cellIs" dxfId="5829" priority="2759" operator="equal">
      <formula>"MIN"</formula>
    </cfRule>
    <cfRule type="cellIs" dxfId="5828" priority="2760" operator="equal">
      <formula>"PIT"</formula>
    </cfRule>
    <cfRule type="cellIs" dxfId="5827" priority="2761" operator="equal">
      <formula>"DEN"</formula>
    </cfRule>
    <cfRule type="cellIs" dxfId="5826" priority="2762" operator="equal">
      <formula>"CAR"</formula>
    </cfRule>
    <cfRule type="cellIs" dxfId="5825" priority="2763" operator="equal">
      <formula>"NYG"</formula>
    </cfRule>
    <cfRule type="cellIs" dxfId="5824" priority="2764" operator="equal">
      <formula>"NO"</formula>
    </cfRule>
    <cfRule type="cellIs" dxfId="5823" priority="2765" operator="equal">
      <formula>"TEN"</formula>
    </cfRule>
    <cfRule type="cellIs" dxfId="5822" priority="2766" operator="equal">
      <formula>"TB"</formula>
    </cfRule>
    <cfRule type="cellIs" dxfId="5821" priority="2767" operator="equal">
      <formula>"CLE"</formula>
    </cfRule>
    <cfRule type="cellIs" dxfId="5820" priority="2768" operator="equal">
      <formula>"NYJ"</formula>
    </cfRule>
    <cfRule type="cellIs" dxfId="5819" priority="2769" operator="equal">
      <formula>"SEA"</formula>
    </cfRule>
    <cfRule type="cellIs" dxfId="5818" priority="2770" operator="equal">
      <formula>"LAC"</formula>
    </cfRule>
    <cfRule type="cellIs" dxfId="5817" priority="2771" operator="equal">
      <formula>"LAR"</formula>
    </cfRule>
    <cfRule type="cellIs" dxfId="5816" priority="2772" operator="equal">
      <formula>"ATL"</formula>
    </cfRule>
    <cfRule type="cellIs" dxfId="5815" priority="2773" operator="equal">
      <formula>"JAX"</formula>
    </cfRule>
    <cfRule type="cellIs" dxfId="5814" priority="2774" operator="equal">
      <formula>"CHI"</formula>
    </cfRule>
    <cfRule type="cellIs" dxfId="5813" priority="2775" operator="equal">
      <formula>"MIA"</formula>
    </cfRule>
    <cfRule type="cellIs" dxfId="5812" priority="2776" operator="equal">
      <formula>"DET"</formula>
    </cfRule>
    <cfRule type="cellIs" dxfId="5811" priority="2777" operator="equal">
      <formula>"SF"</formula>
    </cfRule>
    <cfRule type="cellIs" dxfId="5810" priority="2778" operator="equal">
      <formula>"WAS"</formula>
    </cfRule>
    <cfRule type="cellIs" dxfId="5809" priority="2779" operator="equal">
      <formula>"GB"</formula>
    </cfRule>
    <cfRule type="cellIs" dxfId="5808" priority="2780" operator="equal">
      <formula>"DAL"</formula>
    </cfRule>
    <cfRule type="cellIs" dxfId="5807" priority="2781" operator="equal">
      <formula>"CIN"</formula>
    </cfRule>
    <cfRule type="cellIs" dxfId="5806" priority="2782" operator="equal">
      <formula>"ARI"</formula>
    </cfRule>
    <cfRule type="cellIs" dxfId="5805" priority="2783" operator="equal">
      <formula>"HOU"</formula>
    </cfRule>
    <cfRule type="cellIs" dxfId="5804" priority="2784" operator="equal">
      <formula>"IND"</formula>
    </cfRule>
    <cfRule type="cellIs" dxfId="5803" priority="2785" operator="equal">
      <formula>"KC"</formula>
    </cfRule>
    <cfRule type="cellIs" dxfId="5802" priority="2786" operator="equal">
      <formula>"BAL"</formula>
    </cfRule>
    <cfRule type="cellIs" dxfId="5801" priority="2787" operator="equal">
      <formula>"PHI"</formula>
    </cfRule>
    <cfRule type="cellIs" dxfId="5800" priority="2788" operator="equal">
      <formula>"BUF"</formula>
    </cfRule>
  </conditionalFormatting>
  <conditionalFormatting sqref="F70">
    <cfRule type="cellIs" dxfId="5799" priority="1933" operator="equal">
      <formula>"LV"</formula>
    </cfRule>
    <cfRule type="cellIs" dxfId="5798" priority="1934" operator="equal">
      <formula>"NE"</formula>
    </cfRule>
    <cfRule type="cellIs" dxfId="5797" priority="1935" operator="equal">
      <formula>"MIN"</formula>
    </cfRule>
    <cfRule type="cellIs" dxfId="5796" priority="1936" operator="equal">
      <formula>"PIT"</formula>
    </cfRule>
    <cfRule type="cellIs" dxfId="5795" priority="1937" operator="equal">
      <formula>"DEN"</formula>
    </cfRule>
    <cfRule type="cellIs" dxfId="5794" priority="1938" operator="equal">
      <formula>"CAR"</formula>
    </cfRule>
    <cfRule type="cellIs" dxfId="5793" priority="1939" operator="equal">
      <formula>"NYG"</formula>
    </cfRule>
    <cfRule type="cellIs" dxfId="5792" priority="1940" operator="equal">
      <formula>"NO"</formula>
    </cfRule>
    <cfRule type="cellIs" dxfId="5791" priority="1941" operator="equal">
      <formula>"TEN"</formula>
    </cfRule>
    <cfRule type="cellIs" dxfId="5790" priority="1942" operator="equal">
      <formula>"TB"</formula>
    </cfRule>
    <cfRule type="cellIs" dxfId="5789" priority="1943" operator="equal">
      <formula>"CLE"</formula>
    </cfRule>
    <cfRule type="cellIs" dxfId="5788" priority="1944" operator="equal">
      <formula>"NYJ"</formula>
    </cfRule>
    <cfRule type="cellIs" dxfId="5787" priority="1945" operator="equal">
      <formula>"SEA"</formula>
    </cfRule>
    <cfRule type="cellIs" dxfId="5786" priority="1946" operator="equal">
      <formula>"LAC"</formula>
    </cfRule>
    <cfRule type="cellIs" dxfId="5785" priority="1947" operator="equal">
      <formula>"LAR"</formula>
    </cfRule>
    <cfRule type="cellIs" dxfId="5784" priority="1948" operator="equal">
      <formula>"ATL"</formula>
    </cfRule>
    <cfRule type="cellIs" dxfId="5783" priority="1949" operator="equal">
      <formula>"JAX"</formula>
    </cfRule>
    <cfRule type="cellIs" dxfId="5782" priority="1950" operator="equal">
      <formula>"CHI"</formula>
    </cfRule>
    <cfRule type="cellIs" dxfId="5781" priority="1951" operator="equal">
      <formula>"MIA"</formula>
    </cfRule>
    <cfRule type="cellIs" dxfId="5780" priority="1952" operator="equal">
      <formula>"DET"</formula>
    </cfRule>
    <cfRule type="cellIs" dxfId="5779" priority="1953" operator="equal">
      <formula>"SF"</formula>
    </cfRule>
    <cfRule type="cellIs" dxfId="5778" priority="1954" operator="equal">
      <formula>"WAS"</formula>
    </cfRule>
    <cfRule type="cellIs" dxfId="5777" priority="1955" operator="equal">
      <formula>"GB"</formula>
    </cfRule>
    <cfRule type="cellIs" dxfId="5776" priority="1956" operator="equal">
      <formula>"DAL"</formula>
    </cfRule>
    <cfRule type="cellIs" dxfId="5775" priority="1957" operator="equal">
      <formula>"CIN"</formula>
    </cfRule>
    <cfRule type="cellIs" dxfId="5774" priority="1958" operator="equal">
      <formula>"ARI"</formula>
    </cfRule>
    <cfRule type="cellIs" dxfId="5773" priority="1959" operator="equal">
      <formula>"HOU"</formula>
    </cfRule>
    <cfRule type="cellIs" dxfId="5772" priority="1960" operator="equal">
      <formula>"IND"</formula>
    </cfRule>
    <cfRule type="cellIs" dxfId="5771" priority="1961" operator="equal">
      <formula>"KC"</formula>
    </cfRule>
    <cfRule type="cellIs" dxfId="5770" priority="1962" operator="equal">
      <formula>"BAL"</formula>
    </cfRule>
    <cfRule type="cellIs" dxfId="5769" priority="1963" operator="equal">
      <formula>"PHI"</formula>
    </cfRule>
    <cfRule type="cellIs" dxfId="5768" priority="1964" operator="equal">
      <formula>"BUF"</formula>
    </cfRule>
  </conditionalFormatting>
  <conditionalFormatting sqref="G3:G22">
    <cfRule type="cellIs" dxfId="5767" priority="4519" operator="equal">
      <formula>"ATL"</formula>
    </cfRule>
  </conditionalFormatting>
  <conditionalFormatting sqref="G26:G45">
    <cfRule type="cellIs" dxfId="5766" priority="3553" operator="equal">
      <formula>"DEN"</formula>
    </cfRule>
  </conditionalFormatting>
  <conditionalFormatting sqref="G49:G68">
    <cfRule type="cellIs" dxfId="5765" priority="2739" operator="equal">
      <formula>"LAR"</formula>
    </cfRule>
  </conditionalFormatting>
  <conditionalFormatting sqref="G72:G91">
    <cfRule type="cellIs" dxfId="5764" priority="1931" operator="equal">
      <formula>"PHI"</formula>
    </cfRule>
  </conditionalFormatting>
  <conditionalFormatting sqref="K1">
    <cfRule type="cellIs" dxfId="5763" priority="4472" operator="equal">
      <formula>"LV"</formula>
    </cfRule>
    <cfRule type="cellIs" dxfId="5762" priority="4473" operator="equal">
      <formula>"NE"</formula>
    </cfRule>
    <cfRule type="cellIs" dxfId="5761" priority="4474" operator="equal">
      <formula>"MIN"</formula>
    </cfRule>
    <cfRule type="cellIs" dxfId="5760" priority="4475" operator="equal">
      <formula>"PIT"</formula>
    </cfRule>
    <cfRule type="cellIs" dxfId="5759" priority="4476" operator="equal">
      <formula>"DEN"</formula>
    </cfRule>
    <cfRule type="cellIs" dxfId="5758" priority="4477" operator="equal">
      <formula>"CAR"</formula>
    </cfRule>
    <cfRule type="cellIs" dxfId="5757" priority="4478" operator="equal">
      <formula>"NYG"</formula>
    </cfRule>
    <cfRule type="cellIs" dxfId="5756" priority="4479" operator="equal">
      <formula>"NO"</formula>
    </cfRule>
    <cfRule type="cellIs" dxfId="5755" priority="4480" operator="equal">
      <formula>"TEN"</formula>
    </cfRule>
    <cfRule type="cellIs" dxfId="5754" priority="4481" operator="equal">
      <formula>"TB"</formula>
    </cfRule>
    <cfRule type="cellIs" dxfId="5753" priority="4482" operator="equal">
      <formula>"CLE"</formula>
    </cfRule>
    <cfRule type="cellIs" dxfId="5752" priority="4483" operator="equal">
      <formula>"NYJ"</formula>
    </cfRule>
    <cfRule type="cellIs" dxfId="5751" priority="4484" operator="equal">
      <formula>"SEA"</formula>
    </cfRule>
    <cfRule type="cellIs" dxfId="5750" priority="4485" operator="equal">
      <formula>"LAC"</formula>
    </cfRule>
    <cfRule type="cellIs" dxfId="5749" priority="4486" operator="equal">
      <formula>"LAR"</formula>
    </cfRule>
    <cfRule type="cellIs" dxfId="5748" priority="4487" operator="equal">
      <formula>"ATL"</formula>
    </cfRule>
    <cfRule type="cellIs" dxfId="5747" priority="4488" operator="equal">
      <formula>"JAX"</formula>
    </cfRule>
    <cfRule type="cellIs" dxfId="5746" priority="4489" operator="equal">
      <formula>"CHI"</formula>
    </cfRule>
    <cfRule type="cellIs" dxfId="5745" priority="4490" operator="equal">
      <formula>"MIA"</formula>
    </cfRule>
    <cfRule type="cellIs" dxfId="5744" priority="4491" operator="equal">
      <formula>"DET"</formula>
    </cfRule>
    <cfRule type="cellIs" dxfId="5743" priority="4492" operator="equal">
      <formula>"SF"</formula>
    </cfRule>
    <cfRule type="cellIs" dxfId="5742" priority="4493" operator="equal">
      <formula>"WAS"</formula>
    </cfRule>
    <cfRule type="cellIs" dxfId="5741" priority="4494" operator="equal">
      <formula>"GB"</formula>
    </cfRule>
    <cfRule type="cellIs" dxfId="5740" priority="4495" operator="equal">
      <formula>"DAL"</formula>
    </cfRule>
    <cfRule type="cellIs" dxfId="5739" priority="4496" operator="equal">
      <formula>"CIN"</formula>
    </cfRule>
    <cfRule type="cellIs" dxfId="5738" priority="4497" operator="equal">
      <formula>"ARI"</formula>
    </cfRule>
    <cfRule type="cellIs" dxfId="5737" priority="4498" operator="equal">
      <formula>"HOU"</formula>
    </cfRule>
    <cfRule type="cellIs" dxfId="5736" priority="4499" operator="equal">
      <formula>"IND"</formula>
    </cfRule>
    <cfRule type="cellIs" dxfId="5735" priority="4500" operator="equal">
      <formula>"KC"</formula>
    </cfRule>
    <cfRule type="cellIs" dxfId="5734" priority="4501" operator="equal">
      <formula>"BAL"</formula>
    </cfRule>
    <cfRule type="cellIs" dxfId="5733" priority="4502" operator="equal">
      <formula>"PHI"</formula>
    </cfRule>
    <cfRule type="cellIs" dxfId="5732" priority="4503" operator="equal">
      <formula>"BUF"</formula>
    </cfRule>
  </conditionalFormatting>
  <conditionalFormatting sqref="K24">
    <cfRule type="cellIs" dxfId="5731" priority="3478" operator="equal">
      <formula>"LV"</formula>
    </cfRule>
    <cfRule type="cellIs" dxfId="5730" priority="3479" operator="equal">
      <formula>"NE"</formula>
    </cfRule>
    <cfRule type="cellIs" dxfId="5729" priority="3480" operator="equal">
      <formula>"MIN"</formula>
    </cfRule>
    <cfRule type="cellIs" dxfId="5728" priority="3481" operator="equal">
      <formula>"PIT"</formula>
    </cfRule>
    <cfRule type="cellIs" dxfId="5727" priority="3482" operator="equal">
      <formula>"DEN"</formula>
    </cfRule>
    <cfRule type="cellIs" dxfId="5726" priority="3483" operator="equal">
      <formula>"CAR"</formula>
    </cfRule>
    <cfRule type="cellIs" dxfId="5725" priority="3484" operator="equal">
      <formula>"NYG"</formula>
    </cfRule>
    <cfRule type="cellIs" dxfId="5724" priority="3485" operator="equal">
      <formula>"NO"</formula>
    </cfRule>
    <cfRule type="cellIs" dxfId="5723" priority="3486" operator="equal">
      <formula>"TEN"</formula>
    </cfRule>
    <cfRule type="cellIs" dxfId="5722" priority="3487" operator="equal">
      <formula>"TB"</formula>
    </cfRule>
    <cfRule type="cellIs" dxfId="5721" priority="3488" operator="equal">
      <formula>"CLE"</formula>
    </cfRule>
    <cfRule type="cellIs" dxfId="5720" priority="3489" operator="equal">
      <formula>"NYJ"</formula>
    </cfRule>
    <cfRule type="cellIs" dxfId="5719" priority="3490" operator="equal">
      <formula>"SEA"</formula>
    </cfRule>
    <cfRule type="cellIs" dxfId="5718" priority="3491" operator="equal">
      <formula>"LAC"</formula>
    </cfRule>
    <cfRule type="cellIs" dxfId="5717" priority="3492" operator="equal">
      <formula>"LAR"</formula>
    </cfRule>
    <cfRule type="cellIs" dxfId="5716" priority="3493" operator="equal">
      <formula>"ATL"</formula>
    </cfRule>
    <cfRule type="cellIs" dxfId="5715" priority="3494" operator="equal">
      <formula>"JAX"</formula>
    </cfRule>
    <cfRule type="cellIs" dxfId="5714" priority="3495" operator="equal">
      <formula>"CHI"</formula>
    </cfRule>
    <cfRule type="cellIs" dxfId="5713" priority="3496" operator="equal">
      <formula>"MIA"</formula>
    </cfRule>
    <cfRule type="cellIs" dxfId="5712" priority="3497" operator="equal">
      <formula>"DET"</formula>
    </cfRule>
    <cfRule type="cellIs" dxfId="5711" priority="3498" operator="equal">
      <formula>"SF"</formula>
    </cfRule>
    <cfRule type="cellIs" dxfId="5710" priority="3499" operator="equal">
      <formula>"WAS"</formula>
    </cfRule>
    <cfRule type="cellIs" dxfId="5709" priority="3500" operator="equal">
      <formula>"GB"</formula>
    </cfRule>
    <cfRule type="cellIs" dxfId="5708" priority="3501" operator="equal">
      <formula>"DAL"</formula>
    </cfRule>
    <cfRule type="cellIs" dxfId="5707" priority="3502" operator="equal">
      <formula>"CIN"</formula>
    </cfRule>
    <cfRule type="cellIs" dxfId="5706" priority="3503" operator="equal">
      <formula>"ARI"</formula>
    </cfRule>
    <cfRule type="cellIs" dxfId="5705" priority="3504" operator="equal">
      <formula>"HOU"</formula>
    </cfRule>
    <cfRule type="cellIs" dxfId="5704" priority="3505" operator="equal">
      <formula>"IND"</formula>
    </cfRule>
    <cfRule type="cellIs" dxfId="5703" priority="3506" operator="equal">
      <formula>"KC"</formula>
    </cfRule>
    <cfRule type="cellIs" dxfId="5702" priority="3507" operator="equal">
      <formula>"BAL"</formula>
    </cfRule>
    <cfRule type="cellIs" dxfId="5701" priority="3508" operator="equal">
      <formula>"PHI"</formula>
    </cfRule>
    <cfRule type="cellIs" dxfId="5700" priority="3509" operator="equal">
      <formula>"BUF"</formula>
    </cfRule>
  </conditionalFormatting>
  <conditionalFormatting sqref="K47">
    <cfRule type="cellIs" dxfId="5699" priority="2654" operator="equal">
      <formula>"LV"</formula>
    </cfRule>
    <cfRule type="cellIs" dxfId="5698" priority="2655" operator="equal">
      <formula>"NE"</formula>
    </cfRule>
    <cfRule type="cellIs" dxfId="5697" priority="2656" operator="equal">
      <formula>"MIN"</formula>
    </cfRule>
    <cfRule type="cellIs" dxfId="5696" priority="2657" operator="equal">
      <formula>"PIT"</formula>
    </cfRule>
    <cfRule type="cellIs" dxfId="5695" priority="2658" operator="equal">
      <formula>"DEN"</formula>
    </cfRule>
    <cfRule type="cellIs" dxfId="5694" priority="2659" operator="equal">
      <formula>"CAR"</formula>
    </cfRule>
    <cfRule type="cellIs" dxfId="5693" priority="2660" operator="equal">
      <formula>"NYG"</formula>
    </cfRule>
    <cfRule type="cellIs" dxfId="5692" priority="2661" operator="equal">
      <formula>"NO"</formula>
    </cfRule>
    <cfRule type="cellIs" dxfId="5691" priority="2662" operator="equal">
      <formula>"TEN"</formula>
    </cfRule>
    <cfRule type="cellIs" dxfId="5690" priority="2663" operator="equal">
      <formula>"TB"</formula>
    </cfRule>
    <cfRule type="cellIs" dxfId="5689" priority="2664" operator="equal">
      <formula>"CLE"</formula>
    </cfRule>
    <cfRule type="cellIs" dxfId="5688" priority="2665" operator="equal">
      <formula>"NYJ"</formula>
    </cfRule>
    <cfRule type="cellIs" dxfId="5687" priority="2666" operator="equal">
      <formula>"SEA"</formula>
    </cfRule>
    <cfRule type="cellIs" dxfId="5686" priority="2667" operator="equal">
      <formula>"LAC"</formula>
    </cfRule>
    <cfRule type="cellIs" dxfId="5685" priority="2668" operator="equal">
      <formula>"LAR"</formula>
    </cfRule>
    <cfRule type="cellIs" dxfId="5684" priority="2669" operator="equal">
      <formula>"ATL"</formula>
    </cfRule>
    <cfRule type="cellIs" dxfId="5683" priority="2670" operator="equal">
      <formula>"JAX"</formula>
    </cfRule>
    <cfRule type="cellIs" dxfId="5682" priority="2671" operator="equal">
      <formula>"CHI"</formula>
    </cfRule>
    <cfRule type="cellIs" dxfId="5681" priority="2672" operator="equal">
      <formula>"MIA"</formula>
    </cfRule>
    <cfRule type="cellIs" dxfId="5680" priority="2673" operator="equal">
      <formula>"DET"</formula>
    </cfRule>
    <cfRule type="cellIs" dxfId="5679" priority="2674" operator="equal">
      <formula>"SF"</formula>
    </cfRule>
    <cfRule type="cellIs" dxfId="5678" priority="2675" operator="equal">
      <formula>"WAS"</formula>
    </cfRule>
    <cfRule type="cellIs" dxfId="5677" priority="2676" operator="equal">
      <formula>"GB"</formula>
    </cfRule>
    <cfRule type="cellIs" dxfId="5676" priority="2677" operator="equal">
      <formula>"DAL"</formula>
    </cfRule>
    <cfRule type="cellIs" dxfId="5675" priority="2678" operator="equal">
      <formula>"CIN"</formula>
    </cfRule>
    <cfRule type="cellIs" dxfId="5674" priority="2679" operator="equal">
      <formula>"ARI"</formula>
    </cfRule>
    <cfRule type="cellIs" dxfId="5673" priority="2680" operator="equal">
      <formula>"HOU"</formula>
    </cfRule>
    <cfRule type="cellIs" dxfId="5672" priority="2681" operator="equal">
      <formula>"IND"</formula>
    </cfRule>
    <cfRule type="cellIs" dxfId="5671" priority="2682" operator="equal">
      <formula>"KC"</formula>
    </cfRule>
    <cfRule type="cellIs" dxfId="5670" priority="2683" operator="equal">
      <formula>"BAL"</formula>
    </cfRule>
    <cfRule type="cellIs" dxfId="5669" priority="2684" operator="equal">
      <formula>"PHI"</formula>
    </cfRule>
    <cfRule type="cellIs" dxfId="5668" priority="2685" operator="equal">
      <formula>"BUF"</formula>
    </cfRule>
  </conditionalFormatting>
  <conditionalFormatting sqref="K70">
    <cfRule type="cellIs" dxfId="5667" priority="1830" operator="equal">
      <formula>"LV"</formula>
    </cfRule>
    <cfRule type="cellIs" dxfId="5666" priority="1831" operator="equal">
      <formula>"NE"</formula>
    </cfRule>
    <cfRule type="cellIs" dxfId="5665" priority="1832" operator="equal">
      <formula>"MIN"</formula>
    </cfRule>
    <cfRule type="cellIs" dxfId="5664" priority="1833" operator="equal">
      <formula>"PIT"</formula>
    </cfRule>
    <cfRule type="cellIs" dxfId="5663" priority="1834" operator="equal">
      <formula>"DEN"</formula>
    </cfRule>
    <cfRule type="cellIs" dxfId="5662" priority="1835" operator="equal">
      <formula>"CAR"</formula>
    </cfRule>
    <cfRule type="cellIs" dxfId="5661" priority="1836" operator="equal">
      <formula>"NYG"</formula>
    </cfRule>
    <cfRule type="cellIs" dxfId="5660" priority="1837" operator="equal">
      <formula>"NO"</formula>
    </cfRule>
    <cfRule type="cellIs" dxfId="5659" priority="1838" operator="equal">
      <formula>"TEN"</formula>
    </cfRule>
    <cfRule type="cellIs" dxfId="5658" priority="1839" operator="equal">
      <formula>"TB"</formula>
    </cfRule>
    <cfRule type="cellIs" dxfId="5657" priority="1840" operator="equal">
      <formula>"CLE"</formula>
    </cfRule>
    <cfRule type="cellIs" dxfId="5656" priority="1841" operator="equal">
      <formula>"NYJ"</formula>
    </cfRule>
    <cfRule type="cellIs" dxfId="5655" priority="1842" operator="equal">
      <formula>"SEA"</formula>
    </cfRule>
    <cfRule type="cellIs" dxfId="5654" priority="1843" operator="equal">
      <formula>"LAC"</formula>
    </cfRule>
    <cfRule type="cellIs" dxfId="5653" priority="1844" operator="equal">
      <formula>"LAR"</formula>
    </cfRule>
    <cfRule type="cellIs" dxfId="5652" priority="1845" operator="equal">
      <formula>"ATL"</formula>
    </cfRule>
    <cfRule type="cellIs" dxfId="5651" priority="1846" operator="equal">
      <formula>"JAX"</formula>
    </cfRule>
    <cfRule type="cellIs" dxfId="5650" priority="1847" operator="equal">
      <formula>"CHI"</formula>
    </cfRule>
    <cfRule type="cellIs" dxfId="5649" priority="1848" operator="equal">
      <formula>"MIA"</formula>
    </cfRule>
    <cfRule type="cellIs" dxfId="5648" priority="1849" operator="equal">
      <formula>"DET"</formula>
    </cfRule>
    <cfRule type="cellIs" dxfId="5647" priority="1850" operator="equal">
      <formula>"SF"</formula>
    </cfRule>
    <cfRule type="cellIs" dxfId="5646" priority="1851" operator="equal">
      <formula>"WAS"</formula>
    </cfRule>
    <cfRule type="cellIs" dxfId="5645" priority="1852" operator="equal">
      <formula>"GB"</formula>
    </cfRule>
    <cfRule type="cellIs" dxfId="5644" priority="1853" operator="equal">
      <formula>"DAL"</formula>
    </cfRule>
    <cfRule type="cellIs" dxfId="5643" priority="1854" operator="equal">
      <formula>"CIN"</formula>
    </cfRule>
    <cfRule type="cellIs" dxfId="5642" priority="1855" operator="equal">
      <formula>"ARI"</formula>
    </cfRule>
    <cfRule type="cellIs" dxfId="5641" priority="1856" operator="equal">
      <formula>"HOU"</formula>
    </cfRule>
    <cfRule type="cellIs" dxfId="5640" priority="1857" operator="equal">
      <formula>"IND"</formula>
    </cfRule>
    <cfRule type="cellIs" dxfId="5639" priority="1858" operator="equal">
      <formula>"KC"</formula>
    </cfRule>
    <cfRule type="cellIs" dxfId="5638" priority="1859" operator="equal">
      <formula>"BAL"</formula>
    </cfRule>
    <cfRule type="cellIs" dxfId="5637" priority="1860" operator="equal">
      <formula>"PHI"</formula>
    </cfRule>
    <cfRule type="cellIs" dxfId="5636" priority="1861" operator="equal">
      <formula>"BUF"</formula>
    </cfRule>
  </conditionalFormatting>
  <conditionalFormatting sqref="L3:L22">
    <cfRule type="cellIs" dxfId="5635" priority="4340" operator="equal">
      <formula>"BAL"</formula>
    </cfRule>
  </conditionalFormatting>
  <conditionalFormatting sqref="L26:L45">
    <cfRule type="cellIs" dxfId="5634" priority="3465" operator="equal">
      <formula>"DET"</formula>
    </cfRule>
  </conditionalFormatting>
  <conditionalFormatting sqref="L49:L68">
    <cfRule type="cellIs" dxfId="5633" priority="2622" operator="equal">
      <formula>"LV"</formula>
    </cfRule>
  </conditionalFormatting>
  <conditionalFormatting sqref="L72:L91">
    <cfRule type="cellIs" dxfId="5632" priority="1801" operator="equal">
      <formula>"PIT"</formula>
    </cfRule>
  </conditionalFormatting>
  <conditionalFormatting sqref="P1">
    <cfRule type="cellIs" dxfId="5631" priority="4440" operator="equal">
      <formula>"LV"</formula>
    </cfRule>
    <cfRule type="cellIs" dxfId="5630" priority="4441" operator="equal">
      <formula>"NE"</formula>
    </cfRule>
    <cfRule type="cellIs" dxfId="5629" priority="4442" operator="equal">
      <formula>"MIN"</formula>
    </cfRule>
    <cfRule type="cellIs" dxfId="5628" priority="4443" operator="equal">
      <formula>"PIT"</formula>
    </cfRule>
    <cfRule type="cellIs" dxfId="5627" priority="4444" operator="equal">
      <formula>"DEN"</formula>
    </cfRule>
    <cfRule type="cellIs" dxfId="5626" priority="4445" operator="equal">
      <formula>"CAR"</formula>
    </cfRule>
    <cfRule type="cellIs" dxfId="5625" priority="4446" operator="equal">
      <formula>"NYG"</formula>
    </cfRule>
    <cfRule type="cellIs" dxfId="5624" priority="4447" operator="equal">
      <formula>"NO"</formula>
    </cfRule>
    <cfRule type="cellIs" dxfId="5623" priority="4448" operator="equal">
      <formula>"TEN"</formula>
    </cfRule>
    <cfRule type="cellIs" dxfId="5622" priority="4449" operator="equal">
      <formula>"TB"</formula>
    </cfRule>
    <cfRule type="cellIs" dxfId="5621" priority="4450" operator="equal">
      <formula>"CLE"</formula>
    </cfRule>
    <cfRule type="cellIs" dxfId="5620" priority="4451" operator="equal">
      <formula>"NYJ"</formula>
    </cfRule>
    <cfRule type="cellIs" dxfId="5619" priority="4452" operator="equal">
      <formula>"SEA"</formula>
    </cfRule>
    <cfRule type="cellIs" dxfId="5618" priority="4453" operator="equal">
      <formula>"LAC"</formula>
    </cfRule>
    <cfRule type="cellIs" dxfId="5617" priority="4454" operator="equal">
      <formula>"LAR"</formula>
    </cfRule>
    <cfRule type="cellIs" dxfId="5616" priority="4455" operator="equal">
      <formula>"ATL"</formula>
    </cfRule>
    <cfRule type="cellIs" dxfId="5615" priority="4456" operator="equal">
      <formula>"JAX"</formula>
    </cfRule>
    <cfRule type="cellIs" dxfId="5614" priority="4457" operator="equal">
      <formula>"CHI"</formula>
    </cfRule>
    <cfRule type="cellIs" dxfId="5613" priority="4458" operator="equal">
      <formula>"MIA"</formula>
    </cfRule>
    <cfRule type="cellIs" dxfId="5612" priority="4459" operator="equal">
      <formula>"DET"</formula>
    </cfRule>
    <cfRule type="cellIs" dxfId="5611" priority="4460" operator="equal">
      <formula>"SF"</formula>
    </cfRule>
    <cfRule type="cellIs" dxfId="5610" priority="4461" operator="equal">
      <formula>"WAS"</formula>
    </cfRule>
    <cfRule type="cellIs" dxfId="5609" priority="4462" operator="equal">
      <formula>"GB"</formula>
    </cfRule>
    <cfRule type="cellIs" dxfId="5608" priority="4463" operator="equal">
      <formula>"DAL"</formula>
    </cfRule>
    <cfRule type="cellIs" dxfId="5607" priority="4464" operator="equal">
      <formula>"CIN"</formula>
    </cfRule>
    <cfRule type="cellIs" dxfId="5606" priority="4465" operator="equal">
      <formula>"ARI"</formula>
    </cfRule>
    <cfRule type="cellIs" dxfId="5605" priority="4466" operator="equal">
      <formula>"HOU"</formula>
    </cfRule>
    <cfRule type="cellIs" dxfId="5604" priority="4467" operator="equal">
      <formula>"IND"</formula>
    </cfRule>
    <cfRule type="cellIs" dxfId="5603" priority="4468" operator="equal">
      <formula>"KC"</formula>
    </cfRule>
    <cfRule type="cellIs" dxfId="5602" priority="4469" operator="equal">
      <formula>"BAL"</formula>
    </cfRule>
    <cfRule type="cellIs" dxfId="5601" priority="4470" operator="equal">
      <formula>"PHI"</formula>
    </cfRule>
    <cfRule type="cellIs" dxfId="5600" priority="4471" operator="equal">
      <formula>"BUF"</formula>
    </cfRule>
  </conditionalFormatting>
  <conditionalFormatting sqref="P24">
    <cfRule type="cellIs" dxfId="5599" priority="3375" operator="equal">
      <formula>"LV"</formula>
    </cfRule>
    <cfRule type="cellIs" dxfId="5598" priority="3376" operator="equal">
      <formula>"NE"</formula>
    </cfRule>
    <cfRule type="cellIs" dxfId="5597" priority="3377" operator="equal">
      <formula>"MIN"</formula>
    </cfRule>
    <cfRule type="cellIs" dxfId="5596" priority="3378" operator="equal">
      <formula>"PIT"</formula>
    </cfRule>
    <cfRule type="cellIs" dxfId="5595" priority="3379" operator="equal">
      <formula>"DEN"</formula>
    </cfRule>
    <cfRule type="cellIs" dxfId="5594" priority="3380" operator="equal">
      <formula>"CAR"</formula>
    </cfRule>
    <cfRule type="cellIs" dxfId="5593" priority="3381" operator="equal">
      <formula>"NYG"</formula>
    </cfRule>
    <cfRule type="cellIs" dxfId="5592" priority="3382" operator="equal">
      <formula>"NO"</formula>
    </cfRule>
    <cfRule type="cellIs" dxfId="5591" priority="3383" operator="equal">
      <formula>"TEN"</formula>
    </cfRule>
    <cfRule type="cellIs" dxfId="5590" priority="3384" operator="equal">
      <formula>"TB"</formula>
    </cfRule>
    <cfRule type="cellIs" dxfId="5589" priority="3385" operator="equal">
      <formula>"CLE"</formula>
    </cfRule>
    <cfRule type="cellIs" dxfId="5588" priority="3386" operator="equal">
      <formula>"NYJ"</formula>
    </cfRule>
    <cfRule type="cellIs" dxfId="5587" priority="3387" operator="equal">
      <formula>"SEA"</formula>
    </cfRule>
    <cfRule type="cellIs" dxfId="5586" priority="3388" operator="equal">
      <formula>"LAC"</formula>
    </cfRule>
    <cfRule type="cellIs" dxfId="5585" priority="3389" operator="equal">
      <formula>"LAR"</formula>
    </cfRule>
    <cfRule type="cellIs" dxfId="5584" priority="3390" operator="equal">
      <formula>"ATL"</formula>
    </cfRule>
    <cfRule type="cellIs" dxfId="5583" priority="3391" operator="equal">
      <formula>"JAX"</formula>
    </cfRule>
    <cfRule type="cellIs" dxfId="5582" priority="3392" operator="equal">
      <formula>"CHI"</formula>
    </cfRule>
    <cfRule type="cellIs" dxfId="5581" priority="3393" operator="equal">
      <formula>"MIA"</formula>
    </cfRule>
    <cfRule type="cellIs" dxfId="5580" priority="3394" operator="equal">
      <formula>"DET"</formula>
    </cfRule>
    <cfRule type="cellIs" dxfId="5579" priority="3395" operator="equal">
      <formula>"SF"</formula>
    </cfRule>
    <cfRule type="cellIs" dxfId="5578" priority="3396" operator="equal">
      <formula>"WAS"</formula>
    </cfRule>
    <cfRule type="cellIs" dxfId="5577" priority="3397" operator="equal">
      <formula>"GB"</formula>
    </cfRule>
    <cfRule type="cellIs" dxfId="5576" priority="3398" operator="equal">
      <formula>"DAL"</formula>
    </cfRule>
    <cfRule type="cellIs" dxfId="5575" priority="3399" operator="equal">
      <formula>"CIN"</formula>
    </cfRule>
    <cfRule type="cellIs" dxfId="5574" priority="3400" operator="equal">
      <formula>"ARI"</formula>
    </cfRule>
    <cfRule type="cellIs" dxfId="5573" priority="3401" operator="equal">
      <formula>"HOU"</formula>
    </cfRule>
    <cfRule type="cellIs" dxfId="5572" priority="3402" operator="equal">
      <formula>"IND"</formula>
    </cfRule>
    <cfRule type="cellIs" dxfId="5571" priority="3403" operator="equal">
      <formula>"KC"</formula>
    </cfRule>
    <cfRule type="cellIs" dxfId="5570" priority="3404" operator="equal">
      <formula>"BAL"</formula>
    </cfRule>
    <cfRule type="cellIs" dxfId="5569" priority="3405" operator="equal">
      <formula>"PHI"</formula>
    </cfRule>
    <cfRule type="cellIs" dxfId="5568" priority="3406" operator="equal">
      <formula>"BUF"</formula>
    </cfRule>
  </conditionalFormatting>
  <conditionalFormatting sqref="P47">
    <cfRule type="cellIs" dxfId="5567" priority="2551" operator="equal">
      <formula>"LV"</formula>
    </cfRule>
    <cfRule type="cellIs" dxfId="5566" priority="2552" operator="equal">
      <formula>"NE"</formula>
    </cfRule>
    <cfRule type="cellIs" dxfId="5565" priority="2553" operator="equal">
      <formula>"MIN"</formula>
    </cfRule>
    <cfRule type="cellIs" dxfId="5564" priority="2554" operator="equal">
      <formula>"PIT"</formula>
    </cfRule>
    <cfRule type="cellIs" dxfId="5563" priority="2555" operator="equal">
      <formula>"DEN"</formula>
    </cfRule>
    <cfRule type="cellIs" dxfId="5562" priority="2556" operator="equal">
      <formula>"CAR"</formula>
    </cfRule>
    <cfRule type="cellIs" dxfId="5561" priority="2557" operator="equal">
      <formula>"NYG"</formula>
    </cfRule>
    <cfRule type="cellIs" dxfId="5560" priority="2558" operator="equal">
      <formula>"NO"</formula>
    </cfRule>
    <cfRule type="cellIs" dxfId="5559" priority="2559" operator="equal">
      <formula>"TEN"</formula>
    </cfRule>
    <cfRule type="cellIs" dxfId="5558" priority="2560" operator="equal">
      <formula>"TB"</formula>
    </cfRule>
    <cfRule type="cellIs" dxfId="5557" priority="2561" operator="equal">
      <formula>"CLE"</formula>
    </cfRule>
    <cfRule type="cellIs" dxfId="5556" priority="2562" operator="equal">
      <formula>"NYJ"</formula>
    </cfRule>
    <cfRule type="cellIs" dxfId="5555" priority="2563" operator="equal">
      <formula>"SEA"</formula>
    </cfRule>
    <cfRule type="cellIs" dxfId="5554" priority="2564" operator="equal">
      <formula>"LAC"</formula>
    </cfRule>
    <cfRule type="cellIs" dxfId="5553" priority="2565" operator="equal">
      <formula>"LAR"</formula>
    </cfRule>
    <cfRule type="cellIs" dxfId="5552" priority="2566" operator="equal">
      <formula>"ATL"</formula>
    </cfRule>
    <cfRule type="cellIs" dxfId="5551" priority="2567" operator="equal">
      <formula>"JAX"</formula>
    </cfRule>
    <cfRule type="cellIs" dxfId="5550" priority="2568" operator="equal">
      <formula>"CHI"</formula>
    </cfRule>
    <cfRule type="cellIs" dxfId="5549" priority="2569" operator="equal">
      <formula>"MIA"</formula>
    </cfRule>
    <cfRule type="cellIs" dxfId="5548" priority="2570" operator="equal">
      <formula>"DET"</formula>
    </cfRule>
    <cfRule type="cellIs" dxfId="5547" priority="2571" operator="equal">
      <formula>"SF"</formula>
    </cfRule>
    <cfRule type="cellIs" dxfId="5546" priority="2572" operator="equal">
      <formula>"WAS"</formula>
    </cfRule>
    <cfRule type="cellIs" dxfId="5545" priority="2573" operator="equal">
      <formula>"GB"</formula>
    </cfRule>
    <cfRule type="cellIs" dxfId="5544" priority="2574" operator="equal">
      <formula>"DAL"</formula>
    </cfRule>
    <cfRule type="cellIs" dxfId="5543" priority="2575" operator="equal">
      <formula>"CIN"</formula>
    </cfRule>
    <cfRule type="cellIs" dxfId="5542" priority="2576" operator="equal">
      <formula>"ARI"</formula>
    </cfRule>
    <cfRule type="cellIs" dxfId="5541" priority="2577" operator="equal">
      <formula>"HOU"</formula>
    </cfRule>
    <cfRule type="cellIs" dxfId="5540" priority="2578" operator="equal">
      <formula>"IND"</formula>
    </cfRule>
    <cfRule type="cellIs" dxfId="5539" priority="2579" operator="equal">
      <formula>"KC"</formula>
    </cfRule>
    <cfRule type="cellIs" dxfId="5538" priority="2580" operator="equal">
      <formula>"BAL"</formula>
    </cfRule>
    <cfRule type="cellIs" dxfId="5537" priority="2581" operator="equal">
      <formula>"PHI"</formula>
    </cfRule>
    <cfRule type="cellIs" dxfId="5536" priority="2582" operator="equal">
      <formula>"BUF"</formula>
    </cfRule>
  </conditionalFormatting>
  <conditionalFormatting sqref="P70">
    <cfRule type="cellIs" dxfId="5535" priority="1727" operator="equal">
      <formula>"LV"</formula>
    </cfRule>
    <cfRule type="cellIs" dxfId="5534" priority="1728" operator="equal">
      <formula>"NE"</formula>
    </cfRule>
    <cfRule type="cellIs" dxfId="5533" priority="1729" operator="equal">
      <formula>"MIN"</formula>
    </cfRule>
    <cfRule type="cellIs" dxfId="5532" priority="1730" operator="equal">
      <formula>"PIT"</formula>
    </cfRule>
    <cfRule type="cellIs" dxfId="5531" priority="1731" operator="equal">
      <formula>"DEN"</formula>
    </cfRule>
    <cfRule type="cellIs" dxfId="5530" priority="1732" operator="equal">
      <formula>"CAR"</formula>
    </cfRule>
    <cfRule type="cellIs" dxfId="5529" priority="1733" operator="equal">
      <formula>"NYG"</formula>
    </cfRule>
    <cfRule type="cellIs" dxfId="5528" priority="1734" operator="equal">
      <formula>"NO"</formula>
    </cfRule>
    <cfRule type="cellIs" dxfId="5527" priority="1735" operator="equal">
      <formula>"TEN"</formula>
    </cfRule>
    <cfRule type="cellIs" dxfId="5526" priority="1736" operator="equal">
      <formula>"TB"</formula>
    </cfRule>
    <cfRule type="cellIs" dxfId="5525" priority="1737" operator="equal">
      <formula>"CLE"</formula>
    </cfRule>
    <cfRule type="cellIs" dxfId="5524" priority="1738" operator="equal">
      <formula>"NYJ"</formula>
    </cfRule>
    <cfRule type="cellIs" dxfId="5523" priority="1739" operator="equal">
      <formula>"SEA"</formula>
    </cfRule>
    <cfRule type="cellIs" dxfId="5522" priority="1740" operator="equal">
      <formula>"LAC"</formula>
    </cfRule>
    <cfRule type="cellIs" dxfId="5521" priority="1741" operator="equal">
      <formula>"LAR"</formula>
    </cfRule>
    <cfRule type="cellIs" dxfId="5520" priority="1742" operator="equal">
      <formula>"ATL"</formula>
    </cfRule>
    <cfRule type="cellIs" dxfId="5519" priority="1743" operator="equal">
      <formula>"JAX"</formula>
    </cfRule>
    <cfRule type="cellIs" dxfId="5518" priority="1744" operator="equal">
      <formula>"CHI"</formula>
    </cfRule>
    <cfRule type="cellIs" dxfId="5517" priority="1745" operator="equal">
      <formula>"MIA"</formula>
    </cfRule>
    <cfRule type="cellIs" dxfId="5516" priority="1746" operator="equal">
      <formula>"DET"</formula>
    </cfRule>
    <cfRule type="cellIs" dxfId="5515" priority="1747" operator="equal">
      <formula>"SF"</formula>
    </cfRule>
    <cfRule type="cellIs" dxfId="5514" priority="1748" operator="equal">
      <formula>"WAS"</formula>
    </cfRule>
    <cfRule type="cellIs" dxfId="5513" priority="1749" operator="equal">
      <formula>"GB"</formula>
    </cfRule>
    <cfRule type="cellIs" dxfId="5512" priority="1750" operator="equal">
      <formula>"DAL"</formula>
    </cfRule>
    <cfRule type="cellIs" dxfId="5511" priority="1751" operator="equal">
      <formula>"CIN"</formula>
    </cfRule>
    <cfRule type="cellIs" dxfId="5510" priority="1752" operator="equal">
      <formula>"ARI"</formula>
    </cfRule>
    <cfRule type="cellIs" dxfId="5509" priority="1753" operator="equal">
      <formula>"HOU"</formula>
    </cfRule>
    <cfRule type="cellIs" dxfId="5508" priority="1754" operator="equal">
      <formula>"IND"</formula>
    </cfRule>
    <cfRule type="cellIs" dxfId="5507" priority="1755" operator="equal">
      <formula>"KC"</formula>
    </cfRule>
    <cfRule type="cellIs" dxfId="5506" priority="1756" operator="equal">
      <formula>"BAL"</formula>
    </cfRule>
    <cfRule type="cellIs" dxfId="5505" priority="1757" operator="equal">
      <formula>"PHI"</formula>
    </cfRule>
    <cfRule type="cellIs" dxfId="5504" priority="1758" operator="equal">
      <formula>"BUF"</formula>
    </cfRule>
  </conditionalFormatting>
  <conditionalFormatting sqref="Q3:Q23">
    <cfRule type="cellIs" dxfId="5503" priority="4310" operator="equal">
      <formula>"BUF"</formula>
    </cfRule>
  </conditionalFormatting>
  <conditionalFormatting sqref="Q26:Q45">
    <cfRule type="cellIs" dxfId="5502" priority="1044" operator="equal">
      <formula>"GB"</formula>
    </cfRule>
  </conditionalFormatting>
  <conditionalFormatting sqref="Q49:Q68">
    <cfRule type="cellIs" dxfId="5501" priority="704" operator="equal">
      <formula>"MIA"</formula>
    </cfRule>
  </conditionalFormatting>
  <conditionalFormatting sqref="Q72:Q91">
    <cfRule type="cellIs" dxfId="5500" priority="1707" operator="equal">
      <formula>"SEA"</formula>
    </cfRule>
  </conditionalFormatting>
  <conditionalFormatting sqref="S49:S68">
    <cfRule type="colorScale" priority="595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72:S91 AM72:AM91 AH72:AH91 AC72:AC91 X72:X91 N72:N91 I72:I91 D72:D91 D3:D22 I3:I22 N3:N22 S3:S23 X3:X22 AC3:AC22 AH3:AH22 AM3:AM22 AM26:AM45 AM49:AM68 AH49:AH68 AH26:AH45 AC26:AC45 AC49:AC68 X26:X45 X49:X68 N49:N68 N26:N45 I26:I45 I49:I68 D49:D68 D26:D45 S26:S45">
    <cfRule type="iconSet" priority="27">
      <iconSet iconSet="3Symbols" showValue="0">
        <cfvo type="percent" val="0"/>
        <cfvo type="num" val="0"/>
        <cfvo type="num" val="1"/>
      </iconSet>
    </cfRule>
    <cfRule type="colorScale" priority="3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U1">
    <cfRule type="cellIs" dxfId="5499" priority="4408" operator="equal">
      <formula>"LV"</formula>
    </cfRule>
    <cfRule type="cellIs" dxfId="5498" priority="4409" operator="equal">
      <formula>"NE"</formula>
    </cfRule>
    <cfRule type="cellIs" dxfId="5497" priority="4410" operator="equal">
      <formula>"MIN"</formula>
    </cfRule>
    <cfRule type="cellIs" dxfId="5496" priority="4411" operator="equal">
      <formula>"PIT"</formula>
    </cfRule>
    <cfRule type="cellIs" dxfId="5495" priority="4412" operator="equal">
      <formula>"DEN"</formula>
    </cfRule>
    <cfRule type="cellIs" dxfId="5494" priority="4413" operator="equal">
      <formula>"CAR"</formula>
    </cfRule>
    <cfRule type="cellIs" dxfId="5493" priority="4414" operator="equal">
      <formula>"NYG"</formula>
    </cfRule>
    <cfRule type="cellIs" dxfId="5492" priority="4415" operator="equal">
      <formula>"NO"</formula>
    </cfRule>
    <cfRule type="cellIs" dxfId="5491" priority="4416" operator="equal">
      <formula>"TEN"</formula>
    </cfRule>
    <cfRule type="cellIs" dxfId="5490" priority="4417" operator="equal">
      <formula>"TB"</formula>
    </cfRule>
    <cfRule type="cellIs" dxfId="5489" priority="4418" operator="equal">
      <formula>"CLE"</formula>
    </cfRule>
    <cfRule type="cellIs" dxfId="5488" priority="4419" operator="equal">
      <formula>"NYJ"</formula>
    </cfRule>
    <cfRule type="cellIs" dxfId="5487" priority="4420" operator="equal">
      <formula>"SEA"</formula>
    </cfRule>
    <cfRule type="cellIs" dxfId="5486" priority="4421" operator="equal">
      <formula>"LAC"</formula>
    </cfRule>
    <cfRule type="cellIs" dxfId="5485" priority="4422" operator="equal">
      <formula>"LAR"</formula>
    </cfRule>
    <cfRule type="cellIs" dxfId="5484" priority="4423" operator="equal">
      <formula>"ATL"</formula>
    </cfRule>
    <cfRule type="cellIs" dxfId="5483" priority="4424" operator="equal">
      <formula>"JAX"</formula>
    </cfRule>
    <cfRule type="cellIs" dxfId="5482" priority="4425" operator="equal">
      <formula>"CHI"</formula>
    </cfRule>
    <cfRule type="cellIs" dxfId="5481" priority="4426" operator="equal">
      <formula>"MIA"</formula>
    </cfRule>
    <cfRule type="cellIs" dxfId="5480" priority="4427" operator="equal">
      <formula>"DET"</formula>
    </cfRule>
    <cfRule type="cellIs" dxfId="5479" priority="4428" operator="equal">
      <formula>"SF"</formula>
    </cfRule>
    <cfRule type="cellIs" dxfId="5478" priority="4429" operator="equal">
      <formula>"WAS"</formula>
    </cfRule>
    <cfRule type="cellIs" dxfId="5477" priority="4430" operator="equal">
      <formula>"GB"</formula>
    </cfRule>
    <cfRule type="cellIs" dxfId="5476" priority="4431" operator="equal">
      <formula>"DAL"</formula>
    </cfRule>
    <cfRule type="cellIs" dxfId="5475" priority="4432" operator="equal">
      <formula>"CIN"</formula>
    </cfRule>
    <cfRule type="cellIs" dxfId="5474" priority="4433" operator="equal">
      <formula>"ARI"</formula>
    </cfRule>
    <cfRule type="cellIs" dxfId="5473" priority="4434" operator="equal">
      <formula>"HOU"</formula>
    </cfRule>
    <cfRule type="cellIs" dxfId="5472" priority="4435" operator="equal">
      <formula>"IND"</formula>
    </cfRule>
    <cfRule type="cellIs" dxfId="5471" priority="4436" operator="equal">
      <formula>"KC"</formula>
    </cfRule>
    <cfRule type="cellIs" dxfId="5470" priority="4437" operator="equal">
      <formula>"BAL"</formula>
    </cfRule>
    <cfRule type="cellIs" dxfId="5469" priority="4438" operator="equal">
      <formula>"PHI"</formula>
    </cfRule>
    <cfRule type="cellIs" dxfId="5468" priority="4439" operator="equal">
      <formula>"BUF"</formula>
    </cfRule>
  </conditionalFormatting>
  <conditionalFormatting sqref="U24">
    <cfRule type="cellIs" dxfId="5467" priority="3272" operator="equal">
      <formula>"LV"</formula>
    </cfRule>
    <cfRule type="cellIs" dxfId="5466" priority="3273" operator="equal">
      <formula>"NE"</formula>
    </cfRule>
    <cfRule type="cellIs" dxfId="5465" priority="3274" operator="equal">
      <formula>"MIN"</formula>
    </cfRule>
    <cfRule type="cellIs" dxfId="5464" priority="3275" operator="equal">
      <formula>"PIT"</formula>
    </cfRule>
    <cfRule type="cellIs" dxfId="5463" priority="3276" operator="equal">
      <formula>"DEN"</formula>
    </cfRule>
    <cfRule type="cellIs" dxfId="5462" priority="3277" operator="equal">
      <formula>"CAR"</formula>
    </cfRule>
    <cfRule type="cellIs" dxfId="5461" priority="3278" operator="equal">
      <formula>"NYG"</formula>
    </cfRule>
    <cfRule type="cellIs" dxfId="5460" priority="3279" operator="equal">
      <formula>"NO"</formula>
    </cfRule>
    <cfRule type="cellIs" dxfId="5459" priority="3280" operator="equal">
      <formula>"TEN"</formula>
    </cfRule>
    <cfRule type="cellIs" dxfId="5458" priority="3281" operator="equal">
      <formula>"TB"</formula>
    </cfRule>
    <cfRule type="cellIs" dxfId="5457" priority="3282" operator="equal">
      <formula>"CLE"</formula>
    </cfRule>
    <cfRule type="cellIs" dxfId="5456" priority="3283" operator="equal">
      <formula>"NYJ"</formula>
    </cfRule>
    <cfRule type="cellIs" dxfId="5455" priority="3284" operator="equal">
      <formula>"SEA"</formula>
    </cfRule>
    <cfRule type="cellIs" dxfId="5454" priority="3285" operator="equal">
      <formula>"LAC"</formula>
    </cfRule>
    <cfRule type="cellIs" dxfId="5453" priority="3286" operator="equal">
      <formula>"LAR"</formula>
    </cfRule>
    <cfRule type="cellIs" dxfId="5452" priority="3287" operator="equal">
      <formula>"ATL"</formula>
    </cfRule>
    <cfRule type="cellIs" dxfId="5451" priority="3288" operator="equal">
      <formula>"JAX"</formula>
    </cfRule>
    <cfRule type="cellIs" dxfId="5450" priority="3289" operator="equal">
      <formula>"CHI"</formula>
    </cfRule>
    <cfRule type="cellIs" dxfId="5449" priority="3290" operator="equal">
      <formula>"MIA"</formula>
    </cfRule>
    <cfRule type="cellIs" dxfId="5448" priority="3291" operator="equal">
      <formula>"DET"</formula>
    </cfRule>
    <cfRule type="cellIs" dxfId="5447" priority="3292" operator="equal">
      <formula>"SF"</formula>
    </cfRule>
    <cfRule type="cellIs" dxfId="5446" priority="3293" operator="equal">
      <formula>"WAS"</formula>
    </cfRule>
    <cfRule type="cellIs" dxfId="5445" priority="3294" operator="equal">
      <formula>"GB"</formula>
    </cfRule>
    <cfRule type="cellIs" dxfId="5444" priority="3295" operator="equal">
      <formula>"DAL"</formula>
    </cfRule>
    <cfRule type="cellIs" dxfId="5443" priority="3296" operator="equal">
      <formula>"CIN"</formula>
    </cfRule>
    <cfRule type="cellIs" dxfId="5442" priority="3297" operator="equal">
      <formula>"ARI"</formula>
    </cfRule>
    <cfRule type="cellIs" dxfId="5441" priority="3298" operator="equal">
      <formula>"HOU"</formula>
    </cfRule>
    <cfRule type="cellIs" dxfId="5440" priority="3299" operator="equal">
      <formula>"IND"</formula>
    </cfRule>
    <cfRule type="cellIs" dxfId="5439" priority="3300" operator="equal">
      <formula>"KC"</formula>
    </cfRule>
    <cfRule type="cellIs" dxfId="5438" priority="3301" operator="equal">
      <formula>"BAL"</formula>
    </cfRule>
    <cfRule type="cellIs" dxfId="5437" priority="3302" operator="equal">
      <formula>"PHI"</formula>
    </cfRule>
    <cfRule type="cellIs" dxfId="5436" priority="3303" operator="equal">
      <formula>"BUF"</formula>
    </cfRule>
  </conditionalFormatting>
  <conditionalFormatting sqref="U47">
    <cfRule type="cellIs" dxfId="5435" priority="2448" operator="equal">
      <formula>"LV"</formula>
    </cfRule>
    <cfRule type="cellIs" dxfId="5434" priority="2449" operator="equal">
      <formula>"NE"</formula>
    </cfRule>
    <cfRule type="cellIs" dxfId="5433" priority="2450" operator="equal">
      <formula>"MIN"</formula>
    </cfRule>
    <cfRule type="cellIs" dxfId="5432" priority="2451" operator="equal">
      <formula>"PIT"</formula>
    </cfRule>
    <cfRule type="cellIs" dxfId="5431" priority="2452" operator="equal">
      <formula>"DEN"</formula>
    </cfRule>
    <cfRule type="cellIs" dxfId="5430" priority="2453" operator="equal">
      <formula>"CAR"</formula>
    </cfRule>
    <cfRule type="cellIs" dxfId="5429" priority="2454" operator="equal">
      <formula>"NYG"</formula>
    </cfRule>
    <cfRule type="cellIs" dxfId="5428" priority="2455" operator="equal">
      <formula>"NO"</formula>
    </cfRule>
    <cfRule type="cellIs" dxfId="5427" priority="2456" operator="equal">
      <formula>"TEN"</formula>
    </cfRule>
    <cfRule type="cellIs" dxfId="5426" priority="2457" operator="equal">
      <formula>"TB"</formula>
    </cfRule>
    <cfRule type="cellIs" dxfId="5425" priority="2458" operator="equal">
      <formula>"CLE"</formula>
    </cfRule>
    <cfRule type="cellIs" dxfId="5424" priority="2459" operator="equal">
      <formula>"NYJ"</formula>
    </cfRule>
    <cfRule type="cellIs" dxfId="5423" priority="2460" operator="equal">
      <formula>"SEA"</formula>
    </cfRule>
    <cfRule type="cellIs" dxfId="5422" priority="2461" operator="equal">
      <formula>"LAC"</formula>
    </cfRule>
    <cfRule type="cellIs" dxfId="5421" priority="2462" operator="equal">
      <formula>"LAR"</formula>
    </cfRule>
    <cfRule type="cellIs" dxfId="5420" priority="2463" operator="equal">
      <formula>"ATL"</formula>
    </cfRule>
    <cfRule type="cellIs" dxfId="5419" priority="2464" operator="equal">
      <formula>"JAX"</formula>
    </cfRule>
    <cfRule type="cellIs" dxfId="5418" priority="2465" operator="equal">
      <formula>"CHI"</formula>
    </cfRule>
    <cfRule type="cellIs" dxfId="5417" priority="2466" operator="equal">
      <formula>"MIA"</formula>
    </cfRule>
    <cfRule type="cellIs" dxfId="5416" priority="2467" operator="equal">
      <formula>"DET"</formula>
    </cfRule>
    <cfRule type="cellIs" dxfId="5415" priority="2468" operator="equal">
      <formula>"SF"</formula>
    </cfRule>
    <cfRule type="cellIs" dxfId="5414" priority="2469" operator="equal">
      <formula>"WAS"</formula>
    </cfRule>
    <cfRule type="cellIs" dxfId="5413" priority="2470" operator="equal">
      <formula>"GB"</formula>
    </cfRule>
    <cfRule type="cellIs" dxfId="5412" priority="2471" operator="equal">
      <formula>"DAL"</formula>
    </cfRule>
    <cfRule type="cellIs" dxfId="5411" priority="2472" operator="equal">
      <formula>"CIN"</formula>
    </cfRule>
    <cfRule type="cellIs" dxfId="5410" priority="2473" operator="equal">
      <formula>"ARI"</formula>
    </cfRule>
    <cfRule type="cellIs" dxfId="5409" priority="2474" operator="equal">
      <formula>"HOU"</formula>
    </cfRule>
    <cfRule type="cellIs" dxfId="5408" priority="2475" operator="equal">
      <formula>"IND"</formula>
    </cfRule>
    <cfRule type="cellIs" dxfId="5407" priority="2476" operator="equal">
      <formula>"KC"</formula>
    </cfRule>
    <cfRule type="cellIs" dxfId="5406" priority="2477" operator="equal">
      <formula>"BAL"</formula>
    </cfRule>
    <cfRule type="cellIs" dxfId="5405" priority="2478" operator="equal">
      <formula>"PHI"</formula>
    </cfRule>
    <cfRule type="cellIs" dxfId="5404" priority="2479" operator="equal">
      <formula>"BUF"</formula>
    </cfRule>
  </conditionalFormatting>
  <conditionalFormatting sqref="U70">
    <cfRule type="cellIs" dxfId="5403" priority="1624" operator="equal">
      <formula>"LV"</formula>
    </cfRule>
    <cfRule type="cellIs" dxfId="5402" priority="1625" operator="equal">
      <formula>"NE"</formula>
    </cfRule>
    <cfRule type="cellIs" dxfId="5401" priority="1626" operator="equal">
      <formula>"MIN"</formula>
    </cfRule>
    <cfRule type="cellIs" dxfId="5400" priority="1627" operator="equal">
      <formula>"PIT"</formula>
    </cfRule>
    <cfRule type="cellIs" dxfId="5399" priority="1628" operator="equal">
      <formula>"DEN"</formula>
    </cfRule>
    <cfRule type="cellIs" dxfId="5398" priority="1629" operator="equal">
      <formula>"CAR"</formula>
    </cfRule>
    <cfRule type="cellIs" dxfId="5397" priority="1630" operator="equal">
      <formula>"NYG"</formula>
    </cfRule>
    <cfRule type="cellIs" dxfId="5396" priority="1631" operator="equal">
      <formula>"NO"</formula>
    </cfRule>
    <cfRule type="cellIs" dxfId="5395" priority="1632" operator="equal">
      <formula>"TEN"</formula>
    </cfRule>
    <cfRule type="cellIs" dxfId="5394" priority="1633" operator="equal">
      <formula>"TB"</formula>
    </cfRule>
    <cfRule type="cellIs" dxfId="5393" priority="1634" operator="equal">
      <formula>"CLE"</formula>
    </cfRule>
    <cfRule type="cellIs" dxfId="5392" priority="1635" operator="equal">
      <formula>"NYJ"</formula>
    </cfRule>
    <cfRule type="cellIs" dxfId="5391" priority="1636" operator="equal">
      <formula>"SEA"</formula>
    </cfRule>
    <cfRule type="cellIs" dxfId="5390" priority="1637" operator="equal">
      <formula>"LAC"</formula>
    </cfRule>
    <cfRule type="cellIs" dxfId="5389" priority="1638" operator="equal">
      <formula>"LAR"</formula>
    </cfRule>
    <cfRule type="cellIs" dxfId="5388" priority="1639" operator="equal">
      <formula>"ATL"</formula>
    </cfRule>
    <cfRule type="cellIs" dxfId="5387" priority="1640" operator="equal">
      <formula>"JAX"</formula>
    </cfRule>
    <cfRule type="cellIs" dxfId="5386" priority="1641" operator="equal">
      <formula>"CHI"</formula>
    </cfRule>
    <cfRule type="cellIs" dxfId="5385" priority="1642" operator="equal">
      <formula>"MIA"</formula>
    </cfRule>
    <cfRule type="cellIs" dxfId="5384" priority="1643" operator="equal">
      <formula>"DET"</formula>
    </cfRule>
    <cfRule type="cellIs" dxfId="5383" priority="1644" operator="equal">
      <formula>"SF"</formula>
    </cfRule>
    <cfRule type="cellIs" dxfId="5382" priority="1645" operator="equal">
      <formula>"WAS"</formula>
    </cfRule>
    <cfRule type="cellIs" dxfId="5381" priority="1646" operator="equal">
      <formula>"GB"</formula>
    </cfRule>
    <cfRule type="cellIs" dxfId="5380" priority="1647" operator="equal">
      <formula>"DAL"</formula>
    </cfRule>
    <cfRule type="cellIs" dxfId="5379" priority="1648" operator="equal">
      <formula>"CIN"</formula>
    </cfRule>
    <cfRule type="cellIs" dxfId="5378" priority="1649" operator="equal">
      <formula>"ARI"</formula>
    </cfRule>
    <cfRule type="cellIs" dxfId="5377" priority="1650" operator="equal">
      <formula>"HOU"</formula>
    </cfRule>
    <cfRule type="cellIs" dxfId="5376" priority="1651" operator="equal">
      <formula>"IND"</formula>
    </cfRule>
    <cfRule type="cellIs" dxfId="5375" priority="1652" operator="equal">
      <formula>"KC"</formula>
    </cfRule>
    <cfRule type="cellIs" dxfId="5374" priority="1653" operator="equal">
      <formula>"BAL"</formula>
    </cfRule>
    <cfRule type="cellIs" dxfId="5373" priority="1654" operator="equal">
      <formula>"PHI"</formula>
    </cfRule>
    <cfRule type="cellIs" dxfId="5372" priority="1655" operator="equal">
      <formula>"BUF"</formula>
    </cfRule>
  </conditionalFormatting>
  <conditionalFormatting sqref="V3:V22">
    <cfRule type="cellIs" dxfId="5371" priority="4252" operator="equal">
      <formula>"CAR"</formula>
    </cfRule>
  </conditionalFormatting>
  <conditionalFormatting sqref="V26:V45">
    <cfRule type="cellIs" dxfId="5370" priority="1016" operator="equal">
      <formula>"HOU"</formula>
    </cfRule>
  </conditionalFormatting>
  <conditionalFormatting sqref="V49:V68">
    <cfRule type="cellIs" dxfId="5369" priority="2418" operator="equal">
      <formula>"MIN"</formula>
    </cfRule>
  </conditionalFormatting>
  <conditionalFormatting sqref="V72:V91">
    <cfRule type="cellIs" dxfId="5368" priority="300" operator="equal">
      <formula>"SF"</formula>
    </cfRule>
  </conditionalFormatting>
  <conditionalFormatting sqref="Z1">
    <cfRule type="cellIs" dxfId="5367" priority="4215" operator="equal">
      <formula>"LV"</formula>
    </cfRule>
    <cfRule type="cellIs" dxfId="5366" priority="4216" operator="equal">
      <formula>"NE"</formula>
    </cfRule>
    <cfRule type="cellIs" dxfId="5365" priority="4217" operator="equal">
      <formula>"MIN"</formula>
    </cfRule>
    <cfRule type="cellIs" dxfId="5364" priority="4218" operator="equal">
      <formula>"PIT"</formula>
    </cfRule>
    <cfRule type="cellIs" dxfId="5363" priority="4219" operator="equal">
      <formula>"DEN"</formula>
    </cfRule>
    <cfRule type="cellIs" dxfId="5362" priority="4220" operator="equal">
      <formula>"CAR"</formula>
    </cfRule>
    <cfRule type="cellIs" dxfId="5361" priority="4221" operator="equal">
      <formula>"NYG"</formula>
    </cfRule>
    <cfRule type="cellIs" dxfId="5360" priority="4222" operator="equal">
      <formula>"NO"</formula>
    </cfRule>
    <cfRule type="cellIs" dxfId="5359" priority="4223" operator="equal">
      <formula>"TEN"</formula>
    </cfRule>
    <cfRule type="cellIs" dxfId="5358" priority="4224" operator="equal">
      <formula>"TB"</formula>
    </cfRule>
    <cfRule type="cellIs" dxfId="5357" priority="4225" operator="equal">
      <formula>"CLE"</formula>
    </cfRule>
    <cfRule type="cellIs" dxfId="5356" priority="4226" operator="equal">
      <formula>"NYJ"</formula>
    </cfRule>
    <cfRule type="cellIs" dxfId="5355" priority="4227" operator="equal">
      <formula>"SEA"</formula>
    </cfRule>
    <cfRule type="cellIs" dxfId="5354" priority="4228" operator="equal">
      <formula>"LAC"</formula>
    </cfRule>
    <cfRule type="cellIs" dxfId="5353" priority="4229" operator="equal">
      <formula>"LAR"</formula>
    </cfRule>
    <cfRule type="cellIs" dxfId="5352" priority="4230" operator="equal">
      <formula>"ATL"</formula>
    </cfRule>
    <cfRule type="cellIs" dxfId="5351" priority="4231" operator="equal">
      <formula>"JAX"</formula>
    </cfRule>
    <cfRule type="cellIs" dxfId="5350" priority="4232" operator="equal">
      <formula>"CHI"</formula>
    </cfRule>
    <cfRule type="cellIs" dxfId="5349" priority="4233" operator="equal">
      <formula>"MIA"</formula>
    </cfRule>
    <cfRule type="cellIs" dxfId="5348" priority="4234" operator="equal">
      <formula>"DET"</formula>
    </cfRule>
    <cfRule type="cellIs" dxfId="5347" priority="4235" operator="equal">
      <formula>"SF"</formula>
    </cfRule>
    <cfRule type="cellIs" dxfId="5346" priority="4236" operator="equal">
      <formula>"WAS"</formula>
    </cfRule>
    <cfRule type="cellIs" dxfId="5345" priority="4237" operator="equal">
      <formula>"GB"</formula>
    </cfRule>
    <cfRule type="cellIs" dxfId="5344" priority="4238" operator="equal">
      <formula>"DAL"</formula>
    </cfRule>
    <cfRule type="cellIs" dxfId="5343" priority="4239" operator="equal">
      <formula>"CIN"</formula>
    </cfRule>
    <cfRule type="cellIs" dxfId="5342" priority="4240" operator="equal">
      <formula>"ARI"</formula>
    </cfRule>
    <cfRule type="cellIs" dxfId="5341" priority="4241" operator="equal">
      <formula>"HOU"</formula>
    </cfRule>
    <cfRule type="cellIs" dxfId="5340" priority="4242" operator="equal">
      <formula>"IND"</formula>
    </cfRule>
    <cfRule type="cellIs" dxfId="5339" priority="4243" operator="equal">
      <formula>"KC"</formula>
    </cfRule>
    <cfRule type="cellIs" dxfId="5338" priority="4244" operator="equal">
      <formula>"BAL"</formula>
    </cfRule>
    <cfRule type="cellIs" dxfId="5337" priority="4245" operator="equal">
      <formula>"PHI"</formula>
    </cfRule>
    <cfRule type="cellIs" dxfId="5336" priority="4246" operator="equal">
      <formula>"BUF"</formula>
    </cfRule>
  </conditionalFormatting>
  <conditionalFormatting sqref="Z24">
    <cfRule type="cellIs" dxfId="5335" priority="3169" operator="equal">
      <formula>"LV"</formula>
    </cfRule>
    <cfRule type="cellIs" dxfId="5334" priority="3170" operator="equal">
      <formula>"NE"</formula>
    </cfRule>
    <cfRule type="cellIs" dxfId="5333" priority="3171" operator="equal">
      <formula>"MIN"</formula>
    </cfRule>
    <cfRule type="cellIs" dxfId="5332" priority="3172" operator="equal">
      <formula>"PIT"</formula>
    </cfRule>
    <cfRule type="cellIs" dxfId="5331" priority="3173" operator="equal">
      <formula>"DEN"</formula>
    </cfRule>
    <cfRule type="cellIs" dxfId="5330" priority="3174" operator="equal">
      <formula>"CAR"</formula>
    </cfRule>
    <cfRule type="cellIs" dxfId="5329" priority="3175" operator="equal">
      <formula>"NYG"</formula>
    </cfRule>
    <cfRule type="cellIs" dxfId="5328" priority="3176" operator="equal">
      <formula>"NO"</formula>
    </cfRule>
    <cfRule type="cellIs" dxfId="5327" priority="3177" operator="equal">
      <formula>"TEN"</formula>
    </cfRule>
    <cfRule type="cellIs" dxfId="5326" priority="3178" operator="equal">
      <formula>"TB"</formula>
    </cfRule>
    <cfRule type="cellIs" dxfId="5325" priority="3179" operator="equal">
      <formula>"CLE"</formula>
    </cfRule>
    <cfRule type="cellIs" dxfId="5324" priority="3180" operator="equal">
      <formula>"NYJ"</formula>
    </cfRule>
    <cfRule type="cellIs" dxfId="5323" priority="3181" operator="equal">
      <formula>"SEA"</formula>
    </cfRule>
    <cfRule type="cellIs" dxfId="5322" priority="3182" operator="equal">
      <formula>"LAC"</formula>
    </cfRule>
    <cfRule type="cellIs" dxfId="5321" priority="3183" operator="equal">
      <formula>"LAR"</formula>
    </cfRule>
    <cfRule type="cellIs" dxfId="5320" priority="3184" operator="equal">
      <formula>"ATL"</formula>
    </cfRule>
    <cfRule type="cellIs" dxfId="5319" priority="3185" operator="equal">
      <formula>"JAX"</formula>
    </cfRule>
    <cfRule type="cellIs" dxfId="5318" priority="3186" operator="equal">
      <formula>"CHI"</formula>
    </cfRule>
    <cfRule type="cellIs" dxfId="5317" priority="3187" operator="equal">
      <formula>"MIA"</formula>
    </cfRule>
    <cfRule type="cellIs" dxfId="5316" priority="3188" operator="equal">
      <formula>"DET"</formula>
    </cfRule>
    <cfRule type="cellIs" dxfId="5315" priority="3189" operator="equal">
      <formula>"SF"</formula>
    </cfRule>
    <cfRule type="cellIs" dxfId="5314" priority="3190" operator="equal">
      <formula>"WAS"</formula>
    </cfRule>
    <cfRule type="cellIs" dxfId="5313" priority="3191" operator="equal">
      <formula>"GB"</formula>
    </cfRule>
    <cfRule type="cellIs" dxfId="5312" priority="3192" operator="equal">
      <formula>"DAL"</formula>
    </cfRule>
    <cfRule type="cellIs" dxfId="5311" priority="3193" operator="equal">
      <formula>"CIN"</formula>
    </cfRule>
    <cfRule type="cellIs" dxfId="5310" priority="3194" operator="equal">
      <formula>"ARI"</formula>
    </cfRule>
    <cfRule type="cellIs" dxfId="5309" priority="3195" operator="equal">
      <formula>"HOU"</formula>
    </cfRule>
    <cfRule type="cellIs" dxfId="5308" priority="3196" operator="equal">
      <formula>"IND"</formula>
    </cfRule>
    <cfRule type="cellIs" dxfId="5307" priority="3197" operator="equal">
      <formula>"KC"</formula>
    </cfRule>
    <cfRule type="cellIs" dxfId="5306" priority="3198" operator="equal">
      <formula>"BAL"</formula>
    </cfRule>
    <cfRule type="cellIs" dxfId="5305" priority="3199" operator="equal">
      <formula>"PHI"</formula>
    </cfRule>
    <cfRule type="cellIs" dxfId="5304" priority="3200" operator="equal">
      <formula>"BUF"</formula>
    </cfRule>
  </conditionalFormatting>
  <conditionalFormatting sqref="Z47">
    <cfRule type="cellIs" dxfId="5303" priority="2345" operator="equal">
      <formula>"LV"</formula>
    </cfRule>
    <cfRule type="cellIs" dxfId="5302" priority="2346" operator="equal">
      <formula>"NE"</formula>
    </cfRule>
    <cfRule type="cellIs" dxfId="5301" priority="2347" operator="equal">
      <formula>"MIN"</formula>
    </cfRule>
    <cfRule type="cellIs" dxfId="5300" priority="2348" operator="equal">
      <formula>"PIT"</formula>
    </cfRule>
    <cfRule type="cellIs" dxfId="5299" priority="2349" operator="equal">
      <formula>"DEN"</formula>
    </cfRule>
    <cfRule type="cellIs" dxfId="5298" priority="2350" operator="equal">
      <formula>"CAR"</formula>
    </cfRule>
    <cfRule type="cellIs" dxfId="5297" priority="2351" operator="equal">
      <formula>"NYG"</formula>
    </cfRule>
    <cfRule type="cellIs" dxfId="5296" priority="2352" operator="equal">
      <formula>"NO"</formula>
    </cfRule>
    <cfRule type="cellIs" dxfId="5295" priority="2353" operator="equal">
      <formula>"TEN"</formula>
    </cfRule>
    <cfRule type="cellIs" dxfId="5294" priority="2354" operator="equal">
      <formula>"TB"</formula>
    </cfRule>
    <cfRule type="cellIs" dxfId="5293" priority="2355" operator="equal">
      <formula>"CLE"</formula>
    </cfRule>
    <cfRule type="cellIs" dxfId="5292" priority="2356" operator="equal">
      <formula>"NYJ"</formula>
    </cfRule>
    <cfRule type="cellIs" dxfId="5291" priority="2357" operator="equal">
      <formula>"SEA"</formula>
    </cfRule>
    <cfRule type="cellIs" dxfId="5290" priority="2358" operator="equal">
      <formula>"LAC"</formula>
    </cfRule>
    <cfRule type="cellIs" dxfId="5289" priority="2359" operator="equal">
      <formula>"LAR"</formula>
    </cfRule>
    <cfRule type="cellIs" dxfId="5288" priority="2360" operator="equal">
      <formula>"ATL"</formula>
    </cfRule>
    <cfRule type="cellIs" dxfId="5287" priority="2361" operator="equal">
      <formula>"JAX"</formula>
    </cfRule>
    <cfRule type="cellIs" dxfId="5286" priority="2362" operator="equal">
      <formula>"CHI"</formula>
    </cfRule>
    <cfRule type="cellIs" dxfId="5285" priority="2363" operator="equal">
      <formula>"MIA"</formula>
    </cfRule>
    <cfRule type="cellIs" dxfId="5284" priority="2364" operator="equal">
      <formula>"DET"</formula>
    </cfRule>
    <cfRule type="cellIs" dxfId="5283" priority="2365" operator="equal">
      <formula>"SF"</formula>
    </cfRule>
    <cfRule type="cellIs" dxfId="5282" priority="2366" operator="equal">
      <formula>"WAS"</formula>
    </cfRule>
    <cfRule type="cellIs" dxfId="5281" priority="2367" operator="equal">
      <formula>"GB"</formula>
    </cfRule>
    <cfRule type="cellIs" dxfId="5280" priority="2368" operator="equal">
      <formula>"DAL"</formula>
    </cfRule>
    <cfRule type="cellIs" dxfId="5279" priority="2369" operator="equal">
      <formula>"CIN"</formula>
    </cfRule>
    <cfRule type="cellIs" dxfId="5278" priority="2370" operator="equal">
      <formula>"ARI"</formula>
    </cfRule>
    <cfRule type="cellIs" dxfId="5277" priority="2371" operator="equal">
      <formula>"HOU"</formula>
    </cfRule>
    <cfRule type="cellIs" dxfId="5276" priority="2372" operator="equal">
      <formula>"IND"</formula>
    </cfRule>
    <cfRule type="cellIs" dxfId="5275" priority="2373" operator="equal">
      <formula>"KC"</formula>
    </cfRule>
    <cfRule type="cellIs" dxfId="5274" priority="2374" operator="equal">
      <formula>"BAL"</formula>
    </cfRule>
    <cfRule type="cellIs" dxfId="5273" priority="2375" operator="equal">
      <formula>"PHI"</formula>
    </cfRule>
    <cfRule type="cellIs" dxfId="5272" priority="2376" operator="equal">
      <formula>"BUF"</formula>
    </cfRule>
  </conditionalFormatting>
  <conditionalFormatting sqref="Z70">
    <cfRule type="cellIs" dxfId="5271" priority="1521" operator="equal">
      <formula>"LV"</formula>
    </cfRule>
    <cfRule type="cellIs" dxfId="5270" priority="1522" operator="equal">
      <formula>"NE"</formula>
    </cfRule>
    <cfRule type="cellIs" dxfId="5269" priority="1523" operator="equal">
      <formula>"MIN"</formula>
    </cfRule>
    <cfRule type="cellIs" dxfId="5268" priority="1524" operator="equal">
      <formula>"PIT"</formula>
    </cfRule>
    <cfRule type="cellIs" dxfId="5267" priority="1525" operator="equal">
      <formula>"DEN"</formula>
    </cfRule>
    <cfRule type="cellIs" dxfId="5266" priority="1526" operator="equal">
      <formula>"CAR"</formula>
    </cfRule>
    <cfRule type="cellIs" dxfId="5265" priority="1527" operator="equal">
      <formula>"NYG"</formula>
    </cfRule>
    <cfRule type="cellIs" dxfId="5264" priority="1528" operator="equal">
      <formula>"NO"</formula>
    </cfRule>
    <cfRule type="cellIs" dxfId="5263" priority="1529" operator="equal">
      <formula>"TEN"</formula>
    </cfRule>
    <cfRule type="cellIs" dxfId="5262" priority="1530" operator="equal">
      <formula>"TB"</formula>
    </cfRule>
    <cfRule type="cellIs" dxfId="5261" priority="1531" operator="equal">
      <formula>"CLE"</formula>
    </cfRule>
    <cfRule type="cellIs" dxfId="5260" priority="1532" operator="equal">
      <formula>"NYJ"</formula>
    </cfRule>
    <cfRule type="cellIs" dxfId="5259" priority="1533" operator="equal">
      <formula>"SEA"</formula>
    </cfRule>
    <cfRule type="cellIs" dxfId="5258" priority="1534" operator="equal">
      <formula>"LAC"</formula>
    </cfRule>
    <cfRule type="cellIs" dxfId="5257" priority="1535" operator="equal">
      <formula>"LAR"</formula>
    </cfRule>
    <cfRule type="cellIs" dxfId="5256" priority="1536" operator="equal">
      <formula>"ATL"</formula>
    </cfRule>
    <cfRule type="cellIs" dxfId="5255" priority="1537" operator="equal">
      <formula>"JAX"</formula>
    </cfRule>
    <cfRule type="cellIs" dxfId="5254" priority="1538" operator="equal">
      <formula>"CHI"</formula>
    </cfRule>
    <cfRule type="cellIs" dxfId="5253" priority="1539" operator="equal">
      <formula>"MIA"</formula>
    </cfRule>
    <cfRule type="cellIs" dxfId="5252" priority="1540" operator="equal">
      <formula>"DET"</formula>
    </cfRule>
    <cfRule type="cellIs" dxfId="5251" priority="1541" operator="equal">
      <formula>"SF"</formula>
    </cfRule>
    <cfRule type="cellIs" dxfId="5250" priority="1542" operator="equal">
      <formula>"WAS"</formula>
    </cfRule>
    <cfRule type="cellIs" dxfId="5249" priority="1543" operator="equal">
      <formula>"GB"</formula>
    </cfRule>
    <cfRule type="cellIs" dxfId="5248" priority="1544" operator="equal">
      <formula>"DAL"</formula>
    </cfRule>
    <cfRule type="cellIs" dxfId="5247" priority="1545" operator="equal">
      <formula>"CIN"</formula>
    </cfRule>
    <cfRule type="cellIs" dxfId="5246" priority="1546" operator="equal">
      <formula>"ARI"</formula>
    </cfRule>
    <cfRule type="cellIs" dxfId="5245" priority="1547" operator="equal">
      <formula>"HOU"</formula>
    </cfRule>
    <cfRule type="cellIs" dxfId="5244" priority="1548" operator="equal">
      <formula>"IND"</formula>
    </cfRule>
    <cfRule type="cellIs" dxfId="5243" priority="1549" operator="equal">
      <formula>"KC"</formula>
    </cfRule>
    <cfRule type="cellIs" dxfId="5242" priority="1550" operator="equal">
      <formula>"BAL"</formula>
    </cfRule>
    <cfRule type="cellIs" dxfId="5241" priority="1551" operator="equal">
      <formula>"PHI"</formula>
    </cfRule>
    <cfRule type="cellIs" dxfId="5240" priority="1552" operator="equal">
      <formula>"BUF"</formula>
    </cfRule>
  </conditionalFormatting>
  <conditionalFormatting sqref="AA3:AA22">
    <cfRule type="cellIs" dxfId="5239" priority="4199" operator="equal">
      <formula>"CHI"</formula>
    </cfRule>
  </conditionalFormatting>
  <conditionalFormatting sqref="AA26:AA45">
    <cfRule type="cellIs" dxfId="5238" priority="3164" operator="equal">
      <formula>"IND"</formula>
    </cfRule>
  </conditionalFormatting>
  <conditionalFormatting sqref="AA49:AA68">
    <cfRule type="cellIs" dxfId="5237" priority="611" operator="equal">
      <formula>"NE"</formula>
    </cfRule>
  </conditionalFormatting>
  <conditionalFormatting sqref="AA72:AA91">
    <cfRule type="cellIs" dxfId="5236" priority="1498" operator="equal">
      <formula>"TB"</formula>
    </cfRule>
  </conditionalFormatting>
  <conditionalFormatting sqref="AE1">
    <cfRule type="cellIs" dxfId="5235" priority="3890" operator="equal">
      <formula>"LV"</formula>
    </cfRule>
    <cfRule type="cellIs" dxfId="5234" priority="3891" operator="equal">
      <formula>"NE"</formula>
    </cfRule>
    <cfRule type="cellIs" dxfId="5233" priority="3892" operator="equal">
      <formula>"MIN"</formula>
    </cfRule>
    <cfRule type="cellIs" dxfId="5232" priority="3893" operator="equal">
      <formula>"PIT"</formula>
    </cfRule>
    <cfRule type="cellIs" dxfId="5231" priority="3894" operator="equal">
      <formula>"DEN"</formula>
    </cfRule>
    <cfRule type="cellIs" dxfId="5230" priority="3895" operator="equal">
      <formula>"CAR"</formula>
    </cfRule>
    <cfRule type="cellIs" dxfId="5229" priority="3896" operator="equal">
      <formula>"NYG"</formula>
    </cfRule>
    <cfRule type="cellIs" dxfId="5228" priority="3897" operator="equal">
      <formula>"NO"</formula>
    </cfRule>
    <cfRule type="cellIs" dxfId="5227" priority="3898" operator="equal">
      <formula>"TEN"</formula>
    </cfRule>
    <cfRule type="cellIs" dxfId="5226" priority="3899" operator="equal">
      <formula>"TB"</formula>
    </cfRule>
    <cfRule type="cellIs" dxfId="5225" priority="3900" operator="equal">
      <formula>"CLE"</formula>
    </cfRule>
    <cfRule type="cellIs" dxfId="5224" priority="3901" operator="equal">
      <formula>"NYJ"</formula>
    </cfRule>
    <cfRule type="cellIs" dxfId="5223" priority="3902" operator="equal">
      <formula>"SEA"</formula>
    </cfRule>
    <cfRule type="cellIs" dxfId="5222" priority="3903" operator="equal">
      <formula>"LAC"</formula>
    </cfRule>
    <cfRule type="cellIs" dxfId="5221" priority="3904" operator="equal">
      <formula>"LAR"</formula>
    </cfRule>
    <cfRule type="cellIs" dxfId="5220" priority="3905" operator="equal">
      <formula>"ATL"</formula>
    </cfRule>
    <cfRule type="cellIs" dxfId="5219" priority="3906" operator="equal">
      <formula>"JAX"</formula>
    </cfRule>
    <cfRule type="cellIs" dxfId="5218" priority="3907" operator="equal">
      <formula>"CHI"</formula>
    </cfRule>
    <cfRule type="cellIs" dxfId="5217" priority="3908" operator="equal">
      <formula>"MIA"</formula>
    </cfRule>
    <cfRule type="cellIs" dxfId="5216" priority="3909" operator="equal">
      <formula>"DET"</formula>
    </cfRule>
    <cfRule type="cellIs" dxfId="5215" priority="3910" operator="equal">
      <formula>"SF"</formula>
    </cfRule>
    <cfRule type="cellIs" dxfId="5214" priority="3911" operator="equal">
      <formula>"WAS"</formula>
    </cfRule>
    <cfRule type="cellIs" dxfId="5213" priority="3912" operator="equal">
      <formula>"GB"</formula>
    </cfRule>
    <cfRule type="cellIs" dxfId="5212" priority="3913" operator="equal">
      <formula>"DAL"</formula>
    </cfRule>
    <cfRule type="cellIs" dxfId="5211" priority="3914" operator="equal">
      <formula>"CIN"</formula>
    </cfRule>
    <cfRule type="cellIs" dxfId="5210" priority="3915" operator="equal">
      <formula>"ARI"</formula>
    </cfRule>
    <cfRule type="cellIs" dxfId="5209" priority="3916" operator="equal">
      <formula>"HOU"</formula>
    </cfRule>
    <cfRule type="cellIs" dxfId="5208" priority="3917" operator="equal">
      <formula>"IND"</formula>
    </cfRule>
    <cfRule type="cellIs" dxfId="5207" priority="3918" operator="equal">
      <formula>"KC"</formula>
    </cfRule>
    <cfRule type="cellIs" dxfId="5206" priority="3919" operator="equal">
      <formula>"BAL"</formula>
    </cfRule>
    <cfRule type="cellIs" dxfId="5205" priority="3920" operator="equal">
      <formula>"PHI"</formula>
    </cfRule>
    <cfRule type="cellIs" dxfId="5204" priority="3921" operator="equal">
      <formula>"BUF"</formula>
    </cfRule>
  </conditionalFormatting>
  <conditionalFormatting sqref="AE24">
    <cfRule type="cellIs" dxfId="5203" priority="3066" operator="equal">
      <formula>"LV"</formula>
    </cfRule>
    <cfRule type="cellIs" dxfId="5202" priority="3067" operator="equal">
      <formula>"NE"</formula>
    </cfRule>
    <cfRule type="cellIs" dxfId="5201" priority="3068" operator="equal">
      <formula>"MIN"</formula>
    </cfRule>
    <cfRule type="cellIs" dxfId="5200" priority="3069" operator="equal">
      <formula>"PIT"</formula>
    </cfRule>
    <cfRule type="cellIs" dxfId="5199" priority="3070" operator="equal">
      <formula>"DEN"</formula>
    </cfRule>
    <cfRule type="cellIs" dxfId="5198" priority="3071" operator="equal">
      <formula>"CAR"</formula>
    </cfRule>
    <cfRule type="cellIs" dxfId="5197" priority="3072" operator="equal">
      <formula>"NYG"</formula>
    </cfRule>
    <cfRule type="cellIs" dxfId="5196" priority="3073" operator="equal">
      <formula>"NO"</formula>
    </cfRule>
    <cfRule type="cellIs" dxfId="5195" priority="3074" operator="equal">
      <formula>"TEN"</formula>
    </cfRule>
    <cfRule type="cellIs" dxfId="5194" priority="3075" operator="equal">
      <formula>"TB"</formula>
    </cfRule>
    <cfRule type="cellIs" dxfId="5193" priority="3076" operator="equal">
      <formula>"CLE"</formula>
    </cfRule>
    <cfRule type="cellIs" dxfId="5192" priority="3077" operator="equal">
      <formula>"NYJ"</formula>
    </cfRule>
    <cfRule type="cellIs" dxfId="5191" priority="3078" operator="equal">
      <formula>"SEA"</formula>
    </cfRule>
    <cfRule type="cellIs" dxfId="5190" priority="3079" operator="equal">
      <formula>"LAC"</formula>
    </cfRule>
    <cfRule type="cellIs" dxfId="5189" priority="3080" operator="equal">
      <formula>"LAR"</formula>
    </cfRule>
    <cfRule type="cellIs" dxfId="5188" priority="3081" operator="equal">
      <formula>"ATL"</formula>
    </cfRule>
    <cfRule type="cellIs" dxfId="5187" priority="3082" operator="equal">
      <formula>"JAX"</formula>
    </cfRule>
    <cfRule type="cellIs" dxfId="5186" priority="3083" operator="equal">
      <formula>"CHI"</formula>
    </cfRule>
    <cfRule type="cellIs" dxfId="5185" priority="3084" operator="equal">
      <formula>"MIA"</formula>
    </cfRule>
    <cfRule type="cellIs" dxfId="5184" priority="3085" operator="equal">
      <formula>"DET"</formula>
    </cfRule>
    <cfRule type="cellIs" dxfId="5183" priority="3086" operator="equal">
      <formula>"SF"</formula>
    </cfRule>
    <cfRule type="cellIs" dxfId="5182" priority="3087" operator="equal">
      <formula>"WAS"</formula>
    </cfRule>
    <cfRule type="cellIs" dxfId="5181" priority="3088" operator="equal">
      <formula>"GB"</formula>
    </cfRule>
    <cfRule type="cellIs" dxfId="5180" priority="3089" operator="equal">
      <formula>"DAL"</formula>
    </cfRule>
    <cfRule type="cellIs" dxfId="5179" priority="3090" operator="equal">
      <formula>"CIN"</formula>
    </cfRule>
    <cfRule type="cellIs" dxfId="5178" priority="3091" operator="equal">
      <formula>"ARI"</formula>
    </cfRule>
    <cfRule type="cellIs" dxfId="5177" priority="3092" operator="equal">
      <formula>"HOU"</formula>
    </cfRule>
    <cfRule type="cellIs" dxfId="5176" priority="3093" operator="equal">
      <formula>"IND"</formula>
    </cfRule>
    <cfRule type="cellIs" dxfId="5175" priority="3094" operator="equal">
      <formula>"KC"</formula>
    </cfRule>
    <cfRule type="cellIs" dxfId="5174" priority="3095" operator="equal">
      <formula>"BAL"</formula>
    </cfRule>
    <cfRule type="cellIs" dxfId="5173" priority="3096" operator="equal">
      <formula>"PHI"</formula>
    </cfRule>
    <cfRule type="cellIs" dxfId="5172" priority="3097" operator="equal">
      <formula>"BUF"</formula>
    </cfRule>
  </conditionalFormatting>
  <conditionalFormatting sqref="AE47">
    <cfRule type="cellIs" dxfId="5171" priority="2242" operator="equal">
      <formula>"LV"</formula>
    </cfRule>
    <cfRule type="cellIs" dxfId="5170" priority="2243" operator="equal">
      <formula>"NE"</formula>
    </cfRule>
    <cfRule type="cellIs" dxfId="5169" priority="2244" operator="equal">
      <formula>"MIN"</formula>
    </cfRule>
    <cfRule type="cellIs" dxfId="5168" priority="2245" operator="equal">
      <formula>"PIT"</formula>
    </cfRule>
    <cfRule type="cellIs" dxfId="5167" priority="2246" operator="equal">
      <formula>"DEN"</formula>
    </cfRule>
    <cfRule type="cellIs" dxfId="5166" priority="2247" operator="equal">
      <formula>"CAR"</formula>
    </cfRule>
    <cfRule type="cellIs" dxfId="5165" priority="2248" operator="equal">
      <formula>"NYG"</formula>
    </cfRule>
    <cfRule type="cellIs" dxfId="5164" priority="2249" operator="equal">
      <formula>"NO"</formula>
    </cfRule>
    <cfRule type="cellIs" dxfId="5163" priority="2250" operator="equal">
      <formula>"TEN"</formula>
    </cfRule>
    <cfRule type="cellIs" dxfId="5162" priority="2251" operator="equal">
      <formula>"TB"</formula>
    </cfRule>
    <cfRule type="cellIs" dxfId="5161" priority="2252" operator="equal">
      <formula>"CLE"</formula>
    </cfRule>
    <cfRule type="cellIs" dxfId="5160" priority="2253" operator="equal">
      <formula>"NYJ"</formula>
    </cfRule>
    <cfRule type="cellIs" dxfId="5159" priority="2254" operator="equal">
      <formula>"SEA"</formula>
    </cfRule>
    <cfRule type="cellIs" dxfId="5158" priority="2255" operator="equal">
      <formula>"LAC"</formula>
    </cfRule>
    <cfRule type="cellIs" dxfId="5157" priority="2256" operator="equal">
      <formula>"LAR"</formula>
    </cfRule>
    <cfRule type="cellIs" dxfId="5156" priority="2257" operator="equal">
      <formula>"ATL"</formula>
    </cfRule>
    <cfRule type="cellIs" dxfId="5155" priority="2258" operator="equal">
      <formula>"JAX"</formula>
    </cfRule>
    <cfRule type="cellIs" dxfId="5154" priority="2259" operator="equal">
      <formula>"CHI"</formula>
    </cfRule>
    <cfRule type="cellIs" dxfId="5153" priority="2260" operator="equal">
      <formula>"MIA"</formula>
    </cfRule>
    <cfRule type="cellIs" dxfId="5152" priority="2261" operator="equal">
      <formula>"DET"</formula>
    </cfRule>
    <cfRule type="cellIs" dxfId="5151" priority="2262" operator="equal">
      <formula>"SF"</formula>
    </cfRule>
    <cfRule type="cellIs" dxfId="5150" priority="2263" operator="equal">
      <formula>"WAS"</formula>
    </cfRule>
    <cfRule type="cellIs" dxfId="5149" priority="2264" operator="equal">
      <formula>"GB"</formula>
    </cfRule>
    <cfRule type="cellIs" dxfId="5148" priority="2265" operator="equal">
      <formula>"DAL"</formula>
    </cfRule>
    <cfRule type="cellIs" dxfId="5147" priority="2266" operator="equal">
      <formula>"CIN"</formula>
    </cfRule>
    <cfRule type="cellIs" dxfId="5146" priority="2267" operator="equal">
      <formula>"ARI"</formula>
    </cfRule>
    <cfRule type="cellIs" dxfId="5145" priority="2268" operator="equal">
      <formula>"HOU"</formula>
    </cfRule>
    <cfRule type="cellIs" dxfId="5144" priority="2269" operator="equal">
      <formula>"IND"</formula>
    </cfRule>
    <cfRule type="cellIs" dxfId="5143" priority="2270" operator="equal">
      <formula>"KC"</formula>
    </cfRule>
    <cfRule type="cellIs" dxfId="5142" priority="2271" operator="equal">
      <formula>"BAL"</formula>
    </cfRule>
    <cfRule type="cellIs" dxfId="5141" priority="2272" operator="equal">
      <formula>"PHI"</formula>
    </cfRule>
    <cfRule type="cellIs" dxfId="5140" priority="2273" operator="equal">
      <formula>"BUF"</formula>
    </cfRule>
  </conditionalFormatting>
  <conditionalFormatting sqref="AE70">
    <cfRule type="cellIs" dxfId="5139" priority="1418" operator="equal">
      <formula>"LV"</formula>
    </cfRule>
    <cfRule type="cellIs" dxfId="5138" priority="1419" operator="equal">
      <formula>"NE"</formula>
    </cfRule>
    <cfRule type="cellIs" dxfId="5137" priority="1420" operator="equal">
      <formula>"MIN"</formula>
    </cfRule>
    <cfRule type="cellIs" dxfId="5136" priority="1421" operator="equal">
      <formula>"PIT"</formula>
    </cfRule>
    <cfRule type="cellIs" dxfId="5135" priority="1422" operator="equal">
      <formula>"DEN"</formula>
    </cfRule>
    <cfRule type="cellIs" dxfId="5134" priority="1423" operator="equal">
      <formula>"CAR"</formula>
    </cfRule>
    <cfRule type="cellIs" dxfId="5133" priority="1424" operator="equal">
      <formula>"NYG"</formula>
    </cfRule>
    <cfRule type="cellIs" dxfId="5132" priority="1425" operator="equal">
      <formula>"NO"</formula>
    </cfRule>
    <cfRule type="cellIs" dxfId="5131" priority="1426" operator="equal">
      <formula>"TEN"</formula>
    </cfRule>
    <cfRule type="cellIs" dxfId="5130" priority="1427" operator="equal">
      <formula>"TB"</formula>
    </cfRule>
    <cfRule type="cellIs" dxfId="5129" priority="1428" operator="equal">
      <formula>"CLE"</formula>
    </cfRule>
    <cfRule type="cellIs" dxfId="5128" priority="1429" operator="equal">
      <formula>"NYJ"</formula>
    </cfRule>
    <cfRule type="cellIs" dxfId="5127" priority="1430" operator="equal">
      <formula>"SEA"</formula>
    </cfRule>
    <cfRule type="cellIs" dxfId="5126" priority="1431" operator="equal">
      <formula>"LAC"</formula>
    </cfRule>
    <cfRule type="cellIs" dxfId="5125" priority="1432" operator="equal">
      <formula>"LAR"</formula>
    </cfRule>
    <cfRule type="cellIs" dxfId="5124" priority="1433" operator="equal">
      <formula>"ATL"</formula>
    </cfRule>
    <cfRule type="cellIs" dxfId="5123" priority="1434" operator="equal">
      <formula>"JAX"</formula>
    </cfRule>
    <cfRule type="cellIs" dxfId="5122" priority="1435" operator="equal">
      <formula>"CHI"</formula>
    </cfRule>
    <cfRule type="cellIs" dxfId="5121" priority="1436" operator="equal">
      <formula>"MIA"</formula>
    </cfRule>
    <cfRule type="cellIs" dxfId="5120" priority="1437" operator="equal">
      <formula>"DET"</formula>
    </cfRule>
    <cfRule type="cellIs" dxfId="5119" priority="1438" operator="equal">
      <formula>"SF"</formula>
    </cfRule>
    <cfRule type="cellIs" dxfId="5118" priority="1439" operator="equal">
      <formula>"WAS"</formula>
    </cfRule>
    <cfRule type="cellIs" dxfId="5117" priority="1440" operator="equal">
      <formula>"GB"</formula>
    </cfRule>
    <cfRule type="cellIs" dxfId="5116" priority="1441" operator="equal">
      <formula>"DAL"</formula>
    </cfRule>
    <cfRule type="cellIs" dxfId="5115" priority="1442" operator="equal">
      <formula>"CIN"</formula>
    </cfRule>
    <cfRule type="cellIs" dxfId="5114" priority="1443" operator="equal">
      <formula>"ARI"</formula>
    </cfRule>
    <cfRule type="cellIs" dxfId="5113" priority="1444" operator="equal">
      <formula>"HOU"</formula>
    </cfRule>
    <cfRule type="cellIs" dxfId="5112" priority="1445" operator="equal">
      <formula>"IND"</formula>
    </cfRule>
    <cfRule type="cellIs" dxfId="5111" priority="1446" operator="equal">
      <formula>"KC"</formula>
    </cfRule>
    <cfRule type="cellIs" dxfId="5110" priority="1447" operator="equal">
      <formula>"BAL"</formula>
    </cfRule>
    <cfRule type="cellIs" dxfId="5109" priority="1448" operator="equal">
      <formula>"PHI"</formula>
    </cfRule>
    <cfRule type="cellIs" dxfId="5108" priority="1449" operator="equal">
      <formula>"BUF"</formula>
    </cfRule>
  </conditionalFormatting>
  <conditionalFormatting sqref="AF3:AF22">
    <cfRule type="cellIs" dxfId="5107" priority="1236" operator="equal">
      <formula>"CIN"</formula>
    </cfRule>
  </conditionalFormatting>
  <conditionalFormatting sqref="AF26:AF45">
    <cfRule type="cellIs" dxfId="5106" priority="3050" operator="equal">
      <formula>"JAX"</formula>
    </cfRule>
  </conditionalFormatting>
  <conditionalFormatting sqref="AF49:AF68">
    <cfRule type="cellIs" dxfId="5105" priority="579" operator="equal">
      <formula>"NO"</formula>
    </cfRule>
  </conditionalFormatting>
  <conditionalFormatting sqref="AF72:AF91">
    <cfRule type="cellIs" dxfId="5104" priority="1394" operator="equal">
      <formula>"TEN"</formula>
    </cfRule>
  </conditionalFormatting>
  <conditionalFormatting sqref="AJ1">
    <cfRule type="cellIs" dxfId="5103" priority="3787" operator="equal">
      <formula>"LV"</formula>
    </cfRule>
    <cfRule type="cellIs" dxfId="5102" priority="3788" operator="equal">
      <formula>"NE"</formula>
    </cfRule>
    <cfRule type="cellIs" dxfId="5101" priority="3789" operator="equal">
      <formula>"MIN"</formula>
    </cfRule>
    <cfRule type="cellIs" dxfId="5100" priority="3790" operator="equal">
      <formula>"PIT"</formula>
    </cfRule>
    <cfRule type="cellIs" dxfId="5099" priority="3791" operator="equal">
      <formula>"DEN"</formula>
    </cfRule>
    <cfRule type="cellIs" dxfId="5098" priority="3792" operator="equal">
      <formula>"CAR"</formula>
    </cfRule>
    <cfRule type="cellIs" dxfId="5097" priority="3793" operator="equal">
      <formula>"NYG"</formula>
    </cfRule>
    <cfRule type="cellIs" dxfId="5096" priority="3794" operator="equal">
      <formula>"NO"</formula>
    </cfRule>
    <cfRule type="cellIs" dxfId="5095" priority="3795" operator="equal">
      <formula>"TEN"</formula>
    </cfRule>
    <cfRule type="cellIs" dxfId="5094" priority="3796" operator="equal">
      <formula>"TB"</formula>
    </cfRule>
    <cfRule type="cellIs" dxfId="5093" priority="3797" operator="equal">
      <formula>"CLE"</formula>
    </cfRule>
    <cfRule type="cellIs" dxfId="5092" priority="3798" operator="equal">
      <formula>"NYJ"</formula>
    </cfRule>
    <cfRule type="cellIs" dxfId="5091" priority="3799" operator="equal">
      <formula>"SEA"</formula>
    </cfRule>
    <cfRule type="cellIs" dxfId="5090" priority="3800" operator="equal">
      <formula>"LAC"</formula>
    </cfRule>
    <cfRule type="cellIs" dxfId="5089" priority="3801" operator="equal">
      <formula>"LAR"</formula>
    </cfRule>
    <cfRule type="cellIs" dxfId="5088" priority="3802" operator="equal">
      <formula>"ATL"</formula>
    </cfRule>
    <cfRule type="cellIs" dxfId="5087" priority="3803" operator="equal">
      <formula>"JAX"</formula>
    </cfRule>
    <cfRule type="cellIs" dxfId="5086" priority="3804" operator="equal">
      <formula>"CHI"</formula>
    </cfRule>
    <cfRule type="cellIs" dxfId="5085" priority="3805" operator="equal">
      <formula>"MIA"</formula>
    </cfRule>
    <cfRule type="cellIs" dxfId="5084" priority="3806" operator="equal">
      <formula>"DET"</formula>
    </cfRule>
    <cfRule type="cellIs" dxfId="5083" priority="3807" operator="equal">
      <formula>"SF"</formula>
    </cfRule>
    <cfRule type="cellIs" dxfId="5082" priority="3808" operator="equal">
      <formula>"WAS"</formula>
    </cfRule>
    <cfRule type="cellIs" dxfId="5081" priority="3809" operator="equal">
      <formula>"GB"</formula>
    </cfRule>
    <cfRule type="cellIs" dxfId="5080" priority="3810" operator="equal">
      <formula>"DAL"</formula>
    </cfRule>
    <cfRule type="cellIs" dxfId="5079" priority="3811" operator="equal">
      <formula>"CIN"</formula>
    </cfRule>
    <cfRule type="cellIs" dxfId="5078" priority="3812" operator="equal">
      <formula>"ARI"</formula>
    </cfRule>
    <cfRule type="cellIs" dxfId="5077" priority="3813" operator="equal">
      <formula>"HOU"</formula>
    </cfRule>
    <cfRule type="cellIs" dxfId="5076" priority="3814" operator="equal">
      <formula>"IND"</formula>
    </cfRule>
    <cfRule type="cellIs" dxfId="5075" priority="3815" operator="equal">
      <formula>"KC"</formula>
    </cfRule>
    <cfRule type="cellIs" dxfId="5074" priority="3816" operator="equal">
      <formula>"BAL"</formula>
    </cfRule>
    <cfRule type="cellIs" dxfId="5073" priority="3817" operator="equal">
      <formula>"PHI"</formula>
    </cfRule>
    <cfRule type="cellIs" dxfId="5072" priority="3818" operator="equal">
      <formula>"BUF"</formula>
    </cfRule>
  </conditionalFormatting>
  <conditionalFormatting sqref="AJ24">
    <cfRule type="cellIs" dxfId="5071" priority="2963" operator="equal">
      <formula>"LV"</formula>
    </cfRule>
    <cfRule type="cellIs" dxfId="5070" priority="2964" operator="equal">
      <formula>"NE"</formula>
    </cfRule>
    <cfRule type="cellIs" dxfId="5069" priority="2965" operator="equal">
      <formula>"MIN"</formula>
    </cfRule>
    <cfRule type="cellIs" dxfId="5068" priority="2966" operator="equal">
      <formula>"PIT"</formula>
    </cfRule>
    <cfRule type="cellIs" dxfId="5067" priority="2967" operator="equal">
      <formula>"DEN"</formula>
    </cfRule>
    <cfRule type="cellIs" dxfId="5066" priority="2968" operator="equal">
      <formula>"CAR"</formula>
    </cfRule>
    <cfRule type="cellIs" dxfId="5065" priority="2969" operator="equal">
      <formula>"NYG"</formula>
    </cfRule>
    <cfRule type="cellIs" dxfId="5064" priority="2970" operator="equal">
      <formula>"NO"</formula>
    </cfRule>
    <cfRule type="cellIs" dxfId="5063" priority="2971" operator="equal">
      <formula>"TEN"</formula>
    </cfRule>
    <cfRule type="cellIs" dxfId="5062" priority="2972" operator="equal">
      <formula>"TB"</formula>
    </cfRule>
    <cfRule type="cellIs" dxfId="5061" priority="2973" operator="equal">
      <formula>"CLE"</formula>
    </cfRule>
    <cfRule type="cellIs" dxfId="5060" priority="2974" operator="equal">
      <formula>"NYJ"</formula>
    </cfRule>
    <cfRule type="cellIs" dxfId="5059" priority="2975" operator="equal">
      <formula>"SEA"</formula>
    </cfRule>
    <cfRule type="cellIs" dxfId="5058" priority="2976" operator="equal">
      <formula>"LAC"</formula>
    </cfRule>
    <cfRule type="cellIs" dxfId="5057" priority="2977" operator="equal">
      <formula>"LAR"</formula>
    </cfRule>
    <cfRule type="cellIs" dxfId="5056" priority="2978" operator="equal">
      <formula>"ATL"</formula>
    </cfRule>
    <cfRule type="cellIs" dxfId="5055" priority="2979" operator="equal">
      <formula>"JAX"</formula>
    </cfRule>
    <cfRule type="cellIs" dxfId="5054" priority="2980" operator="equal">
      <formula>"CHI"</formula>
    </cfRule>
    <cfRule type="cellIs" dxfId="5053" priority="2981" operator="equal">
      <formula>"MIA"</formula>
    </cfRule>
    <cfRule type="cellIs" dxfId="5052" priority="2982" operator="equal">
      <formula>"DET"</formula>
    </cfRule>
    <cfRule type="cellIs" dxfId="5051" priority="2983" operator="equal">
      <formula>"SF"</formula>
    </cfRule>
    <cfRule type="cellIs" dxfId="5050" priority="2984" operator="equal">
      <formula>"WAS"</formula>
    </cfRule>
    <cfRule type="cellIs" dxfId="5049" priority="2985" operator="equal">
      <formula>"GB"</formula>
    </cfRule>
    <cfRule type="cellIs" dxfId="5048" priority="2986" operator="equal">
      <formula>"DAL"</formula>
    </cfRule>
    <cfRule type="cellIs" dxfId="5047" priority="2987" operator="equal">
      <formula>"CIN"</formula>
    </cfRule>
    <cfRule type="cellIs" dxfId="5046" priority="2988" operator="equal">
      <formula>"ARI"</formula>
    </cfRule>
    <cfRule type="cellIs" dxfId="5045" priority="2989" operator="equal">
      <formula>"HOU"</formula>
    </cfRule>
    <cfRule type="cellIs" dxfId="5044" priority="2990" operator="equal">
      <formula>"IND"</formula>
    </cfRule>
    <cfRule type="cellIs" dxfId="5043" priority="2991" operator="equal">
      <formula>"KC"</formula>
    </cfRule>
    <cfRule type="cellIs" dxfId="5042" priority="2992" operator="equal">
      <formula>"BAL"</formula>
    </cfRule>
    <cfRule type="cellIs" dxfId="5041" priority="2993" operator="equal">
      <formula>"PHI"</formula>
    </cfRule>
    <cfRule type="cellIs" dxfId="5040" priority="2994" operator="equal">
      <formula>"BUF"</formula>
    </cfRule>
  </conditionalFormatting>
  <conditionalFormatting sqref="AJ47">
    <cfRule type="cellIs" dxfId="5039" priority="2139" operator="equal">
      <formula>"LV"</formula>
    </cfRule>
    <cfRule type="cellIs" dxfId="5038" priority="2140" operator="equal">
      <formula>"NE"</formula>
    </cfRule>
    <cfRule type="cellIs" dxfId="5037" priority="2141" operator="equal">
      <formula>"MIN"</formula>
    </cfRule>
    <cfRule type="cellIs" dxfId="5036" priority="2142" operator="equal">
      <formula>"PIT"</formula>
    </cfRule>
    <cfRule type="cellIs" dxfId="5035" priority="2143" operator="equal">
      <formula>"DEN"</formula>
    </cfRule>
    <cfRule type="cellIs" dxfId="5034" priority="2144" operator="equal">
      <formula>"CAR"</formula>
    </cfRule>
    <cfRule type="cellIs" dxfId="5033" priority="2145" operator="equal">
      <formula>"NYG"</formula>
    </cfRule>
    <cfRule type="cellIs" dxfId="5032" priority="2146" operator="equal">
      <formula>"NO"</formula>
    </cfRule>
    <cfRule type="cellIs" dxfId="5031" priority="2147" operator="equal">
      <formula>"TEN"</formula>
    </cfRule>
    <cfRule type="cellIs" dxfId="5030" priority="2148" operator="equal">
      <formula>"TB"</formula>
    </cfRule>
    <cfRule type="cellIs" dxfId="5029" priority="2149" operator="equal">
      <formula>"CLE"</formula>
    </cfRule>
    <cfRule type="cellIs" dxfId="5028" priority="2150" operator="equal">
      <formula>"NYJ"</formula>
    </cfRule>
    <cfRule type="cellIs" dxfId="5027" priority="2151" operator="equal">
      <formula>"SEA"</formula>
    </cfRule>
    <cfRule type="cellIs" dxfId="5026" priority="2152" operator="equal">
      <formula>"LAC"</formula>
    </cfRule>
    <cfRule type="cellIs" dxfId="5025" priority="2153" operator="equal">
      <formula>"LAR"</formula>
    </cfRule>
    <cfRule type="cellIs" dxfId="5024" priority="2154" operator="equal">
      <formula>"ATL"</formula>
    </cfRule>
    <cfRule type="cellIs" dxfId="5023" priority="2155" operator="equal">
      <formula>"JAX"</formula>
    </cfRule>
    <cfRule type="cellIs" dxfId="5022" priority="2156" operator="equal">
      <formula>"CHI"</formula>
    </cfRule>
    <cfRule type="cellIs" dxfId="5021" priority="2157" operator="equal">
      <formula>"MIA"</formula>
    </cfRule>
    <cfRule type="cellIs" dxfId="5020" priority="2158" operator="equal">
      <formula>"DET"</formula>
    </cfRule>
    <cfRule type="cellIs" dxfId="5019" priority="2159" operator="equal">
      <formula>"SF"</formula>
    </cfRule>
    <cfRule type="cellIs" dxfId="5018" priority="2160" operator="equal">
      <formula>"WAS"</formula>
    </cfRule>
    <cfRule type="cellIs" dxfId="5017" priority="2161" operator="equal">
      <formula>"GB"</formula>
    </cfRule>
    <cfRule type="cellIs" dxfId="5016" priority="2162" operator="equal">
      <formula>"DAL"</formula>
    </cfRule>
    <cfRule type="cellIs" dxfId="5015" priority="2163" operator="equal">
      <formula>"CIN"</formula>
    </cfRule>
    <cfRule type="cellIs" dxfId="5014" priority="2164" operator="equal">
      <formula>"ARI"</formula>
    </cfRule>
    <cfRule type="cellIs" dxfId="5013" priority="2165" operator="equal">
      <formula>"HOU"</formula>
    </cfRule>
    <cfRule type="cellIs" dxfId="5012" priority="2166" operator="equal">
      <formula>"IND"</formula>
    </cfRule>
    <cfRule type="cellIs" dxfId="5011" priority="2167" operator="equal">
      <formula>"KC"</formula>
    </cfRule>
    <cfRule type="cellIs" dxfId="5010" priority="2168" operator="equal">
      <formula>"BAL"</formula>
    </cfRule>
    <cfRule type="cellIs" dxfId="5009" priority="2169" operator="equal">
      <formula>"PHI"</formula>
    </cfRule>
    <cfRule type="cellIs" dxfId="5008" priority="2170" operator="equal">
      <formula>"BUF"</formula>
    </cfRule>
  </conditionalFormatting>
  <conditionalFormatting sqref="AJ70">
    <cfRule type="cellIs" dxfId="5007" priority="1315" operator="equal">
      <formula>"LV"</formula>
    </cfRule>
    <cfRule type="cellIs" dxfId="5006" priority="1316" operator="equal">
      <formula>"NE"</formula>
    </cfRule>
    <cfRule type="cellIs" dxfId="5005" priority="1317" operator="equal">
      <formula>"MIN"</formula>
    </cfRule>
    <cfRule type="cellIs" dxfId="5004" priority="1318" operator="equal">
      <formula>"PIT"</formula>
    </cfRule>
    <cfRule type="cellIs" dxfId="5003" priority="1319" operator="equal">
      <formula>"DEN"</formula>
    </cfRule>
    <cfRule type="cellIs" dxfId="5002" priority="1320" operator="equal">
      <formula>"CAR"</formula>
    </cfRule>
    <cfRule type="cellIs" dxfId="5001" priority="1321" operator="equal">
      <formula>"NYG"</formula>
    </cfRule>
    <cfRule type="cellIs" dxfId="5000" priority="1322" operator="equal">
      <formula>"NO"</formula>
    </cfRule>
    <cfRule type="cellIs" dxfId="4999" priority="1323" operator="equal">
      <formula>"TEN"</formula>
    </cfRule>
    <cfRule type="cellIs" dxfId="4998" priority="1324" operator="equal">
      <formula>"TB"</formula>
    </cfRule>
    <cfRule type="cellIs" dxfId="4997" priority="1325" operator="equal">
      <formula>"CLE"</formula>
    </cfRule>
    <cfRule type="cellIs" dxfId="4996" priority="1326" operator="equal">
      <formula>"NYJ"</formula>
    </cfRule>
    <cfRule type="cellIs" dxfId="4995" priority="1327" operator="equal">
      <formula>"SEA"</formula>
    </cfRule>
    <cfRule type="cellIs" dxfId="4994" priority="1328" operator="equal">
      <formula>"LAC"</formula>
    </cfRule>
    <cfRule type="cellIs" dxfId="4993" priority="1329" operator="equal">
      <formula>"LAR"</formula>
    </cfRule>
    <cfRule type="cellIs" dxfId="4992" priority="1330" operator="equal">
      <formula>"ATL"</formula>
    </cfRule>
    <cfRule type="cellIs" dxfId="4991" priority="1331" operator="equal">
      <formula>"JAX"</formula>
    </cfRule>
    <cfRule type="cellIs" dxfId="4990" priority="1332" operator="equal">
      <formula>"CHI"</formula>
    </cfRule>
    <cfRule type="cellIs" dxfId="4989" priority="1333" operator="equal">
      <formula>"MIA"</formula>
    </cfRule>
    <cfRule type="cellIs" dxfId="4988" priority="1334" operator="equal">
      <formula>"DET"</formula>
    </cfRule>
    <cfRule type="cellIs" dxfId="4987" priority="1335" operator="equal">
      <formula>"SF"</formula>
    </cfRule>
    <cfRule type="cellIs" dxfId="4986" priority="1336" operator="equal">
      <formula>"WAS"</formula>
    </cfRule>
    <cfRule type="cellIs" dxfId="4985" priority="1337" operator="equal">
      <formula>"GB"</formula>
    </cfRule>
    <cfRule type="cellIs" dxfId="4984" priority="1338" operator="equal">
      <formula>"DAL"</formula>
    </cfRule>
    <cfRule type="cellIs" dxfId="4983" priority="1339" operator="equal">
      <formula>"CIN"</formula>
    </cfRule>
    <cfRule type="cellIs" dxfId="4982" priority="1340" operator="equal">
      <formula>"ARI"</formula>
    </cfRule>
    <cfRule type="cellIs" dxfId="4981" priority="1341" operator="equal">
      <formula>"HOU"</formula>
    </cfRule>
    <cfRule type="cellIs" dxfId="4980" priority="1342" operator="equal">
      <formula>"IND"</formula>
    </cfRule>
    <cfRule type="cellIs" dxfId="4979" priority="1343" operator="equal">
      <formula>"KC"</formula>
    </cfRule>
    <cfRule type="cellIs" dxfId="4978" priority="1344" operator="equal">
      <formula>"BAL"</formula>
    </cfRule>
    <cfRule type="cellIs" dxfId="4977" priority="1345" operator="equal">
      <formula>"PHI"</formula>
    </cfRule>
    <cfRule type="cellIs" dxfId="4976" priority="1346" operator="equal">
      <formula>"BUF"</formula>
    </cfRule>
  </conditionalFormatting>
  <conditionalFormatting sqref="AK3:AK22">
    <cfRule type="cellIs" dxfId="4975" priority="1184" operator="equal">
      <formula>"CLE"</formula>
    </cfRule>
  </conditionalFormatting>
  <conditionalFormatting sqref="AK26:AK45">
    <cfRule type="cellIs" dxfId="4974" priority="866" operator="equal">
      <formula>"KC"</formula>
    </cfRule>
  </conditionalFormatting>
  <conditionalFormatting sqref="AK49:AK68">
    <cfRule type="cellIs" dxfId="4973" priority="2113" operator="equal">
      <formula>"NYG"</formula>
    </cfRule>
  </conditionalFormatting>
  <conditionalFormatting sqref="AK72:AK91">
    <cfRule type="cellIs" dxfId="4972" priority="1304" operator="equal">
      <formula>"WAS"</formula>
    </cfRule>
  </conditionalFormatting>
  <pageMargins left="0.7" right="0.7" top="0.75" bottom="0.75" header="0.3" footer="0.3"/>
  <tableParts count="3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954" id="{5902122B-DFFC-406B-B1CD-CAAB28C9A4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S49:S68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FE30-DBB3-4924-9EE8-E3E50C0AD934}">
  <sheetPr>
    <tabColor theme="0" tint="-0.34998626667073579"/>
  </sheetPr>
  <dimension ref="B1:AB212"/>
  <sheetViews>
    <sheetView zoomScale="115" zoomScaleNormal="115" workbookViewId="0">
      <selection activeCell="N3" sqref="N3"/>
    </sheetView>
  </sheetViews>
  <sheetFormatPr defaultRowHeight="14.5" x14ac:dyDescent="0.35"/>
  <cols>
    <col min="1" max="1" width="1.6328125" customWidth="1"/>
    <col min="2" max="2" width="14.54296875" bestFit="1" customWidth="1"/>
    <col min="3" max="3" width="9.90625" bestFit="1" customWidth="1"/>
    <col min="4" max="4" width="8.90625" bestFit="1" customWidth="1"/>
    <col min="5" max="5" width="8.453125" bestFit="1" customWidth="1"/>
    <col min="6" max="6" width="8.81640625" bestFit="1" customWidth="1"/>
    <col min="7" max="7" width="6.36328125" bestFit="1" customWidth="1"/>
    <col min="8" max="8" width="1.6328125" customWidth="1"/>
    <col min="9" max="9" width="15.08984375" bestFit="1" customWidth="1"/>
    <col min="10" max="10" width="9.90625" bestFit="1" customWidth="1"/>
    <col min="11" max="11" width="8.90625" bestFit="1" customWidth="1"/>
    <col min="12" max="12" width="8.453125" bestFit="1" customWidth="1"/>
    <col min="13" max="13" width="8.81640625" bestFit="1" customWidth="1"/>
    <col min="14" max="14" width="6.36328125" bestFit="1" customWidth="1"/>
    <col min="15" max="15" width="1.6328125" customWidth="1"/>
    <col min="16" max="16" width="17.36328125" bestFit="1" customWidth="1"/>
    <col min="17" max="17" width="9.90625" bestFit="1" customWidth="1"/>
    <col min="18" max="18" width="8.90625" bestFit="1" customWidth="1"/>
    <col min="19" max="19" width="8.453125" bestFit="1" customWidth="1"/>
    <col min="20" max="20" width="8.81640625" bestFit="1" customWidth="1"/>
    <col min="21" max="21" width="6.36328125" bestFit="1" customWidth="1"/>
    <col min="22" max="22" width="1.6328125" customWidth="1"/>
    <col min="23" max="23" width="16.36328125" bestFit="1" customWidth="1"/>
    <col min="24" max="24" width="9.90625" bestFit="1" customWidth="1"/>
    <col min="25" max="25" width="8.90625" bestFit="1" customWidth="1"/>
    <col min="26" max="26" width="8.453125" bestFit="1" customWidth="1"/>
    <col min="27" max="27" width="8.81640625" bestFit="1" customWidth="1"/>
    <col min="28" max="28" width="6.36328125" bestFit="1" customWidth="1"/>
  </cols>
  <sheetData>
    <row r="1" spans="2:28" x14ac:dyDescent="0.35">
      <c r="B1" s="85" t="s">
        <v>107</v>
      </c>
      <c r="C1" s="85" t="s">
        <v>58</v>
      </c>
      <c r="D1" s="85" t="s">
        <v>392</v>
      </c>
      <c r="E1" s="85" t="s">
        <v>393</v>
      </c>
      <c r="F1" s="85" t="s">
        <v>63</v>
      </c>
      <c r="G1" s="85" t="s">
        <v>649</v>
      </c>
      <c r="I1" s="85" t="s">
        <v>107</v>
      </c>
      <c r="J1" s="85" t="s">
        <v>58</v>
      </c>
      <c r="K1" s="85" t="s">
        <v>392</v>
      </c>
      <c r="L1" s="85" t="s">
        <v>393</v>
      </c>
      <c r="M1" s="85" t="s">
        <v>63</v>
      </c>
      <c r="N1" s="86" t="s">
        <v>649</v>
      </c>
      <c r="P1" s="84" t="s">
        <v>107</v>
      </c>
      <c r="Q1" s="85" t="s">
        <v>58</v>
      </c>
      <c r="R1" s="85" t="s">
        <v>392</v>
      </c>
      <c r="S1" s="85" t="s">
        <v>393</v>
      </c>
      <c r="T1" s="85" t="s">
        <v>63</v>
      </c>
      <c r="U1" s="86" t="s">
        <v>649</v>
      </c>
      <c r="W1" s="84" t="s">
        <v>107</v>
      </c>
      <c r="X1" s="85" t="s">
        <v>58</v>
      </c>
      <c r="Y1" s="85" t="s">
        <v>392</v>
      </c>
      <c r="Z1" s="85" t="s">
        <v>393</v>
      </c>
      <c r="AA1" s="85" t="s">
        <v>63</v>
      </c>
      <c r="AB1" s="86" t="s">
        <v>649</v>
      </c>
    </row>
    <row r="2" spans="2:28" x14ac:dyDescent="0.35">
      <c r="B2" s="24" t="s">
        <v>112</v>
      </c>
      <c r="C2" s="23" t="s">
        <v>29</v>
      </c>
      <c r="D2" s="23" t="s">
        <v>399</v>
      </c>
      <c r="E2" s="24">
        <v>1</v>
      </c>
      <c r="F2" s="23" t="str">
        <f>'2025'!$E$7</f>
        <v>n/a</v>
      </c>
      <c r="G2" s="89" t="e" cm="1">
        <f t="array" ref="G2">_xlfn.XLOOKUP(Table1179397[[#This Row],[Opp]],Table14[DEF],'2024 fSZN'!$G$3:$G$34)</f>
        <v>#N/A</v>
      </c>
      <c r="I2" s="24" t="s">
        <v>236</v>
      </c>
      <c r="J2" s="23" t="s">
        <v>39</v>
      </c>
      <c r="K2" s="23" t="s">
        <v>395</v>
      </c>
      <c r="L2" s="24">
        <v>1</v>
      </c>
      <c r="M2" s="23" t="str">
        <f>'2025'!$E$17</f>
        <v>n/a</v>
      </c>
      <c r="N2" s="89" t="e" cm="1">
        <f t="array" ref="N2">_xlfn.XLOOKUP(Table1189296[[#This Row],[Opp]],Table46[DEF],'2024 fSZN'!$Y$3:$Y$34)</f>
        <v>#N/A</v>
      </c>
      <c r="P2" s="24" t="s">
        <v>212</v>
      </c>
      <c r="Q2" s="23" t="s">
        <v>36</v>
      </c>
      <c r="R2" s="23" t="s">
        <v>66</v>
      </c>
      <c r="S2" s="24">
        <v>0</v>
      </c>
      <c r="T2" s="23" t="str">
        <f>'2025'!$E$14</f>
        <v>n/a</v>
      </c>
      <c r="U2" s="89" t="e" cm="1">
        <f t="array" ref="U2">_xlfn.XLOOKUP(Table1199094[[#This Row],[Opp]],Table77[DEF],'2024 fSZN'!$H$37:$H$68)</f>
        <v>#N/A</v>
      </c>
      <c r="W2" s="24" t="s">
        <v>260</v>
      </c>
      <c r="X2" s="23" t="s">
        <v>41</v>
      </c>
      <c r="Y2" s="23" t="s">
        <v>397</v>
      </c>
      <c r="Z2" s="24">
        <v>1</v>
      </c>
      <c r="AA2" s="23" t="str">
        <f>'2025'!$E$19</f>
        <v>n/a</v>
      </c>
      <c r="AB2" s="89" t="e" cm="1">
        <f t="array" ref="AB2">_xlfn.XLOOKUP(Table1209195[[#This Row],[Opp]],Table845[DEF],'2024 fSZN'!$W$37:$W$68)</f>
        <v>#N/A</v>
      </c>
    </row>
    <row r="3" spans="2:28" x14ac:dyDescent="0.35">
      <c r="B3" s="24" t="s">
        <v>109</v>
      </c>
      <c r="C3" s="23" t="s">
        <v>15</v>
      </c>
      <c r="D3" s="23" t="s">
        <v>399</v>
      </c>
      <c r="E3" s="24">
        <v>1</v>
      </c>
      <c r="F3" s="23" t="str">
        <f>'2025'!$E$4</f>
        <v>n/a</v>
      </c>
      <c r="G3" s="89" t="e" cm="1">
        <f t="array" ref="G3">_xlfn.XLOOKUP(Table1179397[[#This Row],[Opp]],Table14[DEF],'2024 fSZN'!$G$3:$G$34)</f>
        <v>#N/A</v>
      </c>
      <c r="I3" s="24" t="s">
        <v>294</v>
      </c>
      <c r="J3" s="23" t="s">
        <v>45</v>
      </c>
      <c r="K3" s="23" t="s">
        <v>395</v>
      </c>
      <c r="L3" s="24">
        <v>1</v>
      </c>
      <c r="M3" s="23" t="str">
        <f>'2025'!$E$23</f>
        <v>n/a</v>
      </c>
      <c r="N3" s="89" t="e" cm="1">
        <f t="array" ref="N3">_xlfn.XLOOKUP(Table1189296[[#This Row],[Opp]],Table46[DEF],'2024 fSZN'!$Y$3:$Y$34)</f>
        <v>#N/A</v>
      </c>
      <c r="P3" s="24" t="s">
        <v>156</v>
      </c>
      <c r="Q3" s="23" t="s">
        <v>30</v>
      </c>
      <c r="R3" s="23" t="s">
        <v>66</v>
      </c>
      <c r="S3" s="24">
        <v>1</v>
      </c>
      <c r="T3" s="23" t="str">
        <f>'2025'!$E$8</f>
        <v>n/a</v>
      </c>
      <c r="U3" s="89" t="e" cm="1">
        <f t="array" ref="U3">_xlfn.XLOOKUP(Table1199094[[#This Row],[Opp]],Table77[DEF],'2024 fSZN'!$H$37:$H$68)</f>
        <v>#N/A</v>
      </c>
      <c r="W3" s="24" t="s">
        <v>596</v>
      </c>
      <c r="X3" s="23" t="s">
        <v>15</v>
      </c>
      <c r="Y3" s="23" t="s">
        <v>397</v>
      </c>
      <c r="Z3" s="24">
        <v>1</v>
      </c>
      <c r="AA3" s="23" t="str">
        <f>'2025'!$E$4</f>
        <v>n/a</v>
      </c>
      <c r="AB3" s="89" t="e" cm="1">
        <f t="array" ref="AB3">_xlfn.XLOOKUP(Table1209195[[#This Row],[Opp]],Table845[DEF],'2024 fSZN'!$W$37:$W$68)</f>
        <v>#N/A</v>
      </c>
    </row>
    <row r="4" spans="2:28" x14ac:dyDescent="0.35">
      <c r="B4" s="24" t="s">
        <v>204</v>
      </c>
      <c r="C4" s="23" t="s">
        <v>36</v>
      </c>
      <c r="D4" s="23" t="s">
        <v>399</v>
      </c>
      <c r="E4" s="24">
        <v>1</v>
      </c>
      <c r="F4" s="23" t="str">
        <f>'2025'!$E$14</f>
        <v>n/a</v>
      </c>
      <c r="G4" s="89" t="e" cm="1">
        <f t="array" ref="G4">_xlfn.XLOOKUP(Table1179397[[#This Row],[Opp]],Table14[DEF],'2024 fSZN'!$G$3:$G$34)</f>
        <v>#N/A</v>
      </c>
      <c r="I4" s="24" t="s">
        <v>387</v>
      </c>
      <c r="J4" s="23" t="s">
        <v>56</v>
      </c>
      <c r="K4" s="23" t="s">
        <v>395</v>
      </c>
      <c r="L4" s="24">
        <v>1</v>
      </c>
      <c r="M4" s="23" t="str">
        <f>'2025'!$E$34</f>
        <v>n/a</v>
      </c>
      <c r="N4" s="89" t="e" cm="1">
        <f t="array" ref="N4">_xlfn.XLOOKUP(Table1189296[[#This Row],[Opp]],Table46[DEF],'2024 fSZN'!$Y$3:$Y$34)</f>
        <v>#N/A</v>
      </c>
      <c r="P4" s="24" t="s">
        <v>141</v>
      </c>
      <c r="Q4" s="23" t="s">
        <v>29</v>
      </c>
      <c r="R4" s="23" t="s">
        <v>66</v>
      </c>
      <c r="S4" s="24">
        <v>0</v>
      </c>
      <c r="T4" s="23" t="str">
        <f>'2025'!$E$7</f>
        <v>n/a</v>
      </c>
      <c r="U4" s="89" t="e" cm="1">
        <f t="array" ref="U4">_xlfn.XLOOKUP(Table1199094[[#This Row],[Opp]],Table77[DEF],'2024 fSZN'!$H$37:$H$68)</f>
        <v>#N/A</v>
      </c>
      <c r="W4" s="24" t="s">
        <v>177</v>
      </c>
      <c r="X4" s="23" t="s">
        <v>32</v>
      </c>
      <c r="Y4" s="23" t="s">
        <v>397</v>
      </c>
      <c r="Z4" s="24">
        <v>1</v>
      </c>
      <c r="AA4" s="23" t="str">
        <f>'2025'!$E$10</f>
        <v>n/a</v>
      </c>
      <c r="AB4" s="89" t="e" cm="1">
        <f t="array" ref="AB4">_xlfn.XLOOKUP(Table1209195[[#This Row],[Opp]],Table845[DEF],'2024 fSZN'!$W$37:$W$68)</f>
        <v>#N/A</v>
      </c>
    </row>
    <row r="5" spans="2:28" x14ac:dyDescent="0.35">
      <c r="B5" s="24" t="s">
        <v>108</v>
      </c>
      <c r="C5" s="23" t="s">
        <v>0</v>
      </c>
      <c r="D5" s="23" t="s">
        <v>399</v>
      </c>
      <c r="E5" s="24">
        <v>1</v>
      </c>
      <c r="F5" s="23" t="str">
        <f>'2025'!$E$3</f>
        <v>n/a</v>
      </c>
      <c r="G5" s="89" t="e" cm="1">
        <f t="array" ref="G5">_xlfn.XLOOKUP(Table1179397[[#This Row],[Opp]],Table14[DEF],'2024 fSZN'!$G$3:$G$34)</f>
        <v>#N/A</v>
      </c>
      <c r="I5" s="24" t="s">
        <v>117</v>
      </c>
      <c r="J5" s="23" t="s">
        <v>29</v>
      </c>
      <c r="K5" s="23" t="s">
        <v>395</v>
      </c>
      <c r="L5" s="24">
        <v>1</v>
      </c>
      <c r="M5" s="23" t="str">
        <f>'2025'!$E$7</f>
        <v>n/a</v>
      </c>
      <c r="N5" s="89" t="e" cm="1">
        <f t="array" ref="N5">_xlfn.XLOOKUP(Table1189296[[#This Row],[Opp]],Table46[DEF],'2024 fSZN'!$Y$3:$Y$34)</f>
        <v>#N/A</v>
      </c>
      <c r="P5" s="24" t="s">
        <v>140</v>
      </c>
      <c r="Q5" s="23" t="s">
        <v>17</v>
      </c>
      <c r="R5" s="23" t="s">
        <v>66</v>
      </c>
      <c r="S5" s="24">
        <v>0</v>
      </c>
      <c r="T5" s="23" t="str">
        <f>'2025'!$E$6</f>
        <v>n/a</v>
      </c>
      <c r="U5" s="89" t="e" cm="1">
        <f t="array" ref="U5">_xlfn.XLOOKUP(Table1199094[[#This Row],[Opp]],Table77[DEF],'2024 fSZN'!$H$37:$H$68)</f>
        <v>#N/A</v>
      </c>
      <c r="W5" s="24" t="s">
        <v>221</v>
      </c>
      <c r="X5" s="23" t="s">
        <v>37</v>
      </c>
      <c r="Y5" s="23" t="s">
        <v>397</v>
      </c>
      <c r="Z5" s="24">
        <v>1</v>
      </c>
      <c r="AA5" s="23" t="str">
        <f>'2025'!$E$15</f>
        <v>n/a</v>
      </c>
      <c r="AB5" s="89" t="e" cm="1">
        <f t="array" ref="AB5">_xlfn.XLOOKUP(Table1209195[[#This Row],[Opp]],Table845[DEF],'2024 fSZN'!$W$37:$W$68)</f>
        <v>#N/A</v>
      </c>
    </row>
    <row r="6" spans="2:28" x14ac:dyDescent="0.35">
      <c r="B6" s="24" t="s">
        <v>111</v>
      </c>
      <c r="C6" s="23" t="s">
        <v>17</v>
      </c>
      <c r="D6" s="23" t="s">
        <v>399</v>
      </c>
      <c r="E6" s="24">
        <v>1</v>
      </c>
      <c r="F6" s="23" t="str">
        <f>'2025'!$E$6</f>
        <v>n/a</v>
      </c>
      <c r="G6" s="89" t="e" cm="1">
        <f t="array" ref="G6">_xlfn.XLOOKUP(Table1179397[[#This Row],[Opp]],Table14[DEF],'2024 fSZN'!$G$3:$G$34)</f>
        <v>#N/A</v>
      </c>
      <c r="I6" s="24" t="s">
        <v>286</v>
      </c>
      <c r="J6" s="23" t="s">
        <v>44</v>
      </c>
      <c r="K6" s="23" t="s">
        <v>395</v>
      </c>
      <c r="L6" s="24">
        <v>0</v>
      </c>
      <c r="M6" s="23" t="str">
        <f>'2025'!$E$22</f>
        <v>n/a</v>
      </c>
      <c r="N6" s="89" t="e" cm="1">
        <f t="array" ref="N6">_xlfn.XLOOKUP(Table1189296[[#This Row],[Opp]],Table46[DEF],'2024 fSZN'!$Y$3:$Y$34)</f>
        <v>#N/A</v>
      </c>
      <c r="P6" s="24" t="s">
        <v>137</v>
      </c>
      <c r="Q6" s="23" t="s">
        <v>0</v>
      </c>
      <c r="R6" s="23" t="s">
        <v>66</v>
      </c>
      <c r="S6" s="24">
        <v>1</v>
      </c>
      <c r="T6" s="23" t="str">
        <f>'2025'!$E$3</f>
        <v>n/a</v>
      </c>
      <c r="U6" s="89" t="e" cm="1">
        <f t="array" ref="U6">_xlfn.XLOOKUP(Table1199094[[#This Row],[Opp]],Table77[DEF],'2024 fSZN'!$H$37:$H$68)</f>
        <v>#N/A</v>
      </c>
      <c r="W6" s="24" t="s">
        <v>307</v>
      </c>
      <c r="X6" s="23" t="s">
        <v>46</v>
      </c>
      <c r="Y6" s="23" t="s">
        <v>397</v>
      </c>
      <c r="Z6" s="24">
        <v>1</v>
      </c>
      <c r="AA6" s="23" t="str">
        <f>'2025'!$E$24</f>
        <v>SEA</v>
      </c>
      <c r="AB6" s="89" cm="1">
        <f t="array" ref="AB6">_xlfn.XLOOKUP(Table1209195[[#This Row],[Opp]],Table845[DEF],'2024 fSZN'!$W$37:$W$68)</f>
        <v>15</v>
      </c>
    </row>
    <row r="7" spans="2:28" x14ac:dyDescent="0.35">
      <c r="B7" s="24" t="s">
        <v>150</v>
      </c>
      <c r="C7" s="23" t="s">
        <v>30</v>
      </c>
      <c r="D7" s="23" t="s">
        <v>399</v>
      </c>
      <c r="E7" s="24">
        <v>1</v>
      </c>
      <c r="F7" s="23" t="str">
        <f>'2025'!$E$8</f>
        <v>n/a</v>
      </c>
      <c r="G7" s="89" t="e" cm="1">
        <f t="array" ref="G7">_xlfn.XLOOKUP(Table1179397[[#This Row],[Opp]],Table14[DEF],'2024 fSZN'!$G$3:$G$34)</f>
        <v>#N/A</v>
      </c>
      <c r="I7" s="24" t="s">
        <v>314</v>
      </c>
      <c r="J7" s="23" t="s">
        <v>47</v>
      </c>
      <c r="K7" s="23" t="s">
        <v>395</v>
      </c>
      <c r="L7" s="24">
        <v>1</v>
      </c>
      <c r="M7" s="23" t="str">
        <f>'2025'!$E$25</f>
        <v>n/a</v>
      </c>
      <c r="N7" s="89" t="e" cm="1">
        <f t="array" ref="N7">_xlfn.XLOOKUP(Table1189296[[#This Row],[Opp]],Table46[DEF],'2024 fSZN'!$Y$3:$Y$34)</f>
        <v>#N/A</v>
      </c>
      <c r="P7" s="24" t="s">
        <v>340</v>
      </c>
      <c r="Q7" s="23" t="s">
        <v>50</v>
      </c>
      <c r="R7" s="23" t="s">
        <v>66</v>
      </c>
      <c r="S7" s="24">
        <v>1</v>
      </c>
      <c r="T7" s="23" t="str">
        <f>'2025'!$E$28</f>
        <v>n/a</v>
      </c>
      <c r="U7" s="89" t="e" cm="1">
        <f t="array" ref="U7">_xlfn.XLOOKUP(Table1199094[[#This Row],[Opp]],Table77[DEF],'2024 fSZN'!$H$37:$H$68)</f>
        <v>#N/A</v>
      </c>
      <c r="W7" s="24" t="s">
        <v>297</v>
      </c>
      <c r="X7" s="23" t="s">
        <v>45</v>
      </c>
      <c r="Y7" s="23" t="s">
        <v>397</v>
      </c>
      <c r="Z7" s="24">
        <v>1</v>
      </c>
      <c r="AA7" s="23" t="str">
        <f>'2025'!$E$23</f>
        <v>n/a</v>
      </c>
      <c r="AB7" s="89" t="e" cm="1">
        <f t="array" ref="AB7">_xlfn.XLOOKUP(Table1209195[[#This Row],[Opp]],Table845[DEF],'2024 fSZN'!$W$37:$W$68)</f>
        <v>#N/A</v>
      </c>
    </row>
    <row r="8" spans="2:28" x14ac:dyDescent="0.35">
      <c r="B8" s="24" t="s">
        <v>336</v>
      </c>
      <c r="C8" s="23" t="s">
        <v>50</v>
      </c>
      <c r="D8" s="23" t="s">
        <v>399</v>
      </c>
      <c r="E8" s="24">
        <v>1</v>
      </c>
      <c r="F8" s="23" t="str">
        <f>'2025'!$E$28</f>
        <v>n/a</v>
      </c>
      <c r="G8" s="89" t="e" cm="1">
        <f t="array" ref="G8">_xlfn.XLOOKUP(Table1179397[[#This Row],[Opp]],Table14[DEF],'2024 fSZN'!$G$3:$G$34)</f>
        <v>#N/A</v>
      </c>
      <c r="I8" s="24" t="s">
        <v>115</v>
      </c>
      <c r="J8" s="23" t="s">
        <v>16</v>
      </c>
      <c r="K8" s="23" t="s">
        <v>395</v>
      </c>
      <c r="L8" s="24">
        <v>1</v>
      </c>
      <c r="M8" s="23" t="str">
        <f>'2025'!$E$5</f>
        <v>n/a</v>
      </c>
      <c r="N8" s="89" t="e" cm="1">
        <f t="array" ref="N8">_xlfn.XLOOKUP(Table1189296[[#This Row],[Opp]],Table46[DEF],'2024 fSZN'!$Y$3:$Y$34)</f>
        <v>#N/A</v>
      </c>
      <c r="P8" s="24" t="s">
        <v>138</v>
      </c>
      <c r="Q8" s="23" t="s">
        <v>15</v>
      </c>
      <c r="R8" s="23" t="s">
        <v>66</v>
      </c>
      <c r="S8" s="24">
        <v>1</v>
      </c>
      <c r="T8" s="23" t="str">
        <f>'2025'!$E$4</f>
        <v>n/a</v>
      </c>
      <c r="U8" s="89" t="e" cm="1">
        <f t="array" ref="U8">_xlfn.XLOOKUP(Table1199094[[#This Row],[Opp]],Table77[DEF],'2024 fSZN'!$H$37:$H$68)</f>
        <v>#N/A</v>
      </c>
      <c r="W8" s="24" t="s">
        <v>289</v>
      </c>
      <c r="X8" s="23" t="s">
        <v>44</v>
      </c>
      <c r="Y8" s="23" t="s">
        <v>397</v>
      </c>
      <c r="Z8" s="24">
        <v>1</v>
      </c>
      <c r="AA8" s="23" t="str">
        <f>'2025'!$E$22</f>
        <v>n/a</v>
      </c>
      <c r="AB8" s="89" t="e" cm="1">
        <f t="array" ref="AB8">_xlfn.XLOOKUP(Table1209195[[#This Row],[Opp]],Table845[DEF],'2024 fSZN'!$W$37:$W$68)</f>
        <v>#N/A</v>
      </c>
    </row>
    <row r="9" spans="2:28" x14ac:dyDescent="0.35">
      <c r="B9" s="24" t="s">
        <v>170</v>
      </c>
      <c r="C9" s="23" t="s">
        <v>32</v>
      </c>
      <c r="D9" s="23" t="s">
        <v>399</v>
      </c>
      <c r="E9" s="24">
        <v>1</v>
      </c>
      <c r="F9" s="23" t="str">
        <f>'2025'!$E$10</f>
        <v>n/a</v>
      </c>
      <c r="G9" s="89" t="e" cm="1">
        <f t="array" ref="G9">_xlfn.XLOOKUP(Table1179397[[#This Row],[Opp]],Table14[DEF],'2024 fSZN'!$G$3:$G$34)</f>
        <v>#N/A</v>
      </c>
      <c r="I9" s="24" t="s">
        <v>276</v>
      </c>
      <c r="J9" s="23" t="s">
        <v>43</v>
      </c>
      <c r="K9" s="23" t="s">
        <v>395</v>
      </c>
      <c r="L9" s="24">
        <v>1</v>
      </c>
      <c r="M9" s="23" t="str">
        <f>'2025'!$E$21</f>
        <v>n/a</v>
      </c>
      <c r="N9" s="89" t="e" cm="1">
        <f t="array" ref="N9">_xlfn.XLOOKUP(Table1189296[[#This Row],[Opp]],Table46[DEF],'2024 fSZN'!$Y$3:$Y$34)</f>
        <v>#N/A</v>
      </c>
      <c r="P9" s="24" t="s">
        <v>335</v>
      </c>
      <c r="Q9" s="23" t="s">
        <v>49</v>
      </c>
      <c r="R9" s="23" t="s">
        <v>66</v>
      </c>
      <c r="S9" s="24">
        <v>1</v>
      </c>
      <c r="T9" s="23" t="str">
        <f>'2025'!$E$27</f>
        <v>n/a</v>
      </c>
      <c r="U9" s="89" t="e" cm="1">
        <f t="array" ref="U9">_xlfn.XLOOKUP(Table1199094[[#This Row],[Opp]],Table77[DEF],'2024 fSZN'!$H$37:$H$68)</f>
        <v>#N/A</v>
      </c>
      <c r="W9" s="24" t="s">
        <v>128</v>
      </c>
      <c r="X9" s="23" t="s">
        <v>0</v>
      </c>
      <c r="Y9" s="23" t="s">
        <v>397</v>
      </c>
      <c r="Z9" s="24">
        <v>1</v>
      </c>
      <c r="AA9" s="23" t="str">
        <f>'2025'!$E$3</f>
        <v>n/a</v>
      </c>
      <c r="AB9" s="89" t="e" cm="1">
        <f t="array" ref="AB9">_xlfn.XLOOKUP(Table1209195[[#This Row],[Opp]],Table845[DEF],'2024 fSZN'!$W$37:$W$68)</f>
        <v>#N/A</v>
      </c>
    </row>
    <row r="10" spans="2:28" x14ac:dyDescent="0.35">
      <c r="B10" s="24" t="s">
        <v>367</v>
      </c>
      <c r="C10" s="23" t="s">
        <v>54</v>
      </c>
      <c r="D10" s="23" t="s">
        <v>399</v>
      </c>
      <c r="E10" s="24">
        <v>1</v>
      </c>
      <c r="F10" s="23" t="str">
        <f>'2025'!$E$32</f>
        <v>n/a</v>
      </c>
      <c r="G10" s="89" t="e" cm="1">
        <f t="array" ref="G10">_xlfn.XLOOKUP(Table1179397[[#This Row],[Opp]],Table14[DEF],'2024 fSZN'!$G$3:$G$34)</f>
        <v>#N/A</v>
      </c>
      <c r="I10" s="24" t="s">
        <v>351</v>
      </c>
      <c r="J10" s="23" t="s">
        <v>52</v>
      </c>
      <c r="K10" s="23" t="s">
        <v>395</v>
      </c>
      <c r="L10" s="24">
        <v>1</v>
      </c>
      <c r="M10" s="23" t="str">
        <f>'2025'!$E$30</f>
        <v>NE</v>
      </c>
      <c r="N10" s="89" cm="1">
        <f t="array" ref="N10">_xlfn.XLOOKUP(Table1189296[[#This Row],[Opp]],Table46[DEF],'2024 fSZN'!$Y$3:$Y$34)</f>
        <v>8</v>
      </c>
      <c r="P10" s="24" t="s">
        <v>383</v>
      </c>
      <c r="Q10" s="23" t="s">
        <v>55</v>
      </c>
      <c r="R10" s="23" t="s">
        <v>66</v>
      </c>
      <c r="S10" s="24">
        <v>0</v>
      </c>
      <c r="T10" s="23" t="str">
        <f>'2025'!$E$33</f>
        <v>n/a</v>
      </c>
      <c r="U10" s="89" t="e" cm="1">
        <f t="array" ref="U10">_xlfn.XLOOKUP(Table1199094[[#This Row],[Opp]],Table77[DEF],'2024 fSZN'!$H$37:$H$68)</f>
        <v>#N/A</v>
      </c>
      <c r="W10" s="24" t="s">
        <v>202</v>
      </c>
      <c r="X10" s="23" t="s">
        <v>35</v>
      </c>
      <c r="Y10" s="23" t="s">
        <v>397</v>
      </c>
      <c r="Z10" s="24">
        <v>1</v>
      </c>
      <c r="AA10" s="23" t="str">
        <f>'2025'!$E$13</f>
        <v>n/a</v>
      </c>
      <c r="AB10" s="89" t="e" cm="1">
        <f t="array" ref="AB10">_xlfn.XLOOKUP(Table1209195[[#This Row],[Opp]],Table845[DEF],'2024 fSZN'!$W$37:$W$68)</f>
        <v>#N/A</v>
      </c>
    </row>
    <row r="11" spans="2:28" x14ac:dyDescent="0.35">
      <c r="B11" s="24" t="s">
        <v>234</v>
      </c>
      <c r="C11" s="23" t="s">
        <v>39</v>
      </c>
      <c r="D11" s="23" t="s">
        <v>399</v>
      </c>
      <c r="E11" s="24">
        <v>1</v>
      </c>
      <c r="F11" s="23" t="str">
        <f>'2025'!$E$17</f>
        <v>n/a</v>
      </c>
      <c r="G11" s="89" t="e" cm="1">
        <f t="array" ref="G11">_xlfn.XLOOKUP(Table1179397[[#This Row],[Opp]],Table14[DEF],'2024 fSZN'!$G$3:$G$34)</f>
        <v>#N/A</v>
      </c>
      <c r="I11" s="24" t="s">
        <v>118</v>
      </c>
      <c r="J11" s="23" t="s">
        <v>0</v>
      </c>
      <c r="K11" s="23" t="s">
        <v>395</v>
      </c>
      <c r="L11" s="24">
        <v>1</v>
      </c>
      <c r="M11" s="23" t="str">
        <f>'2025'!$E$3</f>
        <v>n/a</v>
      </c>
      <c r="N11" s="89" t="e" cm="1">
        <f t="array" ref="N11">_xlfn.XLOOKUP(Table1189296[[#This Row],[Opp]],Table46[DEF],'2024 fSZN'!$Y$3:$Y$34)</f>
        <v>#N/A</v>
      </c>
      <c r="P11" s="24" t="s">
        <v>167</v>
      </c>
      <c r="Q11" s="23" t="s">
        <v>31</v>
      </c>
      <c r="R11" s="23" t="s">
        <v>66</v>
      </c>
      <c r="S11" s="24">
        <v>1</v>
      </c>
      <c r="T11" s="23" t="str">
        <f>'2025'!$E$9</f>
        <v>n/a</v>
      </c>
      <c r="U11" s="89" t="e" cm="1">
        <f t="array" ref="U11">_xlfn.XLOOKUP(Table1199094[[#This Row],[Opp]],Table77[DEF],'2024 fSZN'!$H$37:$H$68)</f>
        <v>#N/A</v>
      </c>
      <c r="W11" s="24" t="s">
        <v>130</v>
      </c>
      <c r="X11" s="23" t="s">
        <v>17</v>
      </c>
      <c r="Y11" s="23" t="s">
        <v>397</v>
      </c>
      <c r="Z11" s="24">
        <v>1</v>
      </c>
      <c r="AA11" s="23" t="str">
        <f>'2025'!$E$6</f>
        <v>n/a</v>
      </c>
      <c r="AB11" s="89" t="e" cm="1">
        <f t="array" ref="AB11">_xlfn.XLOOKUP(Table1209195[[#This Row],[Opp]],Table845[DEF],'2024 fSZN'!$W$37:$W$68)</f>
        <v>#N/A</v>
      </c>
    </row>
    <row r="12" spans="2:28" x14ac:dyDescent="0.35">
      <c r="B12" s="24" t="s">
        <v>215</v>
      </c>
      <c r="C12" s="23" t="s">
        <v>37</v>
      </c>
      <c r="D12" s="23" t="s">
        <v>399</v>
      </c>
      <c r="E12" s="24">
        <v>1</v>
      </c>
      <c r="F12" s="23" t="str">
        <f>'2025'!$E$15</f>
        <v>n/a</v>
      </c>
      <c r="G12" s="89" t="e" cm="1">
        <f t="array" ref="G12">_xlfn.XLOOKUP(Table1179397[[#This Row],[Opp]],Table14[DEF],'2024 fSZN'!$G$3:$G$34)</f>
        <v>#N/A</v>
      </c>
      <c r="I12" s="24" t="s">
        <v>360</v>
      </c>
      <c r="J12" s="23" t="s">
        <v>53</v>
      </c>
      <c r="K12" s="23" t="s">
        <v>395</v>
      </c>
      <c r="L12" s="24">
        <v>1</v>
      </c>
      <c r="M12" s="23" t="str">
        <f>'2025'!$E$31</f>
        <v>n/a</v>
      </c>
      <c r="N12" s="89" t="e" cm="1">
        <f t="array" ref="N12">_xlfn.XLOOKUP(Table1189296[[#This Row],[Opp]],Table46[DEF],'2024 fSZN'!$Y$3:$Y$34)</f>
        <v>#N/A</v>
      </c>
      <c r="P12" s="24" t="s">
        <v>372</v>
      </c>
      <c r="Q12" s="23" t="s">
        <v>54</v>
      </c>
      <c r="R12" s="23" t="s">
        <v>66</v>
      </c>
      <c r="S12" s="24">
        <v>1</v>
      </c>
      <c r="T12" s="23" t="str">
        <f>'2025'!$E$32</f>
        <v>n/a</v>
      </c>
      <c r="U12" s="89" t="e" cm="1">
        <f t="array" ref="U12">_xlfn.XLOOKUP(Table1199094[[#This Row],[Opp]],Table77[DEF],'2024 fSZN'!$H$37:$H$68)</f>
        <v>#N/A</v>
      </c>
      <c r="W12" s="24" t="s">
        <v>334</v>
      </c>
      <c r="X12" s="23" t="s">
        <v>49</v>
      </c>
      <c r="Y12" s="23" t="s">
        <v>397</v>
      </c>
      <c r="Z12" s="24">
        <v>1</v>
      </c>
      <c r="AA12" s="23" t="str">
        <f>'2025'!$E$27</f>
        <v>n/a</v>
      </c>
      <c r="AB12" s="89" t="e" cm="1">
        <f t="array" ref="AB12">_xlfn.XLOOKUP(Table1209195[[#This Row],[Opp]],Table845[DEF],'2024 fSZN'!$W$37:$W$68)</f>
        <v>#N/A</v>
      </c>
    </row>
    <row r="13" spans="2:28" x14ac:dyDescent="0.35">
      <c r="B13" s="24" t="s">
        <v>284</v>
      </c>
      <c r="C13" s="23" t="s">
        <v>44</v>
      </c>
      <c r="D13" s="23" t="s">
        <v>399</v>
      </c>
      <c r="E13" s="24">
        <v>1</v>
      </c>
      <c r="F13" s="23" t="str">
        <f>'2025'!$E$22</f>
        <v>n/a</v>
      </c>
      <c r="G13" s="89" t="e" cm="1">
        <f t="array" ref="G13">_xlfn.XLOOKUP(Table1179397[[#This Row],[Opp]],Table14[DEF],'2024 fSZN'!$G$3:$G$34)</f>
        <v>#N/A</v>
      </c>
      <c r="I13" s="24" t="s">
        <v>324</v>
      </c>
      <c r="J13" s="23" t="s">
        <v>48</v>
      </c>
      <c r="K13" s="23" t="s">
        <v>395</v>
      </c>
      <c r="L13" s="24">
        <v>1</v>
      </c>
      <c r="M13" s="23" t="str">
        <f>'2025'!$E$26</f>
        <v>n/a</v>
      </c>
      <c r="N13" s="89" t="e" cm="1">
        <f t="array" ref="N13">_xlfn.XLOOKUP(Table1189296[[#This Row],[Opp]],Table46[DEF],'2024 fSZN'!$Y$3:$Y$34)</f>
        <v>#N/A</v>
      </c>
      <c r="P13" s="24" t="s">
        <v>290</v>
      </c>
      <c r="Q13" s="23" t="s">
        <v>44</v>
      </c>
      <c r="R13" s="23" t="s">
        <v>66</v>
      </c>
      <c r="S13" s="24">
        <v>0</v>
      </c>
      <c r="T13" s="23" t="str">
        <f>'2025'!$E$22</f>
        <v>n/a</v>
      </c>
      <c r="U13" s="89" t="e" cm="1">
        <f t="array" ref="U13">_xlfn.XLOOKUP(Table1199094[[#This Row],[Opp]],Table77[DEF],'2024 fSZN'!$H$37:$H$68)</f>
        <v>#N/A</v>
      </c>
      <c r="W13" s="24" t="s">
        <v>230</v>
      </c>
      <c r="X13" s="23" t="s">
        <v>38</v>
      </c>
      <c r="Y13" s="23" t="s">
        <v>397</v>
      </c>
      <c r="Z13" s="24">
        <v>1</v>
      </c>
      <c r="AA13" s="23" t="str">
        <f>'2025'!$E$16</f>
        <v>n/a</v>
      </c>
      <c r="AB13" s="89" t="e" cm="1">
        <f t="array" ref="AB13">_xlfn.XLOOKUP(Table1209195[[#This Row],[Opp]],Table845[DEF],'2024 fSZN'!$W$37:$W$68)</f>
        <v>#N/A</v>
      </c>
    </row>
    <row r="14" spans="2:28" x14ac:dyDescent="0.35">
      <c r="B14" s="24" t="s">
        <v>159</v>
      </c>
      <c r="C14" s="23" t="s">
        <v>31</v>
      </c>
      <c r="D14" s="23" t="s">
        <v>399</v>
      </c>
      <c r="E14" s="24">
        <v>1</v>
      </c>
      <c r="F14" s="23" t="str">
        <f>'2025'!$E$9</f>
        <v>n/a</v>
      </c>
      <c r="G14" s="89" t="e" cm="1">
        <f t="array" ref="G14">_xlfn.XLOOKUP(Table1179397[[#This Row],[Opp]],Table14[DEF],'2024 fSZN'!$G$3:$G$34)</f>
        <v>#N/A</v>
      </c>
      <c r="I14" s="24" t="s">
        <v>218</v>
      </c>
      <c r="J14" s="23" t="s">
        <v>37</v>
      </c>
      <c r="K14" s="23" t="s">
        <v>395</v>
      </c>
      <c r="L14" s="24">
        <v>1</v>
      </c>
      <c r="M14" s="23" t="str">
        <f>'2025'!$E$15</f>
        <v>n/a</v>
      </c>
      <c r="N14" s="89" t="e" cm="1">
        <f t="array" ref="N14">_xlfn.XLOOKUP(Table1189296[[#This Row],[Opp]],Table46[DEF],'2024 fSZN'!$Y$3:$Y$34)</f>
        <v>#N/A</v>
      </c>
      <c r="P14" s="24" t="s">
        <v>272</v>
      </c>
      <c r="Q14" s="23" t="s">
        <v>42</v>
      </c>
      <c r="R14" s="23" t="s">
        <v>66</v>
      </c>
      <c r="S14" s="24">
        <v>1</v>
      </c>
      <c r="T14" s="23" t="str">
        <f>'2025'!$E$20</f>
        <v>n/a</v>
      </c>
      <c r="U14" s="89" t="e" cm="1">
        <f t="array" ref="U14">_xlfn.XLOOKUP(Table1199094[[#This Row],[Opp]],Table77[DEF],'2024 fSZN'!$H$37:$H$68)</f>
        <v>#N/A</v>
      </c>
      <c r="W14" s="24" t="s">
        <v>131</v>
      </c>
      <c r="X14" s="23" t="s">
        <v>29</v>
      </c>
      <c r="Y14" s="23" t="s">
        <v>397</v>
      </c>
      <c r="Z14" s="24">
        <v>1</v>
      </c>
      <c r="AA14" s="23" t="str">
        <f>'2025'!$E$7</f>
        <v>n/a</v>
      </c>
      <c r="AB14" s="89" t="e" cm="1">
        <f t="array" ref="AB14">_xlfn.XLOOKUP(Table1209195[[#This Row],[Opp]],Table845[DEF],'2024 fSZN'!$W$37:$W$68)</f>
        <v>#N/A</v>
      </c>
    </row>
    <row r="15" spans="2:28" x14ac:dyDescent="0.35">
      <c r="B15" s="24" t="s">
        <v>376</v>
      </c>
      <c r="C15" s="23" t="s">
        <v>55</v>
      </c>
      <c r="D15" s="23" t="s">
        <v>399</v>
      </c>
      <c r="E15" s="24">
        <v>1</v>
      </c>
      <c r="F15" s="23" t="str">
        <f>'2025'!$E$33</f>
        <v>n/a</v>
      </c>
      <c r="G15" s="89" t="e" cm="1">
        <f t="array" ref="G15">_xlfn.XLOOKUP(Table1179397[[#This Row],[Opp]],Table14[DEF],'2024 fSZN'!$G$3:$G$34)</f>
        <v>#N/A</v>
      </c>
      <c r="I15" s="24" t="s">
        <v>337</v>
      </c>
      <c r="J15" s="23" t="s">
        <v>50</v>
      </c>
      <c r="K15" s="23" t="s">
        <v>395</v>
      </c>
      <c r="L15" s="24">
        <v>1</v>
      </c>
      <c r="M15" s="23" t="str">
        <f>'2025'!$E$28</f>
        <v>n/a</v>
      </c>
      <c r="N15" s="89" t="e" cm="1">
        <f t="array" ref="N15">_xlfn.XLOOKUP(Table1189296[[#This Row],[Opp]],Table46[DEF],'2024 fSZN'!$Y$3:$Y$34)</f>
        <v>#N/A</v>
      </c>
      <c r="P15" s="24" t="s">
        <v>319</v>
      </c>
      <c r="Q15" s="23" t="s">
        <v>47</v>
      </c>
      <c r="R15" s="23" t="s">
        <v>66</v>
      </c>
      <c r="S15" s="24">
        <v>1</v>
      </c>
      <c r="T15" s="23" t="str">
        <f>'2025'!$E$25</f>
        <v>n/a</v>
      </c>
      <c r="U15" s="89" t="e" cm="1">
        <f t="array" ref="U15">_xlfn.XLOOKUP(Table1199094[[#This Row],[Opp]],Table77[DEF],'2024 fSZN'!$H$37:$H$68)</f>
        <v>#N/A</v>
      </c>
      <c r="W15" s="24" t="s">
        <v>239</v>
      </c>
      <c r="X15" s="23" t="s">
        <v>39</v>
      </c>
      <c r="Y15" s="23" t="s">
        <v>397</v>
      </c>
      <c r="Z15" s="24">
        <v>1</v>
      </c>
      <c r="AA15" s="23" t="str">
        <f>'2025'!$E$17</f>
        <v>n/a</v>
      </c>
      <c r="AB15" s="89" t="e" cm="1">
        <f t="array" ref="AB15">_xlfn.XLOOKUP(Table1209195[[#This Row],[Opp]],Table845[DEF],'2024 fSZN'!$W$37:$W$68)</f>
        <v>#N/A</v>
      </c>
    </row>
    <row r="16" spans="2:28" x14ac:dyDescent="0.35">
      <c r="B16" s="24" t="s">
        <v>255</v>
      </c>
      <c r="C16" s="23" t="s">
        <v>41</v>
      </c>
      <c r="D16" s="23" t="s">
        <v>399</v>
      </c>
      <c r="E16" s="24">
        <v>1</v>
      </c>
      <c r="F16" s="23" t="str">
        <f>'2025'!$E$19</f>
        <v>n/a</v>
      </c>
      <c r="G16" s="89" t="e" cm="1">
        <f t="array" ref="G16">_xlfn.XLOOKUP(Table1179397[[#This Row],[Opp]],Table14[DEF],'2024 fSZN'!$G$3:$G$34)</f>
        <v>#N/A</v>
      </c>
      <c r="I16" s="24" t="s">
        <v>200</v>
      </c>
      <c r="J16" s="23" t="s">
        <v>35</v>
      </c>
      <c r="K16" s="23" t="s">
        <v>395</v>
      </c>
      <c r="L16" s="24">
        <v>1</v>
      </c>
      <c r="M16" s="23" t="str">
        <f>'2025'!$E$13</f>
        <v>n/a</v>
      </c>
      <c r="N16" s="89" t="e" cm="1">
        <f t="array" ref="N16">_xlfn.XLOOKUP(Table1189296[[#This Row],[Opp]],Table46[DEF],'2024 fSZN'!$Y$3:$Y$34)</f>
        <v>#N/A</v>
      </c>
      <c r="P16" s="24" t="s">
        <v>390</v>
      </c>
      <c r="Q16" s="23" t="s">
        <v>56</v>
      </c>
      <c r="R16" s="23" t="s">
        <v>66</v>
      </c>
      <c r="S16" s="24">
        <v>1</v>
      </c>
      <c r="T16" s="23" t="str">
        <f>'2025'!$E$34</f>
        <v>n/a</v>
      </c>
      <c r="U16" s="89" t="e" cm="1">
        <f t="array" ref="U16">_xlfn.XLOOKUP(Table1199094[[#This Row],[Opp]],Table77[DEF],'2024 fSZN'!$H$37:$H$68)</f>
        <v>#N/A</v>
      </c>
      <c r="W16" s="24" t="s">
        <v>363</v>
      </c>
      <c r="X16" s="23" t="s">
        <v>53</v>
      </c>
      <c r="Y16" s="23" t="s">
        <v>397</v>
      </c>
      <c r="Z16" s="24">
        <v>1</v>
      </c>
      <c r="AA16" s="23" t="str">
        <f>'2025'!$E$31</f>
        <v>n/a</v>
      </c>
      <c r="AB16" s="89" t="e" cm="1">
        <f t="array" ref="AB16">_xlfn.XLOOKUP(Table1209195[[#This Row],[Opp]],Table845[DEF],'2024 fSZN'!$W$37:$W$68)</f>
        <v>#N/A</v>
      </c>
    </row>
    <row r="17" spans="2:28" x14ac:dyDescent="0.35">
      <c r="B17" s="24" t="s">
        <v>330</v>
      </c>
      <c r="C17" s="23" t="s">
        <v>49</v>
      </c>
      <c r="D17" s="23" t="s">
        <v>399</v>
      </c>
      <c r="E17" s="24">
        <v>1</v>
      </c>
      <c r="F17" s="23" t="str">
        <f>'2025'!$E$27</f>
        <v>n/a</v>
      </c>
      <c r="G17" s="89" t="e" cm="1">
        <f t="array" ref="G17">_xlfn.XLOOKUP(Table1179397[[#This Row],[Opp]],Table14[DEF],'2024 fSZN'!$G$3:$G$34)</f>
        <v>#N/A</v>
      </c>
      <c r="I17" s="24" t="s">
        <v>193</v>
      </c>
      <c r="J17" s="23" t="s">
        <v>34</v>
      </c>
      <c r="K17" s="23" t="s">
        <v>395</v>
      </c>
      <c r="L17" s="24">
        <v>1</v>
      </c>
      <c r="M17" s="23" t="str">
        <f>'2025'!$E$12</f>
        <v>n/a</v>
      </c>
      <c r="N17" s="89" t="e" cm="1">
        <f t="array" ref="N17">_xlfn.XLOOKUP(Table1189296[[#This Row],[Opp]],Table46[DEF],'2024 fSZN'!$Y$3:$Y$34)</f>
        <v>#N/A</v>
      </c>
      <c r="P17" s="24" t="s">
        <v>143</v>
      </c>
      <c r="Q17" s="23" t="s">
        <v>16</v>
      </c>
      <c r="R17" s="23" t="s">
        <v>66</v>
      </c>
      <c r="S17" s="24">
        <v>1</v>
      </c>
      <c r="T17" s="23" t="str">
        <f>'2025'!$E$5</f>
        <v>n/a</v>
      </c>
      <c r="U17" s="89" t="e" cm="1">
        <f t="array" ref="U17">_xlfn.XLOOKUP(Table1199094[[#This Row],[Opp]],Table77[DEF],'2024 fSZN'!$H$37:$H$68)</f>
        <v>#N/A</v>
      </c>
      <c r="W17" s="24" t="s">
        <v>154</v>
      </c>
      <c r="X17" s="23" t="s">
        <v>30</v>
      </c>
      <c r="Y17" s="23" t="s">
        <v>397</v>
      </c>
      <c r="Z17" s="24">
        <v>1</v>
      </c>
      <c r="AA17" s="23" t="str">
        <f>'2025'!$E$8</f>
        <v>n/a</v>
      </c>
      <c r="AB17" s="89" t="e" cm="1">
        <f t="array" ref="AB17">_xlfn.XLOOKUP(Table1209195[[#This Row],[Opp]],Table845[DEF],'2024 fSZN'!$W$37:$W$68)</f>
        <v>#N/A</v>
      </c>
    </row>
    <row r="18" spans="2:28" x14ac:dyDescent="0.35">
      <c r="B18" s="24" t="s">
        <v>110</v>
      </c>
      <c r="C18" s="23" t="s">
        <v>16</v>
      </c>
      <c r="D18" s="23" t="s">
        <v>399</v>
      </c>
      <c r="E18" s="24">
        <v>0</v>
      </c>
      <c r="F18" s="23" t="str">
        <f>'2025'!$E$5</f>
        <v>n/a</v>
      </c>
      <c r="G18" s="89" t="e" cm="1">
        <f t="array" ref="G18">_xlfn.XLOOKUP(Table1179397[[#This Row],[Opp]],Table14[DEF],'2024 fSZN'!$G$3:$G$34)</f>
        <v>#N/A</v>
      </c>
      <c r="I18" s="24" t="s">
        <v>344</v>
      </c>
      <c r="J18" s="23" t="s">
        <v>51</v>
      </c>
      <c r="K18" s="23" t="s">
        <v>395</v>
      </c>
      <c r="L18" s="24">
        <v>1</v>
      </c>
      <c r="M18" s="23" t="str">
        <f>'2025'!$E$29</f>
        <v>n/a</v>
      </c>
      <c r="N18" s="89" t="e" cm="1">
        <f t="array" ref="N18">_xlfn.XLOOKUP(Table1189296[[#This Row],[Opp]],Table46[DEF],'2024 fSZN'!$Y$3:$Y$34)</f>
        <v>#N/A</v>
      </c>
      <c r="P18" s="24" t="s">
        <v>240</v>
      </c>
      <c r="Q18" s="23" t="s">
        <v>39</v>
      </c>
      <c r="R18" s="23" t="s">
        <v>66</v>
      </c>
      <c r="S18" s="24">
        <v>1</v>
      </c>
      <c r="T18" s="23" t="str">
        <f>'2025'!$E$17</f>
        <v>n/a</v>
      </c>
      <c r="U18" s="89" t="e" cm="1">
        <f t="array" ref="U18">_xlfn.XLOOKUP(Table1199094[[#This Row],[Opp]],Table77[DEF],'2024 fSZN'!$H$37:$H$68)</f>
        <v>#N/A</v>
      </c>
      <c r="W18" s="24" t="s">
        <v>278</v>
      </c>
      <c r="X18" s="23" t="s">
        <v>43</v>
      </c>
      <c r="Y18" s="23" t="s">
        <v>397</v>
      </c>
      <c r="Z18" s="24">
        <v>1</v>
      </c>
      <c r="AA18" s="23" t="str">
        <f>'2025'!$E$21</f>
        <v>n/a</v>
      </c>
      <c r="AB18" s="89" t="e" cm="1">
        <f t="array" ref="AB18">_xlfn.XLOOKUP(Table1209195[[#This Row],[Opp]],Table845[DEF],'2024 fSZN'!$W$37:$W$68)</f>
        <v>#N/A</v>
      </c>
    </row>
    <row r="19" spans="2:28" x14ac:dyDescent="0.35">
      <c r="B19" s="24" t="s">
        <v>302</v>
      </c>
      <c r="C19" s="23" t="s">
        <v>46</v>
      </c>
      <c r="D19" s="23" t="s">
        <v>399</v>
      </c>
      <c r="E19" s="24">
        <v>1</v>
      </c>
      <c r="F19" s="23" t="str">
        <f>'2025'!$E$24</f>
        <v>SEA</v>
      </c>
      <c r="G19" s="89" cm="1">
        <f t="array" ref="G19">_xlfn.XLOOKUP(Table1179397[[#This Row],[Opp]],Table14[DEF],'2024 fSZN'!$G$3:$G$34)</f>
        <v>22</v>
      </c>
      <c r="I19" s="24" t="s">
        <v>305</v>
      </c>
      <c r="J19" s="23" t="s">
        <v>46</v>
      </c>
      <c r="K19" s="23" t="s">
        <v>395</v>
      </c>
      <c r="L19" s="24">
        <v>1</v>
      </c>
      <c r="M19" s="23" t="str">
        <f>'2025'!$E$24</f>
        <v>SEA</v>
      </c>
      <c r="N19" s="89" cm="1">
        <f t="array" ref="N19">_xlfn.XLOOKUP(Table1189296[[#This Row],[Opp]],Table46[DEF],'2024 fSZN'!$Y$3:$Y$34)</f>
        <v>11</v>
      </c>
      <c r="P19" s="24" t="s">
        <v>253</v>
      </c>
      <c r="Q19" s="23" t="s">
        <v>40</v>
      </c>
      <c r="R19" s="23" t="s">
        <v>66</v>
      </c>
      <c r="S19" s="24">
        <v>1</v>
      </c>
      <c r="T19" s="23" t="str">
        <f>'2025'!$E$18</f>
        <v>n/a</v>
      </c>
      <c r="U19" s="89" t="e" cm="1">
        <f t="array" ref="U19">_xlfn.XLOOKUP(Table1199094[[#This Row],[Opp]],Table77[DEF],'2024 fSZN'!$H$37:$H$68)</f>
        <v>#N/A</v>
      </c>
      <c r="W19" s="24" t="s">
        <v>381</v>
      </c>
      <c r="X19" s="23" t="s">
        <v>55</v>
      </c>
      <c r="Y19" s="23" t="s">
        <v>397</v>
      </c>
      <c r="Z19" s="24">
        <v>1</v>
      </c>
      <c r="AA19" s="23" t="str">
        <f>'2025'!$E$33</f>
        <v>n/a</v>
      </c>
      <c r="AB19" s="89" t="e" cm="1">
        <f t="array" ref="AB19">_xlfn.XLOOKUP(Table1209195[[#This Row],[Opp]],Table845[DEF],'2024 fSZN'!$W$37:$W$68)</f>
        <v>#N/A</v>
      </c>
    </row>
    <row r="20" spans="2:28" x14ac:dyDescent="0.35">
      <c r="B20" s="24" t="s">
        <v>385</v>
      </c>
      <c r="C20" s="23" t="s">
        <v>56</v>
      </c>
      <c r="D20" s="23" t="s">
        <v>399</v>
      </c>
      <c r="E20" s="24">
        <v>1</v>
      </c>
      <c r="F20" s="23" t="str">
        <f>'2025'!$E$34</f>
        <v>n/a</v>
      </c>
      <c r="G20" s="89" t="e" cm="1">
        <f t="array" ref="G20">_xlfn.XLOOKUP(Table1179397[[#This Row],[Opp]],Table14[DEF],'2024 fSZN'!$G$3:$G$34)</f>
        <v>#N/A</v>
      </c>
      <c r="I20" s="24" t="s">
        <v>176</v>
      </c>
      <c r="J20" s="23" t="s">
        <v>32</v>
      </c>
      <c r="K20" s="23" t="s">
        <v>395</v>
      </c>
      <c r="L20" s="24">
        <v>1</v>
      </c>
      <c r="M20" s="23" t="str">
        <f>'2025'!$E$10</f>
        <v>n/a</v>
      </c>
      <c r="N20" s="89" t="e" cm="1">
        <f t="array" ref="N20">_xlfn.XLOOKUP(Table1189296[[#This Row],[Opp]],Table46[DEF],'2024 fSZN'!$Y$3:$Y$34)</f>
        <v>#N/A</v>
      </c>
      <c r="P20" s="24" t="s">
        <v>281</v>
      </c>
      <c r="Q20" s="23" t="s">
        <v>43</v>
      </c>
      <c r="R20" s="23" t="s">
        <v>66</v>
      </c>
      <c r="S20" s="24">
        <v>1</v>
      </c>
      <c r="T20" s="23" t="str">
        <f>'2025'!$E$21</f>
        <v>n/a</v>
      </c>
      <c r="U20" s="89" t="e" cm="1">
        <f t="array" ref="U20">_xlfn.XLOOKUP(Table1199094[[#This Row],[Opp]],Table77[DEF],'2024 fSZN'!$H$37:$H$68)</f>
        <v>#N/A</v>
      </c>
      <c r="W20" s="24" t="s">
        <v>129</v>
      </c>
      <c r="X20" s="23" t="s">
        <v>16</v>
      </c>
      <c r="Y20" s="23" t="s">
        <v>397</v>
      </c>
      <c r="Z20" s="24">
        <v>1</v>
      </c>
      <c r="AA20" s="23" t="str">
        <f>'2025'!$E$5</f>
        <v>n/a</v>
      </c>
      <c r="AB20" s="89" t="e" cm="1">
        <f t="array" ref="AB20">_xlfn.XLOOKUP(Table1209195[[#This Row],[Opp]],Table845[DEF],'2024 fSZN'!$W$37:$W$68)</f>
        <v>#N/A</v>
      </c>
    </row>
    <row r="21" spans="2:28" x14ac:dyDescent="0.35">
      <c r="B21" s="24" t="s">
        <v>313</v>
      </c>
      <c r="C21" s="23" t="s">
        <v>47</v>
      </c>
      <c r="D21" s="23" t="s">
        <v>399</v>
      </c>
      <c r="E21" s="24">
        <v>1</v>
      </c>
      <c r="F21" s="23" t="str">
        <f>'2025'!$E$25</f>
        <v>n/a</v>
      </c>
      <c r="G21" s="89" t="e" cm="1">
        <f t="array" ref="G21">_xlfn.XLOOKUP(Table1179397[[#This Row],[Opp]],Table14[DEF],'2024 fSZN'!$G$3:$G$34)</f>
        <v>#N/A</v>
      </c>
      <c r="I21" s="24" t="s">
        <v>245</v>
      </c>
      <c r="J21" s="23" t="s">
        <v>40</v>
      </c>
      <c r="K21" s="23" t="s">
        <v>395</v>
      </c>
      <c r="L21" s="24">
        <v>1</v>
      </c>
      <c r="M21" s="23" t="str">
        <f>'2025'!$E$18</f>
        <v>n/a</v>
      </c>
      <c r="N21" s="89" t="e" cm="1">
        <f t="array" ref="N21">_xlfn.XLOOKUP(Table1189296[[#This Row],[Opp]],Table46[DEF],'2024 fSZN'!$Y$3:$Y$34)</f>
        <v>#N/A</v>
      </c>
      <c r="P21" s="24" t="s">
        <v>327</v>
      </c>
      <c r="Q21" s="23" t="s">
        <v>48</v>
      </c>
      <c r="R21" s="23" t="s">
        <v>66</v>
      </c>
      <c r="S21" s="24">
        <v>0</v>
      </c>
      <c r="T21" s="23" t="str">
        <f>'2025'!$E$26</f>
        <v>n/a</v>
      </c>
      <c r="U21" s="89" t="e" cm="1">
        <f t="array" ref="U21">_xlfn.XLOOKUP(Table1199094[[#This Row],[Opp]],Table77[DEF],'2024 fSZN'!$H$37:$H$68)</f>
        <v>#N/A</v>
      </c>
      <c r="W21" s="24" t="s">
        <v>164</v>
      </c>
      <c r="X21" s="23" t="s">
        <v>31</v>
      </c>
      <c r="Y21" s="23" t="s">
        <v>397</v>
      </c>
      <c r="Z21" s="24">
        <v>0</v>
      </c>
      <c r="AA21" s="23" t="str">
        <f>'2025'!$E$9</f>
        <v>n/a</v>
      </c>
      <c r="AB21" s="89" t="e" cm="1">
        <f t="array" ref="AB21">_xlfn.XLOOKUP(Table1209195[[#This Row],[Opp]],Table845[DEF],'2024 fSZN'!$W$37:$W$68)</f>
        <v>#N/A</v>
      </c>
    </row>
    <row r="22" spans="2:28" x14ac:dyDescent="0.35">
      <c r="B22" s="24" t="s">
        <v>199</v>
      </c>
      <c r="C22" s="23" t="s">
        <v>35</v>
      </c>
      <c r="D22" s="23" t="s">
        <v>399</v>
      </c>
      <c r="E22" s="24">
        <v>1</v>
      </c>
      <c r="F22" s="23" t="str">
        <f>'2025'!$E$13</f>
        <v>n/a</v>
      </c>
      <c r="G22" s="89" t="e" cm="1">
        <f t="array" ref="G22">_xlfn.XLOOKUP(Table1179397[[#This Row],[Opp]],Table14[DEF],'2024 fSZN'!$G$3:$G$34)</f>
        <v>#N/A</v>
      </c>
      <c r="I22" s="24" t="s">
        <v>227</v>
      </c>
      <c r="J22" s="23" t="s">
        <v>38</v>
      </c>
      <c r="K22" s="23" t="s">
        <v>395</v>
      </c>
      <c r="L22" s="24">
        <v>1</v>
      </c>
      <c r="M22" s="23" t="str">
        <f>'2025'!$E$16</f>
        <v>n/a</v>
      </c>
      <c r="N22" s="89" t="e" cm="1">
        <f t="array" ref="N22">_xlfn.XLOOKUP(Table1189296[[#This Row],[Opp]],Table46[DEF],'2024 fSZN'!$Y$3:$Y$34)</f>
        <v>#N/A</v>
      </c>
      <c r="P22" s="24" t="s">
        <v>364</v>
      </c>
      <c r="Q22" s="23" t="s">
        <v>53</v>
      </c>
      <c r="R22" s="23" t="s">
        <v>66</v>
      </c>
      <c r="S22" s="24">
        <v>0</v>
      </c>
      <c r="T22" s="23" t="str">
        <f>'2025'!$E$31</f>
        <v>n/a</v>
      </c>
      <c r="U22" s="89" t="e" cm="1">
        <f t="array" ref="U22">_xlfn.XLOOKUP(Table1199094[[#This Row],[Opp]],Table77[DEF],'2024 fSZN'!$H$37:$H$68)</f>
        <v>#N/A</v>
      </c>
      <c r="W22" s="24" t="s">
        <v>371</v>
      </c>
      <c r="X22" s="23" t="s">
        <v>54</v>
      </c>
      <c r="Y22" s="23" t="s">
        <v>397</v>
      </c>
      <c r="Z22" s="24">
        <v>0</v>
      </c>
      <c r="AA22" s="23" t="str">
        <f>'2025'!$E$32</f>
        <v>n/a</v>
      </c>
      <c r="AB22" s="89" t="e" cm="1">
        <f t="array" ref="AB22">_xlfn.XLOOKUP(Table1209195[[#This Row],[Opp]],Table845[DEF],'2024 fSZN'!$W$37:$W$68)</f>
        <v>#N/A</v>
      </c>
    </row>
    <row r="23" spans="2:28" x14ac:dyDescent="0.35">
      <c r="B23" s="24" t="s">
        <v>357</v>
      </c>
      <c r="C23" s="23" t="s">
        <v>53</v>
      </c>
      <c r="D23" s="23" t="s">
        <v>399</v>
      </c>
      <c r="E23" s="24">
        <v>1</v>
      </c>
      <c r="F23" s="23" t="str">
        <f>'2025'!$E$31</f>
        <v>n/a</v>
      </c>
      <c r="G23" s="89" t="e" cm="1">
        <f t="array" ref="G23">_xlfn.XLOOKUP(Table1179397[[#This Row],[Opp]],Table14[DEF],'2024 fSZN'!$G$3:$G$34)</f>
        <v>#N/A</v>
      </c>
      <c r="I23" s="24" t="s">
        <v>369</v>
      </c>
      <c r="J23" s="23" t="s">
        <v>54</v>
      </c>
      <c r="K23" s="23" t="s">
        <v>395</v>
      </c>
      <c r="L23" s="24">
        <v>1</v>
      </c>
      <c r="M23" s="23" t="str">
        <f>'2025'!$E$32</f>
        <v>n/a</v>
      </c>
      <c r="N23" s="89" t="e" cm="1">
        <f t="array" ref="N23">_xlfn.XLOOKUP(Table1189296[[#This Row],[Opp]],Table46[DEF],'2024 fSZN'!$Y$3:$Y$34)</f>
        <v>#N/A</v>
      </c>
      <c r="P23" s="24" t="s">
        <v>224</v>
      </c>
      <c r="Q23" s="23" t="s">
        <v>37</v>
      </c>
      <c r="R23" s="23" t="s">
        <v>66</v>
      </c>
      <c r="S23" s="24">
        <v>1</v>
      </c>
      <c r="T23" s="23" t="str">
        <f>'2025'!$E$15</f>
        <v>n/a</v>
      </c>
      <c r="U23" s="89" t="e" cm="1">
        <f t="array" ref="U23">_xlfn.XLOOKUP(Table1199094[[#This Row],[Opp]],Table77[DEF],'2024 fSZN'!$H$37:$H$68)</f>
        <v>#N/A</v>
      </c>
      <c r="W23" s="24" t="s">
        <v>249</v>
      </c>
      <c r="X23" s="23" t="s">
        <v>40</v>
      </c>
      <c r="Y23" s="23" t="s">
        <v>397</v>
      </c>
      <c r="Z23" s="24">
        <v>1</v>
      </c>
      <c r="AA23" s="23" t="str">
        <f>'2025'!$E$18</f>
        <v>n/a</v>
      </c>
      <c r="AB23" s="89" t="e" cm="1">
        <f t="array" ref="AB23">_xlfn.XLOOKUP(Table1209195[[#This Row],[Opp]],Table845[DEF],'2024 fSZN'!$W$37:$W$68)</f>
        <v>#N/A</v>
      </c>
    </row>
    <row r="24" spans="2:28" x14ac:dyDescent="0.35">
      <c r="B24" s="24" t="s">
        <v>293</v>
      </c>
      <c r="C24" s="23" t="s">
        <v>45</v>
      </c>
      <c r="D24" s="23" t="s">
        <v>399</v>
      </c>
      <c r="E24" s="24">
        <v>1</v>
      </c>
      <c r="F24" s="23" t="str">
        <f>'2025'!$E$23</f>
        <v>n/a</v>
      </c>
      <c r="G24" s="89" t="e" cm="1">
        <f t="array" ref="G24">_xlfn.XLOOKUP(Table1179397[[#This Row],[Opp]],Table14[DEF],'2024 fSZN'!$G$3:$G$34)</f>
        <v>#N/A</v>
      </c>
      <c r="I24" s="24" t="s">
        <v>332</v>
      </c>
      <c r="J24" s="23" t="s">
        <v>49</v>
      </c>
      <c r="K24" s="23" t="s">
        <v>395</v>
      </c>
      <c r="L24" s="24">
        <v>1</v>
      </c>
      <c r="M24" s="23" t="str">
        <f>'2025'!$E$27</f>
        <v>n/a</v>
      </c>
      <c r="N24" s="89" t="e" cm="1">
        <f t="array" ref="N24">_xlfn.XLOOKUP(Table1189296[[#This Row],[Opp]],Table46[DEF],'2024 fSZN'!$Y$3:$Y$34)</f>
        <v>#N/A</v>
      </c>
      <c r="P24" s="24" t="s">
        <v>309</v>
      </c>
      <c r="Q24" s="23" t="s">
        <v>46</v>
      </c>
      <c r="R24" s="23" t="s">
        <v>66</v>
      </c>
      <c r="S24" s="24">
        <v>0</v>
      </c>
      <c r="T24" s="23" t="str">
        <f>'2025'!$E$24</f>
        <v>SEA</v>
      </c>
      <c r="U24" s="89" cm="1">
        <f t="array" ref="U24">_xlfn.XLOOKUP(Table1199094[[#This Row],[Opp]],Table77[DEF],'2024 fSZN'!$H$37:$H$68)</f>
        <v>21</v>
      </c>
      <c r="W24" s="24" t="s">
        <v>347</v>
      </c>
      <c r="X24" s="23" t="s">
        <v>51</v>
      </c>
      <c r="Y24" s="23" t="s">
        <v>397</v>
      </c>
      <c r="Z24" s="24">
        <v>1</v>
      </c>
      <c r="AA24" s="23" t="str">
        <f>'2025'!$E$29</f>
        <v>n/a</v>
      </c>
      <c r="AB24" s="89" t="e" cm="1">
        <f t="array" ref="AB24">_xlfn.XLOOKUP(Table1209195[[#This Row],[Opp]],Table845[DEF],'2024 fSZN'!$W$37:$W$68)</f>
        <v>#N/A</v>
      </c>
    </row>
    <row r="25" spans="2:28" x14ac:dyDescent="0.35">
      <c r="B25" s="24" t="s">
        <v>243</v>
      </c>
      <c r="C25" s="23" t="s">
        <v>40</v>
      </c>
      <c r="D25" s="23" t="s">
        <v>399</v>
      </c>
      <c r="E25" s="24">
        <v>1</v>
      </c>
      <c r="F25" s="23" t="str">
        <f>'2025'!$E$18</f>
        <v>n/a</v>
      </c>
      <c r="G25" s="89" t="e" cm="1">
        <f t="array" ref="G25">_xlfn.XLOOKUP(Table1179397[[#This Row],[Opp]],Table14[DEF],'2024 fSZN'!$G$3:$G$34)</f>
        <v>#N/A</v>
      </c>
      <c r="I25" s="24" t="s">
        <v>266</v>
      </c>
      <c r="J25" s="23" t="s">
        <v>42</v>
      </c>
      <c r="K25" s="23" t="s">
        <v>395</v>
      </c>
      <c r="L25" s="24">
        <v>1</v>
      </c>
      <c r="M25" s="23" t="str">
        <f>'2025'!$E$20</f>
        <v>n/a</v>
      </c>
      <c r="N25" s="89" t="e" cm="1">
        <f t="array" ref="N25">_xlfn.XLOOKUP(Table1189296[[#This Row],[Opp]],Table46[DEF],'2024 fSZN'!$Y$3:$Y$34)</f>
        <v>#N/A</v>
      </c>
      <c r="P25" s="24" t="s">
        <v>299</v>
      </c>
      <c r="Q25" s="23" t="s">
        <v>45</v>
      </c>
      <c r="R25" s="23" t="s">
        <v>66</v>
      </c>
      <c r="S25" s="24">
        <v>0</v>
      </c>
      <c r="T25" s="23" t="str">
        <f>'2025'!$E$23</f>
        <v>n/a</v>
      </c>
      <c r="U25" s="89" t="e" cm="1">
        <f t="array" ref="U25">_xlfn.XLOOKUP(Table1199094[[#This Row],[Opp]],Table77[DEF],'2024 fSZN'!$H$37:$H$68)</f>
        <v>#N/A</v>
      </c>
      <c r="W25" s="24" t="s">
        <v>269</v>
      </c>
      <c r="X25" s="23" t="s">
        <v>42</v>
      </c>
      <c r="Y25" s="23" t="s">
        <v>397</v>
      </c>
      <c r="Z25" s="24">
        <v>1</v>
      </c>
      <c r="AA25" s="23" t="str">
        <f>'2025'!$E$20</f>
        <v>n/a</v>
      </c>
      <c r="AB25" s="89" t="e" cm="1">
        <f t="array" ref="AB25">_xlfn.XLOOKUP(Table1209195[[#This Row],[Opp]],Table845[DEF],'2024 fSZN'!$W$37:$W$68)</f>
        <v>#N/A</v>
      </c>
    </row>
    <row r="26" spans="2:28" x14ac:dyDescent="0.35">
      <c r="B26" s="24" t="s">
        <v>265</v>
      </c>
      <c r="C26" s="23" t="s">
        <v>42</v>
      </c>
      <c r="D26" s="23" t="s">
        <v>399</v>
      </c>
      <c r="E26" s="24">
        <v>1</v>
      </c>
      <c r="F26" s="23" t="str">
        <f>'2025'!$E$20</f>
        <v>n/a</v>
      </c>
      <c r="G26" s="89" t="e" cm="1">
        <f t="array" ref="G26">_xlfn.XLOOKUP(Table1179397[[#This Row],[Opp]],Table14[DEF],'2024 fSZN'!$G$3:$G$34)</f>
        <v>#N/A</v>
      </c>
      <c r="I26" s="24" t="s">
        <v>378</v>
      </c>
      <c r="J26" s="23" t="s">
        <v>55</v>
      </c>
      <c r="K26" s="23" t="s">
        <v>395</v>
      </c>
      <c r="L26" s="24">
        <v>1</v>
      </c>
      <c r="M26" s="23" t="str">
        <f>'2025'!$E$33</f>
        <v>n/a</v>
      </c>
      <c r="N26" s="89" t="e" cm="1">
        <f t="array" ref="N26">_xlfn.XLOOKUP(Table1189296[[#This Row],[Opp]],Table46[DEF],'2024 fSZN'!$Y$3:$Y$34)</f>
        <v>#N/A</v>
      </c>
      <c r="P26" s="24" t="s">
        <v>348</v>
      </c>
      <c r="Q26" s="23" t="s">
        <v>51</v>
      </c>
      <c r="R26" s="23" t="s">
        <v>66</v>
      </c>
      <c r="S26" s="24">
        <v>1</v>
      </c>
      <c r="T26" s="23" t="str">
        <f>'2025'!$E$29</f>
        <v>n/a</v>
      </c>
      <c r="U26" s="89" t="e" cm="1">
        <f t="array" ref="U26">_xlfn.XLOOKUP(Table1199094[[#This Row],[Opp]],Table77[DEF],'2024 fSZN'!$H$37:$H$68)</f>
        <v>#N/A</v>
      </c>
      <c r="W26" s="24" t="s">
        <v>317</v>
      </c>
      <c r="X26" s="23" t="s">
        <v>47</v>
      </c>
      <c r="Y26" s="23" t="s">
        <v>397</v>
      </c>
      <c r="Z26" s="24">
        <v>1</v>
      </c>
      <c r="AA26" s="23" t="str">
        <f>'2025'!$E$25</f>
        <v>n/a</v>
      </c>
      <c r="AB26" s="89" t="e" cm="1">
        <f t="array" ref="AB26">_xlfn.XLOOKUP(Table1209195[[#This Row],[Opp]],Table845[DEF],'2024 fSZN'!$W$37:$W$68)</f>
        <v>#N/A</v>
      </c>
    </row>
    <row r="27" spans="2:28" x14ac:dyDescent="0.35">
      <c r="B27" s="24" t="s">
        <v>226</v>
      </c>
      <c r="C27" s="23" t="s">
        <v>38</v>
      </c>
      <c r="D27" s="23" t="s">
        <v>399</v>
      </c>
      <c r="E27" s="24">
        <v>1</v>
      </c>
      <c r="F27" s="23" t="str">
        <f>'2025'!$E$16</f>
        <v>n/a</v>
      </c>
      <c r="G27" s="89" t="e" cm="1">
        <f t="array" ref="G27">_xlfn.XLOOKUP(Table1179397[[#This Row],[Opp]],Table14[DEF],'2024 fSZN'!$G$3:$G$34)</f>
        <v>#N/A</v>
      </c>
      <c r="I27" s="24" t="s">
        <v>161</v>
      </c>
      <c r="J27" s="23" t="s">
        <v>31</v>
      </c>
      <c r="K27" s="23" t="s">
        <v>395</v>
      </c>
      <c r="L27" s="24">
        <v>1</v>
      </c>
      <c r="M27" s="23" t="str">
        <f>'2025'!$E$9</f>
        <v>n/a</v>
      </c>
      <c r="N27" s="89" t="e" cm="1">
        <f t="array" ref="N27">_xlfn.XLOOKUP(Table1189296[[#This Row],[Opp]],Table46[DEF],'2024 fSZN'!$Y$3:$Y$34)</f>
        <v>#N/A</v>
      </c>
      <c r="P27" s="24" t="s">
        <v>179</v>
      </c>
      <c r="Q27" s="23" t="s">
        <v>32</v>
      </c>
      <c r="R27" s="23" t="s">
        <v>66</v>
      </c>
      <c r="S27" s="24">
        <v>1</v>
      </c>
      <c r="T27" s="23" t="str">
        <f>'2025'!$E$10</f>
        <v>n/a</v>
      </c>
      <c r="U27" s="89" t="e" cm="1">
        <f t="array" ref="U27">_xlfn.XLOOKUP(Table1199094[[#This Row],[Opp]],Table77[DEF],'2024 fSZN'!$H$37:$H$68)</f>
        <v>#N/A</v>
      </c>
      <c r="W27" s="24" t="s">
        <v>339</v>
      </c>
      <c r="X27" s="23" t="s">
        <v>50</v>
      </c>
      <c r="Y27" s="23" t="s">
        <v>397</v>
      </c>
      <c r="Z27" s="24">
        <v>1</v>
      </c>
      <c r="AA27" s="23" t="str">
        <f>'2025'!$E$28</f>
        <v>n/a</v>
      </c>
      <c r="AB27" s="89" t="e" cm="1">
        <f t="array" ref="AB27">_xlfn.XLOOKUP(Table1209195[[#This Row],[Opp]],Table845[DEF],'2024 fSZN'!$W$37:$W$68)</f>
        <v>#N/A</v>
      </c>
    </row>
    <row r="28" spans="2:28" x14ac:dyDescent="0.35">
      <c r="B28" s="24" t="s">
        <v>275</v>
      </c>
      <c r="C28" s="23" t="s">
        <v>43</v>
      </c>
      <c r="D28" s="23" t="s">
        <v>399</v>
      </c>
      <c r="E28" s="24">
        <v>1</v>
      </c>
      <c r="F28" s="23" t="str">
        <f>'2025'!$E$21</f>
        <v>n/a</v>
      </c>
      <c r="G28" s="89" t="e" cm="1">
        <f t="array" ref="G28">_xlfn.XLOOKUP(Table1179397[[#This Row],[Opp]],Table14[DEF],'2024 fSZN'!$G$3:$G$34)</f>
        <v>#N/A</v>
      </c>
      <c r="I28" s="24" t="s">
        <v>184</v>
      </c>
      <c r="J28" s="23" t="s">
        <v>33</v>
      </c>
      <c r="K28" s="23" t="s">
        <v>395</v>
      </c>
      <c r="L28" s="24">
        <v>1</v>
      </c>
      <c r="M28" s="23" t="str">
        <f>'2025'!$E$11</f>
        <v>n/a</v>
      </c>
      <c r="N28" s="89" t="e" cm="1">
        <f t="array" ref="N28">_xlfn.XLOOKUP(Table1189296[[#This Row],[Opp]],Table46[DEF],'2024 fSZN'!$Y$3:$Y$34)</f>
        <v>#N/A</v>
      </c>
      <c r="P28" s="24" t="s">
        <v>262</v>
      </c>
      <c r="Q28" s="23" t="s">
        <v>41</v>
      </c>
      <c r="R28" s="23" t="s">
        <v>66</v>
      </c>
      <c r="S28" s="24">
        <v>1</v>
      </c>
      <c r="T28" s="23" t="str">
        <f>'2025'!$E$19</f>
        <v>n/a</v>
      </c>
      <c r="U28" s="89" t="e" cm="1">
        <f t="array" ref="U28">_xlfn.XLOOKUP(Table1199094[[#This Row],[Opp]],Table77[DEF],'2024 fSZN'!$H$37:$H$68)</f>
        <v>#N/A</v>
      </c>
      <c r="W28" s="24" t="s">
        <v>354</v>
      </c>
      <c r="X28" s="23" t="s">
        <v>52</v>
      </c>
      <c r="Y28" s="23" t="s">
        <v>397</v>
      </c>
      <c r="Z28" s="24">
        <v>1</v>
      </c>
      <c r="AA28" s="23" t="str">
        <f>'2025'!$E$30</f>
        <v>NE</v>
      </c>
      <c r="AB28" s="89" cm="1">
        <f t="array" ref="AB28">_xlfn.XLOOKUP(Table1209195[[#This Row],[Opp]],Table845[DEF],'2024 fSZN'!$W$37:$W$68)</f>
        <v>17</v>
      </c>
    </row>
    <row r="29" spans="2:28" x14ac:dyDescent="0.35">
      <c r="B29" s="24" t="s">
        <v>342</v>
      </c>
      <c r="C29" s="23" t="s">
        <v>51</v>
      </c>
      <c r="D29" s="23" t="s">
        <v>399</v>
      </c>
      <c r="E29" s="24">
        <v>1</v>
      </c>
      <c r="F29" s="23" t="str">
        <f>'2025'!$E$29</f>
        <v>n/a</v>
      </c>
      <c r="G29" s="89" t="e" cm="1">
        <f t="array" ref="G29">_xlfn.XLOOKUP(Table1179397[[#This Row],[Opp]],Table14[DEF],'2024 fSZN'!$G$3:$G$34)</f>
        <v>#N/A</v>
      </c>
      <c r="I29" s="24" t="s">
        <v>119</v>
      </c>
      <c r="J29" s="23" t="s">
        <v>15</v>
      </c>
      <c r="K29" s="23" t="s">
        <v>395</v>
      </c>
      <c r="L29" s="24">
        <v>1</v>
      </c>
      <c r="M29" s="23" t="str">
        <f>'2025'!$E$4</f>
        <v>n/a</v>
      </c>
      <c r="N29" s="89" t="e" cm="1">
        <f t="array" ref="N29">_xlfn.XLOOKUP(Table1189296[[#This Row],[Opp]],Table46[DEF],'2024 fSZN'!$Y$3:$Y$34)</f>
        <v>#N/A</v>
      </c>
      <c r="P29" s="24" t="s">
        <v>231</v>
      </c>
      <c r="Q29" s="23" t="s">
        <v>38</v>
      </c>
      <c r="R29" s="23" t="s">
        <v>66</v>
      </c>
      <c r="S29" s="24">
        <v>1</v>
      </c>
      <c r="T29" s="23" t="str">
        <f>'2025'!$E$16</f>
        <v>n/a</v>
      </c>
      <c r="U29" s="89" t="e" cm="1">
        <f t="array" ref="U29">_xlfn.XLOOKUP(Table1199094[[#This Row],[Opp]],Table77[DEF],'2024 fSZN'!$H$37:$H$68)</f>
        <v>#N/A</v>
      </c>
      <c r="W29" s="24" t="s">
        <v>126</v>
      </c>
      <c r="X29" s="23" t="s">
        <v>48</v>
      </c>
      <c r="Y29" s="23" t="s">
        <v>397</v>
      </c>
      <c r="Z29" s="24">
        <v>1</v>
      </c>
      <c r="AA29" s="23" t="str">
        <f>'2025'!$E$26</f>
        <v>n/a</v>
      </c>
      <c r="AB29" s="89" t="e" cm="1">
        <f t="array" ref="AB29">_xlfn.XLOOKUP(Table1209195[[#This Row],[Opp]],Table845[DEF],'2024 fSZN'!$W$37:$W$68)</f>
        <v>#N/A</v>
      </c>
    </row>
    <row r="30" spans="2:28" x14ac:dyDescent="0.35">
      <c r="B30" s="24" t="s">
        <v>321</v>
      </c>
      <c r="C30" s="23" t="s">
        <v>48</v>
      </c>
      <c r="D30" s="23" t="s">
        <v>399</v>
      </c>
      <c r="E30" s="24">
        <v>1</v>
      </c>
      <c r="F30" s="23" t="str">
        <f>'2025'!$E$26</f>
        <v>n/a</v>
      </c>
      <c r="G30" s="89" t="e" cm="1">
        <f t="array" ref="G30">_xlfn.XLOOKUP(Table1179397[[#This Row],[Opp]],Table14[DEF],'2024 fSZN'!$G$3:$G$34)</f>
        <v>#N/A</v>
      </c>
      <c r="I30" s="24" t="s">
        <v>151</v>
      </c>
      <c r="J30" s="23" t="s">
        <v>30</v>
      </c>
      <c r="K30" s="23" t="s">
        <v>395</v>
      </c>
      <c r="L30" s="24">
        <v>1</v>
      </c>
      <c r="M30" s="23" t="str">
        <f>'2025'!$E$8</f>
        <v>n/a</v>
      </c>
      <c r="N30" s="89" t="e" cm="1">
        <f t="array" ref="N30">_xlfn.XLOOKUP(Table1189296[[#This Row],[Opp]],Table46[DEF],'2024 fSZN'!$Y$3:$Y$34)</f>
        <v>#N/A</v>
      </c>
      <c r="P30" s="24" t="s">
        <v>203</v>
      </c>
      <c r="Q30" s="23" t="s">
        <v>35</v>
      </c>
      <c r="R30" s="23" t="s">
        <v>66</v>
      </c>
      <c r="S30" s="24">
        <v>1</v>
      </c>
      <c r="T30" s="23" t="str">
        <f>'2025'!$E$13</f>
        <v>n/a</v>
      </c>
      <c r="U30" s="89" t="e" cm="1">
        <f t="array" ref="U30">_xlfn.XLOOKUP(Table1199094[[#This Row],[Opp]],Table77[DEF],'2024 fSZN'!$H$37:$H$68)</f>
        <v>#N/A</v>
      </c>
      <c r="W30" s="24" t="s">
        <v>388</v>
      </c>
      <c r="X30" s="23" t="s">
        <v>56</v>
      </c>
      <c r="Y30" s="23" t="s">
        <v>397</v>
      </c>
      <c r="Z30" s="24">
        <v>1</v>
      </c>
      <c r="AA30" s="23" t="str">
        <f>'2025'!$E$34</f>
        <v>n/a</v>
      </c>
      <c r="AB30" s="89" t="e" cm="1">
        <f t="array" ref="AB30">_xlfn.XLOOKUP(Table1209195[[#This Row],[Opp]],Table845[DEF],'2024 fSZN'!$W$37:$W$68)</f>
        <v>#N/A</v>
      </c>
    </row>
    <row r="31" spans="2:28" x14ac:dyDescent="0.35">
      <c r="B31" s="24" t="s">
        <v>350</v>
      </c>
      <c r="C31" s="23" t="s">
        <v>52</v>
      </c>
      <c r="D31" s="23" t="s">
        <v>399</v>
      </c>
      <c r="E31" s="24">
        <v>1</v>
      </c>
      <c r="F31" s="23" t="str">
        <f>'2025'!$E$30</f>
        <v>NE</v>
      </c>
      <c r="G31" s="89" cm="1">
        <f t="array" ref="G31">_xlfn.XLOOKUP(Table1179397[[#This Row],[Opp]],Table14[DEF],'2024 fSZN'!$G$3:$G$34)</f>
        <v>27</v>
      </c>
      <c r="I31" s="24" t="s">
        <v>121</v>
      </c>
      <c r="J31" s="23" t="s">
        <v>17</v>
      </c>
      <c r="K31" s="23" t="s">
        <v>395</v>
      </c>
      <c r="L31" s="24">
        <v>1</v>
      </c>
      <c r="M31" s="23" t="str">
        <f>'2025'!$E$6</f>
        <v>n/a</v>
      </c>
      <c r="N31" s="89" t="e" cm="1">
        <f t="array" ref="N31">_xlfn.XLOOKUP(Table1189296[[#This Row],[Opp]],Table46[DEF],'2024 fSZN'!$Y$3:$Y$34)</f>
        <v>#N/A</v>
      </c>
      <c r="P31" s="24" t="s">
        <v>196</v>
      </c>
      <c r="Q31" s="23" t="s">
        <v>34</v>
      </c>
      <c r="R31" s="23" t="s">
        <v>66</v>
      </c>
      <c r="S31" s="24">
        <v>1</v>
      </c>
      <c r="T31" s="23" t="str">
        <f>'2025'!$E$12</f>
        <v>n/a</v>
      </c>
      <c r="U31" s="89" t="e" cm="1">
        <f t="array" ref="U31">_xlfn.XLOOKUP(Table1199094[[#This Row],[Opp]],Table77[DEF],'2024 fSZN'!$H$37:$H$68)</f>
        <v>#N/A</v>
      </c>
      <c r="W31" s="24" t="s">
        <v>209</v>
      </c>
      <c r="X31" s="23" t="s">
        <v>36</v>
      </c>
      <c r="Y31" s="23" t="s">
        <v>397</v>
      </c>
      <c r="Z31" s="24">
        <v>1</v>
      </c>
      <c r="AA31" s="23" t="str">
        <f>'2025'!$E$14</f>
        <v>n/a</v>
      </c>
      <c r="AB31" s="89" t="e" cm="1">
        <f t="array" ref="AB31">_xlfn.XLOOKUP(Table1209195[[#This Row],[Opp]],Table845[DEF],'2024 fSZN'!$W$37:$W$68)</f>
        <v>#N/A</v>
      </c>
    </row>
    <row r="32" spans="2:28" x14ac:dyDescent="0.35">
      <c r="B32" s="24" t="s">
        <v>191</v>
      </c>
      <c r="C32" s="23" t="s">
        <v>34</v>
      </c>
      <c r="D32" s="23" t="s">
        <v>399</v>
      </c>
      <c r="E32" s="24">
        <v>1</v>
      </c>
      <c r="F32" s="23" t="str">
        <f>'2025'!$E$12</f>
        <v>n/a</v>
      </c>
      <c r="G32" s="89" t="e" cm="1">
        <f t="array" ref="G32">_xlfn.XLOOKUP(Table1179397[[#This Row],[Opp]],Table14[DEF],'2024 fSZN'!$G$3:$G$34)</f>
        <v>#N/A</v>
      </c>
      <c r="I32" s="24" t="s">
        <v>206</v>
      </c>
      <c r="J32" s="23" t="s">
        <v>36</v>
      </c>
      <c r="K32" s="23" t="s">
        <v>395</v>
      </c>
      <c r="L32" s="24">
        <v>1</v>
      </c>
      <c r="M32" s="23" t="str">
        <f>'2025'!$E$14</f>
        <v>n/a</v>
      </c>
      <c r="N32" s="89" t="e" cm="1">
        <f t="array" ref="N32">_xlfn.XLOOKUP(Table1189296[[#This Row],[Opp]],Table46[DEF],'2024 fSZN'!$Y$3:$Y$34)</f>
        <v>#N/A</v>
      </c>
      <c r="P32" s="24" t="s">
        <v>355</v>
      </c>
      <c r="Q32" s="23" t="s">
        <v>52</v>
      </c>
      <c r="R32" s="23" t="s">
        <v>66</v>
      </c>
      <c r="S32" s="24">
        <v>1</v>
      </c>
      <c r="T32" s="23" t="str">
        <f>'2025'!$E$30</f>
        <v>NE</v>
      </c>
      <c r="U32" s="89" cm="1">
        <f t="array" ref="U32">_xlfn.XLOOKUP(Table1199094[[#This Row],[Opp]],Table77[DEF],'2024 fSZN'!$H$37:$H$68)</f>
        <v>19</v>
      </c>
      <c r="W32" s="24" t="s">
        <v>186</v>
      </c>
      <c r="X32" s="23" t="s">
        <v>33</v>
      </c>
      <c r="Y32" s="23" t="s">
        <v>397</v>
      </c>
      <c r="Z32" s="24">
        <v>1</v>
      </c>
      <c r="AA32" s="23" t="str">
        <f>'2025'!$E$11</f>
        <v>n/a</v>
      </c>
      <c r="AB32" s="89" t="e" cm="1">
        <f t="array" ref="AB32">_xlfn.XLOOKUP(Table1209195[[#This Row],[Opp]],Table845[DEF],'2024 fSZN'!$W$37:$W$68)</f>
        <v>#N/A</v>
      </c>
    </row>
    <row r="33" spans="2:28" x14ac:dyDescent="0.35">
      <c r="B33" s="24" t="s">
        <v>181</v>
      </c>
      <c r="C33" s="23" t="s">
        <v>33</v>
      </c>
      <c r="D33" s="23" t="s">
        <v>399</v>
      </c>
      <c r="E33" s="24">
        <v>1</v>
      </c>
      <c r="F33" s="23" t="str">
        <f>'2025'!$E$11</f>
        <v>n/a</v>
      </c>
      <c r="G33" s="89" t="e" cm="1">
        <f t="array" ref="G33">_xlfn.XLOOKUP(Table1179397[[#This Row],[Opp]],Table14[DEF],'2024 fSZN'!$G$3:$G$34)</f>
        <v>#N/A</v>
      </c>
      <c r="I33" s="24" t="s">
        <v>258</v>
      </c>
      <c r="J33" s="23" t="s">
        <v>41</v>
      </c>
      <c r="K33" s="23" t="s">
        <v>395</v>
      </c>
      <c r="L33" s="24">
        <v>1</v>
      </c>
      <c r="M33" s="23" t="str">
        <f>'2025'!$E$19</f>
        <v>n/a</v>
      </c>
      <c r="N33" s="89" t="e" cm="1">
        <f t="array" ref="N33">_xlfn.XLOOKUP(Table1189296[[#This Row],[Opp]],Table46[DEF],'2024 fSZN'!$Y$3:$Y$34)</f>
        <v>#N/A</v>
      </c>
      <c r="P33" s="24" t="s">
        <v>188</v>
      </c>
      <c r="Q33" s="23" t="s">
        <v>33</v>
      </c>
      <c r="R33" s="23" t="s">
        <v>66</v>
      </c>
      <c r="S33" s="24">
        <v>1</v>
      </c>
      <c r="T33" s="23" t="str">
        <f>'2025'!$E$11</f>
        <v>n/a</v>
      </c>
      <c r="U33" s="89" t="e" cm="1">
        <f t="array" ref="U33">_xlfn.XLOOKUP(Table1199094[[#This Row],[Opp]],Table77[DEF],'2024 fSZN'!$H$37:$H$68)</f>
        <v>#N/A</v>
      </c>
      <c r="W33" s="24" t="s">
        <v>195</v>
      </c>
      <c r="X33" s="23" t="s">
        <v>34</v>
      </c>
      <c r="Y33" s="23" t="s">
        <v>397</v>
      </c>
      <c r="Z33" s="24">
        <v>1</v>
      </c>
      <c r="AA33" s="23" t="str">
        <f>'2025'!$E$12</f>
        <v>n/a</v>
      </c>
      <c r="AB33" s="89" t="e" cm="1">
        <f t="array" ref="AB33">_xlfn.XLOOKUP(Table1209195[[#This Row],[Opp]],Table845[DEF],'2024 fSZN'!$W$37:$W$68)</f>
        <v>#N/A</v>
      </c>
    </row>
    <row r="34" spans="2:28" x14ac:dyDescent="0.35">
      <c r="B34" s="24" t="s">
        <v>607</v>
      </c>
      <c r="C34" s="23" t="s">
        <v>29</v>
      </c>
      <c r="D34" s="23" t="s">
        <v>405</v>
      </c>
      <c r="E34" s="24">
        <v>0</v>
      </c>
      <c r="F34" s="23" t="str">
        <f>'2025'!$E$7</f>
        <v>n/a</v>
      </c>
      <c r="G34" s="89" t="e" cm="1">
        <f t="array" ref="G34">_xlfn.XLOOKUP(Table1179397[[#This Row],[Opp]],Table14[DEF],'2024 fSZN'!$G$3:$G$34)</f>
        <v>#N/A</v>
      </c>
      <c r="I34" s="24" t="s">
        <v>238</v>
      </c>
      <c r="J34" s="23" t="s">
        <v>39</v>
      </c>
      <c r="K34" s="23" t="s">
        <v>394</v>
      </c>
      <c r="L34" s="24">
        <v>1</v>
      </c>
      <c r="M34" s="23" t="str">
        <f>'2025'!$E$17</f>
        <v>n/a</v>
      </c>
      <c r="N34" s="89" t="e" cm="1">
        <f t="array" ref="N34">_xlfn.XLOOKUP(Table1189296[[#This Row],[Opp]],Table46[DEF],'2024 fSZN'!$Y$3:$Y$34)</f>
        <v>#N/A</v>
      </c>
      <c r="P34" s="24" t="s">
        <v>211</v>
      </c>
      <c r="Q34" s="23" t="s">
        <v>36</v>
      </c>
      <c r="R34" s="23" t="s">
        <v>67</v>
      </c>
      <c r="S34" s="24">
        <v>1</v>
      </c>
      <c r="T34" s="23" t="str">
        <f>'2025'!$E$14</f>
        <v>n/a</v>
      </c>
      <c r="U34" s="89" t="e" cm="1">
        <f t="array" ref="U34">_xlfn.XLOOKUP(Table1199094[[#This Row],[Opp]],Table77[DEF],'2024 fSZN'!$H$37:$H$68)</f>
        <v>#N/A</v>
      </c>
      <c r="W34" s="24" t="s">
        <v>259</v>
      </c>
      <c r="X34" s="23" t="s">
        <v>41</v>
      </c>
      <c r="Y34" s="23" t="s">
        <v>398</v>
      </c>
      <c r="Z34" s="24">
        <v>1</v>
      </c>
      <c r="AA34" s="23" t="str">
        <f>'2025'!$E$19</f>
        <v>n/a</v>
      </c>
      <c r="AB34" s="89" t="e" cm="1">
        <f t="array" ref="AB34">_xlfn.XLOOKUP(Table1209195[[#This Row],[Opp]],Table845[DEF],'2024 fSZN'!$W$37:$W$68)</f>
        <v>#N/A</v>
      </c>
    </row>
    <row r="35" spans="2:28" x14ac:dyDescent="0.35">
      <c r="B35" s="24" t="s">
        <v>114</v>
      </c>
      <c r="C35" s="23" t="s">
        <v>15</v>
      </c>
      <c r="D35" s="23" t="s">
        <v>405</v>
      </c>
      <c r="E35" s="24">
        <v>1</v>
      </c>
      <c r="F35" s="23" t="str">
        <f>'2025'!$E$4</f>
        <v>n/a</v>
      </c>
      <c r="G35" s="89" t="e" cm="1">
        <f t="array" ref="G35">_xlfn.XLOOKUP(Table1179397[[#This Row],[Opp]],Table14[DEF],'2024 fSZN'!$G$3:$G$34)</f>
        <v>#N/A</v>
      </c>
      <c r="I35" s="24" t="s">
        <v>295</v>
      </c>
      <c r="J35" s="23" t="s">
        <v>45</v>
      </c>
      <c r="K35" s="23" t="s">
        <v>394</v>
      </c>
      <c r="L35" s="24">
        <v>1</v>
      </c>
      <c r="M35" s="23" t="str">
        <f>'2025'!$E$23</f>
        <v>n/a</v>
      </c>
      <c r="N35" s="89" t="e" cm="1">
        <f t="array" ref="N35">_xlfn.XLOOKUP(Table1189296[[#This Row],[Opp]],Table46[DEF],'2024 fSZN'!$Y$3:$Y$34)</f>
        <v>#N/A</v>
      </c>
      <c r="P35" s="24" t="s">
        <v>157</v>
      </c>
      <c r="Q35" s="23" t="s">
        <v>30</v>
      </c>
      <c r="R35" s="23" t="s">
        <v>67</v>
      </c>
      <c r="S35" s="24">
        <v>1</v>
      </c>
      <c r="T35" s="23" t="str">
        <f>'2025'!$E$8</f>
        <v>n/a</v>
      </c>
      <c r="U35" s="89" t="e" cm="1">
        <f t="array" ref="U35">_xlfn.XLOOKUP(Table1199094[[#This Row],[Opp]],Table77[DEF],'2024 fSZN'!$H$37:$H$68)</f>
        <v>#N/A</v>
      </c>
      <c r="W35" s="24" t="s">
        <v>604</v>
      </c>
      <c r="X35" s="23" t="s">
        <v>15</v>
      </c>
      <c r="Y35" s="23" t="s">
        <v>398</v>
      </c>
      <c r="Z35" s="24">
        <v>1</v>
      </c>
      <c r="AA35" s="23" t="str">
        <f>'2025'!$E$4</f>
        <v>n/a</v>
      </c>
      <c r="AB35" s="89" t="e" cm="1">
        <f t="array" ref="AB35">_xlfn.XLOOKUP(Table1209195[[#This Row],[Opp]],Table845[DEF],'2024 fSZN'!$W$37:$W$68)</f>
        <v>#N/A</v>
      </c>
    </row>
    <row r="36" spans="2:28" x14ac:dyDescent="0.35">
      <c r="B36" s="24" t="s">
        <v>205</v>
      </c>
      <c r="C36" s="23" t="s">
        <v>36</v>
      </c>
      <c r="D36" s="23" t="s">
        <v>405</v>
      </c>
      <c r="E36" s="24">
        <v>1</v>
      </c>
      <c r="F36" s="23" t="str">
        <f>'2025'!$E$14</f>
        <v>n/a</v>
      </c>
      <c r="G36" s="89" t="e" cm="1">
        <f t="array" ref="G36">_xlfn.XLOOKUP(Table1179397[[#This Row],[Opp]],Table14[DEF],'2024 fSZN'!$G$3:$G$34)</f>
        <v>#N/A</v>
      </c>
      <c r="I36" s="24" t="s">
        <v>386</v>
      </c>
      <c r="J36" s="23" t="s">
        <v>56</v>
      </c>
      <c r="K36" s="23" t="s">
        <v>394</v>
      </c>
      <c r="L36" s="24">
        <v>1</v>
      </c>
      <c r="M36" s="23" t="str">
        <f>'2025'!$E$34</f>
        <v>n/a</v>
      </c>
      <c r="N36" s="89" t="e" cm="1">
        <f t="array" ref="N36">_xlfn.XLOOKUP(Table1189296[[#This Row],[Opp]],Table46[DEF],'2024 fSZN'!$Y$3:$Y$34)</f>
        <v>#N/A</v>
      </c>
      <c r="P36" s="24" t="s">
        <v>145</v>
      </c>
      <c r="Q36" s="23" t="s">
        <v>29</v>
      </c>
      <c r="R36" s="23" t="s">
        <v>67</v>
      </c>
      <c r="S36" s="24">
        <v>1</v>
      </c>
      <c r="T36" s="23" t="str">
        <f>'2025'!$E$7</f>
        <v>n/a</v>
      </c>
      <c r="U36" s="89" t="e" cm="1">
        <f t="array" ref="U36">_xlfn.XLOOKUP(Table1199094[[#This Row],[Opp]],Table77[DEF],'2024 fSZN'!$H$37:$H$68)</f>
        <v>#N/A</v>
      </c>
      <c r="W36" s="24" t="s">
        <v>178</v>
      </c>
      <c r="X36" s="23" t="s">
        <v>32</v>
      </c>
      <c r="Y36" s="23" t="s">
        <v>398</v>
      </c>
      <c r="Z36" s="24">
        <v>1</v>
      </c>
      <c r="AA36" s="23" t="str">
        <f>'2025'!$E$10</f>
        <v>n/a</v>
      </c>
      <c r="AB36" s="89" t="e" cm="1">
        <f t="array" ref="AB36">_xlfn.XLOOKUP(Table1209195[[#This Row],[Opp]],Table845[DEF],'2024 fSZN'!$W$37:$W$68)</f>
        <v>#N/A</v>
      </c>
    </row>
    <row r="37" spans="2:28" x14ac:dyDescent="0.35">
      <c r="B37" s="24" t="s">
        <v>553</v>
      </c>
      <c r="C37" s="23" t="s">
        <v>0</v>
      </c>
      <c r="D37" s="23" t="s">
        <v>405</v>
      </c>
      <c r="E37" s="24">
        <v>1</v>
      </c>
      <c r="F37" s="23" t="str">
        <f>'2025'!$E$3</f>
        <v>n/a</v>
      </c>
      <c r="G37" s="89" t="e" cm="1">
        <f t="array" ref="G37">_xlfn.XLOOKUP(Table1179397[[#This Row],[Opp]],Table14[DEF],'2024 fSZN'!$G$3:$G$34)</f>
        <v>#N/A</v>
      </c>
      <c r="I37" s="24" t="s">
        <v>122</v>
      </c>
      <c r="J37" s="23" t="s">
        <v>29</v>
      </c>
      <c r="K37" s="23" t="s">
        <v>394</v>
      </c>
      <c r="L37" s="24">
        <v>1</v>
      </c>
      <c r="M37" s="23" t="str">
        <f>'2025'!$E$7</f>
        <v>n/a</v>
      </c>
      <c r="N37" s="89" t="e" cm="1">
        <f t="array" ref="N37">_xlfn.XLOOKUP(Table1189296[[#This Row],[Opp]],Table46[DEF],'2024 fSZN'!$Y$3:$Y$34)</f>
        <v>#N/A</v>
      </c>
      <c r="P37" s="24" t="s">
        <v>144</v>
      </c>
      <c r="Q37" s="23" t="s">
        <v>17</v>
      </c>
      <c r="R37" s="23" t="s">
        <v>67</v>
      </c>
      <c r="S37" s="24">
        <v>1</v>
      </c>
      <c r="T37" s="23" t="str">
        <f>'2025'!$E$6</f>
        <v>n/a</v>
      </c>
      <c r="U37" s="89" t="e" cm="1">
        <f t="array" ref="U37">_xlfn.XLOOKUP(Table1199094[[#This Row],[Opp]],Table77[DEF],'2024 fSZN'!$H$37:$H$68)</f>
        <v>#N/A</v>
      </c>
      <c r="W37" s="24" t="s">
        <v>636</v>
      </c>
      <c r="X37" s="23" t="s">
        <v>37</v>
      </c>
      <c r="Y37" s="23" t="s">
        <v>398</v>
      </c>
      <c r="Z37" s="24">
        <v>1</v>
      </c>
      <c r="AA37" s="23" t="str">
        <f>'2025'!$E$15</f>
        <v>n/a</v>
      </c>
      <c r="AB37" s="89" t="e" cm="1">
        <f t="array" ref="AB37">_xlfn.XLOOKUP(Table1209195[[#This Row],[Opp]],Table845[DEF],'2024 fSZN'!$W$37:$W$68)</f>
        <v>#N/A</v>
      </c>
    </row>
    <row r="38" spans="2:28" x14ac:dyDescent="0.35">
      <c r="B38" s="24" t="s">
        <v>404</v>
      </c>
      <c r="C38" s="23" t="s">
        <v>17</v>
      </c>
      <c r="D38" s="23" t="s">
        <v>405</v>
      </c>
      <c r="E38" s="24">
        <v>1</v>
      </c>
      <c r="F38" s="23" t="str">
        <f>'2025'!$E$6</f>
        <v>n/a</v>
      </c>
      <c r="G38" s="89" t="e" cm="1">
        <f t="array" ref="G38">_xlfn.XLOOKUP(Table1179397[[#This Row],[Opp]],Table14[DEF],'2024 fSZN'!$G$3:$G$34)</f>
        <v>#N/A</v>
      </c>
      <c r="I38" s="24" t="s">
        <v>288</v>
      </c>
      <c r="J38" s="23" t="s">
        <v>44</v>
      </c>
      <c r="K38" s="23" t="s">
        <v>394</v>
      </c>
      <c r="L38" s="24">
        <v>0</v>
      </c>
      <c r="M38" s="23" t="str">
        <f>'2025'!$E$22</f>
        <v>n/a</v>
      </c>
      <c r="N38" s="89" t="e" cm="1">
        <f t="array" ref="N38">_xlfn.XLOOKUP(Table1189296[[#This Row],[Opp]],Table46[DEF],'2024 fSZN'!$Y$3:$Y$34)</f>
        <v>#N/A</v>
      </c>
      <c r="P38" s="24" t="s">
        <v>142</v>
      </c>
      <c r="Q38" s="23" t="s">
        <v>0</v>
      </c>
      <c r="R38" s="23" t="s">
        <v>67</v>
      </c>
      <c r="S38" s="24">
        <v>1</v>
      </c>
      <c r="T38" s="23" t="str">
        <f>'2025'!$E$3</f>
        <v>n/a</v>
      </c>
      <c r="U38" s="89" t="e" cm="1">
        <f t="array" ref="U38">_xlfn.XLOOKUP(Table1199094[[#This Row],[Opp]],Table77[DEF],'2024 fSZN'!$H$37:$H$68)</f>
        <v>#N/A</v>
      </c>
      <c r="W38" s="24" t="s">
        <v>308</v>
      </c>
      <c r="X38" s="23" t="s">
        <v>46</v>
      </c>
      <c r="Y38" s="23" t="s">
        <v>398</v>
      </c>
      <c r="Z38" s="24">
        <v>1</v>
      </c>
      <c r="AA38" s="23" t="str">
        <f>'2025'!$E$24</f>
        <v>SEA</v>
      </c>
      <c r="AB38" s="89" cm="1">
        <f t="array" ref="AB38">_xlfn.XLOOKUP(Table1209195[[#This Row],[Opp]],Table845[DEF],'2024 fSZN'!$W$37:$W$68)</f>
        <v>15</v>
      </c>
    </row>
    <row r="39" spans="2:28" x14ac:dyDescent="0.35">
      <c r="B39" s="24" t="s">
        <v>496</v>
      </c>
      <c r="C39" s="23" t="s">
        <v>30</v>
      </c>
      <c r="D39" s="23" t="s">
        <v>405</v>
      </c>
      <c r="E39" s="24">
        <v>1</v>
      </c>
      <c r="F39" s="23" t="str">
        <f>'2025'!$E$8</f>
        <v>n/a</v>
      </c>
      <c r="G39" s="89" t="e" cm="1">
        <f t="array" ref="G39">_xlfn.XLOOKUP(Table1179397[[#This Row],[Opp]],Table14[DEF],'2024 fSZN'!$G$3:$G$34)</f>
        <v>#N/A</v>
      </c>
      <c r="I39" s="24" t="s">
        <v>316</v>
      </c>
      <c r="J39" s="23" t="s">
        <v>47</v>
      </c>
      <c r="K39" s="23" t="s">
        <v>394</v>
      </c>
      <c r="L39" s="24">
        <v>1</v>
      </c>
      <c r="M39" s="23" t="str">
        <f>'2025'!$E$25</f>
        <v>n/a</v>
      </c>
      <c r="N39" s="89" t="e" cm="1">
        <f t="array" ref="N39">_xlfn.XLOOKUP(Table1189296[[#This Row],[Opp]],Table46[DEF],'2024 fSZN'!$Y$3:$Y$34)</f>
        <v>#N/A</v>
      </c>
      <c r="P39" s="24" t="s">
        <v>341</v>
      </c>
      <c r="Q39" s="23" t="s">
        <v>50</v>
      </c>
      <c r="R39" s="23" t="s">
        <v>67</v>
      </c>
      <c r="S39" s="24">
        <v>1</v>
      </c>
      <c r="T39" s="23" t="str">
        <f>'2025'!$E$28</f>
        <v>n/a</v>
      </c>
      <c r="U39" s="89" t="e" cm="1">
        <f t="array" ref="U39">_xlfn.XLOOKUP(Table1199094[[#This Row],[Opp]],Table77[DEF],'2024 fSZN'!$H$37:$H$68)</f>
        <v>#N/A</v>
      </c>
      <c r="W39" s="24" t="s">
        <v>298</v>
      </c>
      <c r="X39" s="23" t="s">
        <v>45</v>
      </c>
      <c r="Y39" s="23" t="s">
        <v>398</v>
      </c>
      <c r="Z39" s="24">
        <v>1</v>
      </c>
      <c r="AA39" s="23" t="str">
        <f>'2025'!$E$23</f>
        <v>n/a</v>
      </c>
      <c r="AB39" s="89" t="e" cm="1">
        <f t="array" ref="AB39">_xlfn.XLOOKUP(Table1209195[[#This Row],[Opp]],Table845[DEF],'2024 fSZN'!$W$37:$W$68)</f>
        <v>#N/A</v>
      </c>
    </row>
    <row r="40" spans="2:28" x14ac:dyDescent="0.35">
      <c r="B40" s="24" t="s">
        <v>451</v>
      </c>
      <c r="C40" s="23" t="s">
        <v>50</v>
      </c>
      <c r="D40" s="23" t="s">
        <v>405</v>
      </c>
      <c r="E40" s="24">
        <v>0</v>
      </c>
      <c r="F40" s="23" t="str">
        <f>'2025'!$E$28</f>
        <v>n/a</v>
      </c>
      <c r="G40" s="89" t="e" cm="1">
        <f t="array" ref="G40">_xlfn.XLOOKUP(Table1179397[[#This Row],[Opp]],Table14[DEF],'2024 fSZN'!$G$3:$G$34)</f>
        <v>#N/A</v>
      </c>
      <c r="I40" s="24" t="s">
        <v>120</v>
      </c>
      <c r="J40" s="23" t="s">
        <v>16</v>
      </c>
      <c r="K40" s="23" t="s">
        <v>394</v>
      </c>
      <c r="L40" s="24">
        <v>1</v>
      </c>
      <c r="M40" s="23" t="str">
        <f>'2025'!$E$5</f>
        <v>n/a</v>
      </c>
      <c r="N40" s="89" t="e" cm="1">
        <f t="array" ref="N40">_xlfn.XLOOKUP(Table1189296[[#This Row],[Opp]],Table46[DEF],'2024 fSZN'!$Y$3:$Y$34)</f>
        <v>#N/A</v>
      </c>
      <c r="P40" s="24" t="s">
        <v>133</v>
      </c>
      <c r="Q40" s="23" t="s">
        <v>15</v>
      </c>
      <c r="R40" s="23" t="s">
        <v>67</v>
      </c>
      <c r="S40" s="24">
        <v>0</v>
      </c>
      <c r="T40" s="23" t="str">
        <f>'2025'!$E$4</f>
        <v>n/a</v>
      </c>
      <c r="U40" s="89" t="e" cm="1">
        <f t="array" ref="U40">_xlfn.XLOOKUP(Table1199094[[#This Row],[Opp]],Table77[DEF],'2024 fSZN'!$H$37:$H$68)</f>
        <v>#N/A</v>
      </c>
      <c r="W40" s="24" t="s">
        <v>120</v>
      </c>
      <c r="X40" s="23" t="s">
        <v>44</v>
      </c>
      <c r="Y40" s="23" t="s">
        <v>398</v>
      </c>
      <c r="Z40" s="24">
        <v>1</v>
      </c>
      <c r="AA40" s="23" t="str">
        <f>'2025'!$E$22</f>
        <v>n/a</v>
      </c>
      <c r="AB40" s="89" t="e" cm="1">
        <f t="array" ref="AB40">_xlfn.XLOOKUP(Table1209195[[#This Row],[Opp]],Table845[DEF],'2024 fSZN'!$W$37:$W$68)</f>
        <v>#N/A</v>
      </c>
    </row>
    <row r="41" spans="2:28" x14ac:dyDescent="0.35">
      <c r="B41" s="24" t="s">
        <v>173</v>
      </c>
      <c r="C41" s="23" t="s">
        <v>32</v>
      </c>
      <c r="D41" s="23" t="s">
        <v>405</v>
      </c>
      <c r="E41" s="24">
        <v>1</v>
      </c>
      <c r="F41" s="23" t="str">
        <f>'2025'!$E$10</f>
        <v>n/a</v>
      </c>
      <c r="G41" s="89" t="e" cm="1">
        <f t="array" ref="G41">_xlfn.XLOOKUP(Table1179397[[#This Row],[Opp]],Table14[DEF],'2024 fSZN'!$G$3:$G$34)</f>
        <v>#N/A</v>
      </c>
      <c r="I41" s="24" t="s">
        <v>277</v>
      </c>
      <c r="J41" s="23" t="s">
        <v>43</v>
      </c>
      <c r="K41" s="23" t="s">
        <v>394</v>
      </c>
      <c r="L41" s="24">
        <v>1</v>
      </c>
      <c r="M41" s="23" t="str">
        <f>'2025'!$E$21</f>
        <v>n/a</v>
      </c>
      <c r="N41" s="89" t="e" cm="1">
        <f t="array" ref="N41">_xlfn.XLOOKUP(Table1189296[[#This Row],[Opp]],Table46[DEF],'2024 fSZN'!$Y$3:$Y$34)</f>
        <v>#N/A</v>
      </c>
      <c r="P41" s="24" t="s">
        <v>415</v>
      </c>
      <c r="Q41" s="23" t="s">
        <v>49</v>
      </c>
      <c r="R41" s="23" t="s">
        <v>67</v>
      </c>
      <c r="S41" s="24">
        <v>1</v>
      </c>
      <c r="T41" s="23" t="str">
        <f>'2025'!$E$27</f>
        <v>n/a</v>
      </c>
      <c r="U41" s="89" t="e" cm="1">
        <f t="array" ref="U41">_xlfn.XLOOKUP(Table1199094[[#This Row],[Opp]],Table77[DEF],'2024 fSZN'!$H$37:$H$68)</f>
        <v>#N/A</v>
      </c>
      <c r="W41" s="24" t="s">
        <v>132</v>
      </c>
      <c r="X41" s="23" t="s">
        <v>0</v>
      </c>
      <c r="Y41" s="23" t="s">
        <v>398</v>
      </c>
      <c r="Z41" s="24">
        <v>1</v>
      </c>
      <c r="AA41" s="23" t="str">
        <f>'2025'!$E$3</f>
        <v>n/a</v>
      </c>
      <c r="AB41" s="89" t="e" cm="1">
        <f t="array" ref="AB41">_xlfn.XLOOKUP(Table1209195[[#This Row],[Opp]],Table845[DEF],'2024 fSZN'!$W$37:$W$68)</f>
        <v>#N/A</v>
      </c>
    </row>
    <row r="42" spans="2:28" x14ac:dyDescent="0.35">
      <c r="B42" s="24" t="s">
        <v>583</v>
      </c>
      <c r="C42" s="23" t="s">
        <v>54</v>
      </c>
      <c r="D42" s="87" t="s">
        <v>405</v>
      </c>
      <c r="E42" s="24">
        <v>1</v>
      </c>
      <c r="F42" s="23" t="str">
        <f>'2025'!$E$32</f>
        <v>n/a</v>
      </c>
      <c r="G42" s="89" t="e" cm="1">
        <f t="array" ref="G42">_xlfn.XLOOKUP(Table1179397[[#This Row],[Opp]],Table14[DEF],'2024 fSZN'!$G$3:$G$34)</f>
        <v>#N/A</v>
      </c>
      <c r="I42" s="24" t="s">
        <v>352</v>
      </c>
      <c r="J42" s="23" t="s">
        <v>52</v>
      </c>
      <c r="K42" s="23" t="s">
        <v>394</v>
      </c>
      <c r="L42" s="24">
        <v>1</v>
      </c>
      <c r="M42" s="23" t="str">
        <f>'2025'!$E$30</f>
        <v>NE</v>
      </c>
      <c r="N42" s="89" cm="1">
        <f t="array" ref="N42">_xlfn.XLOOKUP(Table1189296[[#This Row],[Opp]],Table46[DEF],'2024 fSZN'!$Y$3:$Y$34)</f>
        <v>8</v>
      </c>
      <c r="P42" s="24" t="s">
        <v>384</v>
      </c>
      <c r="Q42" s="23" t="s">
        <v>55</v>
      </c>
      <c r="R42" s="23" t="s">
        <v>67</v>
      </c>
      <c r="S42" s="24">
        <v>1</v>
      </c>
      <c r="T42" s="23" t="str">
        <f>'2025'!$E$33</f>
        <v>n/a</v>
      </c>
      <c r="U42" s="89" t="e" cm="1">
        <f t="array" ref="U42">_xlfn.XLOOKUP(Table1199094[[#This Row],[Opp]],Table77[DEF],'2024 fSZN'!$H$37:$H$68)</f>
        <v>#N/A</v>
      </c>
      <c r="W42" s="24" t="s">
        <v>508</v>
      </c>
      <c r="X42" s="23" t="s">
        <v>35</v>
      </c>
      <c r="Y42" s="23" t="s">
        <v>398</v>
      </c>
      <c r="Z42" s="24">
        <v>1</v>
      </c>
      <c r="AA42" s="23" t="str">
        <f>'2025'!$E$13</f>
        <v>n/a</v>
      </c>
      <c r="AB42" s="89" t="e" cm="1">
        <f t="array" ref="AB42">_xlfn.XLOOKUP(Table1209195[[#This Row],[Opp]],Table845[DEF],'2024 fSZN'!$W$37:$W$68)</f>
        <v>#N/A</v>
      </c>
    </row>
    <row r="43" spans="2:28" x14ac:dyDescent="0.35">
      <c r="B43" s="24" t="s">
        <v>235</v>
      </c>
      <c r="C43" s="23" t="s">
        <v>39</v>
      </c>
      <c r="D43" s="23" t="s">
        <v>405</v>
      </c>
      <c r="E43" s="24">
        <v>1</v>
      </c>
      <c r="F43" s="23" t="str">
        <f>'2025'!$E$17</f>
        <v>n/a</v>
      </c>
      <c r="G43" s="89" t="e" cm="1">
        <f t="array" ref="G43">_xlfn.XLOOKUP(Table1179397[[#This Row],[Opp]],Table14[DEF],'2024 fSZN'!$G$3:$G$34)</f>
        <v>#N/A</v>
      </c>
      <c r="I43" s="24" t="s">
        <v>113</v>
      </c>
      <c r="J43" s="23" t="s">
        <v>0</v>
      </c>
      <c r="K43" s="23" t="s">
        <v>394</v>
      </c>
      <c r="L43" s="24">
        <v>1</v>
      </c>
      <c r="M43" s="23" t="str">
        <f>'2025'!$E$3</f>
        <v>n/a</v>
      </c>
      <c r="N43" s="89" t="e" cm="1">
        <f t="array" ref="N43">_xlfn.XLOOKUP(Table1189296[[#This Row],[Opp]],Table46[DEF],'2024 fSZN'!$Y$3:$Y$34)</f>
        <v>#N/A</v>
      </c>
      <c r="P43" s="24" t="s">
        <v>166</v>
      </c>
      <c r="Q43" s="23" t="s">
        <v>31</v>
      </c>
      <c r="R43" s="23" t="s">
        <v>67</v>
      </c>
      <c r="S43" s="24">
        <v>1</v>
      </c>
      <c r="T43" s="23" t="str">
        <f>'2025'!$E$9</f>
        <v>n/a</v>
      </c>
      <c r="U43" s="89" t="e" cm="1">
        <f t="array" ref="U43">_xlfn.XLOOKUP(Table1199094[[#This Row],[Opp]],Table77[DEF],'2024 fSZN'!$H$37:$H$68)</f>
        <v>#N/A</v>
      </c>
      <c r="W43" s="24" t="s">
        <v>135</v>
      </c>
      <c r="X43" s="23" t="s">
        <v>17</v>
      </c>
      <c r="Y43" s="23" t="s">
        <v>398</v>
      </c>
      <c r="Z43" s="24">
        <v>1</v>
      </c>
      <c r="AA43" s="23" t="str">
        <f>'2025'!$E$6</f>
        <v>n/a</v>
      </c>
      <c r="AB43" s="89" t="e" cm="1">
        <f t="array" ref="AB43">_xlfn.XLOOKUP(Table1209195[[#This Row],[Opp]],Table845[DEF],'2024 fSZN'!$W$37:$W$68)</f>
        <v>#N/A</v>
      </c>
    </row>
    <row r="44" spans="2:28" x14ac:dyDescent="0.35">
      <c r="B44" s="24" t="s">
        <v>630</v>
      </c>
      <c r="C44" s="23" t="s">
        <v>37</v>
      </c>
      <c r="D44" s="23" t="s">
        <v>405</v>
      </c>
      <c r="E44" s="24">
        <v>1</v>
      </c>
      <c r="F44" s="23" t="str">
        <f>'2025'!$E$15</f>
        <v>n/a</v>
      </c>
      <c r="G44" s="89" t="e" cm="1">
        <f t="array" ref="G44">_xlfn.XLOOKUP(Table1179397[[#This Row],[Opp]],Table14[DEF],'2024 fSZN'!$G$3:$G$34)</f>
        <v>#N/A</v>
      </c>
      <c r="I44" s="24" t="s">
        <v>359</v>
      </c>
      <c r="J44" s="23" t="s">
        <v>53</v>
      </c>
      <c r="K44" s="23" t="s">
        <v>394</v>
      </c>
      <c r="L44" s="24">
        <v>1</v>
      </c>
      <c r="M44" s="23" t="str">
        <f>'2025'!$E$31</f>
        <v>n/a</v>
      </c>
      <c r="N44" s="89" t="e" cm="1">
        <f t="array" ref="N44">_xlfn.XLOOKUP(Table1189296[[#This Row],[Opp]],Table46[DEF],'2024 fSZN'!$Y$3:$Y$34)</f>
        <v>#N/A</v>
      </c>
      <c r="P44" s="24" t="s">
        <v>374</v>
      </c>
      <c r="Q44" s="23" t="s">
        <v>54</v>
      </c>
      <c r="R44" s="23" t="s">
        <v>67</v>
      </c>
      <c r="S44" s="24">
        <v>0</v>
      </c>
      <c r="T44" s="23" t="str">
        <f>'2025'!$E$32</f>
        <v>n/a</v>
      </c>
      <c r="U44" s="89" t="e" cm="1">
        <f t="array" ref="U44">_xlfn.XLOOKUP(Table1199094[[#This Row],[Opp]],Table77[DEF],'2024 fSZN'!$H$37:$H$68)</f>
        <v>#N/A</v>
      </c>
      <c r="W44" s="24" t="s">
        <v>418</v>
      </c>
      <c r="X44" s="23" t="s">
        <v>49</v>
      </c>
      <c r="Y44" s="23" t="s">
        <v>398</v>
      </c>
      <c r="Z44" s="24">
        <v>1</v>
      </c>
      <c r="AA44" s="23" t="str">
        <f>'2025'!$E$27</f>
        <v>n/a</v>
      </c>
      <c r="AB44" s="89" t="e" cm="1">
        <f t="array" ref="AB44">_xlfn.XLOOKUP(Table1209195[[#This Row],[Opp]],Table845[DEF],'2024 fSZN'!$W$37:$W$68)</f>
        <v>#N/A</v>
      </c>
    </row>
    <row r="45" spans="2:28" x14ac:dyDescent="0.35">
      <c r="B45" s="24" t="s">
        <v>406</v>
      </c>
      <c r="C45" s="23" t="s">
        <v>44</v>
      </c>
      <c r="D45" s="87" t="s">
        <v>405</v>
      </c>
      <c r="E45" s="24">
        <v>1</v>
      </c>
      <c r="F45" s="23" t="str">
        <f>'2025'!$E$22</f>
        <v>n/a</v>
      </c>
      <c r="G45" s="89" t="e" cm="1">
        <f t="array" ref="G45">_xlfn.XLOOKUP(Table1179397[[#This Row],[Opp]],Table14[DEF],'2024 fSZN'!$G$3:$G$34)</f>
        <v>#N/A</v>
      </c>
      <c r="I45" s="24" t="s">
        <v>326</v>
      </c>
      <c r="J45" s="23" t="s">
        <v>48</v>
      </c>
      <c r="K45" s="23" t="s">
        <v>394</v>
      </c>
      <c r="L45" s="24">
        <v>1</v>
      </c>
      <c r="M45" s="23" t="str">
        <f>'2025'!$E$26</f>
        <v>n/a</v>
      </c>
      <c r="N45" s="89" t="e" cm="1">
        <f t="array" ref="N45">_xlfn.XLOOKUP(Table1189296[[#This Row],[Opp]],Table46[DEF],'2024 fSZN'!$Y$3:$Y$34)</f>
        <v>#N/A</v>
      </c>
      <c r="P45" s="24" t="s">
        <v>291</v>
      </c>
      <c r="Q45" s="23" t="s">
        <v>44</v>
      </c>
      <c r="R45" s="23" t="s">
        <v>67</v>
      </c>
      <c r="S45" s="24">
        <v>1</v>
      </c>
      <c r="T45" s="23" t="str">
        <f>'2025'!$E$22</f>
        <v>n/a</v>
      </c>
      <c r="U45" s="89" t="e" cm="1">
        <f t="array" ref="U45">_xlfn.XLOOKUP(Table1199094[[#This Row],[Opp]],Table77[DEF],'2024 fSZN'!$H$37:$H$68)</f>
        <v>#N/A</v>
      </c>
      <c r="W45" s="24" t="s">
        <v>646</v>
      </c>
      <c r="X45" s="23" t="s">
        <v>38</v>
      </c>
      <c r="Y45" s="23" t="s">
        <v>398</v>
      </c>
      <c r="Z45" s="24">
        <v>1</v>
      </c>
      <c r="AA45" s="23" t="str">
        <f>'2025'!$E$16</f>
        <v>n/a</v>
      </c>
      <c r="AB45" s="89" t="e" cm="1">
        <f t="array" ref="AB45">_xlfn.XLOOKUP(Table1209195[[#This Row],[Opp]],Table845[DEF],'2024 fSZN'!$W$37:$W$68)</f>
        <v>#N/A</v>
      </c>
    </row>
    <row r="46" spans="2:28" x14ac:dyDescent="0.35">
      <c r="B46" s="24" t="s">
        <v>160</v>
      </c>
      <c r="C46" s="23" t="s">
        <v>31</v>
      </c>
      <c r="D46" s="23" t="s">
        <v>405</v>
      </c>
      <c r="E46" s="24">
        <v>1</v>
      </c>
      <c r="F46" s="23" t="str">
        <f>'2025'!$E$9</f>
        <v>n/a</v>
      </c>
      <c r="G46" s="89" t="e" cm="1">
        <f t="array" ref="G46">_xlfn.XLOOKUP(Table1179397[[#This Row],[Opp]],Table14[DEF],'2024 fSZN'!$G$3:$G$34)</f>
        <v>#N/A</v>
      </c>
      <c r="I46" s="24" t="s">
        <v>219</v>
      </c>
      <c r="J46" s="23" t="s">
        <v>37</v>
      </c>
      <c r="K46" s="23" t="s">
        <v>394</v>
      </c>
      <c r="L46" s="24">
        <v>1</v>
      </c>
      <c r="M46" s="23" t="str">
        <f>'2025'!$E$15</f>
        <v>n/a</v>
      </c>
      <c r="N46" s="89" t="e" cm="1">
        <f t="array" ref="N46">_xlfn.XLOOKUP(Table1189296[[#This Row],[Opp]],Table46[DEF],'2024 fSZN'!$Y$3:$Y$34)</f>
        <v>#N/A</v>
      </c>
      <c r="P46" s="24" t="s">
        <v>271</v>
      </c>
      <c r="Q46" s="23" t="s">
        <v>42</v>
      </c>
      <c r="R46" s="23" t="s">
        <v>67</v>
      </c>
      <c r="S46" s="24">
        <v>1</v>
      </c>
      <c r="T46" s="23" t="str">
        <f>'2025'!$E$20</f>
        <v>n/a</v>
      </c>
      <c r="U46" s="89" t="e" cm="1">
        <f t="array" ref="U46">_xlfn.XLOOKUP(Table1199094[[#This Row],[Opp]],Table77[DEF],'2024 fSZN'!$H$37:$H$68)</f>
        <v>#N/A</v>
      </c>
      <c r="W46" s="24" t="s">
        <v>614</v>
      </c>
      <c r="X46" s="23" t="s">
        <v>29</v>
      </c>
      <c r="Y46" s="23" t="s">
        <v>398</v>
      </c>
      <c r="Z46" s="24">
        <v>0</v>
      </c>
      <c r="AA46" s="23" t="str">
        <f>'2025'!$E$7</f>
        <v>n/a</v>
      </c>
      <c r="AB46" s="89" t="e" cm="1">
        <f t="array" ref="AB46">_xlfn.XLOOKUP(Table1209195[[#This Row],[Opp]],Table845[DEF],'2024 fSZN'!$W$37:$W$68)</f>
        <v>#N/A</v>
      </c>
    </row>
    <row r="47" spans="2:28" x14ac:dyDescent="0.35">
      <c r="B47" s="24" t="s">
        <v>331</v>
      </c>
      <c r="C47" s="23" t="s">
        <v>55</v>
      </c>
      <c r="D47" s="87" t="s">
        <v>405</v>
      </c>
      <c r="E47" s="24">
        <v>1</v>
      </c>
      <c r="F47" s="23" t="str">
        <f>'2025'!$E$33</f>
        <v>n/a</v>
      </c>
      <c r="G47" s="89" t="e" cm="1">
        <f t="array" ref="G47">_xlfn.XLOOKUP(Table1179397[[#This Row],[Opp]],Table14[DEF],'2024 fSZN'!$G$3:$G$34)</f>
        <v>#N/A</v>
      </c>
      <c r="I47" s="24" t="s">
        <v>338</v>
      </c>
      <c r="J47" s="23" t="s">
        <v>50</v>
      </c>
      <c r="K47" s="23" t="s">
        <v>394</v>
      </c>
      <c r="L47" s="24">
        <v>1</v>
      </c>
      <c r="M47" s="23" t="str">
        <f>'2025'!$E$28</f>
        <v>n/a</v>
      </c>
      <c r="N47" s="89" t="e" cm="1">
        <f t="array" ref="N47">_xlfn.XLOOKUP(Table1189296[[#This Row],[Opp]],Table46[DEF],'2024 fSZN'!$Y$3:$Y$34)</f>
        <v>#N/A</v>
      </c>
      <c r="P47" s="24" t="s">
        <v>318</v>
      </c>
      <c r="Q47" s="23" t="s">
        <v>47</v>
      </c>
      <c r="R47" s="23" t="s">
        <v>67</v>
      </c>
      <c r="S47" s="24">
        <v>1</v>
      </c>
      <c r="T47" s="23" t="str">
        <f>'2025'!$E$25</f>
        <v>n/a</v>
      </c>
      <c r="U47" s="89" t="e" cm="1">
        <f t="array" ref="U47">_xlfn.XLOOKUP(Table1199094[[#This Row],[Opp]],Table77[DEF],'2024 fSZN'!$H$37:$H$68)</f>
        <v>#N/A</v>
      </c>
      <c r="W47" s="24" t="s">
        <v>628</v>
      </c>
      <c r="X47" s="23" t="s">
        <v>39</v>
      </c>
      <c r="Y47" s="23" t="s">
        <v>398</v>
      </c>
      <c r="Z47" s="24">
        <v>1</v>
      </c>
      <c r="AA47" s="23" t="str">
        <f>'2025'!$E$17</f>
        <v>n/a</v>
      </c>
      <c r="AB47" s="89" t="e" cm="1">
        <f t="array" ref="AB47">_xlfn.XLOOKUP(Table1209195[[#This Row],[Opp]],Table845[DEF],'2024 fSZN'!$W$37:$W$68)</f>
        <v>#N/A</v>
      </c>
    </row>
    <row r="48" spans="2:28" x14ac:dyDescent="0.35">
      <c r="B48" s="24" t="s">
        <v>256</v>
      </c>
      <c r="C48" s="23" t="s">
        <v>41</v>
      </c>
      <c r="D48" s="23" t="s">
        <v>405</v>
      </c>
      <c r="E48" s="24">
        <v>1</v>
      </c>
      <c r="F48" s="23" t="str">
        <f>'2025'!$E$19</f>
        <v>n/a</v>
      </c>
      <c r="G48" s="89" t="e" cm="1">
        <f t="array" ref="G48">_xlfn.XLOOKUP(Table1179397[[#This Row],[Opp]],Table14[DEF],'2024 fSZN'!$G$3:$G$34)</f>
        <v>#N/A</v>
      </c>
      <c r="I48" s="24" t="s">
        <v>201</v>
      </c>
      <c r="J48" s="23" t="s">
        <v>35</v>
      </c>
      <c r="K48" s="23" t="s">
        <v>394</v>
      </c>
      <c r="L48" s="24">
        <v>1</v>
      </c>
      <c r="M48" s="23" t="str">
        <f>'2025'!$E$13</f>
        <v>n/a</v>
      </c>
      <c r="N48" s="89" t="e" cm="1">
        <f t="array" ref="N48">_xlfn.XLOOKUP(Table1189296[[#This Row],[Opp]],Table46[DEF],'2024 fSZN'!$Y$3:$Y$34)</f>
        <v>#N/A</v>
      </c>
      <c r="P48" s="24" t="s">
        <v>391</v>
      </c>
      <c r="Q48" s="23" t="s">
        <v>56</v>
      </c>
      <c r="R48" s="23" t="s">
        <v>67</v>
      </c>
      <c r="S48" s="24">
        <v>1</v>
      </c>
      <c r="T48" s="23" t="str">
        <f>'2025'!$E$34</f>
        <v>n/a</v>
      </c>
      <c r="U48" s="89" t="e" cm="1">
        <f t="array" ref="U48">_xlfn.XLOOKUP(Table1199094[[#This Row],[Opp]],Table77[DEF],'2024 fSZN'!$H$37:$H$68)</f>
        <v>#N/A</v>
      </c>
      <c r="W48" s="24" t="s">
        <v>535</v>
      </c>
      <c r="X48" s="23" t="s">
        <v>53</v>
      </c>
      <c r="Y48" s="23" t="s">
        <v>398</v>
      </c>
      <c r="Z48" s="24">
        <v>1</v>
      </c>
      <c r="AA48" s="23" t="str">
        <f>'2025'!$E$31</f>
        <v>n/a</v>
      </c>
      <c r="AB48" s="89" t="e" cm="1">
        <f t="array" ref="AB48">_xlfn.XLOOKUP(Table1209195[[#This Row],[Opp]],Table845[DEF],'2024 fSZN'!$W$37:$W$68)</f>
        <v>#N/A</v>
      </c>
    </row>
    <row r="49" spans="2:28" x14ac:dyDescent="0.35">
      <c r="B49" s="24" t="s">
        <v>414</v>
      </c>
      <c r="C49" s="23" t="s">
        <v>49</v>
      </c>
      <c r="D49" s="23" t="s">
        <v>405</v>
      </c>
      <c r="E49" s="24">
        <v>0</v>
      </c>
      <c r="F49" s="23" t="str">
        <f>'2025'!$E$27</f>
        <v>n/a</v>
      </c>
      <c r="G49" s="89" t="e" cm="1">
        <f t="array" ref="G49">_xlfn.XLOOKUP(Table1179397[[#This Row],[Opp]],Table14[DEF],'2024 fSZN'!$G$3:$G$34)</f>
        <v>#N/A</v>
      </c>
      <c r="I49" s="24" t="s">
        <v>192</v>
      </c>
      <c r="J49" s="23" t="s">
        <v>34</v>
      </c>
      <c r="K49" s="23" t="s">
        <v>394</v>
      </c>
      <c r="L49" s="24">
        <v>1</v>
      </c>
      <c r="M49" s="23" t="str">
        <f>'2025'!$E$12</f>
        <v>n/a</v>
      </c>
      <c r="N49" s="89" t="e" cm="1">
        <f t="array" ref="N49">_xlfn.XLOOKUP(Table1189296[[#This Row],[Opp]],Table46[DEF],'2024 fSZN'!$Y$3:$Y$34)</f>
        <v>#N/A</v>
      </c>
      <c r="P49" s="24" t="s">
        <v>139</v>
      </c>
      <c r="Q49" s="23" t="s">
        <v>16</v>
      </c>
      <c r="R49" s="23" t="s">
        <v>67</v>
      </c>
      <c r="S49" s="24">
        <v>1</v>
      </c>
      <c r="T49" s="23" t="str">
        <f>'2025'!$E$5</f>
        <v>n/a</v>
      </c>
      <c r="U49" s="89" t="e" cm="1">
        <f t="array" ref="U49">_xlfn.XLOOKUP(Table1199094[[#This Row],[Opp]],Table77[DEF],'2024 fSZN'!$H$37:$H$68)</f>
        <v>#N/A</v>
      </c>
      <c r="W49" s="24" t="s">
        <v>155</v>
      </c>
      <c r="X49" s="23" t="s">
        <v>30</v>
      </c>
      <c r="Y49" s="23" t="s">
        <v>398</v>
      </c>
      <c r="Z49" s="24">
        <v>1</v>
      </c>
      <c r="AA49" s="23" t="str">
        <f>'2025'!$E$8</f>
        <v>n/a</v>
      </c>
      <c r="AB49" s="89" t="e" cm="1">
        <f t="array" ref="AB49">_xlfn.XLOOKUP(Table1209195[[#This Row],[Opp]],Table845[DEF],'2024 fSZN'!$W$37:$W$68)</f>
        <v>#N/A</v>
      </c>
    </row>
    <row r="50" spans="2:28" x14ac:dyDescent="0.35">
      <c r="B50" s="24" t="s">
        <v>468</v>
      </c>
      <c r="C50" s="23" t="s">
        <v>16</v>
      </c>
      <c r="D50" s="23" t="s">
        <v>405</v>
      </c>
      <c r="E50" s="24">
        <v>1</v>
      </c>
      <c r="F50" s="23" t="str">
        <f>'2025'!$E$5</f>
        <v>n/a</v>
      </c>
      <c r="G50" s="89" t="e" cm="1">
        <f t="array" ref="G50">_xlfn.XLOOKUP(Table1179397[[#This Row],[Opp]],Table14[DEF],'2024 fSZN'!$G$3:$G$34)</f>
        <v>#N/A</v>
      </c>
      <c r="I50" s="24" t="s">
        <v>343</v>
      </c>
      <c r="J50" s="23" t="s">
        <v>51</v>
      </c>
      <c r="K50" s="23" t="s">
        <v>394</v>
      </c>
      <c r="L50" s="24">
        <v>1</v>
      </c>
      <c r="M50" s="23" t="str">
        <f>'2025'!$E$29</f>
        <v>n/a</v>
      </c>
      <c r="N50" s="89" t="e" cm="1">
        <f t="array" ref="N50">_xlfn.XLOOKUP(Table1189296[[#This Row],[Opp]],Table46[DEF],'2024 fSZN'!$Y$3:$Y$34)</f>
        <v>#N/A</v>
      </c>
      <c r="P50" s="24" t="s">
        <v>241</v>
      </c>
      <c r="Q50" s="23" t="s">
        <v>39</v>
      </c>
      <c r="R50" s="23" t="s">
        <v>67</v>
      </c>
      <c r="S50" s="24">
        <v>1</v>
      </c>
      <c r="T50" s="23" t="str">
        <f>'2025'!$E$17</f>
        <v>n/a</v>
      </c>
      <c r="U50" s="89" t="e" cm="1">
        <f t="array" ref="U50">_xlfn.XLOOKUP(Table1199094[[#This Row],[Opp]],Table77[DEF],'2024 fSZN'!$H$37:$H$68)</f>
        <v>#N/A</v>
      </c>
      <c r="W50" s="24" t="s">
        <v>279</v>
      </c>
      <c r="X50" s="23" t="s">
        <v>43</v>
      </c>
      <c r="Y50" s="23" t="s">
        <v>398</v>
      </c>
      <c r="Z50" s="24">
        <v>1</v>
      </c>
      <c r="AA50" s="23" t="str">
        <f>'2025'!$E$21</f>
        <v>n/a</v>
      </c>
      <c r="AB50" s="89" t="e" cm="1">
        <f t="array" ref="AB50">_xlfn.XLOOKUP(Table1209195[[#This Row],[Opp]],Table845[DEF],'2024 fSZN'!$W$37:$W$68)</f>
        <v>#N/A</v>
      </c>
    </row>
    <row r="51" spans="2:28" x14ac:dyDescent="0.35">
      <c r="B51" s="24" t="s">
        <v>303</v>
      </c>
      <c r="C51" s="23" t="s">
        <v>46</v>
      </c>
      <c r="D51" s="23" t="s">
        <v>405</v>
      </c>
      <c r="E51" s="24">
        <v>1</v>
      </c>
      <c r="F51" s="23" t="str">
        <f>'2025'!$E$24</f>
        <v>SEA</v>
      </c>
      <c r="G51" s="89" cm="1">
        <f t="array" ref="G51">_xlfn.XLOOKUP(Table1179397[[#This Row],[Opp]],Table14[DEF],'2024 fSZN'!$G$3:$G$34)</f>
        <v>22</v>
      </c>
      <c r="I51" s="24" t="s">
        <v>304</v>
      </c>
      <c r="J51" s="23" t="s">
        <v>46</v>
      </c>
      <c r="K51" s="23" t="s">
        <v>394</v>
      </c>
      <c r="L51" s="24">
        <v>0</v>
      </c>
      <c r="M51" s="23" t="str">
        <f>'2025'!$E$24</f>
        <v>SEA</v>
      </c>
      <c r="N51" s="89" cm="1">
        <f t="array" ref="N51">_xlfn.XLOOKUP(Table1189296[[#This Row],[Opp]],Table46[DEF],'2024 fSZN'!$Y$3:$Y$34)</f>
        <v>11</v>
      </c>
      <c r="P51" s="24" t="s">
        <v>251</v>
      </c>
      <c r="Q51" s="23" t="s">
        <v>40</v>
      </c>
      <c r="R51" s="23" t="s">
        <v>67</v>
      </c>
      <c r="S51" s="24">
        <v>1</v>
      </c>
      <c r="T51" s="23" t="str">
        <f>'2025'!$E$18</f>
        <v>n/a</v>
      </c>
      <c r="U51" s="89" t="e" cm="1">
        <f t="array" ref="U51">_xlfn.XLOOKUP(Table1199094[[#This Row],[Opp]],Table77[DEF],'2024 fSZN'!$H$37:$H$68)</f>
        <v>#N/A</v>
      </c>
      <c r="W51" s="24" t="s">
        <v>594</v>
      </c>
      <c r="X51" s="23" t="s">
        <v>55</v>
      </c>
      <c r="Y51" s="23" t="s">
        <v>398</v>
      </c>
      <c r="Z51" s="24">
        <v>1</v>
      </c>
      <c r="AA51" s="23" t="str">
        <f>'2025'!$E$33</f>
        <v>n/a</v>
      </c>
      <c r="AB51" s="89" t="e" cm="1">
        <f t="array" ref="AB51">_xlfn.XLOOKUP(Table1209195[[#This Row],[Opp]],Table845[DEF],'2024 fSZN'!$W$37:$W$68)</f>
        <v>#N/A</v>
      </c>
    </row>
    <row r="52" spans="2:28" x14ac:dyDescent="0.35">
      <c r="B52" s="24" t="s">
        <v>460</v>
      </c>
      <c r="C52" s="23" t="s">
        <v>56</v>
      </c>
      <c r="D52" s="23" t="s">
        <v>405</v>
      </c>
      <c r="E52" s="24">
        <v>0</v>
      </c>
      <c r="F52" s="23" t="str">
        <f>'2025'!$E$34</f>
        <v>n/a</v>
      </c>
      <c r="G52" s="89" t="e" cm="1">
        <f t="array" ref="G52">_xlfn.XLOOKUP(Table1179397[[#This Row],[Opp]],Table14[DEF],'2024 fSZN'!$G$3:$G$34)</f>
        <v>#N/A</v>
      </c>
      <c r="I52" s="24" t="s">
        <v>174</v>
      </c>
      <c r="J52" s="23" t="s">
        <v>32</v>
      </c>
      <c r="K52" s="23" t="s">
        <v>394</v>
      </c>
      <c r="L52" s="24">
        <v>1</v>
      </c>
      <c r="M52" s="23" t="str">
        <f>'2025'!$E$10</f>
        <v>n/a</v>
      </c>
      <c r="N52" s="89" t="e" cm="1">
        <f t="array" ref="N52">_xlfn.XLOOKUP(Table1189296[[#This Row],[Opp]],Table46[DEF],'2024 fSZN'!$Y$3:$Y$34)</f>
        <v>#N/A</v>
      </c>
      <c r="P52" s="24" t="s">
        <v>280</v>
      </c>
      <c r="Q52" s="23" t="s">
        <v>43</v>
      </c>
      <c r="R52" s="23" t="s">
        <v>67</v>
      </c>
      <c r="S52" s="24">
        <v>1</v>
      </c>
      <c r="T52" s="23" t="str">
        <f>'2025'!$E$21</f>
        <v>n/a</v>
      </c>
      <c r="U52" s="89" t="e" cm="1">
        <f t="array" ref="U52">_xlfn.XLOOKUP(Table1199094[[#This Row],[Opp]],Table77[DEF],'2024 fSZN'!$H$37:$H$68)</f>
        <v>#N/A</v>
      </c>
      <c r="W52" s="24" t="s">
        <v>134</v>
      </c>
      <c r="X52" s="23" t="s">
        <v>16</v>
      </c>
      <c r="Y52" s="23" t="s">
        <v>398</v>
      </c>
      <c r="Z52" s="24">
        <v>0</v>
      </c>
      <c r="AA52" s="23" t="str">
        <f>'2025'!$E$5</f>
        <v>n/a</v>
      </c>
      <c r="AB52" s="89" t="e" cm="1">
        <f t="array" ref="AB52">_xlfn.XLOOKUP(Table1209195[[#This Row],[Opp]],Table845[DEF],'2024 fSZN'!$W$37:$W$68)</f>
        <v>#N/A</v>
      </c>
    </row>
    <row r="53" spans="2:28" x14ac:dyDescent="0.35">
      <c r="B53" s="24" t="s">
        <v>312</v>
      </c>
      <c r="C53" s="23" t="s">
        <v>47</v>
      </c>
      <c r="D53" s="23" t="s">
        <v>405</v>
      </c>
      <c r="E53" s="24">
        <v>1</v>
      </c>
      <c r="F53" s="23" t="str">
        <f>'2025'!$E$25</f>
        <v>n/a</v>
      </c>
      <c r="G53" s="89" t="e" cm="1">
        <f t="array" ref="G53">_xlfn.XLOOKUP(Table1179397[[#This Row],[Opp]],Table14[DEF],'2024 fSZN'!$G$3:$G$34)</f>
        <v>#N/A</v>
      </c>
      <c r="I53" s="24" t="s">
        <v>246</v>
      </c>
      <c r="J53" s="23" t="s">
        <v>40</v>
      </c>
      <c r="K53" s="23" t="s">
        <v>394</v>
      </c>
      <c r="L53" s="24">
        <v>1</v>
      </c>
      <c r="M53" s="23" t="str">
        <f>'2025'!$E$18</f>
        <v>n/a</v>
      </c>
      <c r="N53" s="89" t="e" cm="1">
        <f t="array" ref="N53">_xlfn.XLOOKUP(Table1189296[[#This Row],[Opp]],Table46[DEF],'2024 fSZN'!$Y$3:$Y$34)</f>
        <v>#N/A</v>
      </c>
      <c r="P53" s="24" t="s">
        <v>328</v>
      </c>
      <c r="Q53" s="23" t="s">
        <v>48</v>
      </c>
      <c r="R53" s="23" t="s">
        <v>67</v>
      </c>
      <c r="S53" s="24">
        <v>1</v>
      </c>
      <c r="T53" s="23" t="str">
        <f>'2025'!$E$26</f>
        <v>n/a</v>
      </c>
      <c r="U53" s="89" t="e" cm="1">
        <f t="array" ref="U53">_xlfn.XLOOKUP(Table1199094[[#This Row],[Opp]],Table77[DEF],'2024 fSZN'!$H$37:$H$68)</f>
        <v>#N/A</v>
      </c>
      <c r="W53" s="24" t="s">
        <v>165</v>
      </c>
      <c r="X53" s="23" t="s">
        <v>31</v>
      </c>
      <c r="Y53" s="23" t="s">
        <v>398</v>
      </c>
      <c r="Z53" s="24">
        <v>1</v>
      </c>
      <c r="AA53" s="23" t="str">
        <f>'2025'!$E$9</f>
        <v>n/a</v>
      </c>
      <c r="AB53" s="89" t="e" cm="1">
        <f t="array" ref="AB53">_xlfn.XLOOKUP(Table1209195[[#This Row],[Opp]],Table845[DEF],'2024 fSZN'!$W$37:$W$68)</f>
        <v>#N/A</v>
      </c>
    </row>
    <row r="54" spans="2:28" x14ac:dyDescent="0.35">
      <c r="B54" s="24" t="s">
        <v>261</v>
      </c>
      <c r="C54" s="23" t="s">
        <v>35</v>
      </c>
      <c r="D54" s="23" t="s">
        <v>405</v>
      </c>
      <c r="E54" s="24">
        <v>1</v>
      </c>
      <c r="F54" s="23" t="str">
        <f>'2025'!$E$13</f>
        <v>n/a</v>
      </c>
      <c r="G54" s="89" t="e" cm="1">
        <f t="array" ref="G54">_xlfn.XLOOKUP(Table1179397[[#This Row],[Opp]],Table14[DEF],'2024 fSZN'!$G$3:$G$34)</f>
        <v>#N/A</v>
      </c>
      <c r="I54" s="24" t="s">
        <v>229</v>
      </c>
      <c r="J54" s="23" t="s">
        <v>38</v>
      </c>
      <c r="K54" s="23" t="s">
        <v>394</v>
      </c>
      <c r="L54" s="24">
        <v>0</v>
      </c>
      <c r="M54" s="23" t="str">
        <f>'2025'!$E$16</f>
        <v>n/a</v>
      </c>
      <c r="N54" s="89" t="e" cm="1">
        <f t="array" ref="N54">_xlfn.XLOOKUP(Table1189296[[#This Row],[Opp]],Table46[DEF],'2024 fSZN'!$Y$3:$Y$34)</f>
        <v>#N/A</v>
      </c>
      <c r="P54" s="24" t="s">
        <v>365</v>
      </c>
      <c r="Q54" s="23" t="s">
        <v>53</v>
      </c>
      <c r="R54" s="23" t="s">
        <v>67</v>
      </c>
      <c r="S54" s="24">
        <v>1</v>
      </c>
      <c r="T54" s="23" t="str">
        <f>'2025'!$E$31</f>
        <v>n/a</v>
      </c>
      <c r="U54" s="89" t="e" cm="1">
        <f t="array" ref="U54">_xlfn.XLOOKUP(Table1199094[[#This Row],[Opp]],Table77[DEF],'2024 fSZN'!$H$37:$H$68)</f>
        <v>#N/A</v>
      </c>
      <c r="W54" s="24" t="s">
        <v>586</v>
      </c>
      <c r="X54" s="23" t="s">
        <v>54</v>
      </c>
      <c r="Y54" s="23" t="s">
        <v>398</v>
      </c>
      <c r="Z54" s="24">
        <v>1</v>
      </c>
      <c r="AA54" s="23" t="str">
        <f>'2025'!$E$32</f>
        <v>n/a</v>
      </c>
      <c r="AB54" s="89" t="e" cm="1">
        <f t="array" ref="AB54">_xlfn.XLOOKUP(Table1209195[[#This Row],[Opp]],Table845[DEF],'2024 fSZN'!$W$37:$W$68)</f>
        <v>#N/A</v>
      </c>
    </row>
    <row r="55" spans="2:28" x14ac:dyDescent="0.35">
      <c r="B55" s="24" t="s">
        <v>538</v>
      </c>
      <c r="C55" s="23" t="s">
        <v>53</v>
      </c>
      <c r="D55" s="23" t="s">
        <v>405</v>
      </c>
      <c r="E55" s="24">
        <v>0</v>
      </c>
      <c r="F55" s="23" t="str">
        <f>'2025'!$E$31</f>
        <v>n/a</v>
      </c>
      <c r="G55" s="89" t="e" cm="1">
        <f t="array" ref="G55">_xlfn.XLOOKUP(Table1179397[[#This Row],[Opp]],Table14[DEF],'2024 fSZN'!$G$3:$G$34)</f>
        <v>#N/A</v>
      </c>
      <c r="I55" s="24" t="s">
        <v>368</v>
      </c>
      <c r="J55" s="23" t="s">
        <v>54</v>
      </c>
      <c r="K55" s="23" t="s">
        <v>394</v>
      </c>
      <c r="L55" s="24">
        <v>0</v>
      </c>
      <c r="M55" s="23" t="str">
        <f>'2025'!$E$32</f>
        <v>n/a</v>
      </c>
      <c r="N55" s="89" t="e" cm="1">
        <f t="array" ref="N55">_xlfn.XLOOKUP(Table1189296[[#This Row],[Opp]],Table46[DEF],'2024 fSZN'!$Y$3:$Y$34)</f>
        <v>#N/A</v>
      </c>
      <c r="P55" s="24" t="s">
        <v>222</v>
      </c>
      <c r="Q55" s="23" t="s">
        <v>37</v>
      </c>
      <c r="R55" s="23" t="s">
        <v>67</v>
      </c>
      <c r="S55" s="24">
        <v>1</v>
      </c>
      <c r="T55" s="23" t="str">
        <f>'2025'!$E$15</f>
        <v>n/a</v>
      </c>
      <c r="U55" s="89" t="e" cm="1">
        <f t="array" ref="U55">_xlfn.XLOOKUP(Table1199094[[#This Row],[Opp]],Table77[DEF],'2024 fSZN'!$H$37:$H$68)</f>
        <v>#N/A</v>
      </c>
      <c r="W55" s="24" t="s">
        <v>250</v>
      </c>
      <c r="X55" s="23" t="s">
        <v>40</v>
      </c>
      <c r="Y55" s="23" t="s">
        <v>398</v>
      </c>
      <c r="Z55" s="24">
        <v>1</v>
      </c>
      <c r="AA55" s="23" t="str">
        <f>'2025'!$E$18</f>
        <v>n/a</v>
      </c>
      <c r="AB55" s="89" t="e" cm="1">
        <f t="array" ref="AB55">_xlfn.XLOOKUP(Table1209195[[#This Row],[Opp]],Table845[DEF],'2024 fSZN'!$W$37:$W$68)</f>
        <v>#N/A</v>
      </c>
    </row>
    <row r="56" spans="2:28" x14ac:dyDescent="0.35">
      <c r="B56" s="24" t="s">
        <v>517</v>
      </c>
      <c r="C56" s="23" t="s">
        <v>45</v>
      </c>
      <c r="D56" s="23" t="s">
        <v>405</v>
      </c>
      <c r="E56" s="24">
        <v>1</v>
      </c>
      <c r="F56" s="23" t="str">
        <f>'2025'!$E$23</f>
        <v>n/a</v>
      </c>
      <c r="G56" s="89" t="e" cm="1">
        <f t="array" ref="G56">_xlfn.XLOOKUP(Table1179397[[#This Row],[Opp]],Table14[DEF],'2024 fSZN'!$G$3:$G$34)</f>
        <v>#N/A</v>
      </c>
      <c r="I56" s="24" t="s">
        <v>331</v>
      </c>
      <c r="J56" s="23" t="s">
        <v>49</v>
      </c>
      <c r="K56" s="23" t="s">
        <v>394</v>
      </c>
      <c r="L56" s="24">
        <v>1</v>
      </c>
      <c r="M56" s="23" t="str">
        <f>'2025'!$E$27</f>
        <v>n/a</v>
      </c>
      <c r="N56" s="89" t="e" cm="1">
        <f t="array" ref="N56">_xlfn.XLOOKUP(Table1189296[[#This Row],[Opp]],Table46[DEF],'2024 fSZN'!$Y$3:$Y$34)</f>
        <v>#N/A</v>
      </c>
      <c r="P56" s="24" t="s">
        <v>310</v>
      </c>
      <c r="Q56" s="23" t="s">
        <v>46</v>
      </c>
      <c r="R56" s="23" t="s">
        <v>67</v>
      </c>
      <c r="S56" s="24">
        <v>1</v>
      </c>
      <c r="T56" s="23" t="str">
        <f>'2025'!$E$24</f>
        <v>SEA</v>
      </c>
      <c r="U56" s="89" cm="1">
        <f t="array" ref="U56">_xlfn.XLOOKUP(Table1199094[[#This Row],[Opp]],Table77[DEF],'2024 fSZN'!$H$37:$H$68)</f>
        <v>21</v>
      </c>
      <c r="W56" s="24" t="s">
        <v>346</v>
      </c>
      <c r="X56" s="23" t="s">
        <v>51</v>
      </c>
      <c r="Y56" s="23" t="s">
        <v>398</v>
      </c>
      <c r="Z56" s="24">
        <v>0</v>
      </c>
      <c r="AA56" s="23" t="str">
        <f>'2025'!$E$29</f>
        <v>n/a</v>
      </c>
      <c r="AB56" s="89" t="e" cm="1">
        <f t="array" ref="AB56">_xlfn.XLOOKUP(Table1209195[[#This Row],[Opp]],Table845[DEF],'2024 fSZN'!$W$37:$W$68)</f>
        <v>#N/A</v>
      </c>
    </row>
    <row r="57" spans="2:28" x14ac:dyDescent="0.35">
      <c r="B57" s="24" t="s">
        <v>244</v>
      </c>
      <c r="C57" s="23" t="s">
        <v>40</v>
      </c>
      <c r="D57" s="23" t="s">
        <v>405</v>
      </c>
      <c r="E57" s="24">
        <v>1</v>
      </c>
      <c r="F57" s="23" t="str">
        <f>'2025'!$E$18</f>
        <v>n/a</v>
      </c>
      <c r="G57" s="89" t="e" cm="1">
        <f t="array" ref="G57">_xlfn.XLOOKUP(Table1179397[[#This Row],[Opp]],Table14[DEF],'2024 fSZN'!$G$3:$G$34)</f>
        <v>#N/A</v>
      </c>
      <c r="I57" s="24" t="s">
        <v>267</v>
      </c>
      <c r="J57" s="23" t="s">
        <v>42</v>
      </c>
      <c r="K57" s="23" t="s">
        <v>394</v>
      </c>
      <c r="L57" s="24">
        <v>1</v>
      </c>
      <c r="M57" s="23" t="str">
        <f>'2025'!$E$20</f>
        <v>n/a</v>
      </c>
      <c r="N57" s="89" t="e" cm="1">
        <f t="array" ref="N57">_xlfn.XLOOKUP(Table1189296[[#This Row],[Opp]],Table46[DEF],'2024 fSZN'!$Y$3:$Y$34)</f>
        <v>#N/A</v>
      </c>
      <c r="P57" s="24" t="s">
        <v>300</v>
      </c>
      <c r="Q57" s="23" t="s">
        <v>45</v>
      </c>
      <c r="R57" s="23" t="s">
        <v>67</v>
      </c>
      <c r="S57" s="24">
        <v>-1</v>
      </c>
      <c r="T57" s="23" t="str">
        <f>'2025'!$E$23</f>
        <v>n/a</v>
      </c>
      <c r="U57" s="89" t="e" cm="1">
        <f t="array" ref="U57">_xlfn.XLOOKUP(Table1199094[[#This Row],[Opp]],Table77[DEF],'2024 fSZN'!$H$37:$H$68)</f>
        <v>#N/A</v>
      </c>
      <c r="W57" s="24" t="s">
        <v>270</v>
      </c>
      <c r="X57" s="23" t="s">
        <v>42</v>
      </c>
      <c r="Y57" s="23" t="s">
        <v>398</v>
      </c>
      <c r="Z57" s="24">
        <v>1</v>
      </c>
      <c r="AA57" s="23" t="str">
        <f>'2025'!$E$20</f>
        <v>n/a</v>
      </c>
      <c r="AB57" s="89" t="e" cm="1">
        <f t="array" ref="AB57">_xlfn.XLOOKUP(Table1209195[[#This Row],[Opp]],Table845[DEF],'2024 fSZN'!$W$37:$W$68)</f>
        <v>#N/A</v>
      </c>
    </row>
    <row r="58" spans="2:28" x14ac:dyDescent="0.35">
      <c r="B58" s="24" t="s">
        <v>547</v>
      </c>
      <c r="C58" s="23" t="s">
        <v>42</v>
      </c>
      <c r="D58" s="23" t="s">
        <v>405</v>
      </c>
      <c r="E58" s="24">
        <v>1</v>
      </c>
      <c r="F58" s="23" t="str">
        <f>'2025'!$E$20</f>
        <v>n/a</v>
      </c>
      <c r="G58" s="89" t="e" cm="1">
        <f t="array" ref="G58">_xlfn.XLOOKUP(Table1179397[[#This Row],[Opp]],Table14[DEF],'2024 fSZN'!$G$3:$G$34)</f>
        <v>#N/A</v>
      </c>
      <c r="I58" s="24" t="s">
        <v>589</v>
      </c>
      <c r="J58" s="23" t="s">
        <v>55</v>
      </c>
      <c r="K58" s="23" t="s">
        <v>394</v>
      </c>
      <c r="L58" s="24">
        <v>1</v>
      </c>
      <c r="M58" s="23" t="str">
        <f>'2025'!$E$33</f>
        <v>n/a</v>
      </c>
      <c r="N58" s="89" t="e" cm="1">
        <f t="array" ref="N58">_xlfn.XLOOKUP(Table1189296[[#This Row],[Opp]],Table46[DEF],'2024 fSZN'!$Y$3:$Y$34)</f>
        <v>#N/A</v>
      </c>
      <c r="P58" s="24" t="s">
        <v>349</v>
      </c>
      <c r="Q58" s="23" t="s">
        <v>51</v>
      </c>
      <c r="R58" s="23" t="s">
        <v>67</v>
      </c>
      <c r="S58" s="24">
        <v>0</v>
      </c>
      <c r="T58" s="23" t="str">
        <f>'2025'!$E$29</f>
        <v>n/a</v>
      </c>
      <c r="U58" s="89" t="e" cm="1">
        <f t="array" ref="U58">_xlfn.XLOOKUP(Table1199094[[#This Row],[Opp]],Table77[DEF],'2024 fSZN'!$H$37:$H$68)</f>
        <v>#N/A</v>
      </c>
      <c r="W58" s="24" t="s">
        <v>622</v>
      </c>
      <c r="X58" s="23" t="s">
        <v>47</v>
      </c>
      <c r="Y58" s="23" t="s">
        <v>398</v>
      </c>
      <c r="Z58" s="24">
        <v>1</v>
      </c>
      <c r="AA58" s="23" t="str">
        <f>'2025'!$E$25</f>
        <v>n/a</v>
      </c>
      <c r="AB58" s="89" t="e" cm="1">
        <f t="array" ref="AB58">_xlfn.XLOOKUP(Table1209195[[#This Row],[Opp]],Table845[DEF],'2024 fSZN'!$W$37:$W$68)</f>
        <v>#N/A</v>
      </c>
    </row>
    <row r="59" spans="2:28" x14ac:dyDescent="0.35">
      <c r="B59" s="24" t="s">
        <v>639</v>
      </c>
      <c r="C59" s="23" t="s">
        <v>38</v>
      </c>
      <c r="D59" s="23" t="s">
        <v>405</v>
      </c>
      <c r="E59" s="24">
        <v>1</v>
      </c>
      <c r="F59" s="23" t="str">
        <f>'2025'!$E$16</f>
        <v>n/a</v>
      </c>
      <c r="G59" s="89" t="e" cm="1">
        <f t="array" ref="G59">_xlfn.XLOOKUP(Table1179397[[#This Row],[Opp]],Table14[DEF],'2024 fSZN'!$G$3:$G$34)</f>
        <v>#N/A</v>
      </c>
      <c r="I59" s="24" t="s">
        <v>162</v>
      </c>
      <c r="J59" s="23" t="s">
        <v>31</v>
      </c>
      <c r="K59" s="23" t="s">
        <v>394</v>
      </c>
      <c r="L59" s="24">
        <v>1</v>
      </c>
      <c r="M59" s="23" t="str">
        <f>'2025'!$E$9</f>
        <v>n/a</v>
      </c>
      <c r="N59" s="89" t="e" cm="1">
        <f t="array" ref="N59">_xlfn.XLOOKUP(Table1189296[[#This Row],[Opp]],Table46[DEF],'2024 fSZN'!$Y$3:$Y$34)</f>
        <v>#N/A</v>
      </c>
      <c r="P59" s="24" t="s">
        <v>180</v>
      </c>
      <c r="Q59" s="23" t="s">
        <v>32</v>
      </c>
      <c r="R59" s="23" t="s">
        <v>67</v>
      </c>
      <c r="S59" s="24">
        <v>1</v>
      </c>
      <c r="T59" s="23" t="str">
        <f>'2025'!$E$10</f>
        <v>n/a</v>
      </c>
      <c r="U59" s="89" t="e" cm="1">
        <f t="array" ref="U59">_xlfn.XLOOKUP(Table1199094[[#This Row],[Opp]],Table77[DEF],'2024 fSZN'!$H$37:$H$68)</f>
        <v>#N/A</v>
      </c>
      <c r="W59" s="24" t="s">
        <v>458</v>
      </c>
      <c r="X59" s="23" t="s">
        <v>50</v>
      </c>
      <c r="Y59" s="23" t="s">
        <v>398</v>
      </c>
      <c r="Z59" s="24">
        <v>1</v>
      </c>
      <c r="AA59" s="23" t="str">
        <f>'2025'!$E$28</f>
        <v>n/a</v>
      </c>
      <c r="AB59" s="89" t="e" cm="1">
        <f t="array" ref="AB59">_xlfn.XLOOKUP(Table1209195[[#This Row],[Opp]],Table845[DEF],'2024 fSZN'!$W$37:$W$68)</f>
        <v>#N/A</v>
      </c>
    </row>
    <row r="60" spans="2:28" x14ac:dyDescent="0.35">
      <c r="B60" s="24" t="s">
        <v>172</v>
      </c>
      <c r="C60" s="23" t="s">
        <v>43</v>
      </c>
      <c r="D60" s="23" t="s">
        <v>405</v>
      </c>
      <c r="E60" s="24">
        <v>0</v>
      </c>
      <c r="F60" s="23" t="str">
        <f>'2025'!$E$21</f>
        <v>n/a</v>
      </c>
      <c r="G60" s="89" t="e" cm="1">
        <f t="array" ref="G60">_xlfn.XLOOKUP(Table1179397[[#This Row],[Opp]],Table14[DEF],'2024 fSZN'!$G$3:$G$34)</f>
        <v>#N/A</v>
      </c>
      <c r="I60" s="24" t="s">
        <v>185</v>
      </c>
      <c r="J60" s="23" t="s">
        <v>33</v>
      </c>
      <c r="K60" s="23" t="s">
        <v>394</v>
      </c>
      <c r="L60" s="24">
        <v>1</v>
      </c>
      <c r="M60" s="23" t="str">
        <f>'2025'!$E$11</f>
        <v>n/a</v>
      </c>
      <c r="N60" s="89" t="e" cm="1">
        <f t="array" ref="N60">_xlfn.XLOOKUP(Table1189296[[#This Row],[Opp]],Table46[DEF],'2024 fSZN'!$Y$3:$Y$34)</f>
        <v>#N/A</v>
      </c>
      <c r="P60" s="24" t="s">
        <v>264</v>
      </c>
      <c r="Q60" s="23" t="s">
        <v>41</v>
      </c>
      <c r="R60" s="23" t="s">
        <v>67</v>
      </c>
      <c r="S60" s="24">
        <v>1</v>
      </c>
      <c r="T60" s="23" t="str">
        <f>'2025'!$E$19</f>
        <v>n/a</v>
      </c>
      <c r="U60" s="89" t="e" cm="1">
        <f t="array" ref="U60">_xlfn.XLOOKUP(Table1199094[[#This Row],[Opp]],Table77[DEF],'2024 fSZN'!$H$37:$H$68)</f>
        <v>#N/A</v>
      </c>
      <c r="W60" s="24" t="s">
        <v>353</v>
      </c>
      <c r="X60" s="23" t="s">
        <v>52</v>
      </c>
      <c r="Y60" s="23" t="s">
        <v>398</v>
      </c>
      <c r="Z60" s="24">
        <v>1</v>
      </c>
      <c r="AA60" s="23" t="str">
        <f>'2025'!$E$30</f>
        <v>NE</v>
      </c>
      <c r="AB60" s="89" cm="1">
        <f t="array" ref="AB60">_xlfn.XLOOKUP(Table1209195[[#This Row],[Opp]],Table845[DEF],'2024 fSZN'!$W$37:$W$68)</f>
        <v>17</v>
      </c>
    </row>
    <row r="61" spans="2:28" x14ac:dyDescent="0.35">
      <c r="B61" s="24" t="s">
        <v>489</v>
      </c>
      <c r="C61" s="23" t="s">
        <v>51</v>
      </c>
      <c r="D61" s="87" t="s">
        <v>405</v>
      </c>
      <c r="E61" s="24">
        <v>1</v>
      </c>
      <c r="F61" s="23" t="str">
        <f>'2025'!$E$29</f>
        <v>n/a</v>
      </c>
      <c r="G61" s="89" t="e" cm="1">
        <f t="array" ref="G61">_xlfn.XLOOKUP(Table1179397[[#This Row],[Opp]],Table14[DEF],'2024 fSZN'!$G$3:$G$34)</f>
        <v>#N/A</v>
      </c>
      <c r="I61" s="24" t="s">
        <v>124</v>
      </c>
      <c r="J61" s="23" t="s">
        <v>15</v>
      </c>
      <c r="K61" s="23" t="s">
        <v>394</v>
      </c>
      <c r="L61" s="24">
        <v>1</v>
      </c>
      <c r="M61" s="23" t="str">
        <f>'2025'!$E$4</f>
        <v>n/a</v>
      </c>
      <c r="N61" s="89" t="e" cm="1">
        <f t="array" ref="N61">_xlfn.XLOOKUP(Table1189296[[#This Row],[Opp]],Table46[DEF],'2024 fSZN'!$Y$3:$Y$34)</f>
        <v>#N/A</v>
      </c>
      <c r="P61" s="24" t="s">
        <v>232</v>
      </c>
      <c r="Q61" s="23" t="s">
        <v>38</v>
      </c>
      <c r="R61" s="23" t="s">
        <v>67</v>
      </c>
      <c r="S61" s="24">
        <v>0</v>
      </c>
      <c r="T61" s="23" t="str">
        <f>'2025'!$E$16</f>
        <v>n/a</v>
      </c>
      <c r="U61" s="89" t="e" cm="1">
        <f t="array" ref="U61">_xlfn.XLOOKUP(Table1199094[[#This Row],[Opp]],Table77[DEF],'2024 fSZN'!$H$37:$H$68)</f>
        <v>#N/A</v>
      </c>
      <c r="W61" s="24" t="s">
        <v>427</v>
      </c>
      <c r="X61" s="23" t="s">
        <v>48</v>
      </c>
      <c r="Y61" s="23" t="s">
        <v>398</v>
      </c>
      <c r="Z61" s="24">
        <v>1</v>
      </c>
      <c r="AA61" s="23" t="str">
        <f>'2025'!$E$26</f>
        <v>n/a</v>
      </c>
      <c r="AB61" s="89" t="e" cm="1">
        <f t="array" ref="AB61">_xlfn.XLOOKUP(Table1209195[[#This Row],[Opp]],Table845[DEF],'2024 fSZN'!$W$37:$W$68)</f>
        <v>#N/A</v>
      </c>
    </row>
    <row r="62" spans="2:28" x14ac:dyDescent="0.35">
      <c r="B62" s="24" t="s">
        <v>323</v>
      </c>
      <c r="C62" s="23" t="s">
        <v>48</v>
      </c>
      <c r="D62" s="23" t="s">
        <v>405</v>
      </c>
      <c r="E62" s="24">
        <v>1</v>
      </c>
      <c r="F62" s="23" t="str">
        <f>'2025'!$E$26</f>
        <v>n/a</v>
      </c>
      <c r="G62" s="89" t="e" cm="1">
        <f t="array" ref="G62">_xlfn.XLOOKUP(Table1179397[[#This Row],[Opp]],Table14[DEF],'2024 fSZN'!$G$3:$G$34)</f>
        <v>#N/A</v>
      </c>
      <c r="I62" s="24" t="s">
        <v>152</v>
      </c>
      <c r="J62" s="23" t="s">
        <v>30</v>
      </c>
      <c r="K62" s="23" t="s">
        <v>394</v>
      </c>
      <c r="L62" s="24">
        <v>0</v>
      </c>
      <c r="M62" s="23" t="str">
        <f>'2025'!$E$8</f>
        <v>n/a</v>
      </c>
      <c r="N62" s="89" t="e" cm="1">
        <f t="array" ref="N62">_xlfn.XLOOKUP(Table1189296[[#This Row],[Opp]],Table46[DEF],'2024 fSZN'!$Y$3:$Y$34)</f>
        <v>#N/A</v>
      </c>
      <c r="P62" s="24" t="s">
        <v>184</v>
      </c>
      <c r="Q62" s="23" t="s">
        <v>35</v>
      </c>
      <c r="R62" s="23" t="s">
        <v>67</v>
      </c>
      <c r="S62" s="24">
        <v>1</v>
      </c>
      <c r="T62" s="23" t="str">
        <f>'2025'!$E$13</f>
        <v>n/a</v>
      </c>
      <c r="U62" s="89" t="e" cm="1">
        <f t="array" ref="U62">_xlfn.XLOOKUP(Table1199094[[#This Row],[Opp]],Table77[DEF],'2024 fSZN'!$H$37:$H$68)</f>
        <v>#N/A</v>
      </c>
      <c r="W62" s="24" t="s">
        <v>466</v>
      </c>
      <c r="X62" s="23" t="s">
        <v>56</v>
      </c>
      <c r="Y62" s="23" t="s">
        <v>398</v>
      </c>
      <c r="Z62" s="24">
        <v>1</v>
      </c>
      <c r="AA62" s="23" t="str">
        <f>'2025'!$E$34</f>
        <v>n/a</v>
      </c>
      <c r="AB62" s="89" t="e" cm="1">
        <f t="array" ref="AB62">_xlfn.XLOOKUP(Table1209195[[#This Row],[Opp]],Table845[DEF],'2024 fSZN'!$W$37:$W$68)</f>
        <v>#N/A</v>
      </c>
    </row>
    <row r="63" spans="2:28" x14ac:dyDescent="0.35">
      <c r="B63" s="24" t="s">
        <v>524</v>
      </c>
      <c r="C63" s="23" t="s">
        <v>52</v>
      </c>
      <c r="D63" s="23" t="s">
        <v>405</v>
      </c>
      <c r="E63" s="24">
        <v>1</v>
      </c>
      <c r="F63" s="23" t="str">
        <f>'2025'!$E$30</f>
        <v>NE</v>
      </c>
      <c r="G63" s="89" cm="1">
        <f t="array" ref="G63">_xlfn.XLOOKUP(Table1179397[[#This Row],[Opp]],Table14[DEF],'2024 fSZN'!$G$3:$G$34)</f>
        <v>27</v>
      </c>
      <c r="I63" s="24" t="s">
        <v>116</v>
      </c>
      <c r="J63" s="23" t="s">
        <v>17</v>
      </c>
      <c r="K63" s="23" t="s">
        <v>394</v>
      </c>
      <c r="L63" s="24">
        <v>1</v>
      </c>
      <c r="M63" s="23" t="str">
        <f>'2025'!$E$6</f>
        <v>n/a</v>
      </c>
      <c r="N63" s="89" t="e" cm="1">
        <f t="array" ref="N63">_xlfn.XLOOKUP(Table1189296[[#This Row],[Opp]],Table46[DEF],'2024 fSZN'!$Y$3:$Y$34)</f>
        <v>#N/A</v>
      </c>
      <c r="P63" s="24" t="s">
        <v>197</v>
      </c>
      <c r="Q63" s="23" t="s">
        <v>34</v>
      </c>
      <c r="R63" s="23" t="s">
        <v>67</v>
      </c>
      <c r="S63" s="24">
        <v>0</v>
      </c>
      <c r="T63" s="23" t="str">
        <f>'2025'!$E$12</f>
        <v>n/a</v>
      </c>
      <c r="U63" s="89" t="e" cm="1">
        <f t="array" ref="U63">_xlfn.XLOOKUP(Table1199094[[#This Row],[Opp]],Table77[DEF],'2024 fSZN'!$H$37:$H$68)</f>
        <v>#N/A</v>
      </c>
      <c r="W63" s="24" t="s">
        <v>210</v>
      </c>
      <c r="X63" s="23" t="s">
        <v>36</v>
      </c>
      <c r="Y63" s="23" t="s">
        <v>398</v>
      </c>
      <c r="Z63" s="24">
        <v>1</v>
      </c>
      <c r="AA63" s="23" t="str">
        <f>'2025'!$E$14</f>
        <v>n/a</v>
      </c>
      <c r="AB63" s="89" t="e" cm="1">
        <f t="array" ref="AB63">_xlfn.XLOOKUP(Table1209195[[#This Row],[Opp]],Table845[DEF],'2024 fSZN'!$W$37:$W$68)</f>
        <v>#N/A</v>
      </c>
    </row>
    <row r="64" spans="2:28" x14ac:dyDescent="0.35">
      <c r="B64" s="24" t="s">
        <v>576</v>
      </c>
      <c r="C64" s="23" t="s">
        <v>34</v>
      </c>
      <c r="D64" s="23" t="s">
        <v>405</v>
      </c>
      <c r="E64" s="24">
        <v>1</v>
      </c>
      <c r="F64" s="23" t="str">
        <f>'2025'!$E$12</f>
        <v>n/a</v>
      </c>
      <c r="G64" s="89" t="e" cm="1">
        <f t="array" ref="G64">_xlfn.XLOOKUP(Table1179397[[#This Row],[Opp]],Table14[DEF],'2024 fSZN'!$G$3:$G$34)</f>
        <v>#N/A</v>
      </c>
      <c r="I64" s="24" t="s">
        <v>207</v>
      </c>
      <c r="J64" s="23" t="s">
        <v>36</v>
      </c>
      <c r="K64" s="23" t="s">
        <v>394</v>
      </c>
      <c r="L64" s="24">
        <v>1</v>
      </c>
      <c r="M64" s="23" t="str">
        <f>'2025'!$E$14</f>
        <v>n/a</v>
      </c>
      <c r="N64" s="89" t="e" cm="1">
        <f t="array" ref="N64">_xlfn.XLOOKUP(Table1189296[[#This Row],[Opp]],Table46[DEF],'2024 fSZN'!$Y$3:$Y$34)</f>
        <v>#N/A</v>
      </c>
      <c r="P64" s="24" t="s">
        <v>356</v>
      </c>
      <c r="Q64" s="23" t="s">
        <v>52</v>
      </c>
      <c r="R64" s="23" t="s">
        <v>67</v>
      </c>
      <c r="S64" s="24">
        <v>1</v>
      </c>
      <c r="T64" s="23" t="str">
        <f>'2025'!$E$30</f>
        <v>NE</v>
      </c>
      <c r="U64" s="89" cm="1">
        <f t="array" ref="U64">_xlfn.XLOOKUP(Table1199094[[#This Row],[Opp]],Table77[DEF],'2024 fSZN'!$H$37:$H$68)</f>
        <v>19</v>
      </c>
      <c r="W64" s="24" t="s">
        <v>424</v>
      </c>
      <c r="X64" s="23" t="s">
        <v>33</v>
      </c>
      <c r="Y64" s="23" t="s">
        <v>398</v>
      </c>
      <c r="Z64" s="24">
        <v>1</v>
      </c>
      <c r="AA64" s="23" t="str">
        <f>'2025'!$E$11</f>
        <v>n/a</v>
      </c>
      <c r="AB64" s="89" t="e" cm="1">
        <f t="array" ref="AB64">_xlfn.XLOOKUP(Table1209195[[#This Row],[Opp]],Table845[DEF],'2024 fSZN'!$W$37:$W$68)</f>
        <v>#N/A</v>
      </c>
    </row>
    <row r="65" spans="2:28" x14ac:dyDescent="0.35">
      <c r="B65" s="24" t="s">
        <v>182</v>
      </c>
      <c r="C65" s="23" t="s">
        <v>33</v>
      </c>
      <c r="D65" s="23" t="s">
        <v>405</v>
      </c>
      <c r="E65" s="24">
        <v>1</v>
      </c>
      <c r="F65" s="23" t="str">
        <f>'2025'!$E$11</f>
        <v>n/a</v>
      </c>
      <c r="G65" s="89" t="e" cm="1">
        <f t="array" ref="G65">_xlfn.XLOOKUP(Table1179397[[#This Row],[Opp]],Table14[DEF],'2024 fSZN'!$G$3:$G$34)</f>
        <v>#N/A</v>
      </c>
      <c r="I65" s="24" t="s">
        <v>257</v>
      </c>
      <c r="J65" s="23" t="s">
        <v>41</v>
      </c>
      <c r="K65" s="23" t="s">
        <v>394</v>
      </c>
      <c r="L65" s="24">
        <v>1</v>
      </c>
      <c r="M65" s="23" t="str">
        <f>'2025'!$E$19</f>
        <v>n/a</v>
      </c>
      <c r="N65" s="89" t="e" cm="1">
        <f t="array" ref="N65">_xlfn.XLOOKUP(Table1189296[[#This Row],[Opp]],Table46[DEF],'2024 fSZN'!$Y$3:$Y$34)</f>
        <v>#N/A</v>
      </c>
      <c r="P65" s="24" t="s">
        <v>187</v>
      </c>
      <c r="Q65" s="23" t="s">
        <v>33</v>
      </c>
      <c r="R65" s="23" t="s">
        <v>67</v>
      </c>
      <c r="S65" s="24">
        <v>1</v>
      </c>
      <c r="T65" s="23" t="str">
        <f>'2025'!$E$11</f>
        <v>n/a</v>
      </c>
      <c r="U65" s="89" t="e" cm="1">
        <f t="array" ref="U65">_xlfn.XLOOKUP(Table1199094[[#This Row],[Opp]],Table77[DEF],'2024 fSZN'!$H$37:$H$68)</f>
        <v>#N/A</v>
      </c>
      <c r="W65" s="24" t="s">
        <v>580</v>
      </c>
      <c r="X65" s="23" t="s">
        <v>34</v>
      </c>
      <c r="Y65" s="23" t="s">
        <v>398</v>
      </c>
      <c r="Z65" s="24">
        <v>1</v>
      </c>
      <c r="AA65" s="23" t="str">
        <f>'2025'!$E$12</f>
        <v>n/a</v>
      </c>
      <c r="AB65" s="89" t="e" cm="1">
        <f t="array" ref="AB65">_xlfn.XLOOKUP(Table1209195[[#This Row],[Opp]],Table845[DEF],'2024 fSZN'!$W$37:$W$68)</f>
        <v>#N/A</v>
      </c>
    </row>
    <row r="66" spans="2:28" x14ac:dyDescent="0.35">
      <c r="B66" s="24" t="s">
        <v>597</v>
      </c>
      <c r="C66" s="23" t="s">
        <v>15</v>
      </c>
      <c r="D66" s="23" t="s">
        <v>425</v>
      </c>
      <c r="E66" s="24">
        <v>-1</v>
      </c>
      <c r="F66" s="23" t="str">
        <f>'2025'!$E$4</f>
        <v>n/a</v>
      </c>
      <c r="G66" s="89" t="e" cm="1">
        <f t="array" ref="G66">_xlfn.XLOOKUP(Table1179397[[#This Row],[Opp]],Table14[DEF],'2024 fSZN'!$G$3:$G$34)</f>
        <v>#N/A</v>
      </c>
      <c r="I66" s="24" t="s">
        <v>237</v>
      </c>
      <c r="J66" s="23" t="s">
        <v>39</v>
      </c>
      <c r="K66" s="23" t="s">
        <v>396</v>
      </c>
      <c r="L66" s="24">
        <v>1</v>
      </c>
      <c r="M66" s="23" t="str">
        <f>'2025'!$E$17</f>
        <v>n/a</v>
      </c>
      <c r="N66" s="89" t="e" cm="1">
        <f t="array" ref="N66">_xlfn.XLOOKUP(Table1189296[[#This Row],[Opp]],Table46[DEF],'2024 fSZN'!$Y$3:$Y$34)</f>
        <v>#N/A</v>
      </c>
      <c r="P66" s="24" t="s">
        <v>213</v>
      </c>
      <c r="Q66" s="23" t="s">
        <v>36</v>
      </c>
      <c r="R66" s="23" t="s">
        <v>68</v>
      </c>
      <c r="S66" s="24">
        <v>1</v>
      </c>
      <c r="T66" s="23" t="str">
        <f>'2025'!$E$14</f>
        <v>n/a</v>
      </c>
      <c r="U66" s="89" t="e" cm="1">
        <f t="array" ref="U66">_xlfn.XLOOKUP(Table1199094[[#This Row],[Opp]],Table77[DEF],'2024 fSZN'!$H$37:$H$68)</f>
        <v>#N/A</v>
      </c>
      <c r="W66" s="24" t="s">
        <v>560</v>
      </c>
      <c r="X66" s="23" t="s">
        <v>41</v>
      </c>
      <c r="Y66" s="23" t="s">
        <v>430</v>
      </c>
      <c r="Z66" s="24">
        <v>1</v>
      </c>
      <c r="AA66" s="23" t="str">
        <f>'2025'!$E$19</f>
        <v>n/a</v>
      </c>
      <c r="AB66" s="89" t="e" cm="1">
        <f t="array" ref="AB66">_xlfn.XLOOKUP(Table1209195[[#This Row],[Opp]],Table845[DEF],'2024 fSZN'!$W$37:$W$68)</f>
        <v>#N/A</v>
      </c>
    </row>
    <row r="67" spans="2:28" x14ac:dyDescent="0.35">
      <c r="B67" s="24" t="s">
        <v>497</v>
      </c>
      <c r="C67" s="23" t="s">
        <v>30</v>
      </c>
      <c r="D67" s="23" t="s">
        <v>425</v>
      </c>
      <c r="E67" s="24">
        <v>0</v>
      </c>
      <c r="F67" s="23" t="str">
        <f>'2025'!$E$8</f>
        <v>n/a</v>
      </c>
      <c r="G67" s="89" t="e" cm="1">
        <f t="array" ref="G67">_xlfn.XLOOKUP(Table1179397[[#This Row],[Opp]],Table14[DEF],'2024 fSZN'!$G$3:$G$34)</f>
        <v>#N/A</v>
      </c>
      <c r="I67" s="24" t="s">
        <v>296</v>
      </c>
      <c r="J67" s="23" t="s">
        <v>45</v>
      </c>
      <c r="K67" s="23" t="s">
        <v>396</v>
      </c>
      <c r="L67" s="24">
        <v>1</v>
      </c>
      <c r="M67" s="23" t="str">
        <f>'2025'!$E$23</f>
        <v>n/a</v>
      </c>
      <c r="N67" s="89" t="e" cm="1">
        <f t="array" ref="N67">_xlfn.XLOOKUP(Table1189296[[#This Row],[Opp]],Table46[DEF],'2024 fSZN'!$Y$3:$Y$34)</f>
        <v>#N/A</v>
      </c>
      <c r="P67" s="24" t="s">
        <v>158</v>
      </c>
      <c r="Q67" s="23" t="s">
        <v>30</v>
      </c>
      <c r="R67" s="23" t="s">
        <v>68</v>
      </c>
      <c r="S67" s="24">
        <v>1</v>
      </c>
      <c r="T67" s="23" t="str">
        <f>'2025'!$E$8</f>
        <v>n/a</v>
      </c>
      <c r="U67" s="89" t="e" cm="1">
        <f t="array" ref="U67">_xlfn.XLOOKUP(Table1199094[[#This Row],[Opp]],Table77[DEF],'2024 fSZN'!$H$37:$H$68)</f>
        <v>#N/A</v>
      </c>
      <c r="W67" s="24" t="s">
        <v>605</v>
      </c>
      <c r="X67" s="23" t="s">
        <v>15</v>
      </c>
      <c r="Y67" s="23" t="s">
        <v>430</v>
      </c>
      <c r="Z67" s="24">
        <v>1</v>
      </c>
      <c r="AA67" s="23" t="str">
        <f>'2025'!$E$4</f>
        <v>n/a</v>
      </c>
      <c r="AB67" s="89" t="e" cm="1">
        <f t="array" ref="AB67">_xlfn.XLOOKUP(Table1209195[[#This Row],[Opp]],Table845[DEF],'2024 fSZN'!$W$37:$W$68)</f>
        <v>#N/A</v>
      </c>
    </row>
    <row r="68" spans="2:28" x14ac:dyDescent="0.35">
      <c r="B68" s="24" t="s">
        <v>452</v>
      </c>
      <c r="C68" s="23" t="s">
        <v>50</v>
      </c>
      <c r="D68" s="23" t="s">
        <v>425</v>
      </c>
      <c r="E68" s="24">
        <v>1</v>
      </c>
      <c r="F68" s="23" t="str">
        <f>'2025'!$E$28</f>
        <v>n/a</v>
      </c>
      <c r="G68" s="89" t="e" cm="1">
        <f t="array" ref="G68">_xlfn.XLOOKUP(Table1179397[[#This Row],[Opp]],Table14[DEF],'2024 fSZN'!$G$3:$G$34)</f>
        <v>#N/A</v>
      </c>
      <c r="I68" s="24" t="s">
        <v>461</v>
      </c>
      <c r="J68" s="23" t="s">
        <v>56</v>
      </c>
      <c r="K68" s="87" t="s">
        <v>396</v>
      </c>
      <c r="L68" s="24">
        <v>1</v>
      </c>
      <c r="M68" s="23" t="str">
        <f>'2025'!$E$34</f>
        <v>n/a</v>
      </c>
      <c r="N68" s="89" t="e" cm="1">
        <f t="array" ref="N68">_xlfn.XLOOKUP(Table1189296[[#This Row],[Opp]],Table46[DEF],'2024 fSZN'!$Y$3:$Y$34)</f>
        <v>#N/A</v>
      </c>
      <c r="P68" s="24" t="s">
        <v>609</v>
      </c>
      <c r="Q68" s="23" t="s">
        <v>29</v>
      </c>
      <c r="R68" s="23" t="s">
        <v>68</v>
      </c>
      <c r="S68" s="24">
        <v>1</v>
      </c>
      <c r="T68" s="23" t="str">
        <f>'2025'!$E$7</f>
        <v>n/a</v>
      </c>
      <c r="U68" s="89" t="e" cm="1">
        <f t="array" ref="U68">_xlfn.XLOOKUP(Table1199094[[#This Row],[Opp]],Table77[DEF],'2024 fSZN'!$H$37:$H$68)</f>
        <v>#N/A</v>
      </c>
      <c r="W68" s="24" t="s">
        <v>488</v>
      </c>
      <c r="X68" s="23" t="s">
        <v>32</v>
      </c>
      <c r="Y68" s="23" t="s">
        <v>430</v>
      </c>
      <c r="Z68" s="24">
        <v>0</v>
      </c>
      <c r="AA68" s="23" t="str">
        <f>'2025'!$E$10</f>
        <v>n/a</v>
      </c>
      <c r="AB68" s="89" t="e" cm="1">
        <f t="array" ref="AB68">_xlfn.XLOOKUP(Table1209195[[#This Row],[Opp]],Table845[DEF],'2024 fSZN'!$W$37:$W$68)</f>
        <v>#N/A</v>
      </c>
    </row>
    <row r="69" spans="2:28" x14ac:dyDescent="0.35">
      <c r="B69" s="24" t="s">
        <v>169</v>
      </c>
      <c r="C69" s="23" t="s">
        <v>32</v>
      </c>
      <c r="D69" s="23" t="s">
        <v>425</v>
      </c>
      <c r="E69" s="24">
        <v>1</v>
      </c>
      <c r="F69" s="23" t="str">
        <f>'2025'!$E$10</f>
        <v>n/a</v>
      </c>
      <c r="G69" s="89" t="e" cm="1">
        <f t="array" ref="G69">_xlfn.XLOOKUP(Table1179397[[#This Row],[Opp]],Table14[DEF],'2024 fSZN'!$G$3:$G$34)</f>
        <v>#N/A</v>
      </c>
      <c r="I69" s="24" t="s">
        <v>127</v>
      </c>
      <c r="J69" s="23" t="s">
        <v>29</v>
      </c>
      <c r="K69" s="23" t="s">
        <v>396</v>
      </c>
      <c r="L69" s="24">
        <v>1</v>
      </c>
      <c r="M69" s="23" t="str">
        <f>'2025'!$E$7</f>
        <v>n/a</v>
      </c>
      <c r="N69" s="89" t="e" cm="1">
        <f t="array" ref="N69">_xlfn.XLOOKUP(Table1189296[[#This Row],[Opp]],Table46[DEF],'2024 fSZN'!$Y$3:$Y$34)</f>
        <v>#N/A</v>
      </c>
      <c r="P69" s="24" t="s">
        <v>148</v>
      </c>
      <c r="Q69" s="23" t="s">
        <v>17</v>
      </c>
      <c r="R69" s="23" t="s">
        <v>68</v>
      </c>
      <c r="S69" s="24">
        <v>1</v>
      </c>
      <c r="T69" s="23" t="str">
        <f>'2025'!$E$6</f>
        <v>n/a</v>
      </c>
      <c r="U69" s="89" t="e" cm="1">
        <f t="array" ref="U69">_xlfn.XLOOKUP(Table1199094[[#This Row],[Opp]],Table77[DEF],'2024 fSZN'!$H$37:$H$68)</f>
        <v>#N/A</v>
      </c>
      <c r="W69" s="24" t="s">
        <v>637</v>
      </c>
      <c r="X69" s="23" t="s">
        <v>37</v>
      </c>
      <c r="Y69" s="23" t="s">
        <v>430</v>
      </c>
      <c r="Z69" s="24">
        <v>-1</v>
      </c>
      <c r="AA69" s="23" t="str">
        <f>'2025'!$E$15</f>
        <v>n/a</v>
      </c>
      <c r="AB69" s="89" t="e" cm="1">
        <f t="array" ref="AB69">_xlfn.XLOOKUP(Table1209195[[#This Row],[Opp]],Table845[DEF],'2024 fSZN'!$W$37:$W$68)</f>
        <v>#N/A</v>
      </c>
    </row>
    <row r="70" spans="2:28" x14ac:dyDescent="0.35">
      <c r="B70" s="24" t="s">
        <v>631</v>
      </c>
      <c r="C70" s="23" t="s">
        <v>37</v>
      </c>
      <c r="D70" s="23" t="s">
        <v>425</v>
      </c>
      <c r="E70" s="24">
        <v>1</v>
      </c>
      <c r="F70" s="23" t="str">
        <f>'2025'!$E$15</f>
        <v>n/a</v>
      </c>
      <c r="G70" s="89" t="e" cm="1">
        <f t="array" ref="G70">_xlfn.XLOOKUP(Table1179397[[#This Row],[Opp]],Table14[DEF],'2024 fSZN'!$G$3:$G$34)</f>
        <v>#N/A</v>
      </c>
      <c r="I70" s="24" t="s">
        <v>285</v>
      </c>
      <c r="J70" s="23" t="s">
        <v>44</v>
      </c>
      <c r="K70" s="23" t="s">
        <v>396</v>
      </c>
      <c r="L70" s="24">
        <v>1</v>
      </c>
      <c r="M70" s="23" t="str">
        <f>'2025'!$E$22</f>
        <v>n/a</v>
      </c>
      <c r="N70" s="89" t="e" cm="1">
        <f t="array" ref="N70">_xlfn.XLOOKUP(Table1189296[[#This Row],[Opp]],Table46[DEF],'2024 fSZN'!$Y$3:$Y$34)</f>
        <v>#N/A</v>
      </c>
      <c r="P70" s="24" t="s">
        <v>555</v>
      </c>
      <c r="Q70" s="23" t="s">
        <v>0</v>
      </c>
      <c r="R70" s="23" t="s">
        <v>68</v>
      </c>
      <c r="S70" s="24">
        <v>1</v>
      </c>
      <c r="T70" s="23" t="str">
        <f>'2025'!$E$3</f>
        <v>n/a</v>
      </c>
      <c r="U70" s="89" t="e" cm="1">
        <f t="array" ref="U70">_xlfn.XLOOKUP(Table1199094[[#This Row],[Opp]],Table77[DEF],'2024 fSZN'!$H$37:$H$68)</f>
        <v>#N/A</v>
      </c>
      <c r="W70" s="24" t="s">
        <v>523</v>
      </c>
      <c r="X70" s="23" t="s">
        <v>45</v>
      </c>
      <c r="Y70" s="87" t="s">
        <v>430</v>
      </c>
      <c r="Z70" s="24">
        <v>-1</v>
      </c>
      <c r="AA70" s="23" t="str">
        <f>'2025'!$E$23</f>
        <v>n/a</v>
      </c>
      <c r="AB70" s="89" t="e" cm="1">
        <f t="array" ref="AB70">_xlfn.XLOOKUP(Table1209195[[#This Row],[Opp]],Table845[DEF],'2024 fSZN'!$W$37:$W$68)</f>
        <v>#N/A</v>
      </c>
    </row>
    <row r="71" spans="2:28" x14ac:dyDescent="0.35">
      <c r="B71" s="24" t="s">
        <v>433</v>
      </c>
      <c r="C71" s="23" t="s">
        <v>44</v>
      </c>
      <c r="D71" s="23" t="s">
        <v>425</v>
      </c>
      <c r="E71" s="24">
        <v>1</v>
      </c>
      <c r="F71" s="23" t="str">
        <f>'2025'!$E$22</f>
        <v>n/a</v>
      </c>
      <c r="G71" s="89" t="e" cm="1">
        <f t="array" ref="G71">_xlfn.XLOOKUP(Table1179397[[#This Row],[Opp]],Table14[DEF],'2024 fSZN'!$G$3:$G$34)</f>
        <v>#N/A</v>
      </c>
      <c r="I71" s="24" t="s">
        <v>315</v>
      </c>
      <c r="J71" s="23" t="s">
        <v>47</v>
      </c>
      <c r="K71" s="23" t="s">
        <v>396</v>
      </c>
      <c r="L71" s="24">
        <v>1</v>
      </c>
      <c r="M71" s="23" t="str">
        <f>'2025'!$E$25</f>
        <v>n/a</v>
      </c>
      <c r="N71" s="89" t="e" cm="1">
        <f t="array" ref="N71">_xlfn.XLOOKUP(Table1189296[[#This Row],[Opp]],Table46[DEF],'2024 fSZN'!$Y$3:$Y$34)</f>
        <v>#N/A</v>
      </c>
      <c r="P71" s="24" t="s">
        <v>454</v>
      </c>
      <c r="Q71" s="23" t="s">
        <v>50</v>
      </c>
      <c r="R71" s="87" t="s">
        <v>68</v>
      </c>
      <c r="S71" s="24">
        <v>1</v>
      </c>
      <c r="T71" s="23" t="str">
        <f>'2025'!$E$28</f>
        <v>n/a</v>
      </c>
      <c r="U71" s="89" t="e" cm="1">
        <f t="array" ref="U71">_xlfn.XLOOKUP(Table1199094[[#This Row],[Opp]],Table77[DEF],'2024 fSZN'!$H$37:$H$68)</f>
        <v>#N/A</v>
      </c>
      <c r="W71" s="24" t="s">
        <v>432</v>
      </c>
      <c r="X71" s="23" t="s">
        <v>44</v>
      </c>
      <c r="Y71" s="23" t="s">
        <v>430</v>
      </c>
      <c r="Z71" s="24">
        <v>1</v>
      </c>
      <c r="AA71" s="23" t="str">
        <f>'2025'!$E$22</f>
        <v>n/a</v>
      </c>
      <c r="AB71" s="89" t="e" cm="1">
        <f t="array" ref="AB71">_xlfn.XLOOKUP(Table1209195[[#This Row],[Opp]],Table845[DEF],'2024 fSZN'!$W$37:$W$68)</f>
        <v>#N/A</v>
      </c>
    </row>
    <row r="72" spans="2:28" x14ac:dyDescent="0.35">
      <c r="B72" s="24" t="s">
        <v>377</v>
      </c>
      <c r="C72" s="23" t="s">
        <v>55</v>
      </c>
      <c r="D72" s="23" t="s">
        <v>425</v>
      </c>
      <c r="E72" s="24">
        <v>-1</v>
      </c>
      <c r="F72" s="23" t="str">
        <f>'2025'!$E$33</f>
        <v>n/a</v>
      </c>
      <c r="G72" s="89" t="e" cm="1">
        <f t="array" ref="G72">_xlfn.XLOOKUP(Table1179397[[#This Row],[Opp]],Table14[DEF],'2024 fSZN'!$G$3:$G$34)</f>
        <v>#N/A</v>
      </c>
      <c r="I72" s="24" t="s">
        <v>125</v>
      </c>
      <c r="J72" s="23" t="s">
        <v>16</v>
      </c>
      <c r="K72" s="23" t="s">
        <v>396</v>
      </c>
      <c r="L72" s="24">
        <v>1</v>
      </c>
      <c r="M72" s="23" t="str">
        <f>'2025'!$E$5</f>
        <v>n/a</v>
      </c>
      <c r="N72" s="89" t="e" cm="1">
        <f t="array" ref="N72">_xlfn.XLOOKUP(Table1189296[[#This Row],[Opp]],Table46[DEF],'2024 fSZN'!$Y$3:$Y$34)</f>
        <v>#N/A</v>
      </c>
      <c r="P72" s="24" t="s">
        <v>599</v>
      </c>
      <c r="Q72" s="23" t="s">
        <v>15</v>
      </c>
      <c r="R72" s="23" t="s">
        <v>68</v>
      </c>
      <c r="S72" s="24">
        <v>1</v>
      </c>
      <c r="T72" s="23" t="str">
        <f>'2025'!$E$4</f>
        <v>n/a</v>
      </c>
      <c r="U72" s="89" t="e" cm="1">
        <f t="array" ref="U72">_xlfn.XLOOKUP(Table1199094[[#This Row],[Opp]],Table77[DEF],'2024 fSZN'!$H$37:$H$68)</f>
        <v>#N/A</v>
      </c>
      <c r="W72" s="24" t="s">
        <v>558</v>
      </c>
      <c r="X72" s="23" t="s">
        <v>0</v>
      </c>
      <c r="Y72" s="23" t="s">
        <v>430</v>
      </c>
      <c r="Z72" s="24">
        <v>1</v>
      </c>
      <c r="AA72" s="23" t="str">
        <f>'2025'!$E$3</f>
        <v>n/a</v>
      </c>
      <c r="AB72" s="89" t="e" cm="1">
        <f t="array" ref="AB72">_xlfn.XLOOKUP(Table1209195[[#This Row],[Opp]],Table845[DEF],'2024 fSZN'!$W$37:$W$68)</f>
        <v>#N/A</v>
      </c>
    </row>
    <row r="73" spans="2:28" x14ac:dyDescent="0.35">
      <c r="B73" s="24" t="s">
        <v>448</v>
      </c>
      <c r="C73" s="23" t="s">
        <v>46</v>
      </c>
      <c r="D73" s="23" t="s">
        <v>425</v>
      </c>
      <c r="E73" s="24">
        <v>1</v>
      </c>
      <c r="F73" s="23" t="str">
        <f>'2025'!$E$24</f>
        <v>SEA</v>
      </c>
      <c r="G73" s="89" cm="1">
        <f t="array" ref="G73">_xlfn.XLOOKUP(Table1179397[[#This Row],[Opp]],Table14[DEF],'2024 fSZN'!$G$3:$G$34)</f>
        <v>22</v>
      </c>
      <c r="I73" s="24" t="s">
        <v>566</v>
      </c>
      <c r="J73" s="23" t="s">
        <v>43</v>
      </c>
      <c r="K73" s="23" t="s">
        <v>396</v>
      </c>
      <c r="L73" s="24">
        <v>1</v>
      </c>
      <c r="M73" s="23" t="str">
        <f>'2025'!$E$21</f>
        <v>n/a</v>
      </c>
      <c r="N73" s="89" t="e" cm="1">
        <f t="array" ref="N73">_xlfn.XLOOKUP(Table1189296[[#This Row],[Opp]],Table46[DEF],'2024 fSZN'!$Y$3:$Y$34)</f>
        <v>#N/A</v>
      </c>
      <c r="P73" s="24" t="s">
        <v>416</v>
      </c>
      <c r="Q73" s="23" t="s">
        <v>49</v>
      </c>
      <c r="R73" s="23" t="s">
        <v>68</v>
      </c>
      <c r="S73" s="24">
        <v>0</v>
      </c>
      <c r="T73" s="23" t="str">
        <f>'2025'!$E$27</f>
        <v>n/a</v>
      </c>
      <c r="U73" s="89" t="e" cm="1">
        <f t="array" ref="U73">_xlfn.XLOOKUP(Table1199094[[#This Row],[Opp]],Table77[DEF],'2024 fSZN'!$H$37:$H$68)</f>
        <v>#N/A</v>
      </c>
      <c r="W73" s="24" t="s">
        <v>509</v>
      </c>
      <c r="X73" s="23" t="s">
        <v>35</v>
      </c>
      <c r="Y73" s="23" t="s">
        <v>430</v>
      </c>
      <c r="Z73" s="24">
        <v>1</v>
      </c>
      <c r="AA73" s="23" t="str">
        <f>'2025'!$E$13</f>
        <v>n/a</v>
      </c>
      <c r="AB73" s="89" t="e" cm="1">
        <f t="array" ref="AB73">_xlfn.XLOOKUP(Table1209195[[#This Row],[Opp]],Table845[DEF],'2024 fSZN'!$W$37:$W$68)</f>
        <v>#N/A</v>
      </c>
    </row>
    <row r="74" spans="2:28" x14ac:dyDescent="0.35">
      <c r="B74" s="24" t="s">
        <v>317</v>
      </c>
      <c r="C74" s="23" t="s">
        <v>56</v>
      </c>
      <c r="D74" s="23" t="s">
        <v>425</v>
      </c>
      <c r="E74" s="24">
        <v>1</v>
      </c>
      <c r="F74" s="23" t="str">
        <f>'2025'!$E$34</f>
        <v>n/a</v>
      </c>
      <c r="G74" s="89" t="e" cm="1">
        <f t="array" ref="G74">_xlfn.XLOOKUP(Table1179397[[#This Row],[Opp]],Table14[DEF],'2024 fSZN'!$G$3:$G$34)</f>
        <v>#N/A</v>
      </c>
      <c r="I74" s="24" t="s">
        <v>526</v>
      </c>
      <c r="J74" s="23" t="s">
        <v>52</v>
      </c>
      <c r="K74" s="87" t="s">
        <v>396</v>
      </c>
      <c r="L74" s="24">
        <v>1</v>
      </c>
      <c r="M74" s="23" t="str">
        <f>'2025'!$E$30</f>
        <v>NE</v>
      </c>
      <c r="N74" s="89" cm="1">
        <f t="array" ref="N74">_xlfn.XLOOKUP(Table1189296[[#This Row],[Opp]],Table46[DEF],'2024 fSZN'!$Y$3:$Y$34)</f>
        <v>8</v>
      </c>
      <c r="P74" s="24" t="s">
        <v>382</v>
      </c>
      <c r="Q74" s="23" t="s">
        <v>55</v>
      </c>
      <c r="R74" s="23" t="s">
        <v>68</v>
      </c>
      <c r="S74" s="24">
        <v>1</v>
      </c>
      <c r="T74" s="23" t="str">
        <f>'2025'!$E$33</f>
        <v>n/a</v>
      </c>
      <c r="U74" s="89" t="e" cm="1">
        <f t="array" ref="U74">_xlfn.XLOOKUP(Table1199094[[#This Row],[Opp]],Table77[DEF],'2024 fSZN'!$H$37:$H$68)</f>
        <v>#N/A</v>
      </c>
      <c r="W74" s="24" t="s">
        <v>429</v>
      </c>
      <c r="X74" s="23" t="s">
        <v>17</v>
      </c>
      <c r="Y74" s="23" t="s">
        <v>430</v>
      </c>
      <c r="Z74" s="24">
        <v>1</v>
      </c>
      <c r="AA74" s="23" t="str">
        <f>'2025'!$E$6</f>
        <v>n/a</v>
      </c>
      <c r="AB74" s="89" t="e" cm="1">
        <f t="array" ref="AB74">_xlfn.XLOOKUP(Table1209195[[#This Row],[Opp]],Table845[DEF],'2024 fSZN'!$W$37:$W$68)</f>
        <v>#N/A</v>
      </c>
    </row>
    <row r="75" spans="2:28" x14ac:dyDescent="0.35">
      <c r="B75" s="24" t="s">
        <v>617</v>
      </c>
      <c r="C75" s="23" t="s">
        <v>47</v>
      </c>
      <c r="D75" s="23" t="s">
        <v>425</v>
      </c>
      <c r="E75" s="24">
        <v>1</v>
      </c>
      <c r="F75" s="23" t="str">
        <f>'2025'!$E$25</f>
        <v>n/a</v>
      </c>
      <c r="G75" s="89" t="e" cm="1">
        <f t="array" ref="G75">_xlfn.XLOOKUP(Table1179397[[#This Row],[Opp]],Table14[DEF],'2024 fSZN'!$G$3:$G$34)</f>
        <v>#N/A</v>
      </c>
      <c r="I75" s="24" t="s">
        <v>123</v>
      </c>
      <c r="J75" s="23" t="s">
        <v>0</v>
      </c>
      <c r="K75" s="23" t="s">
        <v>396</v>
      </c>
      <c r="L75" s="24">
        <v>1</v>
      </c>
      <c r="M75" s="23" t="str">
        <f>'2025'!$E$3</f>
        <v>n/a</v>
      </c>
      <c r="N75" s="89" t="e" cm="1">
        <f t="array" ref="N75">_xlfn.XLOOKUP(Table1189296[[#This Row],[Opp]],Table46[DEF],'2024 fSZN'!$Y$3:$Y$34)</f>
        <v>#N/A</v>
      </c>
      <c r="P75" s="24" t="s">
        <v>168</v>
      </c>
      <c r="Q75" s="23" t="s">
        <v>31</v>
      </c>
      <c r="R75" s="23" t="s">
        <v>68</v>
      </c>
      <c r="S75" s="24">
        <v>1</v>
      </c>
      <c r="T75" s="23" t="str">
        <f>'2025'!$E$9</f>
        <v>n/a</v>
      </c>
      <c r="U75" s="89" t="e" cm="1">
        <f t="array" ref="U75">_xlfn.XLOOKUP(Table1199094[[#This Row],[Opp]],Table77[DEF],'2024 fSZN'!$H$37:$H$68)</f>
        <v>#N/A</v>
      </c>
      <c r="W75" s="24" t="s">
        <v>446</v>
      </c>
      <c r="X75" s="23" t="s">
        <v>49</v>
      </c>
      <c r="Y75" s="23" t="s">
        <v>430</v>
      </c>
      <c r="Z75" s="24">
        <v>1</v>
      </c>
      <c r="AA75" s="23" t="str">
        <f>'2025'!$E$27</f>
        <v>n/a</v>
      </c>
      <c r="AB75" s="89" t="e" cm="1">
        <f t="array" ref="AB75">_xlfn.XLOOKUP(Table1209195[[#This Row],[Opp]],Table845[DEF],'2024 fSZN'!$W$37:$W$68)</f>
        <v>#N/A</v>
      </c>
    </row>
    <row r="76" spans="2:28" x14ac:dyDescent="0.35">
      <c r="B76" s="24" t="s">
        <v>358</v>
      </c>
      <c r="C76" s="23" t="s">
        <v>53</v>
      </c>
      <c r="D76" s="23" t="s">
        <v>425</v>
      </c>
      <c r="E76" s="24">
        <v>-1</v>
      </c>
      <c r="F76" s="23" t="str">
        <f>'2025'!$E$31</f>
        <v>n/a</v>
      </c>
      <c r="G76" s="89" t="e" cm="1">
        <f t="array" ref="G76">_xlfn.XLOOKUP(Table1179397[[#This Row],[Opp]],Table14[DEF],'2024 fSZN'!$G$3:$G$34)</f>
        <v>#N/A</v>
      </c>
      <c r="I76" s="24" t="s">
        <v>361</v>
      </c>
      <c r="J76" s="23" t="s">
        <v>53</v>
      </c>
      <c r="K76" s="23" t="s">
        <v>396</v>
      </c>
      <c r="L76" s="24">
        <v>1</v>
      </c>
      <c r="M76" s="23" t="str">
        <f>'2025'!$E$31</f>
        <v>n/a</v>
      </c>
      <c r="N76" s="89" t="e" cm="1">
        <f t="array" ref="N76">_xlfn.XLOOKUP(Table1189296[[#This Row],[Opp]],Table46[DEF],'2024 fSZN'!$Y$3:$Y$34)</f>
        <v>#N/A</v>
      </c>
      <c r="P76" s="24" t="s">
        <v>373</v>
      </c>
      <c r="Q76" s="23" t="s">
        <v>54</v>
      </c>
      <c r="R76" s="23" t="s">
        <v>68</v>
      </c>
      <c r="S76" s="24">
        <v>1</v>
      </c>
      <c r="T76" s="23" t="str">
        <f>'2025'!$E$32</f>
        <v>n/a</v>
      </c>
      <c r="U76" s="89" t="e" cm="1">
        <f t="array" ref="U76">_xlfn.XLOOKUP(Table1199094[[#This Row],[Opp]],Table77[DEF],'2024 fSZN'!$H$37:$H$68)</f>
        <v>#N/A</v>
      </c>
      <c r="W76" s="24" t="s">
        <v>647</v>
      </c>
      <c r="X76" s="23" t="s">
        <v>38</v>
      </c>
      <c r="Y76" s="23" t="s">
        <v>430</v>
      </c>
      <c r="Z76" s="24">
        <v>1</v>
      </c>
      <c r="AA76" s="23" t="str">
        <f>'2025'!$E$16</f>
        <v>n/a</v>
      </c>
      <c r="AB76" s="89" t="e" cm="1">
        <f t="array" ref="AB76">_xlfn.XLOOKUP(Table1209195[[#This Row],[Opp]],Table845[DEF],'2024 fSZN'!$W$37:$W$68)</f>
        <v>#N/A</v>
      </c>
    </row>
    <row r="77" spans="2:28" x14ac:dyDescent="0.35">
      <c r="B77" s="24" t="s">
        <v>518</v>
      </c>
      <c r="C77" s="23" t="s">
        <v>45</v>
      </c>
      <c r="D77" s="23" t="s">
        <v>425</v>
      </c>
      <c r="E77" s="24">
        <v>1</v>
      </c>
      <c r="F77" s="23" t="str">
        <f>'2025'!$E$23</f>
        <v>n/a</v>
      </c>
      <c r="G77" s="89" t="e" cm="1">
        <f t="array" ref="G77">_xlfn.XLOOKUP(Table1179397[[#This Row],[Opp]],Table14[DEF],'2024 fSZN'!$G$3:$G$34)</f>
        <v>#N/A</v>
      </c>
      <c r="I77" s="24" t="s">
        <v>325</v>
      </c>
      <c r="J77" s="23" t="s">
        <v>48</v>
      </c>
      <c r="K77" s="23" t="s">
        <v>396</v>
      </c>
      <c r="L77" s="24">
        <v>1</v>
      </c>
      <c r="M77" s="23" t="str">
        <f>'2025'!$E$26</f>
        <v>n/a</v>
      </c>
      <c r="N77" s="89" t="e" cm="1">
        <f t="array" ref="N77">_xlfn.XLOOKUP(Table1189296[[#This Row],[Opp]],Table46[DEF],'2024 fSZN'!$Y$3:$Y$34)</f>
        <v>#N/A</v>
      </c>
      <c r="P77" s="24" t="s">
        <v>408</v>
      </c>
      <c r="Q77" s="23" t="s">
        <v>44</v>
      </c>
      <c r="R77" s="23" t="s">
        <v>68</v>
      </c>
      <c r="S77" s="24">
        <v>1</v>
      </c>
      <c r="T77" s="23" t="str">
        <f>'2025'!$E$22</f>
        <v>n/a</v>
      </c>
      <c r="U77" s="89" t="e" cm="1">
        <f t="array" ref="U77">_xlfn.XLOOKUP(Table1199094[[#This Row],[Opp]],Table77[DEF],'2024 fSZN'!$H$37:$H$68)</f>
        <v>#N/A</v>
      </c>
      <c r="W77" s="88" t="s">
        <v>372</v>
      </c>
      <c r="X77" s="23" t="s">
        <v>29</v>
      </c>
      <c r="Y77" s="23" t="s">
        <v>430</v>
      </c>
      <c r="Z77" s="24">
        <v>1</v>
      </c>
      <c r="AA77" s="23" t="str">
        <f>'2025'!$E$7</f>
        <v>n/a</v>
      </c>
      <c r="AB77" s="89" t="e" cm="1">
        <f t="array" ref="AB77">_xlfn.XLOOKUP(Table1209195[[#This Row],[Opp]],Table845[DEF],'2024 fSZN'!$W$37:$W$68)</f>
        <v>#N/A</v>
      </c>
    </row>
    <row r="78" spans="2:28" x14ac:dyDescent="0.35">
      <c r="B78" s="24" t="s">
        <v>548</v>
      </c>
      <c r="C78" s="23" t="s">
        <v>42</v>
      </c>
      <c r="D78" s="23" t="s">
        <v>425</v>
      </c>
      <c r="E78" s="24">
        <v>1</v>
      </c>
      <c r="F78" s="23" t="str">
        <f>'2025'!$E$20</f>
        <v>n/a</v>
      </c>
      <c r="G78" s="89" t="e" cm="1">
        <f t="array" ref="G78">_xlfn.XLOOKUP(Table1179397[[#This Row],[Opp]],Table14[DEF],'2024 fSZN'!$G$3:$G$34)</f>
        <v>#N/A</v>
      </c>
      <c r="I78" s="24" t="s">
        <v>217</v>
      </c>
      <c r="J78" s="23" t="s">
        <v>37</v>
      </c>
      <c r="K78" s="23" t="s">
        <v>396</v>
      </c>
      <c r="L78" s="24">
        <v>1</v>
      </c>
      <c r="M78" s="23" t="str">
        <f>'2025'!$E$15</f>
        <v>n/a</v>
      </c>
      <c r="N78" s="89" t="e" cm="1">
        <f t="array" ref="N78">_xlfn.XLOOKUP(Table1189296[[#This Row],[Opp]],Table46[DEF],'2024 fSZN'!$Y$3:$Y$34)</f>
        <v>#N/A</v>
      </c>
      <c r="P78" s="24" t="s">
        <v>273</v>
      </c>
      <c r="Q78" s="23" t="s">
        <v>42</v>
      </c>
      <c r="R78" s="23" t="s">
        <v>68</v>
      </c>
      <c r="S78" s="24">
        <v>1</v>
      </c>
      <c r="T78" s="23" t="str">
        <f>'2025'!$E$20</f>
        <v>n/a</v>
      </c>
      <c r="U78" s="89" t="e" cm="1">
        <f t="array" ref="U78">_xlfn.XLOOKUP(Table1199094[[#This Row],[Opp]],Table77[DEF],'2024 fSZN'!$H$37:$H$68)</f>
        <v>#N/A</v>
      </c>
      <c r="W78" s="24" t="s">
        <v>629</v>
      </c>
      <c r="X78" s="23" t="s">
        <v>39</v>
      </c>
      <c r="Y78" s="23" t="s">
        <v>430</v>
      </c>
      <c r="Z78" s="24">
        <v>1</v>
      </c>
      <c r="AA78" s="23" t="str">
        <f>'2025'!$E$17</f>
        <v>n/a</v>
      </c>
      <c r="AB78" s="89" t="e" cm="1">
        <f t="array" ref="AB78">_xlfn.XLOOKUP(Table1209195[[#This Row],[Opp]],Table845[DEF],'2024 fSZN'!$W$37:$W$68)</f>
        <v>#N/A</v>
      </c>
    </row>
    <row r="79" spans="2:28" x14ac:dyDescent="0.35">
      <c r="B79" s="24" t="s">
        <v>641</v>
      </c>
      <c r="C79" s="23" t="s">
        <v>38</v>
      </c>
      <c r="D79" s="23" t="s">
        <v>425</v>
      </c>
      <c r="E79" s="24">
        <v>1</v>
      </c>
      <c r="F79" s="23" t="str">
        <f>'2025'!$E$16</f>
        <v>n/a</v>
      </c>
      <c r="G79" s="89" t="e" cm="1">
        <f t="array" ref="G79">_xlfn.XLOOKUP(Table1179397[[#This Row],[Opp]],Table14[DEF],'2024 fSZN'!$G$3:$G$34)</f>
        <v>#N/A</v>
      </c>
      <c r="I79" s="24" t="s">
        <v>453</v>
      </c>
      <c r="J79" s="23" t="s">
        <v>50</v>
      </c>
      <c r="K79" s="23" t="s">
        <v>396</v>
      </c>
      <c r="L79" s="24">
        <v>1</v>
      </c>
      <c r="M79" s="23" t="str">
        <f>'2025'!$E$28</f>
        <v>n/a</v>
      </c>
      <c r="N79" s="89" t="e" cm="1">
        <f t="array" ref="N79">_xlfn.XLOOKUP(Table1189296[[#This Row],[Opp]],Table46[DEF],'2024 fSZN'!$Y$3:$Y$34)</f>
        <v>#N/A</v>
      </c>
      <c r="P79" s="24" t="s">
        <v>320</v>
      </c>
      <c r="Q79" s="23" t="s">
        <v>47</v>
      </c>
      <c r="R79" s="23" t="s">
        <v>68</v>
      </c>
      <c r="S79" s="24">
        <v>1</v>
      </c>
      <c r="T79" s="23" t="str">
        <f>'2025'!$E$25</f>
        <v>n/a</v>
      </c>
      <c r="U79" s="89" t="e" cm="1">
        <f t="array" ref="U79">_xlfn.XLOOKUP(Table1199094[[#This Row],[Opp]],Table77[DEF],'2024 fSZN'!$H$37:$H$68)</f>
        <v>#N/A</v>
      </c>
      <c r="W79" s="24" t="s">
        <v>540</v>
      </c>
      <c r="X79" s="23" t="s">
        <v>53</v>
      </c>
      <c r="Y79" s="23" t="s">
        <v>430</v>
      </c>
      <c r="Z79" s="24">
        <v>1</v>
      </c>
      <c r="AA79" s="23" t="str">
        <f>'2025'!$E$31</f>
        <v>n/a</v>
      </c>
      <c r="AB79" s="89" t="e" cm="1">
        <f t="array" ref="AB79">_xlfn.XLOOKUP(Table1209195[[#This Row],[Opp]],Table845[DEF],'2024 fSZN'!$W$37:$W$68)</f>
        <v>#N/A</v>
      </c>
    </row>
    <row r="80" spans="2:28" x14ac:dyDescent="0.35">
      <c r="B80" s="24" t="s">
        <v>565</v>
      </c>
      <c r="C80" s="23" t="s">
        <v>43</v>
      </c>
      <c r="D80" s="23" t="s">
        <v>425</v>
      </c>
      <c r="E80" s="24">
        <v>-1</v>
      </c>
      <c r="F80" s="23" t="str">
        <f>'2025'!$E$21</f>
        <v>n/a</v>
      </c>
      <c r="G80" s="89" t="e" cm="1">
        <f t="array" ref="G80">_xlfn.XLOOKUP(Table1179397[[#This Row],[Opp]],Table14[DEF],'2024 fSZN'!$G$3:$G$34)</f>
        <v>#N/A</v>
      </c>
      <c r="I80" s="24" t="s">
        <v>503</v>
      </c>
      <c r="J80" s="23" t="s">
        <v>35</v>
      </c>
      <c r="K80" s="23" t="s">
        <v>396</v>
      </c>
      <c r="L80" s="24">
        <v>1</v>
      </c>
      <c r="M80" s="23" t="str">
        <f>'2025'!$E$13</f>
        <v>n/a</v>
      </c>
      <c r="N80" s="89" t="e" cm="1">
        <f t="array" ref="N80">_xlfn.XLOOKUP(Table1189296[[#This Row],[Opp]],Table46[DEF],'2024 fSZN'!$Y$3:$Y$34)</f>
        <v>#N/A</v>
      </c>
      <c r="P80" s="24" t="s">
        <v>463</v>
      </c>
      <c r="Q80" s="23" t="s">
        <v>56</v>
      </c>
      <c r="R80" s="23" t="s">
        <v>68</v>
      </c>
      <c r="S80" s="24">
        <v>0</v>
      </c>
      <c r="T80" s="23" t="str">
        <f>'2025'!$E$34</f>
        <v>n/a</v>
      </c>
      <c r="U80" s="89" t="e" cm="1">
        <f t="array" ref="U80">_xlfn.XLOOKUP(Table1199094[[#This Row],[Opp]],Table77[DEF],'2024 fSZN'!$H$37:$H$68)</f>
        <v>#N/A</v>
      </c>
      <c r="W80" s="24" t="s">
        <v>502</v>
      </c>
      <c r="X80" s="23" t="s">
        <v>30</v>
      </c>
      <c r="Y80" s="23" t="s">
        <v>430</v>
      </c>
      <c r="Z80" s="24">
        <v>1</v>
      </c>
      <c r="AA80" s="23" t="str">
        <f>'2025'!$E$8</f>
        <v>n/a</v>
      </c>
      <c r="AB80" s="89" t="e" cm="1">
        <f t="array" ref="AB80">_xlfn.XLOOKUP(Table1209195[[#This Row],[Opp]],Table845[DEF],'2024 fSZN'!$W$37:$W$68)</f>
        <v>#N/A</v>
      </c>
    </row>
    <row r="81" spans="2:28" x14ac:dyDescent="0.35">
      <c r="B81" s="24" t="s">
        <v>490</v>
      </c>
      <c r="C81" s="23" t="s">
        <v>51</v>
      </c>
      <c r="D81" s="23" t="s">
        <v>425</v>
      </c>
      <c r="E81" s="24">
        <v>1</v>
      </c>
      <c r="F81" s="23" t="str">
        <f>'2025'!$E$29</f>
        <v>n/a</v>
      </c>
      <c r="G81" s="89" t="e" cm="1">
        <f t="array" ref="G81">_xlfn.XLOOKUP(Table1179397[[#This Row],[Opp]],Table14[DEF],'2024 fSZN'!$G$3:$G$34)</f>
        <v>#N/A</v>
      </c>
      <c r="I81" s="24" t="s">
        <v>577</v>
      </c>
      <c r="J81" s="23" t="s">
        <v>34</v>
      </c>
      <c r="K81" s="23" t="s">
        <v>396</v>
      </c>
      <c r="L81" s="24">
        <v>1</v>
      </c>
      <c r="M81" s="23" t="str">
        <f>'2025'!$E$12</f>
        <v>n/a</v>
      </c>
      <c r="N81" s="89" t="e" cm="1">
        <f t="array" ref="N81">_xlfn.XLOOKUP(Table1189296[[#This Row],[Opp]],Table46[DEF],'2024 fSZN'!$Y$3:$Y$34)</f>
        <v>#N/A</v>
      </c>
      <c r="P81" s="24" t="s">
        <v>147</v>
      </c>
      <c r="Q81" s="23" t="s">
        <v>16</v>
      </c>
      <c r="R81" s="23" t="s">
        <v>68</v>
      </c>
      <c r="S81" s="24">
        <v>0</v>
      </c>
      <c r="T81" s="23" t="str">
        <f>'2025'!$E$5</f>
        <v>n/a</v>
      </c>
      <c r="U81" s="89" t="e" cm="1">
        <f t="array" ref="U81">_xlfn.XLOOKUP(Table1199094[[#This Row],[Opp]],Table77[DEF],'2024 fSZN'!$H$37:$H$68)</f>
        <v>#N/A</v>
      </c>
      <c r="W81" s="24" t="s">
        <v>569</v>
      </c>
      <c r="X81" s="23" t="s">
        <v>43</v>
      </c>
      <c r="Y81" s="23" t="s">
        <v>430</v>
      </c>
      <c r="Z81" s="24">
        <v>1</v>
      </c>
      <c r="AA81" s="23" t="str">
        <f>'2025'!$E$21</f>
        <v>n/a</v>
      </c>
      <c r="AB81" s="89" t="e" cm="1">
        <f t="array" ref="AB81">_xlfn.XLOOKUP(Table1209195[[#This Row],[Opp]],Table845[DEF],'2024 fSZN'!$W$37:$W$68)</f>
        <v>#N/A</v>
      </c>
    </row>
    <row r="82" spans="2:28" x14ac:dyDescent="0.35">
      <c r="B82" s="24" t="s">
        <v>322</v>
      </c>
      <c r="C82" s="23" t="s">
        <v>48</v>
      </c>
      <c r="D82" s="23" t="s">
        <v>425</v>
      </c>
      <c r="E82" s="24">
        <v>1</v>
      </c>
      <c r="F82" s="23" t="str">
        <f>'2025'!$E$26</f>
        <v>n/a</v>
      </c>
      <c r="G82" s="89" t="e" cm="1">
        <f t="array" ref="G82">_xlfn.XLOOKUP(Table1179397[[#This Row],[Opp]],Table14[DEF],'2024 fSZN'!$G$3:$G$34)</f>
        <v>#N/A</v>
      </c>
      <c r="I82" s="24" t="s">
        <v>345</v>
      </c>
      <c r="J82" s="23" t="s">
        <v>51</v>
      </c>
      <c r="K82" s="23" t="s">
        <v>396</v>
      </c>
      <c r="L82" s="24">
        <v>1</v>
      </c>
      <c r="M82" s="23" t="str">
        <f>'2025'!$E$29</f>
        <v>n/a</v>
      </c>
      <c r="N82" s="89" t="e" cm="1">
        <f t="array" ref="N82">_xlfn.XLOOKUP(Table1189296[[#This Row],[Opp]],Table46[DEF],'2024 fSZN'!$Y$3:$Y$34)</f>
        <v>#N/A</v>
      </c>
      <c r="P82" s="24" t="s">
        <v>242</v>
      </c>
      <c r="Q82" s="23" t="s">
        <v>39</v>
      </c>
      <c r="R82" s="23" t="s">
        <v>68</v>
      </c>
      <c r="S82" s="24">
        <v>1</v>
      </c>
      <c r="T82" s="23" t="str">
        <f>'2025'!$E$17</f>
        <v>n/a</v>
      </c>
      <c r="U82" s="89" t="e" cm="1">
        <f t="array" ref="U82">_xlfn.XLOOKUP(Table1199094[[#This Row],[Opp]],Table77[DEF],'2024 fSZN'!$H$37:$H$68)</f>
        <v>#N/A</v>
      </c>
      <c r="W82" s="24" t="s">
        <v>595</v>
      </c>
      <c r="X82" s="23" t="s">
        <v>55</v>
      </c>
      <c r="Y82" s="23" t="s">
        <v>430</v>
      </c>
      <c r="Z82" s="24">
        <v>1</v>
      </c>
      <c r="AA82" s="23" t="str">
        <f>'2025'!$E$33</f>
        <v>n/a</v>
      </c>
      <c r="AB82" s="89" t="e" cm="1">
        <f t="array" ref="AB82">_xlfn.XLOOKUP(Table1209195[[#This Row],[Opp]],Table845[DEF],'2024 fSZN'!$W$37:$W$68)</f>
        <v>#N/A</v>
      </c>
    </row>
    <row r="83" spans="2:28" x14ac:dyDescent="0.35">
      <c r="B83" s="24" t="s">
        <v>525</v>
      </c>
      <c r="C83" s="23" t="s">
        <v>52</v>
      </c>
      <c r="D83" s="23" t="s">
        <v>425</v>
      </c>
      <c r="E83" s="24">
        <v>1</v>
      </c>
      <c r="F83" s="23" t="str">
        <f>'2025'!$E$30</f>
        <v>NE</v>
      </c>
      <c r="G83" s="89" cm="1">
        <f t="array" ref="G83">_xlfn.XLOOKUP(Table1179397[[#This Row],[Opp]],Table14[DEF],'2024 fSZN'!$G$3:$G$34)</f>
        <v>27</v>
      </c>
      <c r="I83" s="24" t="s">
        <v>306</v>
      </c>
      <c r="J83" s="23" t="s">
        <v>46</v>
      </c>
      <c r="K83" s="23" t="s">
        <v>396</v>
      </c>
      <c r="L83" s="24">
        <v>1</v>
      </c>
      <c r="M83" s="23" t="str">
        <f>'2025'!$E$24</f>
        <v>SEA</v>
      </c>
      <c r="N83" s="89" cm="1">
        <f t="array" ref="N83">_xlfn.XLOOKUP(Table1189296[[#This Row],[Opp]],Table46[DEF],'2024 fSZN'!$Y$3:$Y$34)</f>
        <v>11</v>
      </c>
      <c r="P83" s="24" t="s">
        <v>570</v>
      </c>
      <c r="Q83" s="23" t="s">
        <v>40</v>
      </c>
      <c r="R83" s="23" t="s">
        <v>68</v>
      </c>
      <c r="S83" s="24">
        <v>1</v>
      </c>
      <c r="T83" s="23" t="str">
        <f>'2025'!$E$18</f>
        <v>n/a</v>
      </c>
      <c r="U83" s="89" t="e" cm="1">
        <f t="array" ref="U83">_xlfn.XLOOKUP(Table1199094[[#This Row],[Opp]],Table77[DEF],'2024 fSZN'!$H$37:$H$68)</f>
        <v>#N/A</v>
      </c>
      <c r="W83" s="24" t="s">
        <v>474</v>
      </c>
      <c r="X83" s="23" t="s">
        <v>16</v>
      </c>
      <c r="Y83" s="23" t="s">
        <v>430</v>
      </c>
      <c r="Z83" s="24">
        <v>1</v>
      </c>
      <c r="AA83" s="23" t="str">
        <f>'2025'!$E$5</f>
        <v>n/a</v>
      </c>
      <c r="AB83" s="89" t="e" cm="1">
        <f t="array" ref="AB83">_xlfn.XLOOKUP(Table1209195[[#This Row],[Opp]],Table845[DEF],'2024 fSZN'!$W$37:$W$68)</f>
        <v>#N/A</v>
      </c>
    </row>
    <row r="84" spans="2:28" x14ac:dyDescent="0.35">
      <c r="B84" s="24" t="s">
        <v>171</v>
      </c>
      <c r="C84" s="23" t="s">
        <v>32</v>
      </c>
      <c r="D84" s="23" t="s">
        <v>480</v>
      </c>
      <c r="E84" s="24">
        <v>-1</v>
      </c>
      <c r="F84" s="23" t="str">
        <f>'2025'!$E$10</f>
        <v>n/a</v>
      </c>
      <c r="G84" s="89" t="e" cm="1">
        <f t="array" ref="G84">_xlfn.XLOOKUP(Table1179397[[#This Row],[Opp]],Table14[DEF],'2024 fSZN'!$G$3:$G$34)</f>
        <v>#N/A</v>
      </c>
      <c r="I84" s="24" t="s">
        <v>175</v>
      </c>
      <c r="J84" s="23" t="s">
        <v>32</v>
      </c>
      <c r="K84" s="23" t="s">
        <v>396</v>
      </c>
      <c r="L84" s="24">
        <v>1</v>
      </c>
      <c r="M84" s="23" t="str">
        <f>'2025'!$E$10</f>
        <v>n/a</v>
      </c>
      <c r="N84" s="89" t="e" cm="1">
        <f t="array" ref="N84">_xlfn.XLOOKUP(Table1189296[[#This Row],[Opp]],Table46[DEF],'2024 fSZN'!$Y$3:$Y$34)</f>
        <v>#N/A</v>
      </c>
      <c r="P84" s="24" t="s">
        <v>568</v>
      </c>
      <c r="Q84" s="23" t="s">
        <v>43</v>
      </c>
      <c r="R84" s="23" t="s">
        <v>68</v>
      </c>
      <c r="S84" s="24">
        <v>1</v>
      </c>
      <c r="T84" s="23" t="str">
        <f>'2025'!$E$21</f>
        <v>n/a</v>
      </c>
      <c r="U84" s="89" t="e" cm="1">
        <f t="array" ref="U84">_xlfn.XLOOKUP(Table1199094[[#This Row],[Opp]],Table77[DEF],'2024 fSZN'!$H$37:$H$68)</f>
        <v>#N/A</v>
      </c>
      <c r="W84" s="24" t="s">
        <v>475</v>
      </c>
      <c r="X84" s="23" t="s">
        <v>31</v>
      </c>
      <c r="Y84" s="23" t="s">
        <v>430</v>
      </c>
      <c r="Z84" s="24">
        <v>0</v>
      </c>
      <c r="AA84" s="23" t="str">
        <f>'2025'!$E$9</f>
        <v>n/a</v>
      </c>
      <c r="AB84" s="89" t="e" cm="1">
        <f t="array" ref="AB84">_xlfn.XLOOKUP(Table1209195[[#This Row],[Opp]],Table845[DEF],'2024 fSZN'!$W$37:$W$68)</f>
        <v>#N/A</v>
      </c>
    </row>
    <row r="85" spans="2:28" x14ac:dyDescent="0.35">
      <c r="B85" s="24" t="s">
        <v>539</v>
      </c>
      <c r="C85" s="23" t="s">
        <v>53</v>
      </c>
      <c r="D85" s="23" t="s">
        <v>480</v>
      </c>
      <c r="E85" s="24">
        <v>-1</v>
      </c>
      <c r="F85" s="23" t="str">
        <f>'2025'!$E$31</f>
        <v>n/a</v>
      </c>
      <c r="G85" s="89" t="e" cm="1">
        <f t="array" ref="G85">_xlfn.XLOOKUP(Table1179397[[#This Row],[Opp]],Table14[DEF],'2024 fSZN'!$G$3:$G$34)</f>
        <v>#N/A</v>
      </c>
      <c r="I85" s="24" t="s">
        <v>248</v>
      </c>
      <c r="J85" s="23" t="s">
        <v>40</v>
      </c>
      <c r="K85" s="23" t="s">
        <v>396</v>
      </c>
      <c r="L85" s="24">
        <v>1</v>
      </c>
      <c r="M85" s="23" t="str">
        <f>'2025'!$E$18</f>
        <v>n/a</v>
      </c>
      <c r="N85" s="89" t="e" cm="1">
        <f t="array" ref="N85">_xlfn.XLOOKUP(Table1189296[[#This Row],[Opp]],Table46[DEF],'2024 fSZN'!$Y$3:$Y$34)</f>
        <v>#N/A</v>
      </c>
      <c r="P85" s="24" t="s">
        <v>329</v>
      </c>
      <c r="Q85" s="23" t="s">
        <v>48</v>
      </c>
      <c r="R85" s="23" t="s">
        <v>68</v>
      </c>
      <c r="S85" s="24">
        <v>1</v>
      </c>
      <c r="T85" s="23" t="str">
        <f>'2025'!$E$26</f>
        <v>n/a</v>
      </c>
      <c r="U85" s="89" t="e" cm="1">
        <f t="array" ref="U85">_xlfn.XLOOKUP(Table1199094[[#This Row],[Opp]],Table77[DEF],'2024 fSZN'!$H$37:$H$68)</f>
        <v>#N/A</v>
      </c>
      <c r="W85" s="24" t="s">
        <v>587</v>
      </c>
      <c r="X85" s="23" t="s">
        <v>54</v>
      </c>
      <c r="Y85" s="23" t="s">
        <v>430</v>
      </c>
      <c r="Z85" s="24">
        <v>1</v>
      </c>
      <c r="AA85" s="23" t="str">
        <f>'2025'!$E$32</f>
        <v>n/a</v>
      </c>
      <c r="AB85" s="89" t="e" cm="1">
        <f t="array" ref="AB85">_xlfn.XLOOKUP(Table1209195[[#This Row],[Opp]],Table845[DEF],'2024 fSZN'!$W$37:$W$68)</f>
        <v>#N/A</v>
      </c>
    </row>
    <row r="86" spans="2:28" x14ac:dyDescent="0.35">
      <c r="B86" s="24" t="s">
        <v>491</v>
      </c>
      <c r="C86" s="23" t="s">
        <v>51</v>
      </c>
      <c r="D86" s="23" t="s">
        <v>480</v>
      </c>
      <c r="E86" s="24">
        <v>-1</v>
      </c>
      <c r="F86" s="23" t="str">
        <f>'2025'!$E$29</f>
        <v>n/a</v>
      </c>
      <c r="G86" s="89" t="e" cm="1">
        <f t="array" ref="G86">_xlfn.XLOOKUP(Table1179397[[#This Row],[Opp]],Table14[DEF],'2024 fSZN'!$G$3:$G$34)</f>
        <v>#N/A</v>
      </c>
      <c r="I86" s="24" t="s">
        <v>228</v>
      </c>
      <c r="J86" s="23" t="s">
        <v>38</v>
      </c>
      <c r="K86" s="23" t="s">
        <v>396</v>
      </c>
      <c r="L86" s="24">
        <v>1</v>
      </c>
      <c r="M86" s="23" t="str">
        <f>'2025'!$E$16</f>
        <v>n/a</v>
      </c>
      <c r="N86" s="89" t="e" cm="1">
        <f t="array" ref="N86">_xlfn.XLOOKUP(Table1189296[[#This Row],[Opp]],Table46[DEF],'2024 fSZN'!$Y$3:$Y$34)</f>
        <v>#N/A</v>
      </c>
      <c r="P86" s="24" t="s">
        <v>541</v>
      </c>
      <c r="Q86" s="23" t="s">
        <v>53</v>
      </c>
      <c r="R86" s="23" t="s">
        <v>68</v>
      </c>
      <c r="S86" s="24">
        <v>1</v>
      </c>
      <c r="T86" s="23" t="str">
        <f>'2025'!$E$31</f>
        <v>n/a</v>
      </c>
      <c r="U86" s="89" t="e" cm="1">
        <f t="array" ref="U86">_xlfn.XLOOKUP(Table1199094[[#This Row],[Opp]],Table77[DEF],'2024 fSZN'!$H$37:$H$68)</f>
        <v>#N/A</v>
      </c>
      <c r="W86" s="24" t="s">
        <v>574</v>
      </c>
      <c r="X86" s="23" t="s">
        <v>40</v>
      </c>
      <c r="Y86" s="23" t="s">
        <v>430</v>
      </c>
      <c r="Z86" s="24">
        <v>1</v>
      </c>
      <c r="AA86" s="23" t="str">
        <f>'2025'!$E$18</f>
        <v>n/a</v>
      </c>
      <c r="AB86" s="89" t="e" cm="1">
        <f t="array" ref="AB86">_xlfn.XLOOKUP(Table1209195[[#This Row],[Opp]],Table845[DEF],'2024 fSZN'!$W$37:$W$68)</f>
        <v>#N/A</v>
      </c>
    </row>
    <row r="87" spans="2:28" x14ac:dyDescent="0.35">
      <c r="I87" s="24" t="s">
        <v>370</v>
      </c>
      <c r="J87" s="23" t="s">
        <v>54</v>
      </c>
      <c r="K87" s="23" t="s">
        <v>396</v>
      </c>
      <c r="L87" s="24">
        <v>1</v>
      </c>
      <c r="M87" s="23" t="str">
        <f>'2025'!$E$32</f>
        <v>n/a</v>
      </c>
      <c r="N87" s="89" t="e" cm="1">
        <f t="array" ref="N87">_xlfn.XLOOKUP(Table1189296[[#This Row],[Opp]],Table46[DEF],'2024 fSZN'!$Y$3:$Y$34)</f>
        <v>#N/A</v>
      </c>
      <c r="P87" s="24" t="s">
        <v>223</v>
      </c>
      <c r="Q87" s="23" t="s">
        <v>37</v>
      </c>
      <c r="R87" s="23" t="s">
        <v>68</v>
      </c>
      <c r="S87" s="24">
        <v>1</v>
      </c>
      <c r="T87" s="23" t="str">
        <f>'2025'!$E$15</f>
        <v>n/a</v>
      </c>
      <c r="U87" s="89" t="e" cm="1">
        <f t="array" ref="U87">_xlfn.XLOOKUP(Table1199094[[#This Row],[Opp]],Table77[DEF],'2024 fSZN'!$H$37:$H$68)</f>
        <v>#N/A</v>
      </c>
      <c r="W87" s="24" t="s">
        <v>494</v>
      </c>
      <c r="X87" s="23" t="s">
        <v>51</v>
      </c>
      <c r="Y87" s="23" t="s">
        <v>430</v>
      </c>
      <c r="Z87" s="24">
        <v>1</v>
      </c>
      <c r="AA87" s="23" t="str">
        <f>'2025'!$E$29</f>
        <v>n/a</v>
      </c>
      <c r="AB87" s="89" t="e" cm="1">
        <f t="array" ref="AB87">_xlfn.XLOOKUP(Table1209195[[#This Row],[Opp]],Table845[DEF],'2024 fSZN'!$W$37:$W$68)</f>
        <v>#N/A</v>
      </c>
    </row>
    <row r="88" spans="2:28" x14ac:dyDescent="0.35">
      <c r="I88" s="24" t="s">
        <v>333</v>
      </c>
      <c r="J88" s="23" t="s">
        <v>49</v>
      </c>
      <c r="K88" s="23" t="s">
        <v>396</v>
      </c>
      <c r="L88" s="24">
        <v>0</v>
      </c>
      <c r="M88" s="23" t="str">
        <f>'2025'!$E$27</f>
        <v>n/a</v>
      </c>
      <c r="N88" s="89" t="e" cm="1">
        <f t="array" ref="N88">_xlfn.XLOOKUP(Table1189296[[#This Row],[Opp]],Table46[DEF],'2024 fSZN'!$Y$3:$Y$34)</f>
        <v>#N/A</v>
      </c>
      <c r="P88" s="24" t="s">
        <v>311</v>
      </c>
      <c r="Q88" s="23" t="s">
        <v>46</v>
      </c>
      <c r="R88" s="23" t="s">
        <v>68</v>
      </c>
      <c r="S88" s="24">
        <v>1</v>
      </c>
      <c r="T88" s="23" t="str">
        <f>'2025'!$E$24</f>
        <v>SEA</v>
      </c>
      <c r="U88" s="89" cm="1">
        <f t="array" ref="U88">_xlfn.XLOOKUP(Table1199094[[#This Row],[Opp]],Table77[DEF],'2024 fSZN'!$H$37:$H$68)</f>
        <v>21</v>
      </c>
      <c r="W88" s="24" t="s">
        <v>551</v>
      </c>
      <c r="X88" s="23" t="s">
        <v>42</v>
      </c>
      <c r="Y88" s="23" t="s">
        <v>430</v>
      </c>
      <c r="Z88" s="24">
        <v>1</v>
      </c>
      <c r="AA88" s="23" t="str">
        <f>'2025'!$E$20</f>
        <v>n/a</v>
      </c>
      <c r="AB88" s="89" t="e" cm="1">
        <f t="array" ref="AB88">_xlfn.XLOOKUP(Table1209195[[#This Row],[Opp]],Table845[DEF],'2024 fSZN'!$W$37:$W$68)</f>
        <v>#N/A</v>
      </c>
    </row>
    <row r="89" spans="2:28" x14ac:dyDescent="0.35">
      <c r="I89" s="24" t="s">
        <v>268</v>
      </c>
      <c r="J89" s="23" t="s">
        <v>42</v>
      </c>
      <c r="K89" s="23" t="s">
        <v>396</v>
      </c>
      <c r="L89" s="24">
        <v>1</v>
      </c>
      <c r="M89" s="23" t="str">
        <f>'2025'!$E$20</f>
        <v>n/a</v>
      </c>
      <c r="N89" s="89" t="e" cm="1">
        <f t="array" ref="N89">_xlfn.XLOOKUP(Table1189296[[#This Row],[Opp]],Table46[DEF],'2024 fSZN'!$Y$3:$Y$34)</f>
        <v>#N/A</v>
      </c>
      <c r="P89" s="24" t="s">
        <v>136</v>
      </c>
      <c r="Q89" s="23" t="s">
        <v>45</v>
      </c>
      <c r="R89" s="23" t="s">
        <v>68</v>
      </c>
      <c r="S89" s="24">
        <v>1</v>
      </c>
      <c r="T89" s="23" t="str">
        <f>'2025'!$E$23</f>
        <v>n/a</v>
      </c>
      <c r="U89" s="89" t="e" cm="1">
        <f t="array" ref="U89">_xlfn.XLOOKUP(Table1199094[[#This Row],[Opp]],Table77[DEF],'2024 fSZN'!$H$37:$H$68)</f>
        <v>#N/A</v>
      </c>
      <c r="W89" s="24" t="s">
        <v>290</v>
      </c>
      <c r="X89" s="23" t="s">
        <v>47</v>
      </c>
      <c r="Y89" s="23" t="s">
        <v>430</v>
      </c>
      <c r="Z89" s="24">
        <v>-1</v>
      </c>
      <c r="AA89" s="23" t="str">
        <f>'2025'!$E$25</f>
        <v>n/a</v>
      </c>
      <c r="AB89" s="89" t="e" cm="1">
        <f t="array" ref="AB89">_xlfn.XLOOKUP(Table1209195[[#This Row],[Opp]],Table845[DEF],'2024 fSZN'!$W$37:$W$68)</f>
        <v>#N/A</v>
      </c>
    </row>
    <row r="90" spans="2:28" x14ac:dyDescent="0.35">
      <c r="I90" s="24" t="s">
        <v>380</v>
      </c>
      <c r="J90" s="23" t="s">
        <v>55</v>
      </c>
      <c r="K90" s="23" t="s">
        <v>396</v>
      </c>
      <c r="L90" s="24">
        <v>0</v>
      </c>
      <c r="M90" s="23" t="str">
        <f>'2025'!$E$33</f>
        <v>n/a</v>
      </c>
      <c r="N90" s="89" t="e" cm="1">
        <f t="array" ref="N90">_xlfn.XLOOKUP(Table1189296[[#This Row],[Opp]],Table46[DEF],'2024 fSZN'!$Y$3:$Y$34)</f>
        <v>#N/A</v>
      </c>
      <c r="P90" s="24" t="s">
        <v>321</v>
      </c>
      <c r="Q90" s="23" t="s">
        <v>51</v>
      </c>
      <c r="R90" s="23" t="s">
        <v>68</v>
      </c>
      <c r="S90" s="24">
        <v>1</v>
      </c>
      <c r="T90" s="23" t="str">
        <f>'2025'!$E$29</f>
        <v>n/a</v>
      </c>
      <c r="U90" s="89" t="e" cm="1">
        <f t="array" ref="U90">_xlfn.XLOOKUP(Table1199094[[#This Row],[Opp]],Table77[DEF],'2024 fSZN'!$H$37:$H$68)</f>
        <v>#N/A</v>
      </c>
      <c r="W90" s="24" t="s">
        <v>459</v>
      </c>
      <c r="X90" s="23" t="s">
        <v>50</v>
      </c>
      <c r="Y90" s="23" t="s">
        <v>430</v>
      </c>
      <c r="Z90" s="24">
        <v>1</v>
      </c>
      <c r="AA90" s="23" t="str">
        <f>'2025'!$E$28</f>
        <v>n/a</v>
      </c>
      <c r="AB90" s="89" t="e" cm="1">
        <f t="array" ref="AB90">_xlfn.XLOOKUP(Table1209195[[#This Row],[Opp]],Table845[DEF],'2024 fSZN'!$W$37:$W$68)</f>
        <v>#N/A</v>
      </c>
    </row>
    <row r="91" spans="2:28" x14ac:dyDescent="0.35">
      <c r="I91" s="24" t="s">
        <v>163</v>
      </c>
      <c r="J91" s="23" t="s">
        <v>31</v>
      </c>
      <c r="K91" s="23" t="s">
        <v>396</v>
      </c>
      <c r="L91" s="24">
        <v>1</v>
      </c>
      <c r="M91" s="23" t="str">
        <f>'2025'!$E$9</f>
        <v>n/a</v>
      </c>
      <c r="N91" s="89" t="e" cm="1">
        <f t="array" ref="N91">_xlfn.XLOOKUP(Table1189296[[#This Row],[Opp]],Table46[DEF],'2024 fSZN'!$Y$3:$Y$34)</f>
        <v>#N/A</v>
      </c>
      <c r="P91" s="24" t="s">
        <v>482</v>
      </c>
      <c r="Q91" s="23" t="s">
        <v>32</v>
      </c>
      <c r="R91" s="23" t="s">
        <v>68</v>
      </c>
      <c r="S91" s="24">
        <v>1</v>
      </c>
      <c r="T91" s="23" t="str">
        <f>'2025'!$E$10</f>
        <v>n/a</v>
      </c>
      <c r="U91" s="89" t="e" cm="1">
        <f t="array" ref="U91">_xlfn.XLOOKUP(Table1199094[[#This Row],[Opp]],Table77[DEF],'2024 fSZN'!$H$37:$H$68)</f>
        <v>#N/A</v>
      </c>
      <c r="W91" s="24" t="s">
        <v>533</v>
      </c>
      <c r="X91" s="23" t="s">
        <v>52</v>
      </c>
      <c r="Y91" s="23" t="s">
        <v>430</v>
      </c>
      <c r="Z91" s="24">
        <v>1</v>
      </c>
      <c r="AA91" s="23" t="str">
        <f>'2025'!$E$30</f>
        <v>NE</v>
      </c>
      <c r="AB91" s="89" cm="1">
        <f t="array" ref="AB91">_xlfn.XLOOKUP(Table1209195[[#This Row],[Opp]],Table845[DEF],'2024 fSZN'!$W$37:$W$68)</f>
        <v>17</v>
      </c>
    </row>
    <row r="92" spans="2:28" x14ac:dyDescent="0.35">
      <c r="I92" s="24" t="s">
        <v>183</v>
      </c>
      <c r="J92" s="23" t="s">
        <v>33</v>
      </c>
      <c r="K92" s="23" t="s">
        <v>396</v>
      </c>
      <c r="L92" s="24">
        <v>1</v>
      </c>
      <c r="M92" s="23" t="str">
        <f>'2025'!$E$11</f>
        <v>n/a</v>
      </c>
      <c r="N92" s="89" t="e" cm="1">
        <f t="array" ref="N92">_xlfn.XLOOKUP(Table1189296[[#This Row],[Opp]],Table46[DEF],'2024 fSZN'!$Y$3:$Y$34)</f>
        <v>#N/A</v>
      </c>
      <c r="P92" s="24" t="s">
        <v>261</v>
      </c>
      <c r="Q92" s="23" t="s">
        <v>41</v>
      </c>
      <c r="R92" s="23" t="s">
        <v>68</v>
      </c>
      <c r="S92" s="24">
        <v>1</v>
      </c>
      <c r="T92" s="23" t="str">
        <f>'2025'!$E$19</f>
        <v>n/a</v>
      </c>
      <c r="U92" s="89" t="e" cm="1">
        <f t="array" ref="U92">_xlfn.XLOOKUP(Table1199094[[#This Row],[Opp]],Table77[DEF],'2024 fSZN'!$H$37:$H$68)</f>
        <v>#N/A</v>
      </c>
      <c r="W92" s="24" t="s">
        <v>444</v>
      </c>
      <c r="X92" s="23" t="s">
        <v>48</v>
      </c>
      <c r="Y92" s="23" t="s">
        <v>430</v>
      </c>
      <c r="Z92" s="24">
        <v>1</v>
      </c>
      <c r="AA92" s="23" t="str">
        <f>'2025'!$E$26</f>
        <v>n/a</v>
      </c>
      <c r="AB92" s="89" t="e" cm="1">
        <f t="array" ref="AB92">_xlfn.XLOOKUP(Table1209195[[#This Row],[Opp]],Table845[DEF],'2024 fSZN'!$W$37:$W$68)</f>
        <v>#N/A</v>
      </c>
    </row>
    <row r="93" spans="2:28" x14ac:dyDescent="0.35">
      <c r="I93" s="24" t="s">
        <v>598</v>
      </c>
      <c r="J93" s="23" t="s">
        <v>15</v>
      </c>
      <c r="K93" s="23" t="s">
        <v>396</v>
      </c>
      <c r="L93" s="24">
        <v>1</v>
      </c>
      <c r="M93" s="23" t="str">
        <f>'2025'!$E$4</f>
        <v>n/a</v>
      </c>
      <c r="N93" s="89" t="e" cm="1">
        <f t="array" ref="N93">_xlfn.XLOOKUP(Table1189296[[#This Row],[Opp]],Table46[DEF],'2024 fSZN'!$Y$3:$Y$34)</f>
        <v>#N/A</v>
      </c>
      <c r="P93" s="24" t="s">
        <v>233</v>
      </c>
      <c r="Q93" s="23" t="s">
        <v>38</v>
      </c>
      <c r="R93" s="23" t="s">
        <v>68</v>
      </c>
      <c r="S93" s="24">
        <v>1</v>
      </c>
      <c r="T93" s="23" t="str">
        <f>'2025'!$E$16</f>
        <v>n/a</v>
      </c>
      <c r="U93" s="89" t="e" cm="1">
        <f t="array" ref="U93">_xlfn.XLOOKUP(Table1199094[[#This Row],[Opp]],Table77[DEF],'2024 fSZN'!$H$37:$H$68)</f>
        <v>#N/A</v>
      </c>
      <c r="W93" s="24" t="s">
        <v>389</v>
      </c>
      <c r="X93" s="23" t="s">
        <v>56</v>
      </c>
      <c r="Y93" s="23" t="s">
        <v>430</v>
      </c>
      <c r="Z93" s="24">
        <v>1</v>
      </c>
      <c r="AA93" s="23" t="str">
        <f>'2025'!$E$34</f>
        <v>n/a</v>
      </c>
      <c r="AB93" s="89" t="e" cm="1">
        <f t="array" ref="AB93">_xlfn.XLOOKUP(Table1209195[[#This Row],[Opp]],Table845[DEF],'2024 fSZN'!$W$37:$W$68)</f>
        <v>#N/A</v>
      </c>
    </row>
    <row r="94" spans="2:28" x14ac:dyDescent="0.35">
      <c r="I94" s="24" t="s">
        <v>153</v>
      </c>
      <c r="J94" s="23" t="s">
        <v>30</v>
      </c>
      <c r="K94" s="23" t="s">
        <v>396</v>
      </c>
      <c r="L94" s="24">
        <v>0</v>
      </c>
      <c r="M94" s="23" t="str">
        <f>'2025'!$E$8</f>
        <v>n/a</v>
      </c>
      <c r="N94" s="89" t="e" cm="1">
        <f t="array" ref="N94">_xlfn.XLOOKUP(Table1189296[[#This Row],[Opp]],Table46[DEF],'2024 fSZN'!$Y$3:$Y$34)</f>
        <v>#N/A</v>
      </c>
      <c r="P94" s="24" t="s">
        <v>505</v>
      </c>
      <c r="Q94" s="23" t="s">
        <v>35</v>
      </c>
      <c r="R94" s="23" t="s">
        <v>68</v>
      </c>
      <c r="S94" s="24">
        <v>1</v>
      </c>
      <c r="T94" s="23" t="str">
        <f>'2025'!$E$13</f>
        <v>n/a</v>
      </c>
      <c r="U94" s="89" t="e" cm="1">
        <f t="array" ref="U94">_xlfn.XLOOKUP(Table1199094[[#This Row],[Opp]],Table77[DEF],'2024 fSZN'!$H$37:$H$68)</f>
        <v>#N/A</v>
      </c>
      <c r="W94" s="24" t="s">
        <v>515</v>
      </c>
      <c r="X94" s="23" t="s">
        <v>36</v>
      </c>
      <c r="Y94" s="23" t="s">
        <v>430</v>
      </c>
      <c r="Z94" s="24">
        <v>1</v>
      </c>
      <c r="AA94" s="23" t="str">
        <f>'2025'!$E$14</f>
        <v>n/a</v>
      </c>
      <c r="AB94" s="89" t="e" cm="1">
        <f t="array" ref="AB94">_xlfn.XLOOKUP(Table1209195[[#This Row],[Opp]],Table845[DEF],'2024 fSZN'!$W$37:$W$68)</f>
        <v>#N/A</v>
      </c>
    </row>
    <row r="95" spans="2:28" x14ac:dyDescent="0.35">
      <c r="I95" s="24" t="s">
        <v>126</v>
      </c>
      <c r="J95" s="23" t="s">
        <v>17</v>
      </c>
      <c r="K95" s="23" t="s">
        <v>396</v>
      </c>
      <c r="L95" s="24">
        <v>1</v>
      </c>
      <c r="M95" s="23" t="str">
        <f>'2025'!$E$6</f>
        <v>n/a</v>
      </c>
      <c r="N95" s="89" t="e" cm="1">
        <f t="array" ref="N95">_xlfn.XLOOKUP(Table1189296[[#This Row],[Opp]],Table46[DEF],'2024 fSZN'!$Y$3:$Y$34)</f>
        <v>#N/A</v>
      </c>
      <c r="P95" s="24" t="s">
        <v>198</v>
      </c>
      <c r="Q95" s="23" t="s">
        <v>34</v>
      </c>
      <c r="R95" s="23" t="s">
        <v>68</v>
      </c>
      <c r="S95" s="24">
        <v>1</v>
      </c>
      <c r="T95" s="23" t="str">
        <f>'2025'!$E$12</f>
        <v>n/a</v>
      </c>
      <c r="U95" s="89" t="e" cm="1">
        <f t="array" ref="U95">_xlfn.XLOOKUP(Table1199094[[#This Row],[Opp]],Table77[DEF],'2024 fSZN'!$H$37:$H$68)</f>
        <v>#N/A</v>
      </c>
      <c r="W95" s="24" t="s">
        <v>436</v>
      </c>
      <c r="X95" s="23" t="s">
        <v>33</v>
      </c>
      <c r="Y95" s="23" t="s">
        <v>430</v>
      </c>
      <c r="Z95" s="24">
        <v>1</v>
      </c>
      <c r="AA95" s="23" t="str">
        <f>'2025'!$E$11</f>
        <v>n/a</v>
      </c>
      <c r="AB95" s="89" t="e" cm="1">
        <f t="array" ref="AB95">_xlfn.XLOOKUP(Table1209195[[#This Row],[Opp]],Table845[DEF],'2024 fSZN'!$W$37:$W$68)</f>
        <v>#N/A</v>
      </c>
    </row>
    <row r="96" spans="2:28" x14ac:dyDescent="0.35">
      <c r="I96" s="24" t="s">
        <v>511</v>
      </c>
      <c r="J96" s="23" t="s">
        <v>36</v>
      </c>
      <c r="K96" s="23" t="s">
        <v>396</v>
      </c>
      <c r="L96" s="24">
        <v>1</v>
      </c>
      <c r="M96" s="23" t="str">
        <f>'2025'!$E$14</f>
        <v>n/a</v>
      </c>
      <c r="N96" s="89" t="e" cm="1">
        <f t="array" ref="N96">_xlfn.XLOOKUP(Table1189296[[#This Row],[Opp]],Table46[DEF],'2024 fSZN'!$Y$3:$Y$34)</f>
        <v>#N/A</v>
      </c>
      <c r="P96" s="24" t="s">
        <v>528</v>
      </c>
      <c r="Q96" s="23" t="s">
        <v>52</v>
      </c>
      <c r="R96" s="23" t="s">
        <v>68</v>
      </c>
      <c r="S96" s="24">
        <v>0</v>
      </c>
      <c r="T96" s="23" t="str">
        <f>'2025'!$E$30</f>
        <v>NE</v>
      </c>
      <c r="U96" s="89" cm="1">
        <f t="array" ref="U96">_xlfn.XLOOKUP(Table1199094[[#This Row],[Opp]],Table77[DEF],'2024 fSZN'!$H$37:$H$68)</f>
        <v>19</v>
      </c>
      <c r="W96" s="24" t="s">
        <v>581</v>
      </c>
      <c r="X96" s="23" t="s">
        <v>34</v>
      </c>
      <c r="Y96" s="23" t="s">
        <v>430</v>
      </c>
      <c r="Z96" s="24">
        <v>-1</v>
      </c>
      <c r="AA96" s="23" t="str">
        <f>'2025'!$E$12</f>
        <v>n/a</v>
      </c>
      <c r="AB96" s="89" t="e" cm="1">
        <f t="array" ref="AB96">_xlfn.XLOOKUP(Table1209195[[#This Row],[Opp]],Table845[DEF],'2024 fSZN'!$W$37:$W$68)</f>
        <v>#N/A</v>
      </c>
    </row>
    <row r="97" spans="9:28" x14ac:dyDescent="0.35">
      <c r="I97" s="24" t="s">
        <v>561</v>
      </c>
      <c r="J97" s="23" t="s">
        <v>41</v>
      </c>
      <c r="K97" s="23" t="s">
        <v>396</v>
      </c>
      <c r="L97" s="24">
        <v>1</v>
      </c>
      <c r="M97" s="23" t="str">
        <f>'2025'!$E$19</f>
        <v>n/a</v>
      </c>
      <c r="N97" s="89" t="e" cm="1">
        <f t="array" ref="N97">_xlfn.XLOOKUP(Table1189296[[#This Row],[Opp]],Table46[DEF],'2024 fSZN'!$Y$3:$Y$34)</f>
        <v>#N/A</v>
      </c>
      <c r="P97" s="24" t="s">
        <v>189</v>
      </c>
      <c r="Q97" s="23" t="s">
        <v>33</v>
      </c>
      <c r="R97" s="23" t="s">
        <v>68</v>
      </c>
      <c r="S97" s="24">
        <v>1</v>
      </c>
      <c r="T97" s="23" t="str">
        <f>'2025'!$E$11</f>
        <v>n/a</v>
      </c>
      <c r="U97" s="89" t="e" cm="1">
        <f t="array" ref="U97">_xlfn.XLOOKUP(Table1199094[[#This Row],[Opp]],Table77[DEF],'2024 fSZN'!$H$37:$H$68)</f>
        <v>#N/A</v>
      </c>
      <c r="W97" s="24" t="s">
        <v>564</v>
      </c>
      <c r="X97" s="23" t="s">
        <v>41</v>
      </c>
      <c r="Y97" s="23" t="s">
        <v>435</v>
      </c>
      <c r="Z97" s="24">
        <v>1</v>
      </c>
      <c r="AA97" s="23" t="str">
        <f>'2025'!$E$19</f>
        <v>n/a</v>
      </c>
      <c r="AB97" s="89" t="e" cm="1">
        <f t="array" ref="AB97">_xlfn.XLOOKUP(Table1209195[[#This Row],[Opp]],Table845[DEF],'2024 fSZN'!$W$37:$W$68)</f>
        <v>#N/A</v>
      </c>
    </row>
    <row r="98" spans="9:28" x14ac:dyDescent="0.35">
      <c r="I98" s="24" t="s">
        <v>624</v>
      </c>
      <c r="J98" s="23" t="s">
        <v>39</v>
      </c>
      <c r="K98" s="23" t="s">
        <v>407</v>
      </c>
      <c r="L98" s="24">
        <v>1</v>
      </c>
      <c r="M98" s="23" t="str">
        <f>'2025'!$E$17</f>
        <v>n/a</v>
      </c>
      <c r="N98" s="89" t="e" cm="1">
        <f t="array" ref="N98">_xlfn.XLOOKUP(Table1189296[[#This Row],[Opp]],Table46[DEF],'2024 fSZN'!$Y$3:$Y$34)</f>
        <v>#N/A</v>
      </c>
      <c r="P98" s="24" t="s">
        <v>214</v>
      </c>
      <c r="Q98" s="23" t="s">
        <v>36</v>
      </c>
      <c r="R98" s="23" t="s">
        <v>401</v>
      </c>
      <c r="S98" s="24">
        <v>0</v>
      </c>
      <c r="T98" s="23" t="str">
        <f>'2025'!$E$14</f>
        <v>n/a</v>
      </c>
      <c r="U98" s="89" t="e" cm="1">
        <f t="array" ref="U98">_xlfn.XLOOKUP(Table1199094[[#This Row],[Opp]],Table77[DEF],'2024 fSZN'!$H$37:$H$68)</f>
        <v>#N/A</v>
      </c>
      <c r="W98" s="24" t="s">
        <v>606</v>
      </c>
      <c r="X98" s="23" t="s">
        <v>15</v>
      </c>
      <c r="Y98" s="23" t="s">
        <v>435</v>
      </c>
      <c r="Z98" s="24">
        <v>1</v>
      </c>
      <c r="AA98" s="23" t="str">
        <f>'2025'!$E$4</f>
        <v>n/a</v>
      </c>
      <c r="AB98" s="89" t="e" cm="1">
        <f t="array" ref="AB98">_xlfn.XLOOKUP(Table1209195[[#This Row],[Opp]],Table845[DEF],'2024 fSZN'!$W$37:$W$68)</f>
        <v>#N/A</v>
      </c>
    </row>
    <row r="99" spans="9:28" x14ac:dyDescent="0.35">
      <c r="I99" s="24" t="s">
        <v>519</v>
      </c>
      <c r="J99" s="23" t="s">
        <v>45</v>
      </c>
      <c r="K99" s="23" t="s">
        <v>407</v>
      </c>
      <c r="L99" s="24">
        <v>0</v>
      </c>
      <c r="M99" s="23" t="str">
        <f>'2025'!$E$23</f>
        <v>n/a</v>
      </c>
      <c r="N99" s="89" t="e" cm="1">
        <f t="array" ref="N99">_xlfn.XLOOKUP(Table1189296[[#This Row],[Opp]],Table46[DEF],'2024 fSZN'!$Y$3:$Y$34)</f>
        <v>#N/A</v>
      </c>
      <c r="P99" s="24" t="s">
        <v>499</v>
      </c>
      <c r="Q99" s="23" t="s">
        <v>30</v>
      </c>
      <c r="R99" s="23" t="s">
        <v>401</v>
      </c>
      <c r="S99" s="24">
        <v>1</v>
      </c>
      <c r="T99" s="23" t="str">
        <f>'2025'!$E$8</f>
        <v>n/a</v>
      </c>
      <c r="U99" s="89" t="e" cm="1">
        <f t="array" ref="U99">_xlfn.XLOOKUP(Table1199094[[#This Row],[Opp]],Table77[DEF],'2024 fSZN'!$H$37:$H$68)</f>
        <v>#N/A</v>
      </c>
      <c r="W99" s="24" t="s">
        <v>638</v>
      </c>
      <c r="X99" s="23" t="s">
        <v>37</v>
      </c>
      <c r="Y99" s="23" t="s">
        <v>435</v>
      </c>
      <c r="Z99" s="24">
        <v>-1</v>
      </c>
      <c r="AA99" s="23" t="str">
        <f>'2025'!$E$15</f>
        <v>n/a</v>
      </c>
      <c r="AB99" s="89" t="e" cm="1">
        <f t="array" ref="AB99">_xlfn.XLOOKUP(Table1209195[[#This Row],[Opp]],Table845[DEF],'2024 fSZN'!$W$37:$W$68)</f>
        <v>#N/A</v>
      </c>
    </row>
    <row r="100" spans="9:28" x14ac:dyDescent="0.35">
      <c r="I100" s="24" t="s">
        <v>462</v>
      </c>
      <c r="J100" s="23" t="s">
        <v>56</v>
      </c>
      <c r="K100" s="23" t="s">
        <v>407</v>
      </c>
      <c r="L100" s="24">
        <v>1</v>
      </c>
      <c r="M100" s="23" t="str">
        <f>'2025'!$E$34</f>
        <v>n/a</v>
      </c>
      <c r="N100" s="89" t="e" cm="1">
        <f t="array" ref="N100">_xlfn.XLOOKUP(Table1189296[[#This Row],[Opp]],Table46[DEF],'2024 fSZN'!$Y$3:$Y$34)</f>
        <v>#N/A</v>
      </c>
      <c r="P100" s="24" t="s">
        <v>610</v>
      </c>
      <c r="Q100" s="23" t="s">
        <v>29</v>
      </c>
      <c r="R100" s="23" t="s">
        <v>401</v>
      </c>
      <c r="S100" s="24">
        <v>1</v>
      </c>
      <c r="T100" s="23" t="str">
        <f>'2025'!$E$7</f>
        <v>n/a</v>
      </c>
      <c r="U100" s="89" t="e" cm="1">
        <f t="array" ref="U100">_xlfn.XLOOKUP(Table1199094[[#This Row],[Opp]],Table77[DEF],'2024 fSZN'!$H$37:$H$68)</f>
        <v>#N/A</v>
      </c>
      <c r="W100" s="24" t="s">
        <v>434</v>
      </c>
      <c r="X100" s="23" t="s">
        <v>44</v>
      </c>
      <c r="Y100" s="23" t="s">
        <v>435</v>
      </c>
      <c r="Z100" s="24">
        <v>-1</v>
      </c>
      <c r="AA100" s="23" t="str">
        <f>'2025'!$E$22</f>
        <v>n/a</v>
      </c>
      <c r="AB100" s="89" t="e" cm="1">
        <f t="array" ref="AB100">_xlfn.XLOOKUP(Table1209195[[#This Row],[Opp]],Table845[DEF],'2024 fSZN'!$W$37:$W$68)</f>
        <v>#N/A</v>
      </c>
    </row>
    <row r="101" spans="9:28" x14ac:dyDescent="0.35">
      <c r="I101" s="24" t="s">
        <v>608</v>
      </c>
      <c r="J101" s="23" t="s">
        <v>29</v>
      </c>
      <c r="K101" s="23" t="s">
        <v>407</v>
      </c>
      <c r="L101" s="24">
        <v>-1</v>
      </c>
      <c r="M101" s="23" t="str">
        <f>'2025'!$E$7</f>
        <v>n/a</v>
      </c>
      <c r="N101" s="89" t="e" cm="1">
        <f t="array" ref="N101">_xlfn.XLOOKUP(Table1189296[[#This Row],[Opp]],Table46[DEF],'2024 fSZN'!$Y$3:$Y$34)</f>
        <v>#N/A</v>
      </c>
      <c r="P101" s="24" t="s">
        <v>400</v>
      </c>
      <c r="Q101" s="23" t="s">
        <v>17</v>
      </c>
      <c r="R101" s="23" t="s">
        <v>401</v>
      </c>
      <c r="S101" s="24">
        <v>1</v>
      </c>
      <c r="T101" s="23" t="str">
        <f>'2025'!$E$6</f>
        <v>n/a</v>
      </c>
      <c r="U101" s="89" t="e" cm="1">
        <f t="array" ref="U101">_xlfn.XLOOKUP(Table1199094[[#This Row],[Opp]],Table77[DEF],'2024 fSZN'!$H$37:$H$68)</f>
        <v>#N/A</v>
      </c>
      <c r="W101" s="24" t="s">
        <v>559</v>
      </c>
      <c r="X101" s="23" t="s">
        <v>0</v>
      </c>
      <c r="Y101" s="23" t="s">
        <v>435</v>
      </c>
      <c r="Z101" s="24">
        <v>1</v>
      </c>
      <c r="AA101" s="23" t="str">
        <f>'2025'!$E$3</f>
        <v>n/a</v>
      </c>
      <c r="AB101" s="89" t="e" cm="1">
        <f t="array" ref="AB101">_xlfn.XLOOKUP(Table1209195[[#This Row],[Opp]],Table845[DEF],'2024 fSZN'!$W$37:$W$68)</f>
        <v>#N/A</v>
      </c>
    </row>
    <row r="102" spans="9:28" x14ac:dyDescent="0.35">
      <c r="I102" s="24" t="s">
        <v>287</v>
      </c>
      <c r="J102" s="23" t="s">
        <v>44</v>
      </c>
      <c r="K102" s="23" t="s">
        <v>407</v>
      </c>
      <c r="L102" s="24">
        <v>-1</v>
      </c>
      <c r="M102" s="23" t="str">
        <f>'2025'!$E$22</f>
        <v>n/a</v>
      </c>
      <c r="N102" s="89" t="e" cm="1">
        <f t="array" ref="N102">_xlfn.XLOOKUP(Table1189296[[#This Row],[Opp]],Table46[DEF],'2024 fSZN'!$Y$3:$Y$34)</f>
        <v>#N/A</v>
      </c>
      <c r="P102" s="24" t="s">
        <v>146</v>
      </c>
      <c r="Q102" s="23" t="s">
        <v>0</v>
      </c>
      <c r="R102" s="23" t="s">
        <v>401</v>
      </c>
      <c r="S102" s="24">
        <v>1</v>
      </c>
      <c r="T102" s="23" t="str">
        <f>'2025'!$E$3</f>
        <v>n/a</v>
      </c>
      <c r="U102" s="89" t="e" cm="1">
        <f t="array" ref="U102">_xlfn.XLOOKUP(Table1199094[[#This Row],[Opp]],Table77[DEF],'2024 fSZN'!$H$37:$H$68)</f>
        <v>#N/A</v>
      </c>
      <c r="W102" s="24" t="s">
        <v>510</v>
      </c>
      <c r="X102" s="23" t="s">
        <v>35</v>
      </c>
      <c r="Y102" s="23" t="s">
        <v>435</v>
      </c>
      <c r="Z102" s="24">
        <v>-1</v>
      </c>
      <c r="AA102" s="23" t="str">
        <f>'2025'!$E$13</f>
        <v>n/a</v>
      </c>
      <c r="AB102" s="89" t="e" cm="1">
        <f t="array" ref="AB102">_xlfn.XLOOKUP(Table1209195[[#This Row],[Opp]],Table845[DEF],'2024 fSZN'!$W$37:$W$68)</f>
        <v>#N/A</v>
      </c>
    </row>
    <row r="103" spans="9:28" x14ac:dyDescent="0.35">
      <c r="I103" s="24" t="s">
        <v>616</v>
      </c>
      <c r="J103" s="23" t="s">
        <v>47</v>
      </c>
      <c r="K103" s="23" t="s">
        <v>407</v>
      </c>
      <c r="L103" s="24">
        <v>1</v>
      </c>
      <c r="M103" s="23" t="str">
        <f>'2025'!$E$25</f>
        <v>n/a</v>
      </c>
      <c r="N103" s="89" t="e" cm="1">
        <f t="array" ref="N103">_xlfn.XLOOKUP(Table1189296[[#This Row],[Opp]],Table46[DEF],'2024 fSZN'!$Y$3:$Y$34)</f>
        <v>#N/A</v>
      </c>
      <c r="P103" s="24" t="s">
        <v>455</v>
      </c>
      <c r="Q103" s="23" t="s">
        <v>50</v>
      </c>
      <c r="R103" s="23" t="s">
        <v>401</v>
      </c>
      <c r="S103" s="24">
        <v>1</v>
      </c>
      <c r="T103" s="23" t="str">
        <f>'2025'!$E$28</f>
        <v>n/a</v>
      </c>
      <c r="U103" s="89" t="e" cm="1">
        <f t="array" ref="U103">_xlfn.XLOOKUP(Table1199094[[#This Row],[Opp]],Table77[DEF],'2024 fSZN'!$H$37:$H$68)</f>
        <v>#N/A</v>
      </c>
      <c r="W103" s="24" t="s">
        <v>447</v>
      </c>
      <c r="X103" s="23" t="s">
        <v>49</v>
      </c>
      <c r="Y103" s="23" t="s">
        <v>435</v>
      </c>
      <c r="Z103" s="24">
        <v>1</v>
      </c>
      <c r="AA103" s="23" t="str">
        <f>'2025'!$E$27</f>
        <v>n/a</v>
      </c>
      <c r="AB103" s="89" t="e" cm="1">
        <f t="array" ref="AB103">_xlfn.XLOOKUP(Table1209195[[#This Row],[Opp]],Table845[DEF],'2024 fSZN'!$W$37:$W$68)</f>
        <v>#N/A</v>
      </c>
    </row>
    <row r="104" spans="9:28" x14ac:dyDescent="0.35">
      <c r="I104" s="24" t="s">
        <v>469</v>
      </c>
      <c r="J104" s="23" t="s">
        <v>16</v>
      </c>
      <c r="K104" s="23" t="s">
        <v>407</v>
      </c>
      <c r="L104" s="24">
        <v>1</v>
      </c>
      <c r="M104" s="23" t="str">
        <f>'2025'!$E$5</f>
        <v>n/a</v>
      </c>
      <c r="N104" s="89" t="e" cm="1">
        <f t="array" ref="N104">_xlfn.XLOOKUP(Table1189296[[#This Row],[Opp]],Table46[DEF],'2024 fSZN'!$Y$3:$Y$34)</f>
        <v>#N/A</v>
      </c>
      <c r="P104" s="24" t="s">
        <v>600</v>
      </c>
      <c r="Q104" s="23" t="s">
        <v>15</v>
      </c>
      <c r="R104" s="23" t="s">
        <v>401</v>
      </c>
      <c r="S104" s="24">
        <v>1</v>
      </c>
      <c r="T104" s="23" t="str">
        <f>'2025'!$E$4</f>
        <v>n/a</v>
      </c>
      <c r="U104" s="89" t="e" cm="1">
        <f t="array" ref="U104">_xlfn.XLOOKUP(Table1199094[[#This Row],[Opp]],Table77[DEF],'2024 fSZN'!$H$37:$H$68)</f>
        <v>#N/A</v>
      </c>
      <c r="W104" s="24" t="s">
        <v>648</v>
      </c>
      <c r="X104" s="23" t="s">
        <v>38</v>
      </c>
      <c r="Y104" s="23" t="s">
        <v>435</v>
      </c>
      <c r="Z104" s="24">
        <v>1</v>
      </c>
      <c r="AA104" s="23" t="str">
        <f>'2025'!$E$16</f>
        <v>n/a</v>
      </c>
      <c r="AB104" s="89" t="e" cm="1">
        <f t="array" ref="AB104">_xlfn.XLOOKUP(Table1209195[[#This Row],[Opp]],Table845[DEF],'2024 fSZN'!$W$37:$W$68)</f>
        <v>#N/A</v>
      </c>
    </row>
    <row r="105" spans="9:28" x14ac:dyDescent="0.35">
      <c r="I105" s="24" t="s">
        <v>567</v>
      </c>
      <c r="J105" s="23" t="s">
        <v>43</v>
      </c>
      <c r="K105" s="23" t="s">
        <v>407</v>
      </c>
      <c r="L105" s="24">
        <v>1</v>
      </c>
      <c r="M105" s="23" t="str">
        <f>'2025'!$E$21</f>
        <v>n/a</v>
      </c>
      <c r="N105" s="89" t="e" cm="1">
        <f t="array" ref="N105">_xlfn.XLOOKUP(Table1189296[[#This Row],[Opp]],Table46[DEF],'2024 fSZN'!$Y$3:$Y$34)</f>
        <v>#N/A</v>
      </c>
      <c r="P105" s="24" t="s">
        <v>421</v>
      </c>
      <c r="Q105" s="23" t="s">
        <v>49</v>
      </c>
      <c r="R105" s="87" t="s">
        <v>401</v>
      </c>
      <c r="S105" s="24">
        <v>0</v>
      </c>
      <c r="T105" s="23" t="str">
        <f>'2025'!$E$27</f>
        <v>n/a</v>
      </c>
      <c r="U105" s="89" t="e" cm="1">
        <f t="array" ref="U105">_xlfn.XLOOKUP(Table1199094[[#This Row],[Opp]],Table77[DEF],'2024 fSZN'!$H$37:$H$68)</f>
        <v>#N/A</v>
      </c>
      <c r="W105" s="24" t="s">
        <v>615</v>
      </c>
      <c r="X105" s="23" t="s">
        <v>29</v>
      </c>
      <c r="Y105" s="23" t="s">
        <v>435</v>
      </c>
      <c r="Z105" s="24">
        <v>1</v>
      </c>
      <c r="AA105" s="23" t="str">
        <f>'2025'!$E$7</f>
        <v>n/a</v>
      </c>
      <c r="AB105" s="89" t="e" cm="1">
        <f t="array" ref="AB105">_xlfn.XLOOKUP(Table1209195[[#This Row],[Opp]],Table845[DEF],'2024 fSZN'!$W$37:$W$68)</f>
        <v>#N/A</v>
      </c>
    </row>
    <row r="106" spans="9:28" x14ac:dyDescent="0.35">
      <c r="I106" s="24" t="s">
        <v>527</v>
      </c>
      <c r="J106" s="23" t="s">
        <v>52</v>
      </c>
      <c r="K106" s="23" t="s">
        <v>407</v>
      </c>
      <c r="L106" s="24">
        <v>-1</v>
      </c>
      <c r="M106" s="23" t="str">
        <f>'2025'!$E$30</f>
        <v>NE</v>
      </c>
      <c r="N106" s="89" cm="1">
        <f t="array" ref="N106">_xlfn.XLOOKUP(Table1189296[[#This Row],[Opp]],Table46[DEF],'2024 fSZN'!$Y$3:$Y$34)</f>
        <v>8</v>
      </c>
      <c r="P106" s="24" t="s">
        <v>590</v>
      </c>
      <c r="Q106" s="23" t="s">
        <v>55</v>
      </c>
      <c r="R106" s="23" t="s">
        <v>401</v>
      </c>
      <c r="S106" s="24">
        <v>1</v>
      </c>
      <c r="T106" s="23" t="str">
        <f>'2025'!$E$33</f>
        <v>n/a</v>
      </c>
      <c r="U106" s="89" t="e" cm="1">
        <f t="array" ref="U106">_xlfn.XLOOKUP(Table1199094[[#This Row],[Opp]],Table77[DEF],'2024 fSZN'!$H$37:$H$68)</f>
        <v>#N/A</v>
      </c>
      <c r="W106" s="24" t="s">
        <v>476</v>
      </c>
      <c r="X106" s="23" t="s">
        <v>31</v>
      </c>
      <c r="Y106" s="23" t="s">
        <v>435</v>
      </c>
      <c r="Z106" s="24">
        <v>1</v>
      </c>
      <c r="AA106" s="23" t="str">
        <f>'2025'!$E$9</f>
        <v>n/a</v>
      </c>
      <c r="AB106" s="89" t="e" cm="1">
        <f t="array" ref="AB106">_xlfn.XLOOKUP(Table1209195[[#This Row],[Opp]],Table845[DEF],'2024 fSZN'!$W$37:$W$68)</f>
        <v>#N/A</v>
      </c>
    </row>
    <row r="107" spans="9:28" x14ac:dyDescent="0.35">
      <c r="I107" s="24" t="s">
        <v>554</v>
      </c>
      <c r="J107" s="23" t="s">
        <v>0</v>
      </c>
      <c r="K107" s="23" t="s">
        <v>407</v>
      </c>
      <c r="L107" s="24">
        <v>1</v>
      </c>
      <c r="M107" s="23" t="str">
        <f>'2025'!$E$3</f>
        <v>n/a</v>
      </c>
      <c r="N107" s="89" t="e" cm="1">
        <f t="array" ref="N107">_xlfn.XLOOKUP(Table1189296[[#This Row],[Opp]],Table46[DEF],'2024 fSZN'!$Y$3:$Y$34)</f>
        <v>#N/A</v>
      </c>
      <c r="P107" s="24" t="s">
        <v>477</v>
      </c>
      <c r="Q107" s="23" t="s">
        <v>31</v>
      </c>
      <c r="R107" s="23" t="s">
        <v>401</v>
      </c>
      <c r="S107" s="24">
        <v>0</v>
      </c>
      <c r="T107" s="23" t="str">
        <f>'2025'!$E$9</f>
        <v>n/a</v>
      </c>
      <c r="U107" s="89" t="e" cm="1">
        <f t="array" ref="U107">_xlfn.XLOOKUP(Table1199094[[#This Row],[Opp]],Table77[DEF],'2024 fSZN'!$H$37:$H$68)</f>
        <v>#N/A</v>
      </c>
      <c r="W107" s="24" t="s">
        <v>588</v>
      </c>
      <c r="X107" s="23" t="s">
        <v>54</v>
      </c>
      <c r="Y107" s="23" t="s">
        <v>435</v>
      </c>
      <c r="Z107" s="24">
        <v>1</v>
      </c>
      <c r="AA107" s="23" t="str">
        <f>'2025'!$E$32</f>
        <v>n/a</v>
      </c>
      <c r="AB107" s="89" t="e" cm="1">
        <f t="array" ref="AB107">_xlfn.XLOOKUP(Table1209195[[#This Row],[Opp]],Table845[DEF],'2024 fSZN'!$W$37:$W$68)</f>
        <v>#N/A</v>
      </c>
    </row>
    <row r="108" spans="9:28" x14ac:dyDescent="0.35">
      <c r="I108" s="24" t="s">
        <v>362</v>
      </c>
      <c r="J108" s="23" t="s">
        <v>53</v>
      </c>
      <c r="K108" s="23" t="s">
        <v>407</v>
      </c>
      <c r="L108" s="24">
        <v>0</v>
      </c>
      <c r="M108" s="23" t="str">
        <f>'2025'!$E$31</f>
        <v>n/a</v>
      </c>
      <c r="N108" s="89" t="e" cm="1">
        <f t="array" ref="N108">_xlfn.XLOOKUP(Table1189296[[#This Row],[Opp]],Table46[DEF],'2024 fSZN'!$Y$3:$Y$34)</f>
        <v>#N/A</v>
      </c>
      <c r="P108" s="24" t="s">
        <v>126</v>
      </c>
      <c r="Q108" s="23" t="s">
        <v>54</v>
      </c>
      <c r="R108" s="23" t="s">
        <v>401</v>
      </c>
      <c r="S108" s="24">
        <v>1</v>
      </c>
      <c r="T108" s="23" t="str">
        <f>'2025'!$E$32</f>
        <v>n/a</v>
      </c>
      <c r="U108" s="89" t="e" cm="1">
        <f t="array" ref="U108">_xlfn.XLOOKUP(Table1199094[[#This Row],[Opp]],Table77[DEF],'2024 fSZN'!$H$37:$H$68)</f>
        <v>#N/A</v>
      </c>
      <c r="W108" s="24" t="s">
        <v>575</v>
      </c>
      <c r="X108" s="23" t="s">
        <v>40</v>
      </c>
      <c r="Y108" s="23" t="s">
        <v>435</v>
      </c>
      <c r="Z108" s="24">
        <v>1</v>
      </c>
      <c r="AA108" s="23" t="str">
        <f>'2025'!$E$18</f>
        <v>n/a</v>
      </c>
      <c r="AB108" s="89" t="e" cm="1">
        <f t="array" ref="AB108">_xlfn.XLOOKUP(Table1209195[[#This Row],[Opp]],Table845[DEF],'2024 fSZN'!$W$37:$W$68)</f>
        <v>#N/A</v>
      </c>
    </row>
    <row r="109" spans="9:28" x14ac:dyDescent="0.35">
      <c r="I109" s="24" t="s">
        <v>438</v>
      </c>
      <c r="J109" s="23" t="s">
        <v>48</v>
      </c>
      <c r="K109" s="23" t="s">
        <v>407</v>
      </c>
      <c r="L109" s="24">
        <v>-1</v>
      </c>
      <c r="M109" s="23" t="str">
        <f>'2025'!$E$26</f>
        <v>n/a</v>
      </c>
      <c r="N109" s="89" t="e" cm="1">
        <f t="array" ref="N109">_xlfn.XLOOKUP(Table1189296[[#This Row],[Opp]],Table46[DEF],'2024 fSZN'!$Y$3:$Y$34)</f>
        <v>#N/A</v>
      </c>
      <c r="P109" s="24" t="s">
        <v>292</v>
      </c>
      <c r="Q109" s="23" t="s">
        <v>44</v>
      </c>
      <c r="R109" s="23" t="s">
        <v>401</v>
      </c>
      <c r="S109" s="24">
        <v>1</v>
      </c>
      <c r="T109" s="23" t="str">
        <f>'2025'!$E$22</f>
        <v>n/a</v>
      </c>
      <c r="U109" s="89" t="e" cm="1">
        <f t="array" ref="U109">_xlfn.XLOOKUP(Table1199094[[#This Row],[Opp]],Table77[DEF],'2024 fSZN'!$H$37:$H$68)</f>
        <v>#N/A</v>
      </c>
      <c r="W109" s="24" t="s">
        <v>495</v>
      </c>
      <c r="X109" s="23" t="s">
        <v>51</v>
      </c>
      <c r="Y109" s="23" t="s">
        <v>435</v>
      </c>
      <c r="Z109" s="24">
        <v>1</v>
      </c>
      <c r="AA109" s="23" t="str">
        <f>'2025'!$E$29</f>
        <v>n/a</v>
      </c>
      <c r="AB109" s="89" t="e" cm="1">
        <f t="array" ref="AB109">_xlfn.XLOOKUP(Table1209195[[#This Row],[Opp]],Table845[DEF],'2024 fSZN'!$W$37:$W$68)</f>
        <v>#N/A</v>
      </c>
    </row>
    <row r="110" spans="9:28" x14ac:dyDescent="0.35">
      <c r="I110" s="24" t="s">
        <v>220</v>
      </c>
      <c r="J110" s="23" t="s">
        <v>37</v>
      </c>
      <c r="K110" s="23" t="s">
        <v>407</v>
      </c>
      <c r="L110" s="24">
        <v>1</v>
      </c>
      <c r="M110" s="23" t="str">
        <f>'2025'!$E$15</f>
        <v>n/a</v>
      </c>
      <c r="N110" s="89" t="e" cm="1">
        <f t="array" ref="N110">_xlfn.XLOOKUP(Table1189296[[#This Row],[Opp]],Table46[DEF],'2024 fSZN'!$Y$3:$Y$34)</f>
        <v>#N/A</v>
      </c>
      <c r="P110" s="24" t="s">
        <v>274</v>
      </c>
      <c r="Q110" s="23" t="s">
        <v>42</v>
      </c>
      <c r="R110" s="23" t="s">
        <v>401</v>
      </c>
      <c r="S110" s="24">
        <v>1</v>
      </c>
      <c r="T110" s="23" t="str">
        <f>'2025'!$E$20</f>
        <v>n/a</v>
      </c>
      <c r="U110" s="89" t="e" cm="1">
        <f t="array" ref="U110">_xlfn.XLOOKUP(Table1199094[[#This Row],[Opp]],Table77[DEF],'2024 fSZN'!$H$37:$H$68)</f>
        <v>#N/A</v>
      </c>
      <c r="W110" s="24" t="s">
        <v>552</v>
      </c>
      <c r="X110" s="23" t="s">
        <v>42</v>
      </c>
      <c r="Y110" s="23" t="s">
        <v>435</v>
      </c>
      <c r="Z110" s="24">
        <v>1</v>
      </c>
      <c r="AA110" s="23" t="str">
        <f>'2025'!$E$20</f>
        <v>n/a</v>
      </c>
      <c r="AB110" s="89" t="e" cm="1">
        <f t="array" ref="AB110">_xlfn.XLOOKUP(Table1209195[[#This Row],[Opp]],Table845[DEF],'2024 fSZN'!$W$37:$W$68)</f>
        <v>#N/A</v>
      </c>
    </row>
    <row r="111" spans="9:28" x14ac:dyDescent="0.35">
      <c r="I111" s="24" t="s">
        <v>504</v>
      </c>
      <c r="J111" s="23" t="s">
        <v>35</v>
      </c>
      <c r="K111" s="23" t="s">
        <v>407</v>
      </c>
      <c r="L111" s="24">
        <v>0</v>
      </c>
      <c r="M111" s="23" t="str">
        <f>'2025'!$E$13</f>
        <v>n/a</v>
      </c>
      <c r="N111" s="89" t="e" cm="1">
        <f t="array" ref="N111">_xlfn.XLOOKUP(Table1189296[[#This Row],[Opp]],Table46[DEF],'2024 fSZN'!$Y$3:$Y$34)</f>
        <v>#N/A</v>
      </c>
      <c r="P111" s="24" t="s">
        <v>620</v>
      </c>
      <c r="Q111" s="23" t="s">
        <v>47</v>
      </c>
      <c r="R111" s="23" t="s">
        <v>401</v>
      </c>
      <c r="S111" s="24">
        <v>1</v>
      </c>
      <c r="T111" s="23" t="str">
        <f>'2025'!$E$25</f>
        <v>n/a</v>
      </c>
      <c r="U111" s="89" t="e" cm="1">
        <f t="array" ref="U111">_xlfn.XLOOKUP(Table1199094[[#This Row],[Opp]],Table77[DEF],'2024 fSZN'!$H$37:$H$68)</f>
        <v>#N/A</v>
      </c>
      <c r="W111" s="24" t="s">
        <v>623</v>
      </c>
      <c r="X111" s="23" t="s">
        <v>47</v>
      </c>
      <c r="Y111" s="23" t="s">
        <v>435</v>
      </c>
      <c r="Z111" s="24">
        <v>-1</v>
      </c>
      <c r="AA111" s="23" t="str">
        <f>'2025'!$E$25</f>
        <v>n/a</v>
      </c>
      <c r="AB111" s="89" t="e" cm="1">
        <f t="array" ref="AB111">_xlfn.XLOOKUP(Table1209195[[#This Row],[Opp]],Table845[DEF],'2024 fSZN'!$W$37:$W$68)</f>
        <v>#N/A</v>
      </c>
    </row>
    <row r="112" spans="9:28" x14ac:dyDescent="0.35">
      <c r="I112" s="24" t="s">
        <v>194</v>
      </c>
      <c r="J112" s="23" t="s">
        <v>34</v>
      </c>
      <c r="K112" s="23" t="s">
        <v>407</v>
      </c>
      <c r="L112" s="24">
        <v>1</v>
      </c>
      <c r="M112" s="23" t="str">
        <f>'2025'!$E$12</f>
        <v>n/a</v>
      </c>
      <c r="N112" s="89" t="e" cm="1">
        <f t="array" ref="N112">_xlfn.XLOOKUP(Table1189296[[#This Row],[Opp]],Table46[DEF],'2024 fSZN'!$Y$3:$Y$34)</f>
        <v>#N/A</v>
      </c>
      <c r="P112" s="24" t="s">
        <v>464</v>
      </c>
      <c r="Q112" s="23" t="s">
        <v>56</v>
      </c>
      <c r="R112" s="23" t="s">
        <v>401</v>
      </c>
      <c r="S112" s="24">
        <v>1</v>
      </c>
      <c r="T112" s="23" t="str">
        <f>'2025'!$E$34</f>
        <v>n/a</v>
      </c>
      <c r="U112" s="89" t="e" cm="1">
        <f t="array" ref="U112">_xlfn.XLOOKUP(Table1199094[[#This Row],[Opp]],Table77[DEF],'2024 fSZN'!$H$37:$H$68)</f>
        <v>#N/A</v>
      </c>
      <c r="W112" s="24" t="s">
        <v>534</v>
      </c>
      <c r="X112" s="23" t="s">
        <v>52</v>
      </c>
      <c r="Y112" s="23" t="s">
        <v>435</v>
      </c>
      <c r="Z112" s="24">
        <v>1</v>
      </c>
      <c r="AA112" s="23" t="str">
        <f>'2025'!$E$30</f>
        <v>NE</v>
      </c>
      <c r="AB112" s="89" cm="1">
        <f t="array" ref="AB112">_xlfn.XLOOKUP(Table1209195[[#This Row],[Opp]],Table845[DEF],'2024 fSZN'!$W$37:$W$68)</f>
        <v>17</v>
      </c>
    </row>
    <row r="113" spans="9:28" x14ac:dyDescent="0.35">
      <c r="I113" s="24" t="s">
        <v>449</v>
      </c>
      <c r="J113" s="23" t="s">
        <v>46</v>
      </c>
      <c r="K113" s="23" t="s">
        <v>407</v>
      </c>
      <c r="L113" s="24">
        <v>-1</v>
      </c>
      <c r="M113" s="23" t="str">
        <f>'2025'!$E$24</f>
        <v>SEA</v>
      </c>
      <c r="N113" s="89" cm="1">
        <f t="array" ref="N113">_xlfn.XLOOKUP(Table1189296[[#This Row],[Opp]],Table46[DEF],'2024 fSZN'!$Y$3:$Y$34)</f>
        <v>11</v>
      </c>
      <c r="P113" s="24" t="s">
        <v>470</v>
      </c>
      <c r="Q113" s="23" t="s">
        <v>16</v>
      </c>
      <c r="R113" s="23" t="s">
        <v>401</v>
      </c>
      <c r="S113" s="24">
        <v>1</v>
      </c>
      <c r="T113" s="23" t="str">
        <f>'2025'!$E$5</f>
        <v>n/a</v>
      </c>
      <c r="U113" s="89" t="e" cm="1">
        <f t="array" ref="U113">_xlfn.XLOOKUP(Table1199094[[#This Row],[Opp]],Table77[DEF],'2024 fSZN'!$H$37:$H$68)</f>
        <v>#N/A</v>
      </c>
      <c r="W113" s="24" t="s">
        <v>445</v>
      </c>
      <c r="X113" s="23" t="s">
        <v>48</v>
      </c>
      <c r="Y113" s="23" t="s">
        <v>435</v>
      </c>
      <c r="Z113" s="24">
        <v>1</v>
      </c>
      <c r="AA113" s="23" t="str">
        <f>'2025'!$E$26</f>
        <v>n/a</v>
      </c>
      <c r="AB113" s="89" t="e" cm="1">
        <f t="array" ref="AB113">_xlfn.XLOOKUP(Table1209195[[#This Row],[Opp]],Table845[DEF],'2024 fSZN'!$W$37:$W$68)</f>
        <v>#N/A</v>
      </c>
    </row>
    <row r="114" spans="9:28" x14ac:dyDescent="0.35">
      <c r="I114" s="24" t="s">
        <v>481</v>
      </c>
      <c r="J114" s="23" t="s">
        <v>32</v>
      </c>
      <c r="K114" s="23" t="s">
        <v>407</v>
      </c>
      <c r="L114" s="24">
        <v>1</v>
      </c>
      <c r="M114" s="23" t="str">
        <f>'2025'!$E$10</f>
        <v>n/a</v>
      </c>
      <c r="N114" s="89" t="e" cm="1">
        <f t="array" ref="N114">_xlfn.XLOOKUP(Table1189296[[#This Row],[Opp]],Table46[DEF],'2024 fSZN'!$Y$3:$Y$34)</f>
        <v>#N/A</v>
      </c>
      <c r="P114" s="24" t="s">
        <v>625</v>
      </c>
      <c r="Q114" s="23" t="s">
        <v>39</v>
      </c>
      <c r="R114" s="23" t="s">
        <v>401</v>
      </c>
      <c r="S114" s="24">
        <v>1</v>
      </c>
      <c r="T114" s="23" t="str">
        <f>'2025'!$E$17</f>
        <v>n/a</v>
      </c>
      <c r="U114" s="89" t="e" cm="1">
        <f t="array" ref="U114">_xlfn.XLOOKUP(Table1199094[[#This Row],[Opp]],Table77[DEF],'2024 fSZN'!$H$37:$H$68)</f>
        <v>#N/A</v>
      </c>
      <c r="W114" s="24" t="s">
        <v>467</v>
      </c>
      <c r="X114" s="23" t="s">
        <v>56</v>
      </c>
      <c r="Y114" s="23" t="s">
        <v>435</v>
      </c>
      <c r="Z114" s="24">
        <v>1</v>
      </c>
      <c r="AA114" s="23" t="str">
        <f>'2025'!$E$34</f>
        <v>n/a</v>
      </c>
      <c r="AB114" s="89" t="e" cm="1">
        <f t="array" ref="AB114">_xlfn.XLOOKUP(Table1209195[[#This Row],[Opp]],Table845[DEF],'2024 fSZN'!$W$37:$W$68)</f>
        <v>#N/A</v>
      </c>
    </row>
    <row r="115" spans="9:28" x14ac:dyDescent="0.35">
      <c r="I115" s="24" t="s">
        <v>247</v>
      </c>
      <c r="J115" s="23" t="s">
        <v>40</v>
      </c>
      <c r="K115" s="23" t="s">
        <v>407</v>
      </c>
      <c r="L115" s="24">
        <v>1</v>
      </c>
      <c r="M115" s="23" t="str">
        <f>'2025'!$E$18</f>
        <v>n/a</v>
      </c>
      <c r="N115" s="89" t="e" cm="1">
        <f t="array" ref="N115">_xlfn.XLOOKUP(Table1189296[[#This Row],[Opp]],Table46[DEF],'2024 fSZN'!$Y$3:$Y$34)</f>
        <v>#N/A</v>
      </c>
      <c r="P115" s="24" t="s">
        <v>254</v>
      </c>
      <c r="Q115" s="23" t="s">
        <v>40</v>
      </c>
      <c r="R115" s="23" t="s">
        <v>401</v>
      </c>
      <c r="S115" s="24">
        <v>0</v>
      </c>
      <c r="T115" s="23" t="str">
        <f>'2025'!$E$18</f>
        <v>n/a</v>
      </c>
      <c r="U115" s="89" t="e" cm="1">
        <f t="array" ref="U115">_xlfn.XLOOKUP(Table1199094[[#This Row],[Opp]],Table77[DEF],'2024 fSZN'!$H$37:$H$68)</f>
        <v>#N/A</v>
      </c>
      <c r="W115" s="24" t="s">
        <v>516</v>
      </c>
      <c r="X115" s="23" t="s">
        <v>36</v>
      </c>
      <c r="Y115" s="23" t="s">
        <v>435</v>
      </c>
      <c r="Z115" s="24">
        <v>1</v>
      </c>
      <c r="AA115" s="23" t="str">
        <f>'2025'!$E$14</f>
        <v>n/a</v>
      </c>
      <c r="AB115" s="89" t="e" cm="1">
        <f t="array" ref="AB115">_xlfn.XLOOKUP(Table1209195[[#This Row],[Opp]],Table845[DEF],'2024 fSZN'!$W$37:$W$68)</f>
        <v>#N/A</v>
      </c>
    </row>
    <row r="116" spans="9:28" x14ac:dyDescent="0.35">
      <c r="I116" s="24" t="s">
        <v>640</v>
      </c>
      <c r="J116" s="23" t="s">
        <v>38</v>
      </c>
      <c r="K116" s="23" t="s">
        <v>407</v>
      </c>
      <c r="L116" s="24">
        <v>-1</v>
      </c>
      <c r="M116" s="23" t="str">
        <f>'2025'!$E$16</f>
        <v>n/a</v>
      </c>
      <c r="N116" s="89" t="e" cm="1">
        <f t="array" ref="N116">_xlfn.XLOOKUP(Table1189296[[#This Row],[Opp]],Table46[DEF],'2024 fSZN'!$Y$3:$Y$34)</f>
        <v>#N/A</v>
      </c>
      <c r="P116" s="24" t="s">
        <v>283</v>
      </c>
      <c r="Q116" s="23" t="s">
        <v>43</v>
      </c>
      <c r="R116" s="23" t="s">
        <v>401</v>
      </c>
      <c r="S116" s="24">
        <v>1</v>
      </c>
      <c r="T116" s="23" t="str">
        <f>'2025'!$E$21</f>
        <v>n/a</v>
      </c>
      <c r="U116" s="89" t="e" cm="1">
        <f t="array" ref="U116">_xlfn.XLOOKUP(Table1199094[[#This Row],[Opp]],Table77[DEF],'2024 fSZN'!$H$37:$H$68)</f>
        <v>#N/A</v>
      </c>
      <c r="W116" s="24" t="s">
        <v>437</v>
      </c>
      <c r="X116" s="23" t="s">
        <v>33</v>
      </c>
      <c r="Y116" s="23" t="s">
        <v>435</v>
      </c>
      <c r="Z116" s="24">
        <v>-1</v>
      </c>
      <c r="AA116" s="23" t="str">
        <f>'2025'!$E$11</f>
        <v>n/a</v>
      </c>
      <c r="AB116" s="89" t="e" cm="1">
        <f t="array" ref="AB116">_xlfn.XLOOKUP(Table1209195[[#This Row],[Opp]],Table845[DEF],'2024 fSZN'!$W$37:$W$68)</f>
        <v>#N/A</v>
      </c>
    </row>
    <row r="117" spans="9:28" x14ac:dyDescent="0.35">
      <c r="I117" s="24" t="s">
        <v>184</v>
      </c>
      <c r="J117" s="23" t="s">
        <v>54</v>
      </c>
      <c r="K117" s="23" t="s">
        <v>407</v>
      </c>
      <c r="L117" s="24">
        <v>1</v>
      </c>
      <c r="M117" s="23" t="str">
        <f>'2025'!$E$32</f>
        <v>n/a</v>
      </c>
      <c r="N117" s="89" t="e" cm="1">
        <f t="array" ref="N117">_xlfn.XLOOKUP(Table1189296[[#This Row],[Opp]],Table46[DEF],'2024 fSZN'!$Y$3:$Y$34)</f>
        <v>#N/A</v>
      </c>
      <c r="P117" s="24" t="s">
        <v>426</v>
      </c>
      <c r="Q117" s="23" t="s">
        <v>48</v>
      </c>
      <c r="R117" s="23" t="s">
        <v>401</v>
      </c>
      <c r="S117" s="24">
        <v>1</v>
      </c>
      <c r="T117" s="23" t="str">
        <f>'2025'!$E$26</f>
        <v>n/a</v>
      </c>
      <c r="U117" s="89" t="e" cm="1">
        <f t="array" ref="U117">_xlfn.XLOOKUP(Table1199094[[#This Row],[Opp]],Table77[DEF],'2024 fSZN'!$H$37:$H$68)</f>
        <v>#N/A</v>
      </c>
      <c r="W117" s="24" t="s">
        <v>582</v>
      </c>
      <c r="X117" s="23" t="s">
        <v>34</v>
      </c>
      <c r="Y117" s="23" t="s">
        <v>435</v>
      </c>
      <c r="Z117" s="24">
        <v>1</v>
      </c>
      <c r="AA117" s="23" t="str">
        <f>'2025'!$E$12</f>
        <v>n/a</v>
      </c>
      <c r="AB117" s="89" t="e" cm="1">
        <f t="array" ref="AB117">_xlfn.XLOOKUP(Table1209195[[#This Row],[Opp]],Table845[DEF],'2024 fSZN'!$W$37:$W$68)</f>
        <v>#N/A</v>
      </c>
    </row>
    <row r="118" spans="9:28" x14ac:dyDescent="0.35">
      <c r="I118" s="24" t="s">
        <v>419</v>
      </c>
      <c r="J118" s="23" t="s">
        <v>49</v>
      </c>
      <c r="K118" s="23" t="s">
        <v>407</v>
      </c>
      <c r="L118" s="24">
        <v>1</v>
      </c>
      <c r="M118" s="23" t="str">
        <f>'2025'!$E$27</f>
        <v>n/a</v>
      </c>
      <c r="N118" s="89" t="e" cm="1">
        <f t="array" ref="N118">_xlfn.XLOOKUP(Table1189296[[#This Row],[Opp]],Table46[DEF],'2024 fSZN'!$Y$3:$Y$34)</f>
        <v>#N/A</v>
      </c>
      <c r="P118" s="24" t="s">
        <v>542</v>
      </c>
      <c r="Q118" s="23" t="s">
        <v>53</v>
      </c>
      <c r="R118" s="23" t="s">
        <v>401</v>
      </c>
      <c r="S118" s="24">
        <v>1</v>
      </c>
      <c r="T118" s="23" t="str">
        <f>'2025'!$E$31</f>
        <v>n/a</v>
      </c>
      <c r="U118" s="89" t="e" cm="1">
        <f t="array" ref="U118">_xlfn.XLOOKUP(Table1199094[[#This Row],[Opp]],Table77[DEF],'2024 fSZN'!$H$37:$H$68)</f>
        <v>#N/A</v>
      </c>
    </row>
    <row r="119" spans="9:28" x14ac:dyDescent="0.35">
      <c r="I119" s="24" t="s">
        <v>379</v>
      </c>
      <c r="J119" s="23" t="s">
        <v>55</v>
      </c>
      <c r="K119" s="23" t="s">
        <v>407</v>
      </c>
      <c r="L119" s="24">
        <v>-1</v>
      </c>
      <c r="M119" s="23" t="str">
        <f>'2025'!$E$33</f>
        <v>n/a</v>
      </c>
      <c r="N119" s="89" t="e" cm="1">
        <f t="array" ref="N119">_xlfn.XLOOKUP(Table1189296[[#This Row],[Opp]],Table46[DEF],'2024 fSZN'!$Y$3:$Y$34)</f>
        <v>#N/A</v>
      </c>
      <c r="P119" s="24" t="s">
        <v>225</v>
      </c>
      <c r="Q119" s="23" t="s">
        <v>37</v>
      </c>
      <c r="R119" s="23" t="s">
        <v>401</v>
      </c>
      <c r="S119" s="24">
        <v>1</v>
      </c>
      <c r="T119" s="23" t="str">
        <f>'2025'!$E$15</f>
        <v>n/a</v>
      </c>
      <c r="U119" s="89" t="e" cm="1">
        <f t="array" ref="U119">_xlfn.XLOOKUP(Table1199094[[#This Row],[Opp]],Table77[DEF],'2024 fSZN'!$H$37:$H$68)</f>
        <v>#N/A</v>
      </c>
    </row>
    <row r="120" spans="9:28" x14ac:dyDescent="0.35">
      <c r="I120" s="24" t="s">
        <v>423</v>
      </c>
      <c r="J120" s="23" t="s">
        <v>33</v>
      </c>
      <c r="K120" s="23" t="s">
        <v>407</v>
      </c>
      <c r="L120" s="24">
        <v>-1</v>
      </c>
      <c r="M120" s="23" t="str">
        <f>'2025'!$E$11</f>
        <v>n/a</v>
      </c>
      <c r="N120" s="89" t="e" cm="1">
        <f t="array" ref="N120">_xlfn.XLOOKUP(Table1189296[[#This Row],[Opp]],Table46[DEF],'2024 fSZN'!$Y$3:$Y$34)</f>
        <v>#N/A</v>
      </c>
      <c r="P120" s="24" t="s">
        <v>412</v>
      </c>
      <c r="Q120" s="23" t="s">
        <v>46</v>
      </c>
      <c r="R120" s="23" t="s">
        <v>401</v>
      </c>
      <c r="S120" s="24">
        <v>1</v>
      </c>
      <c r="T120" s="23" t="str">
        <f>'2025'!$E$24</f>
        <v>SEA</v>
      </c>
      <c r="U120" s="89" cm="1">
        <f t="array" ref="U120">_xlfn.XLOOKUP(Table1199094[[#This Row],[Opp]],Table77[DEF],'2024 fSZN'!$H$37:$H$68)</f>
        <v>21</v>
      </c>
    </row>
    <row r="121" spans="9:28" x14ac:dyDescent="0.35">
      <c r="I121" s="24" t="s">
        <v>498</v>
      </c>
      <c r="J121" s="23" t="s">
        <v>30</v>
      </c>
      <c r="K121" s="23" t="s">
        <v>407</v>
      </c>
      <c r="L121" s="24">
        <v>-1</v>
      </c>
      <c r="M121" s="23" t="str">
        <f>'2025'!$E$8</f>
        <v>n/a</v>
      </c>
      <c r="N121" s="89" t="e" cm="1">
        <f t="array" ref="N121">_xlfn.XLOOKUP(Table1189296[[#This Row],[Opp]],Table46[DEF],'2024 fSZN'!$Y$3:$Y$34)</f>
        <v>#N/A</v>
      </c>
      <c r="P121" s="24" t="s">
        <v>301</v>
      </c>
      <c r="Q121" s="23" t="s">
        <v>45</v>
      </c>
      <c r="R121" s="23" t="s">
        <v>401</v>
      </c>
      <c r="S121" s="24">
        <v>0</v>
      </c>
      <c r="T121" s="23" t="str">
        <f>'2025'!$E$23</f>
        <v>n/a</v>
      </c>
      <c r="U121" s="89" t="e" cm="1">
        <f t="array" ref="U121">_xlfn.XLOOKUP(Table1199094[[#This Row],[Opp]],Table77[DEF],'2024 fSZN'!$H$37:$H$68)</f>
        <v>#N/A</v>
      </c>
    </row>
    <row r="122" spans="9:28" x14ac:dyDescent="0.35">
      <c r="I122" s="24" t="s">
        <v>208</v>
      </c>
      <c r="J122" s="23" t="s">
        <v>36</v>
      </c>
      <c r="K122" s="23" t="s">
        <v>407</v>
      </c>
      <c r="L122" s="24">
        <v>-1</v>
      </c>
      <c r="M122" s="23" t="str">
        <f>'2025'!$E$14</f>
        <v>n/a</v>
      </c>
      <c r="N122" s="89" t="e" cm="1">
        <f t="array" ref="N122">_xlfn.XLOOKUP(Table1189296[[#This Row],[Opp]],Table46[DEF],'2024 fSZN'!$Y$3:$Y$34)</f>
        <v>#N/A</v>
      </c>
      <c r="P122" s="24" t="s">
        <v>492</v>
      </c>
      <c r="Q122" s="23" t="s">
        <v>51</v>
      </c>
      <c r="R122" s="23" t="s">
        <v>401</v>
      </c>
      <c r="S122" s="24">
        <v>1</v>
      </c>
      <c r="T122" s="23" t="str">
        <f>'2025'!$E$29</f>
        <v>n/a</v>
      </c>
      <c r="U122" s="89" t="e" cm="1">
        <f t="array" ref="U122">_xlfn.XLOOKUP(Table1199094[[#This Row],[Opp]],Table77[DEF],'2024 fSZN'!$H$37:$H$68)</f>
        <v>#N/A</v>
      </c>
    </row>
    <row r="123" spans="9:28" x14ac:dyDescent="0.35">
      <c r="I123" s="24" t="s">
        <v>537</v>
      </c>
      <c r="J123" s="23" t="s">
        <v>16</v>
      </c>
      <c r="K123" s="23" t="s">
        <v>536</v>
      </c>
      <c r="L123" s="24">
        <v>1</v>
      </c>
      <c r="M123" s="23" t="str">
        <f>'2025'!$E$5</f>
        <v>n/a</v>
      </c>
      <c r="N123" s="89" t="e" cm="1">
        <f t="array" ref="N123">_xlfn.XLOOKUP(Table1189296[[#This Row],[Opp]],Table46[DEF],'2024 fSZN'!$Y$3:$Y$34)</f>
        <v>#N/A</v>
      </c>
      <c r="P123" s="24" t="s">
        <v>483</v>
      </c>
      <c r="Q123" s="23" t="s">
        <v>32</v>
      </c>
      <c r="R123" s="23" t="s">
        <v>401</v>
      </c>
      <c r="S123" s="24">
        <v>1</v>
      </c>
      <c r="T123" s="23" t="str">
        <f>'2025'!$E$10</f>
        <v>n/a</v>
      </c>
      <c r="U123" s="89" t="e" cm="1">
        <f t="array" ref="U123">_xlfn.XLOOKUP(Table1199094[[#This Row],[Opp]],Table77[DEF],'2024 fSZN'!$H$37:$H$68)</f>
        <v>#N/A</v>
      </c>
    </row>
    <row r="124" spans="9:28" x14ac:dyDescent="0.35">
      <c r="I124" s="24" t="s">
        <v>216</v>
      </c>
      <c r="J124" s="23" t="s">
        <v>37</v>
      </c>
      <c r="K124" s="23" t="s">
        <v>536</v>
      </c>
      <c r="L124" s="24">
        <v>-1</v>
      </c>
      <c r="M124" s="23" t="str">
        <f>'2025'!$E$15</f>
        <v>n/a</v>
      </c>
      <c r="N124" s="89" t="e" cm="1">
        <f t="array" ref="N124">_xlfn.XLOOKUP(Table1189296[[#This Row],[Opp]],Table46[DEF],'2024 fSZN'!$Y$3:$Y$34)</f>
        <v>#N/A</v>
      </c>
      <c r="P124" s="24" t="s">
        <v>263</v>
      </c>
      <c r="Q124" s="23" t="s">
        <v>41</v>
      </c>
      <c r="R124" s="23" t="s">
        <v>401</v>
      </c>
      <c r="S124" s="24">
        <v>1</v>
      </c>
      <c r="T124" s="23" t="str">
        <f>'2025'!$E$19</f>
        <v>n/a</v>
      </c>
      <c r="U124" s="89" t="e" cm="1">
        <f t="array" ref="U124">_xlfn.XLOOKUP(Table1199094[[#This Row],[Opp]],Table77[DEF],'2024 fSZN'!$H$37:$H$68)</f>
        <v>#N/A</v>
      </c>
    </row>
    <row r="125" spans="9:28" x14ac:dyDescent="0.35">
      <c r="P125" s="24" t="s">
        <v>642</v>
      </c>
      <c r="Q125" s="23" t="s">
        <v>38</v>
      </c>
      <c r="R125" s="23" t="s">
        <v>401</v>
      </c>
      <c r="S125" s="24">
        <v>1</v>
      </c>
      <c r="T125" s="23" t="str">
        <f>'2025'!$E$16</f>
        <v>n/a</v>
      </c>
      <c r="U125" s="89" t="e" cm="1">
        <f t="array" ref="U125">_xlfn.XLOOKUP(Table1199094[[#This Row],[Opp]],Table77[DEF],'2024 fSZN'!$H$37:$H$68)</f>
        <v>#N/A</v>
      </c>
    </row>
    <row r="126" spans="9:28" x14ac:dyDescent="0.35">
      <c r="P126" s="24" t="s">
        <v>506</v>
      </c>
      <c r="Q126" s="23" t="s">
        <v>35</v>
      </c>
      <c r="R126" s="23" t="s">
        <v>401</v>
      </c>
      <c r="S126" s="24">
        <v>1</v>
      </c>
      <c r="T126" s="23" t="str">
        <f>'2025'!$E$13</f>
        <v>n/a</v>
      </c>
      <c r="U126" s="89" t="e" cm="1">
        <f t="array" ref="U126">_xlfn.XLOOKUP(Table1199094[[#This Row],[Opp]],Table77[DEF],'2024 fSZN'!$H$37:$H$68)</f>
        <v>#N/A</v>
      </c>
    </row>
    <row r="127" spans="9:28" x14ac:dyDescent="0.35">
      <c r="P127" s="24" t="s">
        <v>578</v>
      </c>
      <c r="Q127" s="23" t="s">
        <v>34</v>
      </c>
      <c r="R127" s="23" t="s">
        <v>401</v>
      </c>
      <c r="S127" s="24">
        <v>1</v>
      </c>
      <c r="T127" s="23" t="str">
        <f>'2025'!$E$12</f>
        <v>n/a</v>
      </c>
      <c r="U127" s="89" t="e" cm="1">
        <f t="array" ref="U127">_xlfn.XLOOKUP(Table1199094[[#This Row],[Opp]],Table77[DEF],'2024 fSZN'!$H$37:$H$68)</f>
        <v>#N/A</v>
      </c>
    </row>
    <row r="128" spans="9:28" x14ac:dyDescent="0.35">
      <c r="P128" s="24" t="s">
        <v>529</v>
      </c>
      <c r="Q128" s="23" t="s">
        <v>52</v>
      </c>
      <c r="R128" s="23" t="s">
        <v>401</v>
      </c>
      <c r="S128" s="24">
        <v>0</v>
      </c>
      <c r="T128" s="23" t="str">
        <f>'2025'!$E$30</f>
        <v>NE</v>
      </c>
      <c r="U128" s="89" cm="1">
        <f t="array" ref="U128">_xlfn.XLOOKUP(Table1199094[[#This Row],[Opp]],Table77[DEF],'2024 fSZN'!$H$37:$H$68)</f>
        <v>19</v>
      </c>
    </row>
    <row r="129" spans="16:21" x14ac:dyDescent="0.35">
      <c r="P129" s="24" t="s">
        <v>190</v>
      </c>
      <c r="Q129" s="23" t="s">
        <v>33</v>
      </c>
      <c r="R129" s="23" t="s">
        <v>401</v>
      </c>
      <c r="S129" s="24">
        <v>1</v>
      </c>
      <c r="T129" s="23" t="str">
        <f>'2025'!$E$11</f>
        <v>n/a</v>
      </c>
      <c r="U129" s="89" t="e" cm="1">
        <f t="array" ref="U129">_xlfn.XLOOKUP(Table1199094[[#This Row],[Opp]],Table77[DEF],'2024 fSZN'!$H$37:$H$68)</f>
        <v>#N/A</v>
      </c>
    </row>
    <row r="130" spans="16:21" x14ac:dyDescent="0.35">
      <c r="P130" s="24" t="s">
        <v>512</v>
      </c>
      <c r="Q130" s="23" t="s">
        <v>36</v>
      </c>
      <c r="R130" s="23" t="s">
        <v>403</v>
      </c>
      <c r="S130" s="24">
        <v>0</v>
      </c>
      <c r="T130" s="23" t="str">
        <f>'2025'!$E$14</f>
        <v>n/a</v>
      </c>
      <c r="U130" s="89" t="e" cm="1">
        <f t="array" ref="U130">_xlfn.XLOOKUP(Table1199094[[#This Row],[Opp]],Table77[DEF],'2024 fSZN'!$H$37:$H$68)</f>
        <v>#N/A</v>
      </c>
    </row>
    <row r="131" spans="16:21" x14ac:dyDescent="0.35">
      <c r="P131" s="24" t="s">
        <v>500</v>
      </c>
      <c r="Q131" s="23" t="s">
        <v>30</v>
      </c>
      <c r="R131" s="23" t="s">
        <v>403</v>
      </c>
      <c r="S131" s="24">
        <v>1</v>
      </c>
      <c r="T131" s="23" t="str">
        <f>'2025'!$E$8</f>
        <v>n/a</v>
      </c>
      <c r="U131" s="89" t="e" cm="1">
        <f t="array" ref="U131">_xlfn.XLOOKUP(Table1199094[[#This Row],[Opp]],Table77[DEF],'2024 fSZN'!$H$37:$H$68)</f>
        <v>#N/A</v>
      </c>
    </row>
    <row r="132" spans="16:21" x14ac:dyDescent="0.35">
      <c r="P132" s="24" t="s">
        <v>611</v>
      </c>
      <c r="Q132" s="23" t="s">
        <v>29</v>
      </c>
      <c r="R132" s="23" t="s">
        <v>403</v>
      </c>
      <c r="S132" s="24">
        <v>1</v>
      </c>
      <c r="T132" s="23" t="str">
        <f>'2025'!$E$7</f>
        <v>n/a</v>
      </c>
      <c r="U132" s="89" t="e" cm="1">
        <f t="array" ref="U132">_xlfn.XLOOKUP(Table1199094[[#This Row],[Opp]],Table77[DEF],'2024 fSZN'!$H$37:$H$68)</f>
        <v>#N/A</v>
      </c>
    </row>
    <row r="133" spans="16:21" x14ac:dyDescent="0.35">
      <c r="P133" s="24" t="s">
        <v>402</v>
      </c>
      <c r="Q133" s="23" t="s">
        <v>17</v>
      </c>
      <c r="R133" s="23" t="s">
        <v>403</v>
      </c>
      <c r="S133" s="24">
        <v>0</v>
      </c>
      <c r="T133" s="23" t="str">
        <f>'2025'!$E$6</f>
        <v>n/a</v>
      </c>
      <c r="U133" s="89" t="e" cm="1">
        <f t="array" ref="U133">_xlfn.XLOOKUP(Table1199094[[#This Row],[Opp]],Table77[DEF],'2024 fSZN'!$H$37:$H$68)</f>
        <v>#N/A</v>
      </c>
    </row>
    <row r="134" spans="16:21" x14ac:dyDescent="0.35">
      <c r="P134" s="24" t="s">
        <v>556</v>
      </c>
      <c r="Q134" s="23" t="s">
        <v>0</v>
      </c>
      <c r="R134" s="23" t="s">
        <v>403</v>
      </c>
      <c r="S134" s="24">
        <v>1</v>
      </c>
      <c r="T134" s="23" t="str">
        <f>'2025'!$E$3</f>
        <v>n/a</v>
      </c>
      <c r="U134" s="89" t="e" cm="1">
        <f t="array" ref="U134">_xlfn.XLOOKUP(Table1199094[[#This Row],[Opp]],Table77[DEF],'2024 fSZN'!$H$37:$H$68)</f>
        <v>#N/A</v>
      </c>
    </row>
    <row r="135" spans="16:21" x14ac:dyDescent="0.35">
      <c r="P135" s="24" t="s">
        <v>456</v>
      </c>
      <c r="Q135" s="23" t="s">
        <v>50</v>
      </c>
      <c r="R135" s="23" t="s">
        <v>403</v>
      </c>
      <c r="S135" s="24">
        <v>1</v>
      </c>
      <c r="T135" s="23" t="str">
        <f>'2025'!$E$28</f>
        <v>n/a</v>
      </c>
      <c r="U135" s="89" t="e" cm="1">
        <f t="array" ref="U135">_xlfn.XLOOKUP(Table1199094[[#This Row],[Opp]],Table77[DEF],'2024 fSZN'!$H$37:$H$68)</f>
        <v>#N/A</v>
      </c>
    </row>
    <row r="136" spans="16:21" x14ac:dyDescent="0.35">
      <c r="P136" s="24" t="s">
        <v>601</v>
      </c>
      <c r="Q136" s="23" t="s">
        <v>15</v>
      </c>
      <c r="R136" s="23" t="s">
        <v>403</v>
      </c>
      <c r="S136" s="24">
        <v>1</v>
      </c>
      <c r="T136" s="23" t="str">
        <f>'2025'!$E$4</f>
        <v>n/a</v>
      </c>
      <c r="U136" s="89" t="e" cm="1">
        <f t="array" ref="U136">_xlfn.XLOOKUP(Table1199094[[#This Row],[Opp]],Table77[DEF],'2024 fSZN'!$H$37:$H$68)</f>
        <v>#N/A</v>
      </c>
    </row>
    <row r="137" spans="16:21" x14ac:dyDescent="0.35">
      <c r="P137" s="24" t="s">
        <v>417</v>
      </c>
      <c r="Q137" s="23" t="s">
        <v>49</v>
      </c>
      <c r="R137" s="23" t="s">
        <v>403</v>
      </c>
      <c r="S137" s="24">
        <v>1</v>
      </c>
      <c r="T137" s="23" t="str">
        <f>'2025'!$E$27</f>
        <v>n/a</v>
      </c>
      <c r="U137" s="89" t="e" cm="1">
        <f t="array" ref="U137">_xlfn.XLOOKUP(Table1199094[[#This Row],[Opp]],Table77[DEF],'2024 fSZN'!$H$37:$H$68)</f>
        <v>#N/A</v>
      </c>
    </row>
    <row r="138" spans="16:21" x14ac:dyDescent="0.35">
      <c r="P138" s="24" t="s">
        <v>591</v>
      </c>
      <c r="Q138" s="23" t="s">
        <v>55</v>
      </c>
      <c r="R138" s="23" t="s">
        <v>403</v>
      </c>
      <c r="S138" s="24">
        <v>1</v>
      </c>
      <c r="T138" s="23" t="str">
        <f>'2025'!$E$33</f>
        <v>n/a</v>
      </c>
      <c r="U138" s="89" t="e" cm="1">
        <f t="array" ref="U138">_xlfn.XLOOKUP(Table1199094[[#This Row],[Opp]],Table77[DEF],'2024 fSZN'!$H$37:$H$68)</f>
        <v>#N/A</v>
      </c>
    </row>
    <row r="139" spans="16:21" x14ac:dyDescent="0.35">
      <c r="P139" s="24" t="s">
        <v>478</v>
      </c>
      <c r="Q139" s="23" t="s">
        <v>31</v>
      </c>
      <c r="R139" s="23" t="s">
        <v>403</v>
      </c>
      <c r="S139" s="24">
        <v>1</v>
      </c>
      <c r="T139" s="23" t="str">
        <f>'2025'!$E$9</f>
        <v>n/a</v>
      </c>
      <c r="U139" s="89" t="e" cm="1">
        <f t="array" ref="U139">_xlfn.XLOOKUP(Table1199094[[#This Row],[Opp]],Table77[DEF],'2024 fSZN'!$H$37:$H$68)</f>
        <v>#N/A</v>
      </c>
    </row>
    <row r="140" spans="16:21" x14ac:dyDescent="0.35">
      <c r="P140" s="24" t="s">
        <v>584</v>
      </c>
      <c r="Q140" s="23" t="s">
        <v>54</v>
      </c>
      <c r="R140" s="23" t="s">
        <v>403</v>
      </c>
      <c r="S140" s="24">
        <v>1</v>
      </c>
      <c r="T140" s="23" t="str">
        <f>'2025'!$E$32</f>
        <v>n/a</v>
      </c>
      <c r="U140" s="89" t="e" cm="1">
        <f t="array" ref="U140">_xlfn.XLOOKUP(Table1199094[[#This Row],[Opp]],Table77[DEF],'2024 fSZN'!$H$37:$H$68)</f>
        <v>#N/A</v>
      </c>
    </row>
    <row r="141" spans="16:21" x14ac:dyDescent="0.35">
      <c r="P141" s="24" t="s">
        <v>409</v>
      </c>
      <c r="Q141" s="23" t="s">
        <v>44</v>
      </c>
      <c r="R141" s="23" t="s">
        <v>403</v>
      </c>
      <c r="S141" s="24">
        <v>0</v>
      </c>
      <c r="T141" s="23" t="str">
        <f>'2025'!$E$22</f>
        <v>n/a</v>
      </c>
      <c r="U141" s="89" t="e" cm="1">
        <f t="array" ref="U141">_xlfn.XLOOKUP(Table1199094[[#This Row],[Opp]],Table77[DEF],'2024 fSZN'!$H$37:$H$68)</f>
        <v>#N/A</v>
      </c>
    </row>
    <row r="142" spans="16:21" x14ac:dyDescent="0.35">
      <c r="P142" s="24" t="s">
        <v>549</v>
      </c>
      <c r="Q142" s="23" t="s">
        <v>42</v>
      </c>
      <c r="R142" s="23" t="s">
        <v>403</v>
      </c>
      <c r="S142" s="24">
        <v>1</v>
      </c>
      <c r="T142" s="23" t="str">
        <f>'2025'!$E$20</f>
        <v>n/a</v>
      </c>
      <c r="U142" s="89" t="e" cm="1">
        <f t="array" ref="U142">_xlfn.XLOOKUP(Table1199094[[#This Row],[Opp]],Table77[DEF],'2024 fSZN'!$H$37:$H$68)</f>
        <v>#N/A</v>
      </c>
    </row>
    <row r="143" spans="16:21" x14ac:dyDescent="0.35">
      <c r="P143" s="24" t="s">
        <v>618</v>
      </c>
      <c r="Q143" s="23" t="s">
        <v>47</v>
      </c>
      <c r="R143" s="23" t="s">
        <v>403</v>
      </c>
      <c r="S143" s="24">
        <v>1</v>
      </c>
      <c r="T143" s="23" t="str">
        <f>'2025'!$E$25</f>
        <v>n/a</v>
      </c>
      <c r="U143" s="89" t="e" cm="1">
        <f t="array" ref="U143">_xlfn.XLOOKUP(Table1199094[[#This Row],[Opp]],Table77[DEF],'2024 fSZN'!$H$37:$H$68)</f>
        <v>#N/A</v>
      </c>
    </row>
    <row r="144" spans="16:21" x14ac:dyDescent="0.35">
      <c r="P144" s="24" t="s">
        <v>465</v>
      </c>
      <c r="Q144" s="23" t="s">
        <v>56</v>
      </c>
      <c r="R144" s="23" t="s">
        <v>403</v>
      </c>
      <c r="S144" s="24">
        <v>1</v>
      </c>
      <c r="T144" s="23" t="str">
        <f>'2025'!$E$34</f>
        <v>n/a</v>
      </c>
      <c r="U144" s="89" t="e" cm="1">
        <f t="array" ref="U144">_xlfn.XLOOKUP(Table1199094[[#This Row],[Opp]],Table77[DEF],'2024 fSZN'!$H$37:$H$68)</f>
        <v>#N/A</v>
      </c>
    </row>
    <row r="145" spans="16:21" x14ac:dyDescent="0.35">
      <c r="P145" s="24" t="s">
        <v>471</v>
      </c>
      <c r="Q145" s="23" t="s">
        <v>16</v>
      </c>
      <c r="R145" s="23" t="s">
        <v>403</v>
      </c>
      <c r="S145" s="24">
        <v>1</v>
      </c>
      <c r="T145" s="23" t="str">
        <f>'2025'!$E$5</f>
        <v>n/a</v>
      </c>
      <c r="U145" s="89" t="e" cm="1">
        <f t="array" ref="U145">_xlfn.XLOOKUP(Table1199094[[#This Row],[Opp]],Table77[DEF],'2024 fSZN'!$H$37:$H$68)</f>
        <v>#N/A</v>
      </c>
    </row>
    <row r="146" spans="16:21" x14ac:dyDescent="0.35">
      <c r="P146" s="24" t="s">
        <v>626</v>
      </c>
      <c r="Q146" s="23" t="s">
        <v>39</v>
      </c>
      <c r="R146" s="23" t="s">
        <v>403</v>
      </c>
      <c r="S146" s="24">
        <v>1</v>
      </c>
      <c r="T146" s="23" t="str">
        <f>'2025'!$E$17</f>
        <v>n/a</v>
      </c>
      <c r="U146" s="89" t="e" cm="1">
        <f t="array" ref="U146">_xlfn.XLOOKUP(Table1199094[[#This Row],[Opp]],Table77[DEF],'2024 fSZN'!$H$37:$H$68)</f>
        <v>#N/A</v>
      </c>
    </row>
    <row r="147" spans="16:21" x14ac:dyDescent="0.35">
      <c r="P147" s="24" t="s">
        <v>571</v>
      </c>
      <c r="Q147" s="23" t="s">
        <v>40</v>
      </c>
      <c r="R147" s="23" t="s">
        <v>403</v>
      </c>
      <c r="S147" s="24">
        <v>1</v>
      </c>
      <c r="T147" s="23" t="str">
        <f>'2025'!$E$18</f>
        <v>n/a</v>
      </c>
      <c r="U147" s="89" t="e" cm="1">
        <f t="array" ref="U147">_xlfn.XLOOKUP(Table1199094[[#This Row],[Opp]],Table77[DEF],'2024 fSZN'!$H$37:$H$68)</f>
        <v>#N/A</v>
      </c>
    </row>
    <row r="148" spans="16:21" x14ac:dyDescent="0.35">
      <c r="P148" s="24" t="s">
        <v>282</v>
      </c>
      <c r="Q148" s="23" t="s">
        <v>43</v>
      </c>
      <c r="R148" s="23" t="s">
        <v>403</v>
      </c>
      <c r="S148" s="24">
        <v>1</v>
      </c>
      <c r="T148" s="23" t="str">
        <f>'2025'!$E$21</f>
        <v>n/a</v>
      </c>
      <c r="U148" s="89" t="e" cm="1">
        <f t="array" ref="U148">_xlfn.XLOOKUP(Table1199094[[#This Row],[Opp]],Table77[DEF],'2024 fSZN'!$H$37:$H$68)</f>
        <v>#N/A</v>
      </c>
    </row>
    <row r="149" spans="16:21" x14ac:dyDescent="0.35">
      <c r="P149" s="24" t="s">
        <v>428</v>
      </c>
      <c r="Q149" s="23" t="s">
        <v>48</v>
      </c>
      <c r="R149" s="23" t="s">
        <v>403</v>
      </c>
      <c r="S149" s="24">
        <v>1</v>
      </c>
      <c r="T149" s="23" t="str">
        <f>'2025'!$E$26</f>
        <v>n/a</v>
      </c>
      <c r="U149" s="89" t="e" cm="1">
        <f t="array" ref="U149">_xlfn.XLOOKUP(Table1199094[[#This Row],[Opp]],Table77[DEF],'2024 fSZN'!$H$37:$H$68)</f>
        <v>#N/A</v>
      </c>
    </row>
    <row r="150" spans="16:21" x14ac:dyDescent="0.35">
      <c r="P150" s="24" t="s">
        <v>543</v>
      </c>
      <c r="Q150" s="23" t="s">
        <v>53</v>
      </c>
      <c r="R150" s="23" t="s">
        <v>403</v>
      </c>
      <c r="S150" s="24">
        <v>0</v>
      </c>
      <c r="T150" s="23" t="str">
        <f>'2025'!$E$31</f>
        <v>n/a</v>
      </c>
      <c r="U150" s="89" t="e" cm="1">
        <f t="array" ref="U150">_xlfn.XLOOKUP(Table1199094[[#This Row],[Opp]],Table77[DEF],'2024 fSZN'!$H$37:$H$68)</f>
        <v>#N/A</v>
      </c>
    </row>
    <row r="151" spans="16:21" x14ac:dyDescent="0.35">
      <c r="P151" s="24" t="s">
        <v>632</v>
      </c>
      <c r="Q151" s="23" t="s">
        <v>37</v>
      </c>
      <c r="R151" s="23" t="s">
        <v>403</v>
      </c>
      <c r="S151" s="24">
        <v>1</v>
      </c>
      <c r="T151" s="23" t="str">
        <f>'2025'!$E$15</f>
        <v>n/a</v>
      </c>
      <c r="U151" s="89" t="e" cm="1">
        <f t="array" ref="U151">_xlfn.XLOOKUP(Table1199094[[#This Row],[Opp]],Table77[DEF],'2024 fSZN'!$H$37:$H$68)</f>
        <v>#N/A</v>
      </c>
    </row>
    <row r="152" spans="16:21" x14ac:dyDescent="0.35">
      <c r="P152" s="24" t="s">
        <v>266</v>
      </c>
      <c r="Q152" s="23" t="s">
        <v>46</v>
      </c>
      <c r="R152" s="23" t="s">
        <v>403</v>
      </c>
      <c r="S152" s="24">
        <v>0</v>
      </c>
      <c r="T152" s="23" t="str">
        <f>'2025'!$E$24</f>
        <v>SEA</v>
      </c>
      <c r="U152" s="89" cm="1">
        <f t="array" ref="U152">_xlfn.XLOOKUP(Table1199094[[#This Row],[Opp]],Table77[DEF],'2024 fSZN'!$H$37:$H$68)</f>
        <v>21</v>
      </c>
    </row>
    <row r="153" spans="16:21" x14ac:dyDescent="0.35">
      <c r="P153" s="24" t="s">
        <v>520</v>
      </c>
      <c r="Q153" s="23" t="s">
        <v>45</v>
      </c>
      <c r="R153" s="23" t="s">
        <v>403</v>
      </c>
      <c r="S153" s="24">
        <v>0</v>
      </c>
      <c r="T153" s="23" t="str">
        <f>'2025'!$E$23</f>
        <v>n/a</v>
      </c>
      <c r="U153" s="89" t="e" cm="1">
        <f t="array" ref="U153">_xlfn.XLOOKUP(Table1199094[[#This Row],[Opp]],Table77[DEF],'2024 fSZN'!$H$37:$H$68)</f>
        <v>#N/A</v>
      </c>
    </row>
    <row r="154" spans="16:21" x14ac:dyDescent="0.35">
      <c r="P154" s="24" t="s">
        <v>493</v>
      </c>
      <c r="Q154" s="23" t="s">
        <v>51</v>
      </c>
      <c r="R154" s="23" t="s">
        <v>403</v>
      </c>
      <c r="S154" s="24">
        <v>1</v>
      </c>
      <c r="T154" s="23" t="str">
        <f>'2025'!$E$29</f>
        <v>n/a</v>
      </c>
      <c r="U154" s="89" t="e" cm="1">
        <f t="array" ref="U154">_xlfn.XLOOKUP(Table1199094[[#This Row],[Opp]],Table77[DEF],'2024 fSZN'!$H$37:$H$68)</f>
        <v>#N/A</v>
      </c>
    </row>
    <row r="155" spans="16:21" x14ac:dyDescent="0.35">
      <c r="P155" s="24" t="s">
        <v>484</v>
      </c>
      <c r="Q155" s="23" t="s">
        <v>32</v>
      </c>
      <c r="R155" s="23" t="s">
        <v>403</v>
      </c>
      <c r="S155" s="24">
        <v>1</v>
      </c>
      <c r="T155" s="23" t="str">
        <f>'2025'!$E$10</f>
        <v>n/a</v>
      </c>
      <c r="U155" s="89" t="e" cm="1">
        <f t="array" ref="U155">_xlfn.XLOOKUP(Table1199094[[#This Row],[Opp]],Table77[DEF],'2024 fSZN'!$H$37:$H$68)</f>
        <v>#N/A</v>
      </c>
    </row>
    <row r="156" spans="16:21" x14ac:dyDescent="0.35">
      <c r="P156" s="24" t="s">
        <v>562</v>
      </c>
      <c r="Q156" s="23" t="s">
        <v>41</v>
      </c>
      <c r="R156" s="23" t="s">
        <v>403</v>
      </c>
      <c r="S156" s="24">
        <v>1</v>
      </c>
      <c r="T156" s="23" t="str">
        <f>'2025'!$E$19</f>
        <v>n/a</v>
      </c>
      <c r="U156" s="89" t="e" cm="1">
        <f t="array" ref="U156">_xlfn.XLOOKUP(Table1199094[[#This Row],[Opp]],Table77[DEF],'2024 fSZN'!$H$37:$H$68)</f>
        <v>#N/A</v>
      </c>
    </row>
    <row r="157" spans="16:21" x14ac:dyDescent="0.35">
      <c r="P157" s="24" t="s">
        <v>643</v>
      </c>
      <c r="Q157" s="23" t="s">
        <v>38</v>
      </c>
      <c r="R157" s="23" t="s">
        <v>403</v>
      </c>
      <c r="S157" s="24">
        <v>0</v>
      </c>
      <c r="T157" s="23" t="str">
        <f>'2025'!$E$16</f>
        <v>n/a</v>
      </c>
      <c r="U157" s="89" t="e" cm="1">
        <f t="array" ref="U157">_xlfn.XLOOKUP(Table1199094[[#This Row],[Opp]],Table77[DEF],'2024 fSZN'!$H$37:$H$68)</f>
        <v>#N/A</v>
      </c>
    </row>
    <row r="158" spans="16:21" x14ac:dyDescent="0.35">
      <c r="P158" s="24" t="s">
        <v>507</v>
      </c>
      <c r="Q158" s="23" t="s">
        <v>35</v>
      </c>
      <c r="R158" s="23" t="s">
        <v>403</v>
      </c>
      <c r="S158" s="24">
        <v>1</v>
      </c>
      <c r="T158" s="23" t="str">
        <f>'2025'!$E$13</f>
        <v>n/a</v>
      </c>
      <c r="U158" s="89" t="e" cm="1">
        <f t="array" ref="U158">_xlfn.XLOOKUP(Table1199094[[#This Row],[Opp]],Table77[DEF],'2024 fSZN'!$H$37:$H$68)</f>
        <v>#N/A</v>
      </c>
    </row>
    <row r="159" spans="16:21" x14ac:dyDescent="0.35">
      <c r="P159" s="24" t="s">
        <v>579</v>
      </c>
      <c r="Q159" s="23" t="s">
        <v>34</v>
      </c>
      <c r="R159" s="23" t="s">
        <v>403</v>
      </c>
      <c r="S159" s="24">
        <v>1</v>
      </c>
      <c r="T159" s="23" t="str">
        <f>'2025'!$E$12</f>
        <v>n/a</v>
      </c>
      <c r="U159" s="89" t="e" cm="1">
        <f t="array" ref="U159">_xlfn.XLOOKUP(Table1199094[[#This Row],[Opp]],Table77[DEF],'2024 fSZN'!$H$37:$H$68)</f>
        <v>#N/A</v>
      </c>
    </row>
    <row r="160" spans="16:21" x14ac:dyDescent="0.35">
      <c r="P160" s="24" t="s">
        <v>530</v>
      </c>
      <c r="Q160" s="23" t="s">
        <v>52</v>
      </c>
      <c r="R160" s="23" t="s">
        <v>403</v>
      </c>
      <c r="S160" s="24">
        <v>1</v>
      </c>
      <c r="T160" s="23" t="str">
        <f>'2025'!$E$30</f>
        <v>NE</v>
      </c>
      <c r="U160" s="89" cm="1">
        <f t="array" ref="U160">_xlfn.XLOOKUP(Table1199094[[#This Row],[Opp]],Table77[DEF],'2024 fSZN'!$H$37:$H$68)</f>
        <v>19</v>
      </c>
    </row>
    <row r="161" spans="16:21" x14ac:dyDescent="0.35">
      <c r="P161" s="24" t="s">
        <v>422</v>
      </c>
      <c r="Q161" s="23" t="s">
        <v>33</v>
      </c>
      <c r="R161" s="23" t="s">
        <v>403</v>
      </c>
      <c r="S161" s="24">
        <v>-1</v>
      </c>
      <c r="T161" s="23" t="str">
        <f>'2025'!$E$11</f>
        <v>n/a</v>
      </c>
      <c r="U161" s="89" t="e" cm="1">
        <f t="array" ref="U161">_xlfn.XLOOKUP(Table1199094[[#This Row],[Opp]],Table77[DEF],'2024 fSZN'!$H$37:$H$68)</f>
        <v>#N/A</v>
      </c>
    </row>
    <row r="162" spans="16:21" x14ac:dyDescent="0.35">
      <c r="P162" s="24" t="s">
        <v>513</v>
      </c>
      <c r="Q162" s="23" t="s">
        <v>36</v>
      </c>
      <c r="R162" s="23" t="s">
        <v>411</v>
      </c>
      <c r="S162" s="24">
        <v>1</v>
      </c>
      <c r="T162" s="23" t="str">
        <f>'2025'!$E$14</f>
        <v>n/a</v>
      </c>
      <c r="U162" s="89" t="e" cm="1">
        <f t="array" ref="U162">_xlfn.XLOOKUP(Table1199094[[#This Row],[Opp]],Table77[DEF],'2024 fSZN'!$H$37:$H$68)</f>
        <v>#N/A</v>
      </c>
    </row>
    <row r="163" spans="16:21" x14ac:dyDescent="0.35">
      <c r="P163" s="24" t="s">
        <v>501</v>
      </c>
      <c r="Q163" s="23" t="s">
        <v>30</v>
      </c>
      <c r="R163" s="23" t="s">
        <v>411</v>
      </c>
      <c r="S163" s="24">
        <v>1</v>
      </c>
      <c r="T163" s="23" t="str">
        <f>'2025'!$E$8</f>
        <v>n/a</v>
      </c>
      <c r="U163" s="89" t="e" cm="1">
        <f t="array" ref="U163">_xlfn.XLOOKUP(Table1199094[[#This Row],[Opp]],Table77[DEF],'2024 fSZN'!$H$37:$H$68)</f>
        <v>#N/A</v>
      </c>
    </row>
    <row r="164" spans="16:21" x14ac:dyDescent="0.35">
      <c r="P164" s="24" t="s">
        <v>612</v>
      </c>
      <c r="Q164" s="23" t="s">
        <v>29</v>
      </c>
      <c r="R164" s="23" t="s">
        <v>411</v>
      </c>
      <c r="S164" s="24">
        <v>1</v>
      </c>
      <c r="T164" s="23" t="str">
        <f>'2025'!$E$7</f>
        <v>n/a</v>
      </c>
      <c r="U164" s="89" t="e" cm="1">
        <f t="array" ref="U164">_xlfn.XLOOKUP(Table1199094[[#This Row],[Opp]],Table77[DEF],'2024 fSZN'!$H$37:$H$68)</f>
        <v>#N/A</v>
      </c>
    </row>
    <row r="165" spans="16:21" x14ac:dyDescent="0.35">
      <c r="P165" s="24" t="s">
        <v>410</v>
      </c>
      <c r="Q165" s="23" t="s">
        <v>17</v>
      </c>
      <c r="R165" s="23" t="s">
        <v>411</v>
      </c>
      <c r="S165" s="24">
        <v>1</v>
      </c>
      <c r="T165" s="23" t="str">
        <f>'2025'!$E$6</f>
        <v>n/a</v>
      </c>
      <c r="U165" s="89" t="e" cm="1">
        <f t="array" ref="U165">_xlfn.XLOOKUP(Table1199094[[#This Row],[Opp]],Table77[DEF],'2024 fSZN'!$H$37:$H$68)</f>
        <v>#N/A</v>
      </c>
    </row>
    <row r="166" spans="16:21" x14ac:dyDescent="0.35">
      <c r="P166" s="24" t="s">
        <v>557</v>
      </c>
      <c r="Q166" s="23" t="s">
        <v>0</v>
      </c>
      <c r="R166" s="23" t="s">
        <v>411</v>
      </c>
      <c r="S166" s="24">
        <v>-1</v>
      </c>
      <c r="T166" s="23" t="str">
        <f>'2025'!$E$3</f>
        <v>n/a</v>
      </c>
      <c r="U166" s="89" t="e" cm="1">
        <f t="array" ref="U166">_xlfn.XLOOKUP(Table1199094[[#This Row],[Opp]],Table77[DEF],'2024 fSZN'!$H$37:$H$68)</f>
        <v>#N/A</v>
      </c>
    </row>
    <row r="167" spans="16:21" x14ac:dyDescent="0.35">
      <c r="P167" s="24" t="s">
        <v>457</v>
      </c>
      <c r="Q167" s="23" t="s">
        <v>50</v>
      </c>
      <c r="R167" s="23" t="s">
        <v>411</v>
      </c>
      <c r="S167" s="24">
        <v>-1</v>
      </c>
      <c r="T167" s="23" t="str">
        <f>'2025'!$E$28</f>
        <v>n/a</v>
      </c>
      <c r="U167" s="89" t="e" cm="1">
        <f t="array" ref="U167">_xlfn.XLOOKUP(Table1199094[[#This Row],[Opp]],Table77[DEF],'2024 fSZN'!$H$37:$H$68)</f>
        <v>#N/A</v>
      </c>
    </row>
    <row r="168" spans="16:21" x14ac:dyDescent="0.35">
      <c r="P168" s="24" t="s">
        <v>602</v>
      </c>
      <c r="Q168" s="23" t="s">
        <v>15</v>
      </c>
      <c r="R168" s="23" t="s">
        <v>411</v>
      </c>
      <c r="S168" s="24">
        <v>1</v>
      </c>
      <c r="T168" s="23" t="str">
        <f>'2025'!$E$4</f>
        <v>n/a</v>
      </c>
      <c r="U168" s="89" t="e" cm="1">
        <f t="array" ref="U168">_xlfn.XLOOKUP(Table1199094[[#This Row],[Opp]],Table77[DEF],'2024 fSZN'!$H$37:$H$68)</f>
        <v>#N/A</v>
      </c>
    </row>
    <row r="169" spans="16:21" x14ac:dyDescent="0.35">
      <c r="P169" s="24" t="s">
        <v>420</v>
      </c>
      <c r="Q169" s="23" t="s">
        <v>49</v>
      </c>
      <c r="R169" s="23" t="s">
        <v>411</v>
      </c>
      <c r="S169" s="24">
        <v>-1</v>
      </c>
      <c r="T169" s="23" t="str">
        <f>'2025'!$E$27</f>
        <v>n/a</v>
      </c>
      <c r="U169" s="89" t="e" cm="1">
        <f t="array" ref="U169">_xlfn.XLOOKUP(Table1199094[[#This Row],[Opp]],Table77[DEF],'2024 fSZN'!$H$37:$H$68)</f>
        <v>#N/A</v>
      </c>
    </row>
    <row r="170" spans="16:21" x14ac:dyDescent="0.35">
      <c r="P170" s="24" t="s">
        <v>592</v>
      </c>
      <c r="Q170" s="23" t="s">
        <v>55</v>
      </c>
      <c r="R170" s="23" t="s">
        <v>411</v>
      </c>
      <c r="S170" s="24">
        <v>1</v>
      </c>
      <c r="T170" s="23" t="str">
        <f>'2025'!$E$33</f>
        <v>n/a</v>
      </c>
      <c r="U170" s="89" t="e" cm="1">
        <f t="array" ref="U170">_xlfn.XLOOKUP(Table1199094[[#This Row],[Opp]],Table77[DEF],'2024 fSZN'!$H$37:$H$68)</f>
        <v>#N/A</v>
      </c>
    </row>
    <row r="171" spans="16:21" x14ac:dyDescent="0.35">
      <c r="P171" s="24" t="s">
        <v>479</v>
      </c>
      <c r="Q171" s="23" t="s">
        <v>31</v>
      </c>
      <c r="R171" s="23" t="s">
        <v>411</v>
      </c>
      <c r="S171" s="24">
        <v>1</v>
      </c>
      <c r="T171" s="23" t="str">
        <f>'2025'!$E$9</f>
        <v>n/a</v>
      </c>
      <c r="U171" s="89" t="e" cm="1">
        <f t="array" ref="U171">_xlfn.XLOOKUP(Table1199094[[#This Row],[Opp]],Table77[DEF],'2024 fSZN'!$H$37:$H$68)</f>
        <v>#N/A</v>
      </c>
    </row>
    <row r="172" spans="16:21" x14ac:dyDescent="0.35">
      <c r="P172" s="24" t="s">
        <v>343</v>
      </c>
      <c r="Q172" s="23" t="s">
        <v>54</v>
      </c>
      <c r="R172" s="23" t="s">
        <v>411</v>
      </c>
      <c r="S172" s="24">
        <v>1</v>
      </c>
      <c r="T172" s="23" t="str">
        <f>'2025'!$E$32</f>
        <v>n/a</v>
      </c>
      <c r="U172" s="89" t="e" cm="1">
        <f t="array" ref="U172">_xlfn.XLOOKUP(Table1199094[[#This Row],[Opp]],Table77[DEF],'2024 fSZN'!$H$37:$H$68)</f>
        <v>#N/A</v>
      </c>
    </row>
    <row r="173" spans="16:21" x14ac:dyDescent="0.35">
      <c r="P173" s="24" t="s">
        <v>431</v>
      </c>
      <c r="Q173" s="23" t="s">
        <v>44</v>
      </c>
      <c r="R173" s="23" t="s">
        <v>411</v>
      </c>
      <c r="S173" s="24">
        <v>1</v>
      </c>
      <c r="T173" s="23" t="str">
        <f>'2025'!$E$22</f>
        <v>n/a</v>
      </c>
      <c r="U173" s="89" t="e" cm="1">
        <f t="array" ref="U173">_xlfn.XLOOKUP(Table1199094[[#This Row],[Opp]],Table77[DEF],'2024 fSZN'!$H$37:$H$68)</f>
        <v>#N/A</v>
      </c>
    </row>
    <row r="174" spans="16:21" x14ac:dyDescent="0.35">
      <c r="P174" s="24" t="s">
        <v>550</v>
      </c>
      <c r="Q174" s="23" t="s">
        <v>42</v>
      </c>
      <c r="R174" s="23" t="s">
        <v>411</v>
      </c>
      <c r="S174" s="24">
        <v>1</v>
      </c>
      <c r="T174" s="23" t="str">
        <f>'2025'!$E$20</f>
        <v>n/a</v>
      </c>
      <c r="U174" s="89" t="e" cm="1">
        <f t="array" ref="U174">_xlfn.XLOOKUP(Table1199094[[#This Row],[Opp]],Table77[DEF],'2024 fSZN'!$H$37:$H$68)</f>
        <v>#N/A</v>
      </c>
    </row>
    <row r="175" spans="16:21" x14ac:dyDescent="0.35">
      <c r="P175" s="24" t="s">
        <v>619</v>
      </c>
      <c r="Q175" s="23" t="s">
        <v>47</v>
      </c>
      <c r="R175" s="23" t="s">
        <v>411</v>
      </c>
      <c r="S175" s="24">
        <v>1</v>
      </c>
      <c r="T175" s="23" t="str">
        <f>'2025'!$E$25</f>
        <v>n/a</v>
      </c>
      <c r="U175" s="89" t="e" cm="1">
        <f t="array" ref="U175">_xlfn.XLOOKUP(Table1199094[[#This Row],[Opp]],Table77[DEF],'2024 fSZN'!$H$37:$H$68)</f>
        <v>#N/A</v>
      </c>
    </row>
    <row r="176" spans="16:21" x14ac:dyDescent="0.35">
      <c r="P176" s="24" t="s">
        <v>472</v>
      </c>
      <c r="Q176" s="23" t="s">
        <v>16</v>
      </c>
      <c r="R176" s="23" t="s">
        <v>411</v>
      </c>
      <c r="S176" s="24">
        <v>1</v>
      </c>
      <c r="T176" s="23" t="str">
        <f>'2025'!$E$5</f>
        <v>n/a</v>
      </c>
      <c r="U176" s="89" t="e" cm="1">
        <f t="array" ref="U176">_xlfn.XLOOKUP(Table1199094[[#This Row],[Opp]],Table77[DEF],'2024 fSZN'!$H$37:$H$68)</f>
        <v>#N/A</v>
      </c>
    </row>
    <row r="177" spans="16:21" x14ac:dyDescent="0.35">
      <c r="P177" s="24" t="s">
        <v>627</v>
      </c>
      <c r="Q177" s="23" t="s">
        <v>39</v>
      </c>
      <c r="R177" s="23" t="s">
        <v>411</v>
      </c>
      <c r="S177" s="24">
        <v>-1</v>
      </c>
      <c r="T177" s="23" t="str">
        <f>'2025'!$E$17</f>
        <v>n/a</v>
      </c>
      <c r="U177" s="89" t="e" cm="1">
        <f t="array" ref="U177">_xlfn.XLOOKUP(Table1199094[[#This Row],[Opp]],Table77[DEF],'2024 fSZN'!$H$37:$H$68)</f>
        <v>#N/A</v>
      </c>
    </row>
    <row r="178" spans="16:21" x14ac:dyDescent="0.35">
      <c r="P178" s="24" t="s">
        <v>572</v>
      </c>
      <c r="Q178" s="23" t="s">
        <v>40</v>
      </c>
      <c r="R178" s="23" t="s">
        <v>411</v>
      </c>
      <c r="S178" s="24">
        <v>1</v>
      </c>
      <c r="T178" s="23" t="str">
        <f>'2025'!$E$18</f>
        <v>n/a</v>
      </c>
      <c r="U178" s="89" t="e" cm="1">
        <f t="array" ref="U178">_xlfn.XLOOKUP(Table1199094[[#This Row],[Opp]],Table77[DEF],'2024 fSZN'!$H$37:$H$68)</f>
        <v>#N/A</v>
      </c>
    </row>
    <row r="179" spans="16:21" x14ac:dyDescent="0.35">
      <c r="P179" s="24" t="s">
        <v>439</v>
      </c>
      <c r="Q179" s="23" t="s">
        <v>48</v>
      </c>
      <c r="R179" s="23" t="s">
        <v>411</v>
      </c>
      <c r="S179" s="24">
        <v>1</v>
      </c>
      <c r="T179" s="23" t="str">
        <f>'2025'!$E$26</f>
        <v>n/a</v>
      </c>
      <c r="U179" s="89" t="e" cm="1">
        <f t="array" ref="U179">_xlfn.XLOOKUP(Table1199094[[#This Row],[Opp]],Table77[DEF],'2024 fSZN'!$H$37:$H$68)</f>
        <v>#N/A</v>
      </c>
    </row>
    <row r="180" spans="16:21" x14ac:dyDescent="0.35">
      <c r="P180" s="24" t="s">
        <v>544</v>
      </c>
      <c r="Q180" s="23" t="s">
        <v>53</v>
      </c>
      <c r="R180" s="23" t="s">
        <v>411</v>
      </c>
      <c r="S180" s="24">
        <v>-1</v>
      </c>
      <c r="T180" s="23" t="str">
        <f>'2025'!$E$31</f>
        <v>n/a</v>
      </c>
      <c r="U180" s="89" t="e" cm="1">
        <f t="array" ref="U180">_xlfn.XLOOKUP(Table1199094[[#This Row],[Opp]],Table77[DEF],'2024 fSZN'!$H$37:$H$68)</f>
        <v>#N/A</v>
      </c>
    </row>
    <row r="181" spans="16:21" x14ac:dyDescent="0.35">
      <c r="P181" s="24" t="s">
        <v>633</v>
      </c>
      <c r="Q181" s="23" t="s">
        <v>37</v>
      </c>
      <c r="R181" s="23" t="s">
        <v>411</v>
      </c>
      <c r="S181" s="24">
        <v>1</v>
      </c>
      <c r="T181" s="23" t="str">
        <f>'2025'!$E$15</f>
        <v>n/a</v>
      </c>
      <c r="U181" s="89" t="e" cm="1">
        <f t="array" ref="U181">_xlfn.XLOOKUP(Table1199094[[#This Row],[Opp]],Table77[DEF],'2024 fSZN'!$H$37:$H$68)</f>
        <v>#N/A</v>
      </c>
    </row>
    <row r="182" spans="16:21" x14ac:dyDescent="0.35">
      <c r="P182" s="24" t="s">
        <v>450</v>
      </c>
      <c r="Q182" s="23" t="s">
        <v>46</v>
      </c>
      <c r="R182" s="23" t="s">
        <v>411</v>
      </c>
      <c r="S182" s="24">
        <v>0</v>
      </c>
      <c r="T182" s="23" t="str">
        <f>'2025'!$E$24</f>
        <v>SEA</v>
      </c>
      <c r="U182" s="89" cm="1">
        <f t="array" ref="U182">_xlfn.XLOOKUP(Table1199094[[#This Row],[Opp]],Table77[DEF],'2024 fSZN'!$H$37:$H$68)</f>
        <v>21</v>
      </c>
    </row>
    <row r="183" spans="16:21" x14ac:dyDescent="0.35">
      <c r="P183" s="24" t="s">
        <v>521</v>
      </c>
      <c r="Q183" s="23" t="s">
        <v>45</v>
      </c>
      <c r="R183" s="23" t="s">
        <v>411</v>
      </c>
      <c r="S183" s="24">
        <v>1</v>
      </c>
      <c r="T183" s="23" t="str">
        <f>'2025'!$E$23</f>
        <v>n/a</v>
      </c>
      <c r="U183" s="89" t="e" cm="1">
        <f t="array" ref="U183">_xlfn.XLOOKUP(Table1199094[[#This Row],[Opp]],Table77[DEF],'2024 fSZN'!$H$37:$H$68)</f>
        <v>#N/A</v>
      </c>
    </row>
    <row r="184" spans="16:21" x14ac:dyDescent="0.35">
      <c r="P184" s="24" t="s">
        <v>485</v>
      </c>
      <c r="Q184" s="23" t="s">
        <v>32</v>
      </c>
      <c r="R184" s="23" t="s">
        <v>411</v>
      </c>
      <c r="S184" s="24">
        <v>1</v>
      </c>
      <c r="T184" s="23" t="str">
        <f>'2025'!$E$10</f>
        <v>n/a</v>
      </c>
      <c r="U184" s="89" t="e" cm="1">
        <f t="array" ref="U184">_xlfn.XLOOKUP(Table1199094[[#This Row],[Opp]],Table77[DEF],'2024 fSZN'!$H$37:$H$68)</f>
        <v>#N/A</v>
      </c>
    </row>
    <row r="185" spans="16:21" x14ac:dyDescent="0.35">
      <c r="P185" s="24" t="s">
        <v>563</v>
      </c>
      <c r="Q185" s="23" t="s">
        <v>41</v>
      </c>
      <c r="R185" s="23" t="s">
        <v>411</v>
      </c>
      <c r="S185" s="24">
        <v>1</v>
      </c>
      <c r="T185" s="23" t="str">
        <f>'2025'!$E$19</f>
        <v>n/a</v>
      </c>
      <c r="U185" s="89" t="e" cm="1">
        <f t="array" ref="U185">_xlfn.XLOOKUP(Table1199094[[#This Row],[Opp]],Table77[DEF],'2024 fSZN'!$H$37:$H$68)</f>
        <v>#N/A</v>
      </c>
    </row>
    <row r="186" spans="16:21" x14ac:dyDescent="0.35">
      <c r="P186" s="24" t="s">
        <v>644</v>
      </c>
      <c r="Q186" s="23" t="s">
        <v>38</v>
      </c>
      <c r="R186" s="23" t="s">
        <v>411</v>
      </c>
      <c r="S186" s="24">
        <v>1</v>
      </c>
      <c r="T186" s="23" t="str">
        <f>'2025'!$E$16</f>
        <v>n/a</v>
      </c>
      <c r="U186" s="89" t="e" cm="1">
        <f t="array" ref="U186">_xlfn.XLOOKUP(Table1199094[[#This Row],[Opp]],Table77[DEF],'2024 fSZN'!$H$37:$H$68)</f>
        <v>#N/A</v>
      </c>
    </row>
    <row r="187" spans="16:21" x14ac:dyDescent="0.35">
      <c r="P187" s="24" t="s">
        <v>531</v>
      </c>
      <c r="Q187" s="23" t="s">
        <v>52</v>
      </c>
      <c r="R187" s="23" t="s">
        <v>411</v>
      </c>
      <c r="S187" s="24">
        <v>1</v>
      </c>
      <c r="T187" s="23" t="str">
        <f>'2025'!$E$30</f>
        <v>NE</v>
      </c>
      <c r="U187" s="89" cm="1">
        <f t="array" ref="U187">_xlfn.XLOOKUP(Table1199094[[#This Row],[Opp]],Table77[DEF],'2024 fSZN'!$H$37:$H$68)</f>
        <v>19</v>
      </c>
    </row>
    <row r="188" spans="16:21" x14ac:dyDescent="0.35">
      <c r="P188" s="24" t="s">
        <v>514</v>
      </c>
      <c r="Q188" s="23" t="s">
        <v>36</v>
      </c>
      <c r="R188" s="23" t="s">
        <v>441</v>
      </c>
      <c r="S188" s="24">
        <v>-1</v>
      </c>
      <c r="T188" s="23" t="str">
        <f>'2025'!$E$14</f>
        <v>n/a</v>
      </c>
      <c r="U188" s="89" t="e" cm="1">
        <f t="array" ref="U188">_xlfn.XLOOKUP(Table1199094[[#This Row],[Opp]],Table77[DEF],'2024 fSZN'!$H$37:$H$68)</f>
        <v>#N/A</v>
      </c>
    </row>
    <row r="189" spans="16:21" x14ac:dyDescent="0.35">
      <c r="P189" s="24" t="s">
        <v>613</v>
      </c>
      <c r="Q189" s="23" t="s">
        <v>29</v>
      </c>
      <c r="R189" s="23" t="s">
        <v>441</v>
      </c>
      <c r="S189" s="24">
        <v>1</v>
      </c>
      <c r="T189" s="23" t="str">
        <f>'2025'!$E$7</f>
        <v>n/a</v>
      </c>
      <c r="U189" s="89" t="e" cm="1">
        <f t="array" ref="U189">_xlfn.XLOOKUP(Table1199094[[#This Row],[Opp]],Table77[DEF],'2024 fSZN'!$H$37:$H$68)</f>
        <v>#N/A</v>
      </c>
    </row>
    <row r="190" spans="16:21" x14ac:dyDescent="0.35">
      <c r="P190" s="24" t="s">
        <v>603</v>
      </c>
      <c r="Q190" s="23" t="s">
        <v>15</v>
      </c>
      <c r="R190" s="23" t="s">
        <v>441</v>
      </c>
      <c r="S190" s="24">
        <v>0</v>
      </c>
      <c r="T190" s="23" t="str">
        <f>'2025'!$E$4</f>
        <v>n/a</v>
      </c>
      <c r="U190" s="89" t="e" cm="1">
        <f t="array" ref="U190">_xlfn.XLOOKUP(Table1199094[[#This Row],[Opp]],Table77[DEF],'2024 fSZN'!$H$37:$H$68)</f>
        <v>#N/A</v>
      </c>
    </row>
    <row r="191" spans="16:21" x14ac:dyDescent="0.35">
      <c r="P191" s="24" t="s">
        <v>593</v>
      </c>
      <c r="Q191" s="23" t="s">
        <v>55</v>
      </c>
      <c r="R191" s="23" t="s">
        <v>441</v>
      </c>
      <c r="S191" s="24">
        <v>-1</v>
      </c>
      <c r="T191" s="23" t="str">
        <f>'2025'!$E$33</f>
        <v>n/a</v>
      </c>
      <c r="U191" s="89" t="e" cm="1">
        <f t="array" ref="U191">_xlfn.XLOOKUP(Table1199094[[#This Row],[Opp]],Table77[DEF],'2024 fSZN'!$H$37:$H$68)</f>
        <v>#N/A</v>
      </c>
    </row>
    <row r="192" spans="16:21" x14ac:dyDescent="0.35">
      <c r="P192" s="24" t="s">
        <v>585</v>
      </c>
      <c r="Q192" s="23" t="s">
        <v>54</v>
      </c>
      <c r="R192" s="23" t="s">
        <v>441</v>
      </c>
      <c r="S192" s="24">
        <v>1</v>
      </c>
      <c r="T192" s="23" t="str">
        <f>'2025'!$E$32</f>
        <v>n/a</v>
      </c>
      <c r="U192" s="89" t="e" cm="1">
        <f t="array" ref="U192">_xlfn.XLOOKUP(Table1199094[[#This Row],[Opp]],Table77[DEF],'2024 fSZN'!$H$37:$H$68)</f>
        <v>#N/A</v>
      </c>
    </row>
    <row r="193" spans="16:21" x14ac:dyDescent="0.35">
      <c r="P193" s="24" t="s">
        <v>621</v>
      </c>
      <c r="Q193" s="23" t="s">
        <v>47</v>
      </c>
      <c r="R193" s="23" t="s">
        <v>441</v>
      </c>
      <c r="S193" s="24">
        <v>-1</v>
      </c>
      <c r="T193" s="23" t="str">
        <f>'2025'!$E$25</f>
        <v>n/a</v>
      </c>
      <c r="U193" s="89" t="e" cm="1">
        <f t="array" ref="U193">_xlfn.XLOOKUP(Table1199094[[#This Row],[Opp]],Table77[DEF],'2024 fSZN'!$H$37:$H$68)</f>
        <v>#N/A</v>
      </c>
    </row>
    <row r="194" spans="16:21" x14ac:dyDescent="0.35">
      <c r="P194" s="24" t="s">
        <v>473</v>
      </c>
      <c r="Q194" s="23" t="s">
        <v>16</v>
      </c>
      <c r="R194" s="23" t="s">
        <v>441</v>
      </c>
      <c r="S194" s="24">
        <v>-1</v>
      </c>
      <c r="T194" s="23" t="str">
        <f>'2025'!$E$5</f>
        <v>n/a</v>
      </c>
      <c r="U194" s="89" t="e" cm="1">
        <f t="array" ref="U194">_xlfn.XLOOKUP(Table1199094[[#This Row],[Opp]],Table77[DEF],'2024 fSZN'!$H$37:$H$68)</f>
        <v>#N/A</v>
      </c>
    </row>
    <row r="195" spans="16:21" x14ac:dyDescent="0.35">
      <c r="P195" s="24" t="s">
        <v>573</v>
      </c>
      <c r="Q195" s="23" t="s">
        <v>40</v>
      </c>
      <c r="R195" s="23" t="s">
        <v>441</v>
      </c>
      <c r="S195" s="24">
        <v>1</v>
      </c>
      <c r="T195" s="23" t="str">
        <f>'2025'!$E$18</f>
        <v>n/a</v>
      </c>
      <c r="U195" s="89" t="e" cm="1">
        <f t="array" ref="U195">_xlfn.XLOOKUP(Table1199094[[#This Row],[Opp]],Table77[DEF],'2024 fSZN'!$H$37:$H$68)</f>
        <v>#N/A</v>
      </c>
    </row>
    <row r="196" spans="16:21" x14ac:dyDescent="0.35">
      <c r="P196" s="24" t="s">
        <v>440</v>
      </c>
      <c r="Q196" s="23" t="s">
        <v>48</v>
      </c>
      <c r="R196" s="23" t="s">
        <v>441</v>
      </c>
      <c r="S196" s="24">
        <v>-1</v>
      </c>
      <c r="T196" s="23" t="str">
        <f>'2025'!$E$26</f>
        <v>n/a</v>
      </c>
      <c r="U196" s="89" t="e" cm="1">
        <f t="array" ref="U196">_xlfn.XLOOKUP(Table1199094[[#This Row],[Opp]],Table77[DEF],'2024 fSZN'!$H$37:$H$68)</f>
        <v>#N/A</v>
      </c>
    </row>
    <row r="197" spans="16:21" x14ac:dyDescent="0.35">
      <c r="P197" s="24" t="s">
        <v>366</v>
      </c>
      <c r="Q197" s="23" t="s">
        <v>53</v>
      </c>
      <c r="R197" s="23" t="s">
        <v>441</v>
      </c>
      <c r="S197" s="24">
        <v>-1</v>
      </c>
      <c r="T197" s="23" t="str">
        <f>'2025'!$E$31</f>
        <v>n/a</v>
      </c>
      <c r="U197" s="89" t="e" cm="1">
        <f t="array" ref="U197">_xlfn.XLOOKUP(Table1199094[[#This Row],[Opp]],Table77[DEF],'2024 fSZN'!$H$37:$H$68)</f>
        <v>#N/A</v>
      </c>
    </row>
    <row r="198" spans="16:21" x14ac:dyDescent="0.35">
      <c r="P198" s="24" t="s">
        <v>634</v>
      </c>
      <c r="Q198" s="23" t="s">
        <v>37</v>
      </c>
      <c r="R198" s="23" t="s">
        <v>441</v>
      </c>
      <c r="S198" s="24">
        <v>1</v>
      </c>
      <c r="T198" s="23" t="str">
        <f>'2025'!$E$15</f>
        <v>n/a</v>
      </c>
      <c r="U198" s="89" t="e" cm="1">
        <f t="array" ref="U198">_xlfn.XLOOKUP(Table1199094[[#This Row],[Opp]],Table77[DEF],'2024 fSZN'!$H$37:$H$68)</f>
        <v>#N/A</v>
      </c>
    </row>
    <row r="199" spans="16:21" x14ac:dyDescent="0.35">
      <c r="P199" s="24" t="s">
        <v>413</v>
      </c>
      <c r="Q199" s="23" t="s">
        <v>46</v>
      </c>
      <c r="R199" s="23" t="s">
        <v>441</v>
      </c>
      <c r="S199" s="24">
        <v>-1</v>
      </c>
      <c r="T199" s="23" t="str">
        <f>'2025'!$E$24</f>
        <v>SEA</v>
      </c>
      <c r="U199" s="89" cm="1">
        <f t="array" ref="U199">_xlfn.XLOOKUP(Table1199094[[#This Row],[Opp]],Table77[DEF],'2024 fSZN'!$H$37:$H$68)</f>
        <v>21</v>
      </c>
    </row>
    <row r="200" spans="16:21" x14ac:dyDescent="0.35">
      <c r="P200" s="24" t="s">
        <v>522</v>
      </c>
      <c r="Q200" s="23" t="s">
        <v>45</v>
      </c>
      <c r="R200" s="23" t="s">
        <v>441</v>
      </c>
      <c r="S200" s="24">
        <v>-1</v>
      </c>
      <c r="T200" s="23" t="str">
        <f>'2025'!$E$23</f>
        <v>n/a</v>
      </c>
      <c r="U200" s="89" t="e" cm="1">
        <f t="array" ref="U200">_xlfn.XLOOKUP(Table1199094[[#This Row],[Opp]],Table77[DEF],'2024 fSZN'!$H$37:$H$68)</f>
        <v>#N/A</v>
      </c>
    </row>
    <row r="201" spans="16:21" x14ac:dyDescent="0.35">
      <c r="P201" s="24" t="s">
        <v>486</v>
      </c>
      <c r="Q201" s="23" t="s">
        <v>32</v>
      </c>
      <c r="R201" s="23" t="s">
        <v>441</v>
      </c>
      <c r="S201" s="24">
        <v>-1</v>
      </c>
      <c r="T201" s="23" t="str">
        <f>'2025'!$E$10</f>
        <v>n/a</v>
      </c>
      <c r="U201" s="89" t="e" cm="1">
        <f t="array" ref="U201">_xlfn.XLOOKUP(Table1199094[[#This Row],[Opp]],Table77[DEF],'2024 fSZN'!$H$37:$H$68)</f>
        <v>#N/A</v>
      </c>
    </row>
    <row r="202" spans="16:21" x14ac:dyDescent="0.35">
      <c r="P202" s="24" t="s">
        <v>645</v>
      </c>
      <c r="Q202" s="23" t="s">
        <v>38</v>
      </c>
      <c r="R202" s="23" t="s">
        <v>441</v>
      </c>
      <c r="S202" s="24">
        <v>-1</v>
      </c>
      <c r="T202" s="23" t="str">
        <f>'2025'!$E$16</f>
        <v>n/a</v>
      </c>
      <c r="U202" s="89" t="e" cm="1">
        <f t="array" ref="U202">_xlfn.XLOOKUP(Table1199094[[#This Row],[Opp]],Table77[DEF],'2024 fSZN'!$H$37:$H$68)</f>
        <v>#N/A</v>
      </c>
    </row>
    <row r="203" spans="16:21" x14ac:dyDescent="0.35">
      <c r="P203" s="24" t="s">
        <v>532</v>
      </c>
      <c r="Q203" s="23" t="s">
        <v>52</v>
      </c>
      <c r="R203" s="23" t="s">
        <v>441</v>
      </c>
      <c r="S203" s="24">
        <v>-1</v>
      </c>
      <c r="T203" s="23" t="str">
        <f>'2025'!$E$30</f>
        <v>NE</v>
      </c>
      <c r="U203" s="89" cm="1">
        <f t="array" ref="U203">_xlfn.XLOOKUP(Table1199094[[#This Row],[Opp]],Table77[DEF],'2024 fSZN'!$H$37:$H$68)</f>
        <v>19</v>
      </c>
    </row>
    <row r="204" spans="16:21" x14ac:dyDescent="0.35">
      <c r="P204" s="24" t="s">
        <v>149</v>
      </c>
      <c r="Q204" s="23" t="s">
        <v>29</v>
      </c>
      <c r="R204" s="23" t="s">
        <v>443</v>
      </c>
      <c r="S204" s="24">
        <v>-1</v>
      </c>
      <c r="T204" s="23" t="str">
        <f>'2025'!$E$7</f>
        <v>n/a</v>
      </c>
      <c r="U204" s="89" t="e" cm="1">
        <f t="array" ref="U204">_xlfn.XLOOKUP(Table1199094[[#This Row],[Opp]],Table77[DEF],'2024 fSZN'!$H$37:$H$68)</f>
        <v>#N/A</v>
      </c>
    </row>
    <row r="205" spans="16:21" x14ac:dyDescent="0.35">
      <c r="P205" s="24" t="s">
        <v>375</v>
      </c>
      <c r="Q205" s="23" t="s">
        <v>54</v>
      </c>
      <c r="R205" s="23" t="s">
        <v>443</v>
      </c>
      <c r="S205" s="24">
        <v>-1</v>
      </c>
      <c r="T205" s="23" t="str">
        <f>'2025'!$E$32</f>
        <v>n/a</v>
      </c>
      <c r="U205" s="89" t="e" cm="1">
        <f t="array" ref="U205">_xlfn.XLOOKUP(Table1199094[[#This Row],[Opp]],Table77[DEF],'2024 fSZN'!$H$37:$H$68)</f>
        <v>#N/A</v>
      </c>
    </row>
    <row r="206" spans="16:21" x14ac:dyDescent="0.35">
      <c r="P206" s="24" t="s">
        <v>252</v>
      </c>
      <c r="Q206" s="23" t="s">
        <v>40</v>
      </c>
      <c r="R206" s="23" t="s">
        <v>443</v>
      </c>
      <c r="S206" s="24">
        <v>-1</v>
      </c>
      <c r="T206" s="23" t="str">
        <f>'2025'!$E$18</f>
        <v>n/a</v>
      </c>
      <c r="U206" s="89" t="e" cm="1">
        <f t="array" ref="U206">_xlfn.XLOOKUP(Table1199094[[#This Row],[Opp]],Table77[DEF],'2024 fSZN'!$H$37:$H$68)</f>
        <v>#N/A</v>
      </c>
    </row>
    <row r="207" spans="16:21" x14ac:dyDescent="0.35">
      <c r="P207" s="24" t="s">
        <v>442</v>
      </c>
      <c r="Q207" s="23" t="s">
        <v>48</v>
      </c>
      <c r="R207" s="23" t="s">
        <v>443</v>
      </c>
      <c r="S207" s="24">
        <v>-1</v>
      </c>
      <c r="T207" s="23" t="str">
        <f>'2025'!$E$26</f>
        <v>n/a</v>
      </c>
      <c r="U207" s="89" t="e" cm="1">
        <f t="array" ref="U207">_xlfn.XLOOKUP(Table1199094[[#This Row],[Opp]],Table77[DEF],'2024 fSZN'!$H$37:$H$68)</f>
        <v>#N/A</v>
      </c>
    </row>
    <row r="208" spans="16:21" x14ac:dyDescent="0.35">
      <c r="P208" s="24" t="s">
        <v>545</v>
      </c>
      <c r="Q208" s="23" t="s">
        <v>53</v>
      </c>
      <c r="R208" s="23" t="s">
        <v>443</v>
      </c>
      <c r="S208" s="24">
        <v>-1</v>
      </c>
      <c r="T208" s="23" t="str">
        <f>'2025'!$E$31</f>
        <v>n/a</v>
      </c>
      <c r="U208" s="89" t="e" cm="1">
        <f t="array" ref="U208">_xlfn.XLOOKUP(Table1199094[[#This Row],[Opp]],Table77[DEF],'2024 fSZN'!$H$37:$H$68)</f>
        <v>#N/A</v>
      </c>
    </row>
    <row r="209" spans="16:21" x14ac:dyDescent="0.35">
      <c r="P209" s="24" t="s">
        <v>635</v>
      </c>
      <c r="Q209" s="23" t="s">
        <v>37</v>
      </c>
      <c r="R209" s="23" t="s">
        <v>443</v>
      </c>
      <c r="S209" s="24">
        <v>-1</v>
      </c>
      <c r="T209" s="23" t="str">
        <f>'2025'!$E$15</f>
        <v>n/a</v>
      </c>
      <c r="U209" s="89" t="e" cm="1">
        <f t="array" ref="U209">_xlfn.XLOOKUP(Table1199094[[#This Row],[Opp]],Table77[DEF],'2024 fSZN'!$H$37:$H$68)</f>
        <v>#N/A</v>
      </c>
    </row>
    <row r="210" spans="16:21" x14ac:dyDescent="0.35">
      <c r="P210" s="24" t="s">
        <v>487</v>
      </c>
      <c r="Q210" s="23" t="s">
        <v>32</v>
      </c>
      <c r="R210" s="23" t="s">
        <v>443</v>
      </c>
      <c r="S210" s="24">
        <v>-1</v>
      </c>
      <c r="T210" s="23" t="str">
        <f>'2025'!$E$10</f>
        <v>n/a</v>
      </c>
      <c r="U210" s="89" t="e" cm="1">
        <f t="array" ref="U210">_xlfn.XLOOKUP(Table1199094[[#This Row],[Opp]],Table77[DEF],'2024 fSZN'!$H$37:$H$68)</f>
        <v>#N/A</v>
      </c>
    </row>
    <row r="211" spans="16:21" x14ac:dyDescent="0.35">
      <c r="P211" s="24" t="s">
        <v>346</v>
      </c>
      <c r="Q211" s="23" t="s">
        <v>54</v>
      </c>
      <c r="R211" s="23" t="s">
        <v>546</v>
      </c>
      <c r="S211" s="24">
        <v>-1</v>
      </c>
      <c r="T211" s="23" t="str">
        <f>'2025'!$E$32</f>
        <v>n/a</v>
      </c>
      <c r="U211" s="89" t="e" cm="1">
        <f t="array" ref="U211">_xlfn.XLOOKUP(Table1199094[[#This Row],[Opp]],Table77[DEF],'2024 fSZN'!$H$37:$H$68)</f>
        <v>#N/A</v>
      </c>
    </row>
    <row r="212" spans="16:21" x14ac:dyDescent="0.35">
      <c r="P212" s="24" t="s">
        <v>414</v>
      </c>
      <c r="Q212" s="23" t="s">
        <v>53</v>
      </c>
      <c r="R212" s="23" t="s">
        <v>546</v>
      </c>
      <c r="S212" s="24">
        <v>-1</v>
      </c>
      <c r="T212" s="23" t="str">
        <f>'2025'!$E$31</f>
        <v>n/a</v>
      </c>
      <c r="U212" s="89" t="e" cm="1">
        <f t="array" ref="U212">_xlfn.XLOOKUP(Table1199094[[#This Row],[Opp]],Table77[DEF],'2024 fSZN'!$H$37:$H$68)</f>
        <v>#N/A</v>
      </c>
    </row>
  </sheetData>
  <conditionalFormatting sqref="C2:C86">
    <cfRule type="cellIs" dxfId="4779" priority="207" operator="equal">
      <formula>"BYE"</formula>
    </cfRule>
    <cfRule type="cellIs" dxfId="4778" priority="208" operator="equal">
      <formula>"LV"</formula>
    </cfRule>
    <cfRule type="cellIs" dxfId="4777" priority="209" operator="equal">
      <formula>"NE"</formula>
    </cfRule>
    <cfRule type="cellIs" dxfId="4776" priority="210" operator="equal">
      <formula>"MIN"</formula>
    </cfRule>
    <cfRule type="cellIs" dxfId="4775" priority="211" operator="equal">
      <formula>"PIT"</formula>
    </cfRule>
    <cfRule type="cellIs" dxfId="4774" priority="212" operator="equal">
      <formula>"DEN"</formula>
    </cfRule>
    <cfRule type="cellIs" dxfId="4773" priority="213" operator="equal">
      <formula>"CAR"</formula>
    </cfRule>
    <cfRule type="cellIs" dxfId="4772" priority="214" operator="equal">
      <formula>"NYG"</formula>
    </cfRule>
    <cfRule type="cellIs" dxfId="4771" priority="215" operator="equal">
      <formula>"NO"</formula>
    </cfRule>
    <cfRule type="cellIs" dxfId="4770" priority="216" operator="equal">
      <formula>"TEN"</formula>
    </cfRule>
    <cfRule type="cellIs" dxfId="4769" priority="217" operator="equal">
      <formula>"TB"</formula>
    </cfRule>
    <cfRule type="cellIs" dxfId="4768" priority="218" operator="equal">
      <formula>"CLE"</formula>
    </cfRule>
    <cfRule type="cellIs" dxfId="4767" priority="219" operator="equal">
      <formula>"NYJ"</formula>
    </cfRule>
    <cfRule type="cellIs" dxfId="4766" priority="220" operator="equal">
      <formula>"SEA"</formula>
    </cfRule>
    <cfRule type="cellIs" dxfId="4765" priority="221" operator="equal">
      <formula>"LAC"</formula>
    </cfRule>
    <cfRule type="cellIs" dxfId="4764" priority="222" operator="equal">
      <formula>"LAR"</formula>
    </cfRule>
    <cfRule type="cellIs" dxfId="4763" priority="223" operator="equal">
      <formula>"ATL"</formula>
    </cfRule>
    <cfRule type="cellIs" dxfId="4762" priority="224" operator="equal">
      <formula>"JAX"</formula>
    </cfRule>
    <cfRule type="cellIs" dxfId="4761" priority="225" operator="equal">
      <formula>"CHI"</formula>
    </cfRule>
    <cfRule type="cellIs" dxfId="4760" priority="226" operator="equal">
      <formula>"MIA"</formula>
    </cfRule>
    <cfRule type="cellIs" dxfId="4759" priority="227" operator="equal">
      <formula>"DET"</formula>
    </cfRule>
    <cfRule type="cellIs" dxfId="4758" priority="228" operator="equal">
      <formula>"SF"</formula>
    </cfRule>
    <cfRule type="cellIs" dxfId="4757" priority="229" operator="equal">
      <formula>"WAS"</formula>
    </cfRule>
    <cfRule type="cellIs" dxfId="4756" priority="230" operator="equal">
      <formula>"GB"</formula>
    </cfRule>
    <cfRule type="cellIs" dxfId="4755" priority="231" operator="equal">
      <formula>"DAL"</formula>
    </cfRule>
    <cfRule type="cellIs" dxfId="4754" priority="232" operator="equal">
      <formula>"CIN"</formula>
    </cfRule>
    <cfRule type="cellIs" dxfId="4753" priority="233" operator="equal">
      <formula>"ARI"</formula>
    </cfRule>
    <cfRule type="cellIs" dxfId="4752" priority="234" operator="equal">
      <formula>"HOU"</formula>
    </cfRule>
    <cfRule type="cellIs" dxfId="4751" priority="235" operator="equal">
      <formula>"IND"</formula>
    </cfRule>
    <cfRule type="cellIs" dxfId="4750" priority="236" operator="equal">
      <formula>"KC"</formula>
    </cfRule>
    <cfRule type="cellIs" dxfId="4749" priority="237" operator="equal">
      <formula>"BAL"</formula>
    </cfRule>
    <cfRule type="cellIs" dxfId="4748" priority="238" operator="equal">
      <formula>"PHI"</formula>
    </cfRule>
    <cfRule type="cellIs" dxfId="4747" priority="239" operator="equal">
      <formula>"BUF"</formula>
    </cfRule>
  </conditionalFormatting>
  <conditionalFormatting sqref="D2:D86">
    <cfRule type="cellIs" dxfId="4746" priority="405" operator="equal">
      <formula>"WR9"</formula>
    </cfRule>
    <cfRule type="cellIs" dxfId="4745" priority="406" operator="equal">
      <formula>"WR8"</formula>
    </cfRule>
    <cfRule type="cellIs" dxfId="4744" priority="407" operator="equal">
      <formula>"WR7"</formula>
    </cfRule>
    <cfRule type="cellIs" dxfId="4743" priority="408" operator="equal">
      <formula>"WR6"</formula>
    </cfRule>
    <cfRule type="cellIs" dxfId="4742" priority="409" operator="equal">
      <formula>"TE5"</formula>
    </cfRule>
    <cfRule type="cellIs" dxfId="4741" priority="410" operator="equal">
      <formula>"WR5"</formula>
    </cfRule>
    <cfRule type="cellIs" dxfId="4740" priority="411" operator="equal">
      <formula>"RB5"</formula>
    </cfRule>
    <cfRule type="cellIs" dxfId="4739" priority="412" operator="equal">
      <formula>"QB5"</formula>
    </cfRule>
    <cfRule type="cellIs" dxfId="4738" priority="413" operator="equal">
      <formula>"TE4"</formula>
    </cfRule>
    <cfRule type="cellIs" dxfId="4737" priority="414" operator="equal">
      <formula>"WR4"</formula>
    </cfRule>
    <cfRule type="cellIs" dxfId="4736" priority="415" operator="equal">
      <formula>"RB4"</formula>
    </cfRule>
    <cfRule type="cellIs" dxfId="4735" priority="416" operator="equal">
      <formula>"QB4"</formula>
    </cfRule>
    <cfRule type="cellIs" dxfId="4734" priority="417" operator="equal">
      <formula>"TE3"</formula>
    </cfRule>
    <cfRule type="cellIs" dxfId="4733" priority="418" operator="equal">
      <formula>"WR3"</formula>
    </cfRule>
    <cfRule type="cellIs" dxfId="4732" priority="419" operator="equal">
      <formula>"RB3"</formula>
    </cfRule>
    <cfRule type="cellIs" dxfId="4731" priority="420" operator="equal">
      <formula>"QB3"</formula>
    </cfRule>
    <cfRule type="cellIs" dxfId="4730" priority="421" operator="equal">
      <formula>"TE2"</formula>
    </cfRule>
    <cfRule type="cellIs" dxfId="4729" priority="422" operator="equal">
      <formula>"WR2"</formula>
    </cfRule>
    <cfRule type="cellIs" dxfId="4728" priority="423" operator="equal">
      <formula>"RB2"</formula>
    </cfRule>
    <cfRule type="cellIs" dxfId="4727" priority="424" operator="equal">
      <formula>"QB2"</formula>
    </cfRule>
    <cfRule type="cellIs" dxfId="4726" priority="425" operator="equal">
      <formula>"TE1"</formula>
    </cfRule>
    <cfRule type="cellIs" dxfId="4725" priority="426" operator="equal">
      <formula>"WR1"</formula>
    </cfRule>
    <cfRule type="cellIs" dxfId="4724" priority="427" operator="equal">
      <formula>"RB1"</formula>
    </cfRule>
    <cfRule type="cellIs" dxfId="4723" priority="428" operator="equal">
      <formula>"QB1"</formula>
    </cfRule>
  </conditionalFormatting>
  <conditionalFormatting sqref="E2:E17">
    <cfRule type="iconSet" priority="437">
      <iconSet iconSet="3Symbols" showValue="0">
        <cfvo type="percent" val="0"/>
        <cfvo type="num" val="0"/>
        <cfvo type="num" val="1"/>
      </iconSet>
    </cfRule>
    <cfRule type="colorScale" priority="438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18:E34">
    <cfRule type="iconSet" priority="435">
      <iconSet iconSet="3Symbols" showValue="0">
        <cfvo type="percent" val="0"/>
        <cfvo type="num" val="0"/>
        <cfvo type="num" val="1"/>
      </iconSet>
    </cfRule>
    <cfRule type="colorScale" priority="436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35:E51">
    <cfRule type="iconSet" priority="433">
      <iconSet iconSet="3Symbols" showValue="0">
        <cfvo type="percent" val="0"/>
        <cfvo type="num" val="0"/>
        <cfvo type="num" val="1"/>
      </iconSet>
    </cfRule>
    <cfRule type="colorScale" priority="43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52:E65">
    <cfRule type="iconSet" priority="431">
      <iconSet iconSet="3Symbols" showValue="0">
        <cfvo type="percent" val="0"/>
        <cfvo type="num" val="0"/>
        <cfvo type="num" val="1"/>
      </iconSet>
    </cfRule>
    <cfRule type="colorScale" priority="43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66:E83">
    <cfRule type="iconSet" priority="429">
      <iconSet iconSet="3Symbols" showValue="0">
        <cfvo type="percent" val="0"/>
        <cfvo type="num" val="0"/>
        <cfvo type="num" val="1"/>
      </iconSet>
    </cfRule>
    <cfRule type="colorScale" priority="43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E84:E86">
    <cfRule type="iconSet" priority="439">
      <iconSet iconSet="3Symbols" showValue="0">
        <cfvo type="percent" val="0"/>
        <cfvo type="num" val="0"/>
        <cfvo type="num" val="1"/>
      </iconSet>
    </cfRule>
    <cfRule type="colorScale" priority="44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F2:F86">
    <cfRule type="cellIs" dxfId="4722" priority="372" operator="equal">
      <formula>"BYE"</formula>
    </cfRule>
    <cfRule type="cellIs" dxfId="4721" priority="373" operator="equal">
      <formula>"LV"</formula>
    </cfRule>
    <cfRule type="cellIs" dxfId="4720" priority="374" operator="equal">
      <formula>"NE"</formula>
    </cfRule>
    <cfRule type="cellIs" dxfId="4719" priority="375" operator="equal">
      <formula>"MIN"</formula>
    </cfRule>
    <cfRule type="cellIs" dxfId="4718" priority="376" operator="equal">
      <formula>"PIT"</formula>
    </cfRule>
    <cfRule type="cellIs" dxfId="4717" priority="377" operator="equal">
      <formula>"DEN"</formula>
    </cfRule>
    <cfRule type="cellIs" dxfId="4716" priority="378" operator="equal">
      <formula>"CAR"</formula>
    </cfRule>
    <cfRule type="cellIs" dxfId="4715" priority="379" operator="equal">
      <formula>"NYG"</formula>
    </cfRule>
    <cfRule type="cellIs" dxfId="4714" priority="380" operator="equal">
      <formula>"NO"</formula>
    </cfRule>
    <cfRule type="cellIs" dxfId="4713" priority="381" operator="equal">
      <formula>"TEN"</formula>
    </cfRule>
    <cfRule type="cellIs" dxfId="4712" priority="382" operator="equal">
      <formula>"TB"</formula>
    </cfRule>
    <cfRule type="cellIs" dxfId="4711" priority="383" operator="equal">
      <formula>"CLE"</formula>
    </cfRule>
    <cfRule type="cellIs" dxfId="4710" priority="384" operator="equal">
      <formula>"NYJ"</formula>
    </cfRule>
    <cfRule type="cellIs" dxfId="4709" priority="385" operator="equal">
      <formula>"SEA"</formula>
    </cfRule>
    <cfRule type="cellIs" dxfId="4708" priority="386" operator="equal">
      <formula>"LAC"</formula>
    </cfRule>
    <cfRule type="cellIs" dxfId="4707" priority="387" operator="equal">
      <formula>"LAR"</formula>
    </cfRule>
    <cfRule type="cellIs" dxfId="4706" priority="388" operator="equal">
      <formula>"ATL"</formula>
    </cfRule>
    <cfRule type="cellIs" dxfId="4705" priority="389" operator="equal">
      <formula>"JAX"</formula>
    </cfRule>
    <cfRule type="cellIs" dxfId="4704" priority="390" operator="equal">
      <formula>"CHI"</formula>
    </cfRule>
    <cfRule type="cellIs" dxfId="4703" priority="391" operator="equal">
      <formula>"MIA"</formula>
    </cfRule>
    <cfRule type="cellIs" dxfId="4702" priority="392" operator="equal">
      <formula>"DET"</formula>
    </cfRule>
    <cfRule type="cellIs" dxfId="4701" priority="393" operator="equal">
      <formula>"SF"</formula>
    </cfRule>
    <cfRule type="cellIs" dxfId="4700" priority="394" operator="equal">
      <formula>"WAS"</formula>
    </cfRule>
    <cfRule type="cellIs" dxfId="4699" priority="395" operator="equal">
      <formula>"GB"</formula>
    </cfRule>
    <cfRule type="cellIs" dxfId="4698" priority="396" operator="equal">
      <formula>"DAL"</formula>
    </cfRule>
    <cfRule type="cellIs" dxfId="4697" priority="397" operator="equal">
      <formula>"CIN"</formula>
    </cfRule>
    <cfRule type="cellIs" dxfId="4696" priority="398" operator="equal">
      <formula>"ARI"</formula>
    </cfRule>
    <cfRule type="cellIs" dxfId="4695" priority="399" operator="equal">
      <formula>"HOU"</formula>
    </cfRule>
    <cfRule type="cellIs" dxfId="4694" priority="400" operator="equal">
      <formula>"IND"</formula>
    </cfRule>
    <cfRule type="cellIs" dxfId="4693" priority="401" operator="equal">
      <formula>"KC"</formula>
    </cfRule>
    <cfRule type="cellIs" dxfId="4692" priority="402" operator="equal">
      <formula>"BAL"</formula>
    </cfRule>
    <cfRule type="cellIs" dxfId="4691" priority="403" operator="equal">
      <formula>"PHI"</formula>
    </cfRule>
    <cfRule type="cellIs" dxfId="4690" priority="404" operator="equal">
      <formula>"BUF"</formula>
    </cfRule>
  </conditionalFormatting>
  <conditionalFormatting sqref="G2:G86">
    <cfRule type="colorScale" priority="10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124">
    <cfRule type="cellIs" dxfId="4689" priority="174" operator="equal">
      <formula>"BYE"</formula>
    </cfRule>
    <cfRule type="cellIs" dxfId="4688" priority="175" operator="equal">
      <formula>"LV"</formula>
    </cfRule>
    <cfRule type="cellIs" dxfId="4687" priority="176" operator="equal">
      <formula>"NE"</formula>
    </cfRule>
    <cfRule type="cellIs" dxfId="4686" priority="177" operator="equal">
      <formula>"MIN"</formula>
    </cfRule>
    <cfRule type="cellIs" dxfId="4685" priority="178" operator="equal">
      <formula>"PIT"</formula>
    </cfRule>
    <cfRule type="cellIs" dxfId="4684" priority="179" operator="equal">
      <formula>"DEN"</formula>
    </cfRule>
    <cfRule type="cellIs" dxfId="4683" priority="180" operator="equal">
      <formula>"CAR"</formula>
    </cfRule>
    <cfRule type="cellIs" dxfId="4682" priority="181" operator="equal">
      <formula>"NYG"</formula>
    </cfRule>
    <cfRule type="cellIs" dxfId="4681" priority="182" operator="equal">
      <formula>"NO"</formula>
    </cfRule>
    <cfRule type="cellIs" dxfId="4680" priority="183" operator="equal">
      <formula>"TEN"</formula>
    </cfRule>
    <cfRule type="cellIs" dxfId="4679" priority="184" operator="equal">
      <formula>"TB"</formula>
    </cfRule>
    <cfRule type="cellIs" dxfId="4678" priority="185" operator="equal">
      <formula>"CLE"</formula>
    </cfRule>
    <cfRule type="cellIs" dxfId="4677" priority="186" operator="equal">
      <formula>"NYJ"</formula>
    </cfRule>
    <cfRule type="cellIs" dxfId="4676" priority="187" operator="equal">
      <formula>"SEA"</formula>
    </cfRule>
    <cfRule type="cellIs" dxfId="4675" priority="188" operator="equal">
      <formula>"LAC"</formula>
    </cfRule>
    <cfRule type="cellIs" dxfId="4674" priority="189" operator="equal">
      <formula>"LAR"</formula>
    </cfRule>
    <cfRule type="cellIs" dxfId="4673" priority="190" operator="equal">
      <formula>"ATL"</formula>
    </cfRule>
    <cfRule type="cellIs" dxfId="4672" priority="191" operator="equal">
      <formula>"JAX"</formula>
    </cfRule>
    <cfRule type="cellIs" dxfId="4671" priority="192" operator="equal">
      <formula>"CHI"</formula>
    </cfRule>
    <cfRule type="cellIs" dxfId="4670" priority="193" operator="equal">
      <formula>"MIA"</formula>
    </cfRule>
    <cfRule type="cellIs" dxfId="4669" priority="194" operator="equal">
      <formula>"DET"</formula>
    </cfRule>
    <cfRule type="cellIs" dxfId="4668" priority="195" operator="equal">
      <formula>"SF"</formula>
    </cfRule>
    <cfRule type="cellIs" dxfId="4667" priority="196" operator="equal">
      <formula>"WAS"</formula>
    </cfRule>
    <cfRule type="cellIs" dxfId="4666" priority="197" operator="equal">
      <formula>"GB"</formula>
    </cfRule>
    <cfRule type="cellIs" dxfId="4665" priority="198" operator="equal">
      <formula>"DAL"</formula>
    </cfRule>
    <cfRule type="cellIs" dxfId="4664" priority="199" operator="equal">
      <formula>"CIN"</formula>
    </cfRule>
    <cfRule type="cellIs" dxfId="4663" priority="200" operator="equal">
      <formula>"ARI"</formula>
    </cfRule>
    <cfRule type="cellIs" dxfId="4662" priority="201" operator="equal">
      <formula>"HOU"</formula>
    </cfRule>
    <cfRule type="cellIs" dxfId="4661" priority="202" operator="equal">
      <formula>"IND"</formula>
    </cfRule>
    <cfRule type="cellIs" dxfId="4660" priority="203" operator="equal">
      <formula>"KC"</formula>
    </cfRule>
    <cfRule type="cellIs" dxfId="4659" priority="204" operator="equal">
      <formula>"BAL"</formula>
    </cfRule>
    <cfRule type="cellIs" dxfId="4658" priority="205" operator="equal">
      <formula>"PHI"</formula>
    </cfRule>
    <cfRule type="cellIs" dxfId="4657" priority="206" operator="equal">
      <formula>"BUF"</formula>
    </cfRule>
  </conditionalFormatting>
  <conditionalFormatting sqref="K2:K124">
    <cfRule type="cellIs" dxfId="4656" priority="240" operator="equal">
      <formula>"WR9"</formula>
    </cfRule>
    <cfRule type="cellIs" dxfId="4655" priority="241" operator="equal">
      <formula>"WR8"</formula>
    </cfRule>
    <cfRule type="cellIs" dxfId="4654" priority="242" operator="equal">
      <formula>"WR7"</formula>
    </cfRule>
    <cfRule type="cellIs" dxfId="4653" priority="243" operator="equal">
      <formula>"WR6"</formula>
    </cfRule>
    <cfRule type="cellIs" dxfId="4652" priority="244" operator="equal">
      <formula>"TE5"</formula>
    </cfRule>
    <cfRule type="cellIs" dxfId="4651" priority="245" operator="equal">
      <formula>"WR5"</formula>
    </cfRule>
    <cfRule type="cellIs" dxfId="4650" priority="246" operator="equal">
      <formula>"RB5"</formula>
    </cfRule>
    <cfRule type="cellIs" dxfId="4649" priority="247" operator="equal">
      <formula>"QB5"</formula>
    </cfRule>
    <cfRule type="cellIs" dxfId="4648" priority="248" operator="equal">
      <formula>"TE4"</formula>
    </cfRule>
    <cfRule type="cellIs" dxfId="4647" priority="249" operator="equal">
      <formula>"WR4"</formula>
    </cfRule>
    <cfRule type="cellIs" dxfId="4646" priority="250" operator="equal">
      <formula>"RB4"</formula>
    </cfRule>
    <cfRule type="cellIs" dxfId="4645" priority="251" operator="equal">
      <formula>"QB4"</formula>
    </cfRule>
    <cfRule type="cellIs" dxfId="4644" priority="252" operator="equal">
      <formula>"TE3"</formula>
    </cfRule>
    <cfRule type="cellIs" dxfId="4643" priority="253" operator="equal">
      <formula>"WR3"</formula>
    </cfRule>
    <cfRule type="cellIs" dxfId="4642" priority="254" operator="equal">
      <formula>"RB3"</formula>
    </cfRule>
    <cfRule type="cellIs" dxfId="4641" priority="255" operator="equal">
      <formula>"QB3"</formula>
    </cfRule>
    <cfRule type="cellIs" dxfId="4640" priority="256" operator="equal">
      <formula>"TE2"</formula>
    </cfRule>
    <cfRule type="cellIs" dxfId="4639" priority="257" operator="equal">
      <formula>"WR2"</formula>
    </cfRule>
    <cfRule type="cellIs" dxfId="4638" priority="258" operator="equal">
      <formula>"RB2"</formula>
    </cfRule>
    <cfRule type="cellIs" dxfId="4637" priority="259" operator="equal">
      <formula>"QB2"</formula>
    </cfRule>
    <cfRule type="cellIs" dxfId="4636" priority="260" operator="equal">
      <formula>"TE1"</formula>
    </cfRule>
    <cfRule type="cellIs" dxfId="4635" priority="261" operator="equal">
      <formula>"WR1"</formula>
    </cfRule>
    <cfRule type="cellIs" dxfId="4634" priority="262" operator="equal">
      <formula>"RB1"</formula>
    </cfRule>
    <cfRule type="cellIs" dxfId="4633" priority="263" operator="equal">
      <formula>"QB1"</formula>
    </cfRule>
  </conditionalFormatting>
  <conditionalFormatting sqref="L2:L14">
    <cfRule type="iconSet" priority="370">
      <iconSet iconSet="3Symbols" showValue="0">
        <cfvo type="percent" val="0"/>
        <cfvo type="num" val="0"/>
        <cfvo type="num" val="1"/>
      </iconSet>
    </cfRule>
    <cfRule type="colorScale" priority="37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15:L29">
    <cfRule type="iconSet" priority="368">
      <iconSet iconSet="3Symbols" showValue="0">
        <cfvo type="percent" val="0"/>
        <cfvo type="num" val="0"/>
        <cfvo type="num" val="1"/>
      </iconSet>
    </cfRule>
    <cfRule type="colorScale" priority="36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30:L48">
    <cfRule type="iconSet" priority="366">
      <iconSet iconSet="3Symbols" showValue="0">
        <cfvo type="percent" val="0"/>
        <cfvo type="num" val="0"/>
        <cfvo type="num" val="1"/>
      </iconSet>
    </cfRule>
    <cfRule type="colorScale" priority="367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49:L63">
    <cfRule type="iconSet" priority="364">
      <iconSet iconSet="3Symbols" showValue="0">
        <cfvo type="percent" val="0"/>
        <cfvo type="num" val="0"/>
        <cfvo type="num" val="1"/>
      </iconSet>
    </cfRule>
    <cfRule type="colorScale" priority="36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64:L78">
    <cfRule type="iconSet" priority="362">
      <iconSet iconSet="3Symbols" showValue="0">
        <cfvo type="percent" val="0"/>
        <cfvo type="num" val="0"/>
        <cfvo type="num" val="1"/>
      </iconSet>
    </cfRule>
    <cfRule type="colorScale" priority="36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79:L93">
    <cfRule type="iconSet" priority="360">
      <iconSet iconSet="3Symbols" showValue="0">
        <cfvo type="percent" val="0"/>
        <cfvo type="num" val="0"/>
        <cfvo type="num" val="1"/>
      </iconSet>
    </cfRule>
    <cfRule type="colorScale" priority="36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94:L110">
    <cfRule type="iconSet" priority="358">
      <iconSet iconSet="3Symbols" showValue="0">
        <cfvo type="percent" val="0"/>
        <cfvo type="num" val="0"/>
        <cfvo type="num" val="1"/>
      </iconSet>
    </cfRule>
    <cfRule type="colorScale" priority="35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111:L123">
    <cfRule type="iconSet" priority="356">
      <iconSet iconSet="3Symbols" showValue="0">
        <cfvo type="percent" val="0"/>
        <cfvo type="num" val="0"/>
        <cfvo type="num" val="1"/>
      </iconSet>
    </cfRule>
    <cfRule type="colorScale" priority="357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L124">
    <cfRule type="iconSet" priority="264">
      <iconSet iconSet="3Symbols" showValue="0">
        <cfvo type="percent" val="0"/>
        <cfvo type="num" val="0"/>
        <cfvo type="num" val="1"/>
      </iconSet>
    </cfRule>
    <cfRule type="colorScale" priority="26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M2:M124">
    <cfRule type="cellIs" dxfId="4632" priority="67" operator="equal">
      <formula>"BYE"</formula>
    </cfRule>
    <cfRule type="cellIs" dxfId="4631" priority="68" operator="equal">
      <formula>"LV"</formula>
    </cfRule>
    <cfRule type="cellIs" dxfId="4630" priority="69" operator="equal">
      <formula>"NE"</formula>
    </cfRule>
    <cfRule type="cellIs" dxfId="4629" priority="70" operator="equal">
      <formula>"MIN"</formula>
    </cfRule>
    <cfRule type="cellIs" dxfId="4628" priority="71" operator="equal">
      <formula>"PIT"</formula>
    </cfRule>
    <cfRule type="cellIs" dxfId="4627" priority="72" operator="equal">
      <formula>"DEN"</formula>
    </cfRule>
    <cfRule type="cellIs" dxfId="4626" priority="73" operator="equal">
      <formula>"CAR"</formula>
    </cfRule>
    <cfRule type="cellIs" dxfId="4625" priority="74" operator="equal">
      <formula>"NYG"</formula>
    </cfRule>
    <cfRule type="cellIs" dxfId="4624" priority="75" operator="equal">
      <formula>"NO"</formula>
    </cfRule>
    <cfRule type="cellIs" dxfId="4623" priority="76" operator="equal">
      <formula>"TEN"</formula>
    </cfRule>
    <cfRule type="cellIs" dxfId="4622" priority="77" operator="equal">
      <formula>"TB"</formula>
    </cfRule>
    <cfRule type="cellIs" dxfId="4621" priority="78" operator="equal">
      <formula>"CLE"</formula>
    </cfRule>
    <cfRule type="cellIs" dxfId="4620" priority="79" operator="equal">
      <formula>"NYJ"</formula>
    </cfRule>
    <cfRule type="cellIs" dxfId="4619" priority="80" operator="equal">
      <formula>"SEA"</formula>
    </cfRule>
    <cfRule type="cellIs" dxfId="4618" priority="81" operator="equal">
      <formula>"LAC"</formula>
    </cfRule>
    <cfRule type="cellIs" dxfId="4617" priority="82" operator="equal">
      <formula>"LAR"</formula>
    </cfRule>
    <cfRule type="cellIs" dxfId="4616" priority="83" operator="equal">
      <formula>"ATL"</formula>
    </cfRule>
    <cfRule type="cellIs" dxfId="4615" priority="84" operator="equal">
      <formula>"JAX"</formula>
    </cfRule>
    <cfRule type="cellIs" dxfId="4614" priority="85" operator="equal">
      <formula>"CHI"</formula>
    </cfRule>
    <cfRule type="cellIs" dxfId="4613" priority="86" operator="equal">
      <formula>"MIA"</formula>
    </cfRule>
    <cfRule type="cellIs" dxfId="4612" priority="87" operator="equal">
      <formula>"DET"</formula>
    </cfRule>
    <cfRule type="cellIs" dxfId="4611" priority="88" operator="equal">
      <formula>"SF"</formula>
    </cfRule>
    <cfRule type="cellIs" dxfId="4610" priority="89" operator="equal">
      <formula>"WAS"</formula>
    </cfRule>
    <cfRule type="cellIs" dxfId="4609" priority="90" operator="equal">
      <formula>"GB"</formula>
    </cfRule>
    <cfRule type="cellIs" dxfId="4608" priority="91" operator="equal">
      <formula>"DAL"</formula>
    </cfRule>
    <cfRule type="cellIs" dxfId="4607" priority="92" operator="equal">
      <formula>"CIN"</formula>
    </cfRule>
    <cfRule type="cellIs" dxfId="4606" priority="93" operator="equal">
      <formula>"ARI"</formula>
    </cfRule>
    <cfRule type="cellIs" dxfId="4605" priority="94" operator="equal">
      <formula>"HOU"</formula>
    </cfRule>
    <cfRule type="cellIs" dxfId="4604" priority="95" operator="equal">
      <formula>"IND"</formula>
    </cfRule>
    <cfRule type="cellIs" dxfId="4603" priority="96" operator="equal">
      <formula>"KC"</formula>
    </cfRule>
    <cfRule type="cellIs" dxfId="4602" priority="97" operator="equal">
      <formula>"BAL"</formula>
    </cfRule>
    <cfRule type="cellIs" dxfId="4601" priority="98" operator="equal">
      <formula>"PHI"</formula>
    </cfRule>
    <cfRule type="cellIs" dxfId="4600" priority="99" operator="equal">
      <formula>"BUF"</formula>
    </cfRule>
  </conditionalFormatting>
  <conditionalFormatting sqref="N2:N124">
    <cfRule type="colorScale" priority="10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2:Q212">
    <cfRule type="cellIs" dxfId="4599" priority="141" operator="equal">
      <formula>"BYE"</formula>
    </cfRule>
    <cfRule type="cellIs" dxfId="4598" priority="142" operator="equal">
      <formula>"LV"</formula>
    </cfRule>
    <cfRule type="cellIs" dxfId="4597" priority="143" operator="equal">
      <formula>"NE"</formula>
    </cfRule>
    <cfRule type="cellIs" dxfId="4596" priority="144" operator="equal">
      <formula>"MIN"</formula>
    </cfRule>
    <cfRule type="cellIs" dxfId="4595" priority="145" operator="equal">
      <formula>"PIT"</formula>
    </cfRule>
    <cfRule type="cellIs" dxfId="4594" priority="146" operator="equal">
      <formula>"DEN"</formula>
    </cfRule>
    <cfRule type="cellIs" dxfId="4593" priority="147" operator="equal">
      <formula>"CAR"</formula>
    </cfRule>
    <cfRule type="cellIs" dxfId="4592" priority="148" operator="equal">
      <formula>"NYG"</formula>
    </cfRule>
    <cfRule type="cellIs" dxfId="4591" priority="149" operator="equal">
      <formula>"NO"</formula>
    </cfRule>
    <cfRule type="cellIs" dxfId="4590" priority="150" operator="equal">
      <formula>"TEN"</formula>
    </cfRule>
    <cfRule type="cellIs" dxfId="4589" priority="151" operator="equal">
      <formula>"TB"</formula>
    </cfRule>
    <cfRule type="cellIs" dxfId="4588" priority="152" operator="equal">
      <formula>"CLE"</formula>
    </cfRule>
    <cfRule type="cellIs" dxfId="4587" priority="153" operator="equal">
      <formula>"NYJ"</formula>
    </cfRule>
    <cfRule type="cellIs" dxfId="4586" priority="154" operator="equal">
      <formula>"SEA"</formula>
    </cfRule>
    <cfRule type="cellIs" dxfId="4585" priority="155" operator="equal">
      <formula>"LAC"</formula>
    </cfRule>
    <cfRule type="cellIs" dxfId="4584" priority="156" operator="equal">
      <formula>"LAR"</formula>
    </cfRule>
    <cfRule type="cellIs" dxfId="4583" priority="157" operator="equal">
      <formula>"ATL"</formula>
    </cfRule>
    <cfRule type="cellIs" dxfId="4582" priority="158" operator="equal">
      <formula>"JAX"</formula>
    </cfRule>
    <cfRule type="cellIs" dxfId="4581" priority="159" operator="equal">
      <formula>"CHI"</formula>
    </cfRule>
    <cfRule type="cellIs" dxfId="4580" priority="160" operator="equal">
      <formula>"MIA"</formula>
    </cfRule>
    <cfRule type="cellIs" dxfId="4579" priority="161" operator="equal">
      <formula>"DET"</formula>
    </cfRule>
    <cfRule type="cellIs" dxfId="4578" priority="162" operator="equal">
      <formula>"SF"</formula>
    </cfRule>
    <cfRule type="cellIs" dxfId="4577" priority="163" operator="equal">
      <formula>"WAS"</formula>
    </cfRule>
    <cfRule type="cellIs" dxfId="4576" priority="164" operator="equal">
      <formula>"GB"</formula>
    </cfRule>
    <cfRule type="cellIs" dxfId="4575" priority="165" operator="equal">
      <formula>"DAL"</formula>
    </cfRule>
    <cfRule type="cellIs" dxfId="4574" priority="166" operator="equal">
      <formula>"CIN"</formula>
    </cfRule>
    <cfRule type="cellIs" dxfId="4573" priority="167" operator="equal">
      <formula>"ARI"</formula>
    </cfRule>
    <cfRule type="cellIs" dxfId="4572" priority="168" operator="equal">
      <formula>"HOU"</formula>
    </cfRule>
    <cfRule type="cellIs" dxfId="4571" priority="169" operator="equal">
      <formula>"IND"</formula>
    </cfRule>
    <cfRule type="cellIs" dxfId="4570" priority="170" operator="equal">
      <formula>"KC"</formula>
    </cfRule>
    <cfRule type="cellIs" dxfId="4569" priority="171" operator="equal">
      <formula>"BAL"</formula>
    </cfRule>
    <cfRule type="cellIs" dxfId="4568" priority="172" operator="equal">
      <formula>"PHI"</formula>
    </cfRule>
    <cfRule type="cellIs" dxfId="4567" priority="173" operator="equal">
      <formula>"BUF"</formula>
    </cfRule>
  </conditionalFormatting>
  <conditionalFormatting sqref="R2:R212">
    <cfRule type="cellIs" dxfId="4566" priority="266" operator="equal">
      <formula>"WR9"</formula>
    </cfRule>
    <cfRule type="cellIs" dxfId="4565" priority="267" operator="equal">
      <formula>"WR8"</formula>
    </cfRule>
    <cfRule type="cellIs" dxfId="4564" priority="268" operator="equal">
      <formula>"WR7"</formula>
    </cfRule>
    <cfRule type="cellIs" dxfId="4563" priority="269" operator="equal">
      <formula>"WR6"</formula>
    </cfRule>
    <cfRule type="cellIs" dxfId="4562" priority="270" operator="equal">
      <formula>"TE5"</formula>
    </cfRule>
    <cfRule type="cellIs" dxfId="4561" priority="271" operator="equal">
      <formula>"WR5"</formula>
    </cfRule>
    <cfRule type="cellIs" dxfId="4560" priority="272" operator="equal">
      <formula>"RB5"</formula>
    </cfRule>
    <cfRule type="cellIs" dxfId="4559" priority="273" operator="equal">
      <formula>"QB5"</formula>
    </cfRule>
    <cfRule type="cellIs" dxfId="4558" priority="274" operator="equal">
      <formula>"TE4"</formula>
    </cfRule>
    <cfRule type="cellIs" dxfId="4557" priority="275" operator="equal">
      <formula>"WR4"</formula>
    </cfRule>
    <cfRule type="cellIs" dxfId="4556" priority="276" operator="equal">
      <formula>"RB4"</formula>
    </cfRule>
    <cfRule type="cellIs" dxfId="4555" priority="277" operator="equal">
      <formula>"QB4"</formula>
    </cfRule>
    <cfRule type="cellIs" dxfId="4554" priority="278" operator="equal">
      <formula>"TE3"</formula>
    </cfRule>
    <cfRule type="cellIs" dxfId="4553" priority="279" operator="equal">
      <formula>"WR3"</formula>
    </cfRule>
    <cfRule type="cellIs" dxfId="4552" priority="280" operator="equal">
      <formula>"RB3"</formula>
    </cfRule>
    <cfRule type="cellIs" dxfId="4551" priority="281" operator="equal">
      <formula>"QB3"</formula>
    </cfRule>
    <cfRule type="cellIs" dxfId="4550" priority="282" operator="equal">
      <formula>"TE2"</formula>
    </cfRule>
    <cfRule type="cellIs" dxfId="4549" priority="283" operator="equal">
      <formula>"WR2"</formula>
    </cfRule>
    <cfRule type="cellIs" dxfId="4548" priority="284" operator="equal">
      <formula>"RB2"</formula>
    </cfRule>
    <cfRule type="cellIs" dxfId="4547" priority="285" operator="equal">
      <formula>"QB2"</formula>
    </cfRule>
    <cfRule type="cellIs" dxfId="4546" priority="286" operator="equal">
      <formula>"TE1"</formula>
    </cfRule>
    <cfRule type="cellIs" dxfId="4545" priority="287" operator="equal">
      <formula>"WR1"</formula>
    </cfRule>
    <cfRule type="cellIs" dxfId="4544" priority="288" operator="equal">
      <formula>"RB1"</formula>
    </cfRule>
    <cfRule type="cellIs" dxfId="4543" priority="289" operator="equal">
      <formula>"QB1"</formula>
    </cfRule>
  </conditionalFormatting>
  <conditionalFormatting sqref="S2:S6">
    <cfRule type="colorScale" priority="314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7:S23">
    <cfRule type="iconSet" priority="312">
      <iconSet iconSet="3Symbols" showValue="0">
        <cfvo type="percent" val="0"/>
        <cfvo type="num" val="0"/>
        <cfvo type="num" val="1"/>
      </iconSet>
    </cfRule>
    <cfRule type="colorScale" priority="31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24:S39">
    <cfRule type="iconSet" priority="310">
      <iconSet iconSet="3Symbols" showValue="0">
        <cfvo type="percent" val="0"/>
        <cfvo type="num" val="0"/>
        <cfvo type="num" val="1"/>
      </iconSet>
    </cfRule>
    <cfRule type="colorScale" priority="31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40:S57">
    <cfRule type="iconSet" priority="308">
      <iconSet iconSet="3Symbols" showValue="0">
        <cfvo type="percent" val="0"/>
        <cfvo type="num" val="0"/>
        <cfvo type="num" val="1"/>
      </iconSet>
    </cfRule>
    <cfRule type="colorScale" priority="30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58:S76">
    <cfRule type="iconSet" priority="306">
      <iconSet iconSet="3Symbols" showValue="0">
        <cfvo type="percent" val="0"/>
        <cfvo type="num" val="0"/>
        <cfvo type="num" val="1"/>
      </iconSet>
    </cfRule>
    <cfRule type="colorScale" priority="307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77:S92">
    <cfRule type="iconSet" priority="304">
      <iconSet iconSet="3Symbols" showValue="0">
        <cfvo type="percent" val="0"/>
        <cfvo type="num" val="0"/>
        <cfvo type="num" val="1"/>
      </iconSet>
    </cfRule>
    <cfRule type="colorScale" priority="30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93:S107">
    <cfRule type="iconSet" priority="302">
      <iconSet iconSet="3Symbols" showValue="0">
        <cfvo type="percent" val="0"/>
        <cfvo type="num" val="0"/>
        <cfvo type="num" val="1"/>
      </iconSet>
    </cfRule>
    <cfRule type="colorScale" priority="30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108:S123">
    <cfRule type="iconSet" priority="300">
      <iconSet iconSet="3Symbols" showValue="0">
        <cfvo type="percent" val="0"/>
        <cfvo type="num" val="0"/>
        <cfvo type="num" val="1"/>
      </iconSet>
    </cfRule>
    <cfRule type="colorScale" priority="30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124:S141">
    <cfRule type="iconSet" priority="298">
      <iconSet iconSet="3Symbols" showValue="0">
        <cfvo type="percent" val="0"/>
        <cfvo type="num" val="0"/>
        <cfvo type="num" val="1"/>
      </iconSet>
    </cfRule>
    <cfRule type="colorScale" priority="29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142:S161">
    <cfRule type="iconSet" priority="296">
      <iconSet iconSet="3Symbols" showValue="0">
        <cfvo type="percent" val="0"/>
        <cfvo type="num" val="0"/>
        <cfvo type="num" val="1"/>
      </iconSet>
    </cfRule>
    <cfRule type="colorScale" priority="297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162:S180">
    <cfRule type="iconSet" priority="294">
      <iconSet iconSet="3Symbols" showValue="0">
        <cfvo type="percent" val="0"/>
        <cfvo type="num" val="0"/>
        <cfvo type="num" val="1"/>
      </iconSet>
    </cfRule>
    <cfRule type="colorScale" priority="29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181:S197">
    <cfRule type="iconSet" priority="292">
      <iconSet iconSet="3Symbols" showValue="0">
        <cfvo type="percent" val="0"/>
        <cfvo type="num" val="0"/>
        <cfvo type="num" val="1"/>
      </iconSet>
    </cfRule>
    <cfRule type="colorScale" priority="29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S198:S212">
    <cfRule type="iconSet" priority="290">
      <iconSet iconSet="3Symbols" showValue="0">
        <cfvo type="percent" val="0"/>
        <cfvo type="num" val="0"/>
        <cfvo type="num" val="1"/>
      </iconSet>
    </cfRule>
    <cfRule type="colorScale" priority="29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T2:T212">
    <cfRule type="cellIs" dxfId="4542" priority="34" operator="equal">
      <formula>"BYE"</formula>
    </cfRule>
    <cfRule type="cellIs" dxfId="4541" priority="35" operator="equal">
      <formula>"LV"</formula>
    </cfRule>
    <cfRule type="cellIs" dxfId="4540" priority="36" operator="equal">
      <formula>"NE"</formula>
    </cfRule>
    <cfRule type="cellIs" dxfId="4539" priority="37" operator="equal">
      <formula>"MIN"</formula>
    </cfRule>
    <cfRule type="cellIs" dxfId="4538" priority="38" operator="equal">
      <formula>"PIT"</formula>
    </cfRule>
    <cfRule type="cellIs" dxfId="4537" priority="39" operator="equal">
      <formula>"DEN"</formula>
    </cfRule>
    <cfRule type="cellIs" dxfId="4536" priority="40" operator="equal">
      <formula>"CAR"</formula>
    </cfRule>
    <cfRule type="cellIs" dxfId="4535" priority="41" operator="equal">
      <formula>"NYG"</formula>
    </cfRule>
    <cfRule type="cellIs" dxfId="4534" priority="42" operator="equal">
      <formula>"NO"</formula>
    </cfRule>
    <cfRule type="cellIs" dxfId="4533" priority="43" operator="equal">
      <formula>"TEN"</formula>
    </cfRule>
    <cfRule type="cellIs" dxfId="4532" priority="44" operator="equal">
      <formula>"TB"</formula>
    </cfRule>
    <cfRule type="cellIs" dxfId="4531" priority="45" operator="equal">
      <formula>"CLE"</formula>
    </cfRule>
    <cfRule type="cellIs" dxfId="4530" priority="46" operator="equal">
      <formula>"NYJ"</formula>
    </cfRule>
    <cfRule type="cellIs" dxfId="4529" priority="47" operator="equal">
      <formula>"SEA"</formula>
    </cfRule>
    <cfRule type="cellIs" dxfId="4528" priority="48" operator="equal">
      <formula>"LAC"</formula>
    </cfRule>
    <cfRule type="cellIs" dxfId="4527" priority="49" operator="equal">
      <formula>"LAR"</formula>
    </cfRule>
    <cfRule type="cellIs" dxfId="4526" priority="50" operator="equal">
      <formula>"ATL"</formula>
    </cfRule>
    <cfRule type="cellIs" dxfId="4525" priority="51" operator="equal">
      <formula>"JAX"</formula>
    </cfRule>
    <cfRule type="cellIs" dxfId="4524" priority="52" operator="equal">
      <formula>"CHI"</formula>
    </cfRule>
    <cfRule type="cellIs" dxfId="4523" priority="53" operator="equal">
      <formula>"MIA"</formula>
    </cfRule>
    <cfRule type="cellIs" dxfId="4522" priority="54" operator="equal">
      <formula>"DET"</formula>
    </cfRule>
    <cfRule type="cellIs" dxfId="4521" priority="55" operator="equal">
      <formula>"SF"</formula>
    </cfRule>
    <cfRule type="cellIs" dxfId="4520" priority="56" operator="equal">
      <formula>"WAS"</formula>
    </cfRule>
    <cfRule type="cellIs" dxfId="4519" priority="57" operator="equal">
      <formula>"GB"</formula>
    </cfRule>
    <cfRule type="cellIs" dxfId="4518" priority="58" operator="equal">
      <formula>"DAL"</formula>
    </cfRule>
    <cfRule type="cellIs" dxfId="4517" priority="59" operator="equal">
      <formula>"CIN"</formula>
    </cfRule>
    <cfRule type="cellIs" dxfId="4516" priority="60" operator="equal">
      <formula>"ARI"</formula>
    </cfRule>
    <cfRule type="cellIs" dxfId="4515" priority="61" operator="equal">
      <formula>"HOU"</formula>
    </cfRule>
    <cfRule type="cellIs" dxfId="4514" priority="62" operator="equal">
      <formula>"IND"</formula>
    </cfRule>
    <cfRule type="cellIs" dxfId="4513" priority="63" operator="equal">
      <formula>"KC"</formula>
    </cfRule>
    <cfRule type="cellIs" dxfId="4512" priority="64" operator="equal">
      <formula>"BAL"</formula>
    </cfRule>
    <cfRule type="cellIs" dxfId="4511" priority="65" operator="equal">
      <formula>"PHI"</formula>
    </cfRule>
    <cfRule type="cellIs" dxfId="4510" priority="66" operator="equal">
      <formula>"BUF"</formula>
    </cfRule>
  </conditionalFormatting>
  <conditionalFormatting sqref="U2:U212">
    <cfRule type="colorScale" priority="1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X2:X117">
    <cfRule type="cellIs" dxfId="4509" priority="108" operator="equal">
      <formula>"BYE"</formula>
    </cfRule>
    <cfRule type="cellIs" dxfId="4508" priority="109" operator="equal">
      <formula>"LV"</formula>
    </cfRule>
    <cfRule type="cellIs" dxfId="4507" priority="110" operator="equal">
      <formula>"NE"</formula>
    </cfRule>
    <cfRule type="cellIs" dxfId="4506" priority="111" operator="equal">
      <formula>"MIN"</formula>
    </cfRule>
    <cfRule type="cellIs" dxfId="4505" priority="112" operator="equal">
      <formula>"PIT"</formula>
    </cfRule>
    <cfRule type="cellIs" dxfId="4504" priority="113" operator="equal">
      <formula>"DEN"</formula>
    </cfRule>
    <cfRule type="cellIs" dxfId="4503" priority="114" operator="equal">
      <formula>"CAR"</formula>
    </cfRule>
    <cfRule type="cellIs" dxfId="4502" priority="115" operator="equal">
      <formula>"NYG"</formula>
    </cfRule>
    <cfRule type="cellIs" dxfId="4501" priority="116" operator="equal">
      <formula>"NO"</formula>
    </cfRule>
    <cfRule type="cellIs" dxfId="4500" priority="117" operator="equal">
      <formula>"TEN"</formula>
    </cfRule>
    <cfRule type="cellIs" dxfId="4499" priority="118" operator="equal">
      <formula>"TB"</formula>
    </cfRule>
    <cfRule type="cellIs" dxfId="4498" priority="119" operator="equal">
      <formula>"CLE"</formula>
    </cfRule>
    <cfRule type="cellIs" dxfId="4497" priority="120" operator="equal">
      <formula>"NYJ"</formula>
    </cfRule>
    <cfRule type="cellIs" dxfId="4496" priority="121" operator="equal">
      <formula>"SEA"</formula>
    </cfRule>
    <cfRule type="cellIs" dxfId="4495" priority="122" operator="equal">
      <formula>"LAC"</formula>
    </cfRule>
    <cfRule type="cellIs" dxfId="4494" priority="123" operator="equal">
      <formula>"LAR"</formula>
    </cfRule>
    <cfRule type="cellIs" dxfId="4493" priority="124" operator="equal">
      <formula>"ATL"</formula>
    </cfRule>
    <cfRule type="cellIs" dxfId="4492" priority="125" operator="equal">
      <formula>"JAX"</formula>
    </cfRule>
    <cfRule type="cellIs" dxfId="4491" priority="126" operator="equal">
      <formula>"CHI"</formula>
    </cfRule>
    <cfRule type="cellIs" dxfId="4490" priority="127" operator="equal">
      <formula>"MIA"</formula>
    </cfRule>
    <cfRule type="cellIs" dxfId="4489" priority="128" operator="equal">
      <formula>"DET"</formula>
    </cfRule>
    <cfRule type="cellIs" dxfId="4488" priority="129" operator="equal">
      <formula>"SF"</formula>
    </cfRule>
    <cfRule type="cellIs" dxfId="4487" priority="130" operator="equal">
      <formula>"WAS"</formula>
    </cfRule>
    <cfRule type="cellIs" dxfId="4486" priority="131" operator="equal">
      <formula>"GB"</formula>
    </cfRule>
    <cfRule type="cellIs" dxfId="4485" priority="132" operator="equal">
      <formula>"DAL"</formula>
    </cfRule>
    <cfRule type="cellIs" dxfId="4484" priority="133" operator="equal">
      <formula>"CIN"</formula>
    </cfRule>
    <cfRule type="cellIs" dxfId="4483" priority="134" operator="equal">
      <formula>"ARI"</formula>
    </cfRule>
    <cfRule type="cellIs" dxfId="4482" priority="135" operator="equal">
      <formula>"HOU"</formula>
    </cfRule>
    <cfRule type="cellIs" dxfId="4481" priority="136" operator="equal">
      <formula>"IND"</formula>
    </cfRule>
    <cfRule type="cellIs" dxfId="4480" priority="137" operator="equal">
      <formula>"KC"</formula>
    </cfRule>
    <cfRule type="cellIs" dxfId="4479" priority="138" operator="equal">
      <formula>"BAL"</formula>
    </cfRule>
    <cfRule type="cellIs" dxfId="4478" priority="139" operator="equal">
      <formula>"PHI"</formula>
    </cfRule>
    <cfRule type="cellIs" dxfId="4477" priority="140" operator="equal">
      <formula>"BUF"</formula>
    </cfRule>
  </conditionalFormatting>
  <conditionalFormatting sqref="Y2:Y117">
    <cfRule type="cellIs" dxfId="4476" priority="316" operator="equal">
      <formula>"WR9"</formula>
    </cfRule>
    <cfRule type="cellIs" dxfId="4475" priority="317" operator="equal">
      <formula>"WR8"</formula>
    </cfRule>
    <cfRule type="cellIs" dxfId="4474" priority="318" operator="equal">
      <formula>"WR7"</formula>
    </cfRule>
    <cfRule type="cellIs" dxfId="4473" priority="319" operator="equal">
      <formula>"WR6"</formula>
    </cfRule>
    <cfRule type="cellIs" dxfId="4472" priority="320" operator="equal">
      <formula>"TE5"</formula>
    </cfRule>
    <cfRule type="cellIs" dxfId="4471" priority="321" operator="equal">
      <formula>"WR5"</formula>
    </cfRule>
    <cfRule type="cellIs" dxfId="4470" priority="322" operator="equal">
      <formula>"RB5"</formula>
    </cfRule>
    <cfRule type="cellIs" dxfId="4469" priority="323" operator="equal">
      <formula>"QB5"</formula>
    </cfRule>
    <cfRule type="cellIs" dxfId="4468" priority="324" operator="equal">
      <formula>"TE4"</formula>
    </cfRule>
    <cfRule type="cellIs" dxfId="4467" priority="325" operator="equal">
      <formula>"WR4"</formula>
    </cfRule>
    <cfRule type="cellIs" dxfId="4466" priority="326" operator="equal">
      <formula>"RB4"</formula>
    </cfRule>
    <cfRule type="cellIs" dxfId="4465" priority="327" operator="equal">
      <formula>"QB4"</formula>
    </cfRule>
    <cfRule type="cellIs" dxfId="4464" priority="328" operator="equal">
      <formula>"TE3"</formula>
    </cfRule>
    <cfRule type="cellIs" dxfId="4463" priority="329" operator="equal">
      <formula>"WR3"</formula>
    </cfRule>
    <cfRule type="cellIs" dxfId="4462" priority="330" operator="equal">
      <formula>"RB3"</formula>
    </cfRule>
    <cfRule type="cellIs" dxfId="4461" priority="331" operator="equal">
      <formula>"QB3"</formula>
    </cfRule>
    <cfRule type="cellIs" dxfId="4460" priority="332" operator="equal">
      <formula>"TE2"</formula>
    </cfRule>
    <cfRule type="cellIs" dxfId="4459" priority="333" operator="equal">
      <formula>"WR2"</formula>
    </cfRule>
    <cfRule type="cellIs" dxfId="4458" priority="334" operator="equal">
      <formula>"RB2"</formula>
    </cfRule>
    <cfRule type="cellIs" dxfId="4457" priority="335" operator="equal">
      <formula>"QB2"</formula>
    </cfRule>
    <cfRule type="cellIs" dxfId="4456" priority="336" operator="equal">
      <formula>"TE1"</formula>
    </cfRule>
    <cfRule type="cellIs" dxfId="4455" priority="337" operator="equal">
      <formula>"WR1"</formula>
    </cfRule>
    <cfRule type="cellIs" dxfId="4454" priority="338" operator="equal">
      <formula>"RB1"</formula>
    </cfRule>
    <cfRule type="cellIs" dxfId="4453" priority="339" operator="equal">
      <formula>"QB1"</formula>
    </cfRule>
  </conditionalFormatting>
  <conditionalFormatting sqref="Z2:Z8">
    <cfRule type="iconSet" priority="354">
      <iconSet iconSet="3Symbols" showValue="0">
        <cfvo type="percent" val="0"/>
        <cfvo type="num" val="0"/>
        <cfvo type="num" val="1"/>
      </iconSet>
    </cfRule>
    <cfRule type="colorScale" priority="35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9:Z26">
    <cfRule type="iconSet" priority="352">
      <iconSet iconSet="3Symbols" showValue="0">
        <cfvo type="percent" val="0"/>
        <cfvo type="num" val="0"/>
        <cfvo type="num" val="1"/>
      </iconSet>
    </cfRule>
    <cfRule type="colorScale" priority="35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27:Z41">
    <cfRule type="iconSet" priority="350">
      <iconSet iconSet="3Symbols" showValue="0">
        <cfvo type="percent" val="0"/>
        <cfvo type="num" val="0"/>
        <cfvo type="num" val="1"/>
      </iconSet>
    </cfRule>
    <cfRule type="colorScale" priority="35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42:Z59">
    <cfRule type="iconSet" priority="348">
      <iconSet iconSet="3Symbols" showValue="0">
        <cfvo type="percent" val="0"/>
        <cfvo type="num" val="0"/>
        <cfvo type="num" val="1"/>
      </iconSet>
    </cfRule>
    <cfRule type="colorScale" priority="34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60:Z74">
    <cfRule type="iconSet" priority="346">
      <iconSet iconSet="3Symbols" showValue="0">
        <cfvo type="percent" val="0"/>
        <cfvo type="num" val="0"/>
        <cfvo type="num" val="1"/>
      </iconSet>
    </cfRule>
    <cfRule type="colorScale" priority="347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75:Z90">
    <cfRule type="iconSet" priority="344">
      <iconSet iconSet="3Symbols" showValue="0">
        <cfvo type="percent" val="0"/>
        <cfvo type="num" val="0"/>
        <cfvo type="num" val="1"/>
      </iconSet>
    </cfRule>
    <cfRule type="colorScale" priority="345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91:Z105">
    <cfRule type="iconSet" priority="342">
      <iconSet iconSet="3Symbols" showValue="0">
        <cfvo type="percent" val="0"/>
        <cfvo type="num" val="0"/>
        <cfvo type="num" val="1"/>
      </iconSet>
    </cfRule>
    <cfRule type="colorScale" priority="343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Z106:Z117">
    <cfRule type="colorScale" priority="340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AA2:AA117">
    <cfRule type="cellIs" dxfId="4452" priority="1" operator="equal">
      <formula>"BYE"</formula>
    </cfRule>
    <cfRule type="cellIs" dxfId="4451" priority="2" operator="equal">
      <formula>"LV"</formula>
    </cfRule>
    <cfRule type="cellIs" dxfId="4450" priority="3" operator="equal">
      <formula>"NE"</formula>
    </cfRule>
    <cfRule type="cellIs" dxfId="4449" priority="4" operator="equal">
      <formula>"MIN"</formula>
    </cfRule>
    <cfRule type="cellIs" dxfId="4448" priority="5" operator="equal">
      <formula>"PIT"</formula>
    </cfRule>
    <cfRule type="cellIs" dxfId="4447" priority="6" operator="equal">
      <formula>"DEN"</formula>
    </cfRule>
    <cfRule type="cellIs" dxfId="4446" priority="7" operator="equal">
      <formula>"CAR"</formula>
    </cfRule>
    <cfRule type="cellIs" dxfId="4445" priority="8" operator="equal">
      <formula>"NYG"</formula>
    </cfRule>
    <cfRule type="cellIs" dxfId="4444" priority="9" operator="equal">
      <formula>"NO"</formula>
    </cfRule>
    <cfRule type="cellIs" dxfId="4443" priority="10" operator="equal">
      <formula>"TEN"</formula>
    </cfRule>
    <cfRule type="cellIs" dxfId="4442" priority="11" operator="equal">
      <formula>"TB"</formula>
    </cfRule>
    <cfRule type="cellIs" dxfId="4441" priority="12" operator="equal">
      <formula>"CLE"</formula>
    </cfRule>
    <cfRule type="cellIs" dxfId="4440" priority="13" operator="equal">
      <formula>"NYJ"</formula>
    </cfRule>
    <cfRule type="cellIs" dxfId="4439" priority="14" operator="equal">
      <formula>"SEA"</formula>
    </cfRule>
    <cfRule type="cellIs" dxfId="4438" priority="15" operator="equal">
      <formula>"LAC"</formula>
    </cfRule>
    <cfRule type="cellIs" dxfId="4437" priority="16" operator="equal">
      <formula>"LAR"</formula>
    </cfRule>
    <cfRule type="cellIs" dxfId="4436" priority="17" operator="equal">
      <formula>"ATL"</formula>
    </cfRule>
    <cfRule type="cellIs" dxfId="4435" priority="18" operator="equal">
      <formula>"JAX"</formula>
    </cfRule>
    <cfRule type="cellIs" dxfId="4434" priority="19" operator="equal">
      <formula>"CHI"</formula>
    </cfRule>
    <cfRule type="cellIs" dxfId="4433" priority="20" operator="equal">
      <formula>"MIA"</formula>
    </cfRule>
    <cfRule type="cellIs" dxfId="4432" priority="21" operator="equal">
      <formula>"DET"</formula>
    </cfRule>
    <cfRule type="cellIs" dxfId="4431" priority="22" operator="equal">
      <formula>"SF"</formula>
    </cfRule>
    <cfRule type="cellIs" dxfId="4430" priority="23" operator="equal">
      <formula>"WAS"</formula>
    </cfRule>
    <cfRule type="cellIs" dxfId="4429" priority="24" operator="equal">
      <formula>"GB"</formula>
    </cfRule>
    <cfRule type="cellIs" dxfId="4428" priority="25" operator="equal">
      <formula>"DAL"</formula>
    </cfRule>
    <cfRule type="cellIs" dxfId="4427" priority="26" operator="equal">
      <formula>"CIN"</formula>
    </cfRule>
    <cfRule type="cellIs" dxfId="4426" priority="27" operator="equal">
      <formula>"ARI"</formula>
    </cfRule>
    <cfRule type="cellIs" dxfId="4425" priority="28" operator="equal">
      <formula>"HOU"</formula>
    </cfRule>
    <cfRule type="cellIs" dxfId="4424" priority="29" operator="equal">
      <formula>"IND"</formula>
    </cfRule>
    <cfRule type="cellIs" dxfId="4423" priority="30" operator="equal">
      <formula>"KC"</formula>
    </cfRule>
    <cfRule type="cellIs" dxfId="4422" priority="31" operator="equal">
      <formula>"BAL"</formula>
    </cfRule>
    <cfRule type="cellIs" dxfId="4421" priority="32" operator="equal">
      <formula>"PHI"</formula>
    </cfRule>
    <cfRule type="cellIs" dxfId="4420" priority="33" operator="equal">
      <formula>"BUF"</formula>
    </cfRule>
  </conditionalFormatting>
  <conditionalFormatting sqref="AB2:AB117">
    <cfRule type="colorScale" priority="10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6" id="{AFF45AAC-51DF-464E-BDC9-632280B684F2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G2:G86</xm:sqref>
        </x14:conditionalFormatting>
        <x14:conditionalFormatting xmlns:xm="http://schemas.microsoft.com/office/excel/2006/main">
          <x14:cfRule type="iconSet" priority="104" id="{FE106D4D-E0DE-47CC-BD73-ACF1F8686C3F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N2:N124</xm:sqref>
        </x14:conditionalFormatting>
        <x14:conditionalFormatting xmlns:xm="http://schemas.microsoft.com/office/excel/2006/main">
          <x14:cfRule type="iconSet" priority="315" id="{9AA7F2F2-EB1A-4521-9B7D-0150F7624C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S2:S6</xm:sqref>
        </x14:conditionalFormatting>
        <x14:conditionalFormatting xmlns:xm="http://schemas.microsoft.com/office/excel/2006/main">
          <x14:cfRule type="iconSet" priority="102" id="{83EE72AE-55FF-46E8-81D1-0020467C9542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U2:U212</xm:sqref>
        </x14:conditionalFormatting>
        <x14:conditionalFormatting xmlns:xm="http://schemas.microsoft.com/office/excel/2006/main">
          <x14:cfRule type="iconSet" priority="341" id="{79D8047C-18DF-463C-9857-204F1BA4AD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1"/>
              <x14:cfIcon iconSet="3Symbols" iconId="2"/>
            </x14:iconSet>
          </x14:cfRule>
          <xm:sqref>Z106:Z117</xm:sqref>
        </x14:conditionalFormatting>
        <x14:conditionalFormatting xmlns:xm="http://schemas.microsoft.com/office/excel/2006/main">
          <x14:cfRule type="iconSet" priority="100" id="{6B963E16-D4C3-48AE-AA66-8A684A04F6FE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AB2:AB117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5AE1E-035C-42F3-942F-DF3546744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Charts</vt:lpstr>
      </vt:variant>
      <vt:variant>
        <vt:i4>1</vt:i4>
      </vt:variant>
    </vt:vector>
  </HeadingPairs>
  <TitlesOfParts>
    <vt:vector size="26" baseType="lpstr">
      <vt:lpstr>BDAYS</vt:lpstr>
      <vt:lpstr>SB</vt:lpstr>
      <vt:lpstr>CHAMPS</vt:lpstr>
      <vt:lpstr>Weekly Tracker</vt:lpstr>
      <vt:lpstr>test</vt:lpstr>
      <vt:lpstr>2425</vt:lpstr>
      <vt:lpstr>2025</vt:lpstr>
      <vt:lpstr>2024 fSZN</vt:lpstr>
      <vt:lpstr>2025QB</vt:lpstr>
      <vt:lpstr>2425QB</vt:lpstr>
      <vt:lpstr>2025RB</vt:lpstr>
      <vt:lpstr>2425RB</vt:lpstr>
      <vt:lpstr>2025WR</vt:lpstr>
      <vt:lpstr>2425WR</vt:lpstr>
      <vt:lpstr>2025TE</vt:lpstr>
      <vt:lpstr>2425TE</vt:lpstr>
      <vt:lpstr>QB</vt:lpstr>
      <vt:lpstr>RB</vt:lpstr>
      <vt:lpstr>WR</vt:lpstr>
      <vt:lpstr>TE</vt:lpstr>
      <vt:lpstr>Data</vt:lpstr>
      <vt:lpstr>2025 WR DD</vt:lpstr>
      <vt:lpstr>2024 WR DD fZSN</vt:lpstr>
      <vt:lpstr>Depth Charts</vt:lpstr>
      <vt:lpstr>Position Log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LaRue</dc:creator>
  <cp:lastModifiedBy>LaRue, Joshua William</cp:lastModifiedBy>
  <cp:lastPrinted>2026-01-16T21:40:03Z</cp:lastPrinted>
  <dcterms:created xsi:type="dcterms:W3CDTF">2024-10-08T03:51:00Z</dcterms:created>
  <dcterms:modified xsi:type="dcterms:W3CDTF">2026-07-14T01:11:59Z</dcterms:modified>
</cp:coreProperties>
</file>